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mc:AlternateContent xmlns:mc="http://schemas.openxmlformats.org/markup-compatibility/2006">
    <mc:Choice Requires="x15">
      <x15ac:absPath xmlns:x15ac="http://schemas.microsoft.com/office/spreadsheetml/2010/11/ac" url="/Users/meredithkelly/Desktop/College stuff/"/>
    </mc:Choice>
  </mc:AlternateContent>
  <xr:revisionPtr revIDLastSave="0" documentId="8_{D9111FAB-1845-A64F-8BF2-8F7514BF447E}" xr6:coauthVersionLast="45" xr6:coauthVersionMax="45" xr10:uidLastSave="{00000000-0000-0000-0000-000000000000}"/>
  <bookViews>
    <workbookView xWindow="720" yWindow="460" windowWidth="26600" windowHeight="14900" activeTab="2" xr2:uid="{00000000-000D-0000-FFFF-FFFF00000000}"/>
  </bookViews>
  <sheets>
    <sheet name="Quick Start Guide" sheetId="1" r:id="rId1"/>
    <sheet name="Selectivity Chart " sheetId="2" r:id="rId2"/>
    <sheet name="Category 1 (Most Competitive)" sheetId="3" r:id="rId3"/>
    <sheet name="Category 2 (Highly Competitive)" sheetId="4" r:id="rId4"/>
    <sheet name="Category 3 (Very Competitive)" sheetId="5" r:id="rId5"/>
    <sheet name="Category 4 (Competitive)" sheetId="6" r:id="rId6"/>
    <sheet name="Category 5 (Less or Non-Comp)" sheetId="7" r:id="rId7"/>
    <sheet name="Category 6 (Community Colleges)" sheetId="8" r:id="rId8"/>
    <sheet name="All Colleges" sheetId="9" r:id="rId9"/>
    <sheet name="Career and Training Pathway" sheetId="10" r:id="rId10"/>
    <sheet name="Students with Disabilities" sheetId="11" r:id="rId11"/>
  </sheets>
  <definedNames>
    <definedName name="_xlnm._FilterDatabase" localSheetId="8" hidden="1">'All Colleges'!$A$2:$Z$2677</definedName>
    <definedName name="_xlnm._FilterDatabase" localSheetId="2" hidden="1">'Category 1 (Most Competitive)'!$A$2:$Z$96</definedName>
    <definedName name="_xlnm._FilterDatabase" localSheetId="3" hidden="1">'Category 2 (Highly Competitive)'!$A$2:$Z$2</definedName>
    <definedName name="_xlnm._FilterDatabase" localSheetId="4" hidden="1">'Category 3 (Very Competitive)'!$A$2:$Z$289</definedName>
    <definedName name="_xlnm._FilterDatabase" localSheetId="5" hidden="1">'Category 4 (Competitive)'!$A$2:$Z$2</definedName>
    <definedName name="_xlnm._FilterDatabase" localSheetId="6" hidden="1">'Category 5 (Less or Non-Comp)'!$A$2:$AA$2</definedName>
    <definedName name="_xlnm._FilterDatabase" localSheetId="7" hidden="1">'Category 6 (Community Colleges)'!$A$2:$AB$2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15" roundtripDataSignature="AMtx7mgxHIDDfzZ6SoIiFQlV6Y2Jc0Kj3w=="/>
    </ext>
  </extLst>
</workbook>
</file>

<file path=xl/calcChain.xml><?xml version="1.0" encoding="utf-8"?>
<calcChain xmlns="http://schemas.openxmlformats.org/spreadsheetml/2006/main">
  <c r="A2676" i="9" l="1"/>
  <c r="S2675" i="9"/>
  <c r="A2675" i="9"/>
  <c r="S2674" i="9"/>
  <c r="A2674" i="9"/>
  <c r="S2673" i="9"/>
  <c r="A2673" i="9"/>
  <c r="S2672" i="9"/>
  <c r="A2672" i="9"/>
  <c r="S2671" i="9"/>
  <c r="A2671" i="9"/>
  <c r="S2670" i="9"/>
  <c r="A2670" i="9"/>
  <c r="S2669" i="9"/>
  <c r="A2669" i="9"/>
  <c r="S2668" i="9"/>
  <c r="A2668" i="9"/>
  <c r="S2667" i="9"/>
  <c r="A2667" i="9"/>
  <c r="S2666" i="9"/>
  <c r="A2666" i="9"/>
  <c r="S2665" i="9"/>
  <c r="A2665" i="9"/>
  <c r="S2664" i="9"/>
  <c r="A2664" i="9"/>
  <c r="S2663" i="9"/>
  <c r="A2663" i="9"/>
  <c r="S2662" i="9"/>
  <c r="A2662" i="9"/>
  <c r="S2661" i="9"/>
  <c r="A2661" i="9"/>
  <c r="S2660" i="9"/>
  <c r="A2660" i="9"/>
  <c r="S2659" i="9"/>
  <c r="A2659" i="9"/>
  <c r="S2658" i="9"/>
  <c r="A2658" i="9"/>
  <c r="S2657" i="9"/>
  <c r="A2657" i="9"/>
  <c r="A2656" i="9"/>
  <c r="S2655" i="9"/>
  <c r="A2655" i="9"/>
  <c r="S2654" i="9"/>
  <c r="A2654" i="9"/>
  <c r="S2653" i="9"/>
  <c r="A2653" i="9"/>
  <c r="S2652" i="9"/>
  <c r="A2652" i="9"/>
  <c r="S2651" i="9"/>
  <c r="A2651" i="9"/>
  <c r="S2650" i="9"/>
  <c r="A2650" i="9"/>
  <c r="S2649" i="9"/>
  <c r="A2649" i="9"/>
  <c r="S2648" i="9"/>
  <c r="A2648" i="9"/>
  <c r="S2647" i="9"/>
  <c r="A2647" i="9"/>
  <c r="S2646" i="9"/>
  <c r="A2646" i="9"/>
  <c r="S2645" i="9"/>
  <c r="A2645" i="9"/>
  <c r="S2644" i="9"/>
  <c r="A2644" i="9"/>
  <c r="S2643" i="9"/>
  <c r="A2643" i="9"/>
  <c r="S2642" i="9"/>
  <c r="A2642" i="9"/>
  <c r="S2641" i="9"/>
  <c r="A2641" i="9"/>
  <c r="S2640" i="9"/>
  <c r="A2640" i="9"/>
  <c r="S2639" i="9"/>
  <c r="A2639" i="9"/>
  <c r="S2638" i="9"/>
  <c r="A2638" i="9"/>
  <c r="S2637" i="9"/>
  <c r="A2637" i="9"/>
  <c r="S2636" i="9"/>
  <c r="A2636" i="9"/>
  <c r="S2635" i="9"/>
  <c r="A2635" i="9"/>
  <c r="S2634" i="9"/>
  <c r="A2634" i="9"/>
  <c r="S2633" i="9"/>
  <c r="A2633" i="9"/>
  <c r="S2632" i="9"/>
  <c r="A2632" i="9"/>
  <c r="S2631" i="9"/>
  <c r="A2631" i="9"/>
  <c r="S2630" i="9"/>
  <c r="A2630" i="9"/>
  <c r="S2629" i="9"/>
  <c r="A2629" i="9"/>
  <c r="S2628" i="9"/>
  <c r="A2628" i="9"/>
  <c r="S2627" i="9"/>
  <c r="A2627" i="9"/>
  <c r="S2626" i="9"/>
  <c r="A2626" i="9"/>
  <c r="S2625" i="9"/>
  <c r="A2625" i="9"/>
  <c r="S2624" i="9"/>
  <c r="A2624" i="9"/>
  <c r="S2623" i="9"/>
  <c r="A2623" i="9"/>
  <c r="S2622" i="9"/>
  <c r="A2622" i="9"/>
  <c r="S2621" i="9"/>
  <c r="A2621" i="9"/>
  <c r="S2620" i="9"/>
  <c r="A2620" i="9"/>
  <c r="S2619" i="9"/>
  <c r="A2619" i="9"/>
  <c r="S2618" i="9"/>
  <c r="A2618" i="9"/>
  <c r="S2617" i="9"/>
  <c r="A2617" i="9"/>
  <c r="S2616" i="9"/>
  <c r="A2616" i="9"/>
  <c r="S2615" i="9"/>
  <c r="A2615" i="9"/>
  <c r="S2614" i="9"/>
  <c r="A2614" i="9"/>
  <c r="S2613" i="9"/>
  <c r="A2613" i="9"/>
  <c r="S2612" i="9"/>
  <c r="A2612" i="9"/>
  <c r="S2611" i="9"/>
  <c r="A2611" i="9"/>
  <c r="S2610" i="9"/>
  <c r="A2610" i="9"/>
  <c r="S2609" i="9"/>
  <c r="A2609" i="9"/>
  <c r="S2608" i="9"/>
  <c r="A2608" i="9"/>
  <c r="S2607" i="9"/>
  <c r="A2607" i="9"/>
  <c r="S2606" i="9"/>
  <c r="A2606" i="9"/>
  <c r="S2605" i="9"/>
  <c r="A2605" i="9"/>
  <c r="S2604" i="9"/>
  <c r="A2604" i="9"/>
  <c r="S2603" i="9"/>
  <c r="A2603" i="9"/>
  <c r="S2602" i="9"/>
  <c r="A2602" i="9"/>
  <c r="S2601" i="9"/>
  <c r="A2601" i="9"/>
  <c r="S2600" i="9"/>
  <c r="A2600" i="9"/>
  <c r="S2599" i="9"/>
  <c r="A2599" i="9"/>
  <c r="S2598" i="9"/>
  <c r="A2598" i="9"/>
  <c r="S2597" i="9"/>
  <c r="A2597" i="9"/>
  <c r="S2596" i="9"/>
  <c r="A2596" i="9"/>
  <c r="S2595" i="9"/>
  <c r="A2595" i="9"/>
  <c r="S2594" i="9"/>
  <c r="A2594" i="9"/>
  <c r="S2593" i="9"/>
  <c r="A2593" i="9"/>
  <c r="S2592" i="9"/>
  <c r="A2592" i="9"/>
  <c r="S2591" i="9"/>
  <c r="A2591" i="9"/>
  <c r="S2590" i="9"/>
  <c r="A2590" i="9"/>
  <c r="S2589" i="9"/>
  <c r="A2589" i="9"/>
  <c r="S2588" i="9"/>
  <c r="A2588" i="9"/>
  <c r="S2587" i="9"/>
  <c r="A2587" i="9"/>
  <c r="S2586" i="9"/>
  <c r="A2586" i="9"/>
  <c r="S2585" i="9"/>
  <c r="A2585" i="9"/>
  <c r="S2584" i="9"/>
  <c r="A2584" i="9"/>
  <c r="S2583" i="9"/>
  <c r="A2583" i="9"/>
  <c r="S2582" i="9"/>
  <c r="A2582" i="9"/>
  <c r="S2581" i="9"/>
  <c r="A2581" i="9"/>
  <c r="S2580" i="9"/>
  <c r="A2580" i="9"/>
  <c r="S2579" i="9"/>
  <c r="A2579" i="9"/>
  <c r="S2578" i="9"/>
  <c r="A2578" i="9"/>
  <c r="S2577" i="9"/>
  <c r="A2577" i="9"/>
  <c r="S2576" i="9"/>
  <c r="A2576" i="9"/>
  <c r="S2575" i="9"/>
  <c r="A2575" i="9"/>
  <c r="S2574" i="9"/>
  <c r="A2574" i="9"/>
  <c r="S2573" i="9"/>
  <c r="A2573" i="9"/>
  <c r="S2572" i="9"/>
  <c r="A2572" i="9"/>
  <c r="S2571" i="9"/>
  <c r="A2571" i="9"/>
  <c r="S2570" i="9"/>
  <c r="A2570" i="9"/>
  <c r="S2569" i="9"/>
  <c r="A2569" i="9"/>
  <c r="S2568" i="9"/>
  <c r="A2568" i="9"/>
  <c r="S2567" i="9"/>
  <c r="A2567" i="9"/>
  <c r="S2566" i="9"/>
  <c r="A2566" i="9"/>
  <c r="S2565" i="9"/>
  <c r="A2565" i="9"/>
  <c r="S2564" i="9"/>
  <c r="A2564" i="9"/>
  <c r="S2563" i="9"/>
  <c r="A2563" i="9"/>
  <c r="S2562" i="9"/>
  <c r="A2562" i="9"/>
  <c r="S2561" i="9"/>
  <c r="A2561" i="9"/>
  <c r="S2560" i="9"/>
  <c r="A2560" i="9"/>
  <c r="S2559" i="9"/>
  <c r="A2559" i="9"/>
  <c r="S2558" i="9"/>
  <c r="A2558" i="9"/>
  <c r="S2557" i="9"/>
  <c r="A2557" i="9"/>
  <c r="A2556" i="9"/>
  <c r="A2555" i="9"/>
  <c r="A2554" i="9"/>
  <c r="S2553" i="9"/>
  <c r="A2553" i="9"/>
  <c r="S2552" i="9"/>
  <c r="A2552" i="9"/>
  <c r="S2551" i="9"/>
  <c r="A2551" i="9"/>
  <c r="S2550" i="9"/>
  <c r="A2550" i="9"/>
  <c r="S2549" i="9"/>
  <c r="A2549" i="9"/>
  <c r="S2548" i="9"/>
  <c r="A2548" i="9"/>
  <c r="S2547" i="9"/>
  <c r="A2547" i="9"/>
  <c r="S2546" i="9"/>
  <c r="A2546" i="9"/>
  <c r="S2545" i="9"/>
  <c r="A2545" i="9"/>
  <c r="S2544" i="9"/>
  <c r="A2544" i="9"/>
  <c r="S2543" i="9"/>
  <c r="A2543" i="9"/>
  <c r="S2542" i="9"/>
  <c r="A2542" i="9"/>
  <c r="S2541" i="9"/>
  <c r="A2541" i="9"/>
  <c r="S2540" i="9"/>
  <c r="A2540" i="9"/>
  <c r="S2539" i="9"/>
  <c r="A2539" i="9"/>
  <c r="S2538" i="9"/>
  <c r="A2538" i="9"/>
  <c r="S2537" i="9"/>
  <c r="A2537" i="9"/>
  <c r="S2536" i="9"/>
  <c r="A2536" i="9"/>
  <c r="S2535" i="9"/>
  <c r="A2535" i="9"/>
  <c r="S2534" i="9"/>
  <c r="A2534" i="9"/>
  <c r="S2533" i="9"/>
  <c r="A2533" i="9"/>
  <c r="S2532" i="9"/>
  <c r="A2532" i="9"/>
  <c r="S2531" i="9"/>
  <c r="A2531" i="9"/>
  <c r="S2530" i="9"/>
  <c r="A2530" i="9"/>
  <c r="S2529" i="9"/>
  <c r="A2529" i="9"/>
  <c r="S2528" i="9"/>
  <c r="A2528" i="9"/>
  <c r="S2527" i="9"/>
  <c r="A2527" i="9"/>
  <c r="S2526" i="9"/>
  <c r="A2526" i="9"/>
  <c r="S2525" i="9"/>
  <c r="A2525" i="9"/>
  <c r="S2524" i="9"/>
  <c r="A2524" i="9"/>
  <c r="S2523" i="9"/>
  <c r="A2523" i="9"/>
  <c r="S2522" i="9"/>
  <c r="A2522" i="9"/>
  <c r="S2521" i="9"/>
  <c r="A2521" i="9"/>
  <c r="S2520" i="9"/>
  <c r="A2520" i="9"/>
  <c r="A2519" i="9"/>
  <c r="S2518" i="9"/>
  <c r="A2518" i="9"/>
  <c r="S2517" i="9"/>
  <c r="A2517" i="9"/>
  <c r="S2516" i="9"/>
  <c r="A2516" i="9"/>
  <c r="S2515" i="9"/>
  <c r="A2515" i="9"/>
  <c r="S2514" i="9"/>
  <c r="A2514" i="9"/>
  <c r="S2513" i="9"/>
  <c r="A2513" i="9"/>
  <c r="S2512" i="9"/>
  <c r="A2512" i="9"/>
  <c r="S2511" i="9"/>
  <c r="A2511" i="9"/>
  <c r="S2510" i="9"/>
  <c r="A2510" i="9"/>
  <c r="S2509" i="9"/>
  <c r="A2509" i="9"/>
  <c r="S2508" i="9"/>
  <c r="A2508" i="9"/>
  <c r="S2507" i="9"/>
  <c r="A2507" i="9"/>
  <c r="S2506" i="9"/>
  <c r="A2506" i="9"/>
  <c r="S2505" i="9"/>
  <c r="A2505" i="9"/>
  <c r="S2504" i="9"/>
  <c r="A2504" i="9"/>
  <c r="S2503" i="9"/>
  <c r="A2503" i="9"/>
  <c r="S2502" i="9"/>
  <c r="A2502" i="9"/>
  <c r="S2501" i="9"/>
  <c r="A2501" i="9"/>
  <c r="S2500" i="9"/>
  <c r="A2500" i="9"/>
  <c r="S2499" i="9"/>
  <c r="A2499" i="9"/>
  <c r="S2498" i="9"/>
  <c r="A2498" i="9"/>
  <c r="S2497" i="9"/>
  <c r="A2497" i="9"/>
  <c r="S2496" i="9"/>
  <c r="A2496" i="9"/>
  <c r="S2495" i="9"/>
  <c r="A2495" i="9"/>
  <c r="S2494" i="9"/>
  <c r="A2494" i="9"/>
  <c r="S2493" i="9"/>
  <c r="A2493" i="9"/>
  <c r="S2492" i="9"/>
  <c r="A2492" i="9"/>
  <c r="S2491" i="9"/>
  <c r="A2491" i="9"/>
  <c r="S2490" i="9"/>
  <c r="A2490" i="9"/>
  <c r="S2489" i="9"/>
  <c r="A2489" i="9"/>
  <c r="S2488" i="9"/>
  <c r="A2488" i="9"/>
  <c r="S2487" i="9"/>
  <c r="A2487" i="9"/>
  <c r="S2486" i="9"/>
  <c r="A2486" i="9"/>
  <c r="S2485" i="9"/>
  <c r="A2485" i="9"/>
  <c r="S2484" i="9"/>
  <c r="A2484" i="9"/>
  <c r="S2483" i="9"/>
  <c r="A2483" i="9"/>
  <c r="S2482" i="9"/>
  <c r="A2482" i="9"/>
  <c r="S2481" i="9"/>
  <c r="A2481" i="9"/>
  <c r="S2480" i="9"/>
  <c r="A2480" i="9"/>
  <c r="S2479" i="9"/>
  <c r="A2479" i="9"/>
  <c r="S2478" i="9"/>
  <c r="A2478" i="9"/>
  <c r="S2477" i="9"/>
  <c r="A2477" i="9"/>
  <c r="S2476" i="9"/>
  <c r="A2476" i="9"/>
  <c r="S2475" i="9"/>
  <c r="A2475" i="9"/>
  <c r="S2474" i="9"/>
  <c r="A2474" i="9"/>
  <c r="S2473" i="9"/>
  <c r="A2473" i="9"/>
  <c r="S2472" i="9"/>
  <c r="A2472" i="9"/>
  <c r="S2471" i="9"/>
  <c r="A2471" i="9"/>
  <c r="S2470" i="9"/>
  <c r="A2470" i="9"/>
  <c r="S2469" i="9"/>
  <c r="A2469" i="9"/>
  <c r="S2468" i="9"/>
  <c r="A2468" i="9"/>
  <c r="S2467" i="9"/>
  <c r="A2467" i="9"/>
  <c r="S2466" i="9"/>
  <c r="A2466" i="9"/>
  <c r="S2465" i="9"/>
  <c r="A2465" i="9"/>
  <c r="S2464" i="9"/>
  <c r="A2464" i="9"/>
  <c r="S2463" i="9"/>
  <c r="A2463" i="9"/>
  <c r="S2462" i="9"/>
  <c r="A2462" i="9"/>
  <c r="S2461" i="9"/>
  <c r="A2461" i="9"/>
  <c r="S2460" i="9"/>
  <c r="A2460" i="9"/>
  <c r="S2459" i="9"/>
  <c r="A2459" i="9"/>
  <c r="S2458" i="9"/>
  <c r="A2458" i="9"/>
  <c r="S2457" i="9"/>
  <c r="A2457" i="9"/>
  <c r="S2456" i="9"/>
  <c r="A2456" i="9"/>
  <c r="S2455" i="9"/>
  <c r="A2455" i="9"/>
  <c r="S2454" i="9"/>
  <c r="A2454" i="9"/>
  <c r="S2453" i="9"/>
  <c r="A2453" i="9"/>
  <c r="S2452" i="9"/>
  <c r="A2452" i="9"/>
  <c r="S2451" i="9"/>
  <c r="A2451" i="9"/>
  <c r="S2450" i="9"/>
  <c r="A2450" i="9"/>
  <c r="S2449" i="9"/>
  <c r="A2449" i="9"/>
  <c r="S2448" i="9"/>
  <c r="A2448" i="9"/>
  <c r="S2447" i="9"/>
  <c r="A2447" i="9"/>
  <c r="S2446" i="9"/>
  <c r="A2446" i="9"/>
  <c r="S2445" i="9"/>
  <c r="A2445" i="9"/>
  <c r="S2444" i="9"/>
  <c r="A2444" i="9"/>
  <c r="S2443" i="9"/>
  <c r="A2443" i="9"/>
  <c r="S2442" i="9"/>
  <c r="A2442" i="9"/>
  <c r="S2441" i="9"/>
  <c r="A2441" i="9"/>
  <c r="S2440" i="9"/>
  <c r="A2440" i="9"/>
  <c r="S2439" i="9"/>
  <c r="A2439" i="9"/>
  <c r="S2438" i="9"/>
  <c r="A2438" i="9"/>
  <c r="S2437" i="9"/>
  <c r="A2437" i="9"/>
  <c r="S2436" i="9"/>
  <c r="A2436" i="9"/>
  <c r="S2435" i="9"/>
  <c r="A2435" i="9"/>
  <c r="S2434" i="9"/>
  <c r="A2434" i="9"/>
  <c r="S2433" i="9"/>
  <c r="A2433" i="9"/>
  <c r="S2432" i="9"/>
  <c r="A2432" i="9"/>
  <c r="S2431" i="9"/>
  <c r="A2431" i="9"/>
  <c r="S2430" i="9"/>
  <c r="A2430" i="9"/>
  <c r="S2429" i="9"/>
  <c r="A2429" i="9"/>
  <c r="S2428" i="9"/>
  <c r="A2428" i="9"/>
  <c r="S2427" i="9"/>
  <c r="A2427" i="9"/>
  <c r="S2426" i="9"/>
  <c r="A2426" i="9"/>
  <c r="S2425" i="9"/>
  <c r="A2425" i="9"/>
  <c r="S2424" i="9"/>
  <c r="A2424" i="9"/>
  <c r="S2423" i="9"/>
  <c r="A2423" i="9"/>
  <c r="S2422" i="9"/>
  <c r="A2422" i="9"/>
  <c r="S2421" i="9"/>
  <c r="A2421" i="9"/>
  <c r="S2420" i="9"/>
  <c r="A2420" i="9"/>
  <c r="S2419" i="9"/>
  <c r="A2419" i="9"/>
  <c r="S2418" i="9"/>
  <c r="A2418" i="9"/>
  <c r="S2417" i="9"/>
  <c r="A2417" i="9"/>
  <c r="S2416" i="9"/>
  <c r="A2416" i="9"/>
  <c r="S2415" i="9"/>
  <c r="A2415" i="9"/>
  <c r="S2414" i="9"/>
  <c r="A2414" i="9"/>
  <c r="S2413" i="9"/>
  <c r="A2413" i="9"/>
  <c r="S2412" i="9"/>
  <c r="A2412" i="9"/>
  <c r="S2411" i="9"/>
  <c r="A2411" i="9"/>
  <c r="S2410" i="9"/>
  <c r="A2410" i="9"/>
  <c r="S2409" i="9"/>
  <c r="A2409" i="9"/>
  <c r="S2408" i="9"/>
  <c r="A2408" i="9"/>
  <c r="S2407" i="9"/>
  <c r="A2407" i="9"/>
  <c r="S2406" i="9"/>
  <c r="A2406" i="9"/>
  <c r="S2405" i="9"/>
  <c r="A2405" i="9"/>
  <c r="S2404" i="9"/>
  <c r="A2404" i="9"/>
  <c r="S2403" i="9"/>
  <c r="A2403" i="9"/>
  <c r="S2402" i="9"/>
  <c r="A2402" i="9"/>
  <c r="S2401" i="9"/>
  <c r="A2401" i="9"/>
  <c r="S2400" i="9"/>
  <c r="A2400" i="9"/>
  <c r="S2399" i="9"/>
  <c r="A2399" i="9"/>
  <c r="S2398" i="9"/>
  <c r="A2398" i="9"/>
  <c r="S2397" i="9"/>
  <c r="A2397" i="9"/>
  <c r="S2396" i="9"/>
  <c r="A2396" i="9"/>
  <c r="S2395" i="9"/>
  <c r="A2395" i="9"/>
  <c r="S2394" i="9"/>
  <c r="A2394" i="9"/>
  <c r="S2393" i="9"/>
  <c r="A2393" i="9"/>
  <c r="S2392" i="9"/>
  <c r="A2392" i="9"/>
  <c r="S2391" i="9"/>
  <c r="A2391" i="9"/>
  <c r="S2390" i="9"/>
  <c r="A2390" i="9"/>
  <c r="S2389" i="9"/>
  <c r="A2389" i="9"/>
  <c r="S2388" i="9"/>
  <c r="A2388" i="9"/>
  <c r="S2387" i="9"/>
  <c r="A2387" i="9"/>
  <c r="S2386" i="9"/>
  <c r="A2386" i="9"/>
  <c r="S2385" i="9"/>
  <c r="A2385" i="9"/>
  <c r="S2384" i="9"/>
  <c r="A2384" i="9"/>
  <c r="S2383" i="9"/>
  <c r="A2383" i="9"/>
  <c r="S2382" i="9"/>
  <c r="A2382" i="9"/>
  <c r="S2381" i="9"/>
  <c r="A2381" i="9"/>
  <c r="S2380" i="9"/>
  <c r="A2380" i="9"/>
  <c r="S2379" i="9"/>
  <c r="A2379" i="9"/>
  <c r="S2378" i="9"/>
  <c r="A2378" i="9"/>
  <c r="S2377" i="9"/>
  <c r="A2377" i="9"/>
  <c r="S2376" i="9"/>
  <c r="A2376" i="9"/>
  <c r="S2375" i="9"/>
  <c r="A2375" i="9"/>
  <c r="S2374" i="9"/>
  <c r="A2374" i="9"/>
  <c r="S2373" i="9"/>
  <c r="A2373" i="9"/>
  <c r="S2372" i="9"/>
  <c r="A2372" i="9"/>
  <c r="S2371" i="9"/>
  <c r="A2371" i="9"/>
  <c r="S2370" i="9"/>
  <c r="A2370" i="9"/>
  <c r="S2369" i="9"/>
  <c r="A2369" i="9"/>
  <c r="S2368" i="9"/>
  <c r="A2368" i="9"/>
  <c r="S2367" i="9"/>
  <c r="A2367" i="9"/>
  <c r="S2366" i="9"/>
  <c r="A2366" i="9"/>
  <c r="S2365" i="9"/>
  <c r="A2365" i="9"/>
  <c r="S2364" i="9"/>
  <c r="A2364" i="9"/>
  <c r="S2363" i="9"/>
  <c r="A2363" i="9"/>
  <c r="S2362" i="9"/>
  <c r="A2362" i="9"/>
  <c r="S2361" i="9"/>
  <c r="A2361" i="9"/>
  <c r="S2360" i="9"/>
  <c r="A2360" i="9"/>
  <c r="S2359" i="9"/>
  <c r="A2359" i="9"/>
  <c r="S2358" i="9"/>
  <c r="A2358" i="9"/>
  <c r="S2357" i="9"/>
  <c r="A2357" i="9"/>
  <c r="S2356" i="9"/>
  <c r="A2356" i="9"/>
  <c r="S2355" i="9"/>
  <c r="A2355" i="9"/>
  <c r="S2354" i="9"/>
  <c r="A2354" i="9"/>
  <c r="S2353" i="9"/>
  <c r="A2353" i="9"/>
  <c r="S2352" i="9"/>
  <c r="A2352" i="9"/>
  <c r="S2351" i="9"/>
  <c r="A2351" i="9"/>
  <c r="S2350" i="9"/>
  <c r="A2350" i="9"/>
  <c r="S2349" i="9"/>
  <c r="A2349" i="9"/>
  <c r="S2348" i="9"/>
  <c r="A2348" i="9"/>
  <c r="S2347" i="9"/>
  <c r="A2347" i="9"/>
  <c r="S2346" i="9"/>
  <c r="A2346" i="9"/>
  <c r="S2345" i="9"/>
  <c r="A2345" i="9"/>
  <c r="S2344" i="9"/>
  <c r="A2344" i="9"/>
  <c r="S2343" i="9"/>
  <c r="A2343" i="9"/>
  <c r="S2342" i="9"/>
  <c r="A2342" i="9"/>
  <c r="S2341" i="9"/>
  <c r="A2341" i="9"/>
  <c r="S2340" i="9"/>
  <c r="A2340" i="9"/>
  <c r="S2339" i="9"/>
  <c r="A2339" i="9"/>
  <c r="S2338" i="9"/>
  <c r="A2338" i="9"/>
  <c r="S2337" i="9"/>
  <c r="A2337" i="9"/>
  <c r="S2336" i="9"/>
  <c r="A2336" i="9"/>
  <c r="S2335" i="9"/>
  <c r="A2335" i="9"/>
  <c r="S2334" i="9"/>
  <c r="A2334" i="9"/>
  <c r="S2333" i="9"/>
  <c r="A2333" i="9"/>
  <c r="S2332" i="9"/>
  <c r="A2332" i="9"/>
  <c r="S2331" i="9"/>
  <c r="A2331" i="9"/>
  <c r="S2330" i="9"/>
  <c r="A2330" i="9"/>
  <c r="S2329" i="9"/>
  <c r="A2329" i="9"/>
  <c r="S2328" i="9"/>
  <c r="A2328" i="9"/>
  <c r="S2327" i="9"/>
  <c r="A2327" i="9"/>
  <c r="S2326" i="9"/>
  <c r="A2326" i="9"/>
  <c r="S2325" i="9"/>
  <c r="A2325" i="9"/>
  <c r="S2324" i="9"/>
  <c r="A2324" i="9"/>
  <c r="S2323" i="9"/>
  <c r="A2323" i="9"/>
  <c r="S2322" i="9"/>
  <c r="A2322" i="9"/>
  <c r="S2321" i="9"/>
  <c r="A2321" i="9"/>
  <c r="S2320" i="9"/>
  <c r="A2320" i="9"/>
  <c r="S2319" i="9"/>
  <c r="A2319" i="9"/>
  <c r="S2318" i="9"/>
  <c r="A2318" i="9"/>
  <c r="S2317" i="9"/>
  <c r="A2317" i="9"/>
  <c r="S2316" i="9"/>
  <c r="A2316" i="9"/>
  <c r="S2315" i="9"/>
  <c r="A2315" i="9"/>
  <c r="S2314" i="9"/>
  <c r="A2314" i="9"/>
  <c r="S2313" i="9"/>
  <c r="A2313" i="9"/>
  <c r="S2312" i="9"/>
  <c r="A2312" i="9"/>
  <c r="S2311" i="9"/>
  <c r="A2311" i="9"/>
  <c r="S2310" i="9"/>
  <c r="A2310" i="9"/>
  <c r="S2309" i="9"/>
  <c r="A2309" i="9"/>
  <c r="S2308" i="9"/>
  <c r="A2308" i="9"/>
  <c r="S2307" i="9"/>
  <c r="A2307" i="9"/>
  <c r="S2306" i="9"/>
  <c r="A2306" i="9"/>
  <c r="S2305" i="9"/>
  <c r="A2305" i="9"/>
  <c r="S2304" i="9"/>
  <c r="A2304" i="9"/>
  <c r="S2303" i="9"/>
  <c r="A2303" i="9"/>
  <c r="S2302" i="9"/>
  <c r="A2302" i="9"/>
  <c r="S2301" i="9"/>
  <c r="A2301" i="9"/>
  <c r="S2300" i="9"/>
  <c r="A2300" i="9"/>
  <c r="S2299" i="9"/>
  <c r="A2299" i="9"/>
  <c r="S2298" i="9"/>
  <c r="A2298" i="9"/>
  <c r="S2297" i="9"/>
  <c r="A2297" i="9"/>
  <c r="S2296" i="9"/>
  <c r="A2296" i="9"/>
  <c r="S2295" i="9"/>
  <c r="A2295" i="9"/>
  <c r="S2294" i="9"/>
  <c r="A2294" i="9"/>
  <c r="S2293" i="9"/>
  <c r="A2293" i="9"/>
  <c r="S2292" i="9"/>
  <c r="A2292" i="9"/>
  <c r="S2291" i="9"/>
  <c r="A2291" i="9"/>
  <c r="S2290" i="9"/>
  <c r="A2290" i="9"/>
  <c r="S2289" i="9"/>
  <c r="A2289" i="9"/>
  <c r="S2288" i="9"/>
  <c r="A2288" i="9"/>
  <c r="S2287" i="9"/>
  <c r="A2287" i="9"/>
  <c r="S2286" i="9"/>
  <c r="A2286" i="9"/>
  <c r="S2285" i="9"/>
  <c r="A2285" i="9"/>
  <c r="S2284" i="9"/>
  <c r="A2284" i="9"/>
  <c r="S2283" i="9"/>
  <c r="A2283" i="9"/>
  <c r="S2282" i="9"/>
  <c r="A2282" i="9"/>
  <c r="S2281" i="9"/>
  <c r="A2281" i="9"/>
  <c r="S2280" i="9"/>
  <c r="A2280" i="9"/>
  <c r="S2279" i="9"/>
  <c r="A2279" i="9"/>
  <c r="S2278" i="9"/>
  <c r="A2278" i="9"/>
  <c r="S2277" i="9"/>
  <c r="A2277" i="9"/>
  <c r="S2276" i="9"/>
  <c r="A2276" i="9"/>
  <c r="S2275" i="9"/>
  <c r="A2275" i="9"/>
  <c r="S2274" i="9"/>
  <c r="A2274" i="9"/>
  <c r="S2273" i="9"/>
  <c r="A2273" i="9"/>
  <c r="S2272" i="9"/>
  <c r="A2272" i="9"/>
  <c r="S2271" i="9"/>
  <c r="A2271" i="9"/>
  <c r="S2270" i="9"/>
  <c r="A2270" i="9"/>
  <c r="S2269" i="9"/>
  <c r="A2269" i="9"/>
  <c r="S2268" i="9"/>
  <c r="A2268" i="9"/>
  <c r="S2267" i="9"/>
  <c r="A2267" i="9"/>
  <c r="S2266" i="9"/>
  <c r="A2266" i="9"/>
  <c r="S2265" i="9"/>
  <c r="A2265" i="9"/>
  <c r="S2264" i="9"/>
  <c r="A2264" i="9"/>
  <c r="S2263" i="9"/>
  <c r="A2263" i="9"/>
  <c r="S2262" i="9"/>
  <c r="A2262" i="9"/>
  <c r="S2261" i="9"/>
  <c r="A2261" i="9"/>
  <c r="S2260" i="9"/>
  <c r="A2260" i="9"/>
  <c r="S2259" i="9"/>
  <c r="A2259" i="9"/>
  <c r="S2258" i="9"/>
  <c r="A2258" i="9"/>
  <c r="S2257" i="9"/>
  <c r="A2257" i="9"/>
  <c r="S2256" i="9"/>
  <c r="A2256" i="9"/>
  <c r="S2255" i="9"/>
  <c r="A2255" i="9"/>
  <c r="S2254" i="9"/>
  <c r="A2254" i="9"/>
  <c r="S2253" i="9"/>
  <c r="A2253" i="9"/>
  <c r="S2252" i="9"/>
  <c r="A2252" i="9"/>
  <c r="S2251" i="9"/>
  <c r="A2251" i="9"/>
  <c r="S2250" i="9"/>
  <c r="A2250" i="9"/>
  <c r="S2249" i="9"/>
  <c r="A2249" i="9"/>
  <c r="S2248" i="9"/>
  <c r="A2248" i="9"/>
  <c r="S2247" i="9"/>
  <c r="A2247" i="9"/>
  <c r="S2246" i="9"/>
  <c r="A2246" i="9"/>
  <c r="S2245" i="9"/>
  <c r="A2245" i="9"/>
  <c r="S2244" i="9"/>
  <c r="A2244" i="9"/>
  <c r="S2243" i="9"/>
  <c r="A2243" i="9"/>
  <c r="S2242" i="9"/>
  <c r="A2242" i="9"/>
  <c r="S2241" i="9"/>
  <c r="A2241" i="9"/>
  <c r="S2240" i="9"/>
  <c r="A2240" i="9"/>
  <c r="S2239" i="9"/>
  <c r="A2239" i="9"/>
  <c r="S2238" i="9"/>
  <c r="A2238" i="9"/>
  <c r="S2237" i="9"/>
  <c r="A2237" i="9"/>
  <c r="A2236" i="9"/>
  <c r="A2235" i="9"/>
  <c r="A2234" i="9"/>
  <c r="A2233" i="9"/>
  <c r="A2232" i="9"/>
  <c r="S2231" i="9"/>
  <c r="A2231" i="9"/>
  <c r="S2230" i="9"/>
  <c r="A2230" i="9"/>
  <c r="S2229" i="9"/>
  <c r="A2229" i="9"/>
  <c r="S2228" i="9"/>
  <c r="A2228" i="9"/>
  <c r="S2227" i="9"/>
  <c r="A2227" i="9"/>
  <c r="S2226" i="9"/>
  <c r="A2226" i="9"/>
  <c r="S2225" i="9"/>
  <c r="A2225" i="9"/>
  <c r="S2224" i="9"/>
  <c r="A2224" i="9"/>
  <c r="S2223" i="9"/>
  <c r="A2223" i="9"/>
  <c r="S2222" i="9"/>
  <c r="A2222" i="9"/>
  <c r="S2221" i="9"/>
  <c r="A2221" i="9"/>
  <c r="S2220" i="9"/>
  <c r="A2220" i="9"/>
  <c r="S2219" i="9"/>
  <c r="A2219" i="9"/>
  <c r="S2218" i="9"/>
  <c r="A2218" i="9"/>
  <c r="S2217" i="9"/>
  <c r="A2217" i="9"/>
  <c r="S2216" i="9"/>
  <c r="A2216" i="9"/>
  <c r="S2215" i="9"/>
  <c r="A2215" i="9"/>
  <c r="S2214" i="9"/>
  <c r="A2214" i="9"/>
  <c r="S2213" i="9"/>
  <c r="A2213" i="9"/>
  <c r="S2212" i="9"/>
  <c r="A2212" i="9"/>
  <c r="S2211" i="9"/>
  <c r="A2211" i="9"/>
  <c r="S2210" i="9"/>
  <c r="A2210" i="9"/>
  <c r="S2209" i="9"/>
  <c r="A2209" i="9"/>
  <c r="S2208" i="9"/>
  <c r="A2208" i="9"/>
  <c r="S2207" i="9"/>
  <c r="A2207" i="9"/>
  <c r="S2206" i="9"/>
  <c r="A2206" i="9"/>
  <c r="S2205" i="9"/>
  <c r="A2205" i="9"/>
  <c r="S2204" i="9"/>
  <c r="A2204" i="9"/>
  <c r="S2203" i="9"/>
  <c r="A2203" i="9"/>
  <c r="S2202" i="9"/>
  <c r="A2202" i="9"/>
  <c r="S2201" i="9"/>
  <c r="A2201" i="9"/>
  <c r="S2200" i="9"/>
  <c r="A2200" i="9"/>
  <c r="S2199" i="9"/>
  <c r="A2199" i="9"/>
  <c r="S2198" i="9"/>
  <c r="A2198" i="9"/>
  <c r="S2197" i="9"/>
  <c r="A2197" i="9"/>
  <c r="S2196" i="9"/>
  <c r="A2196" i="9"/>
  <c r="S2195" i="9"/>
  <c r="A2195" i="9"/>
  <c r="S2194" i="9"/>
  <c r="A2194" i="9"/>
  <c r="S2193" i="9"/>
  <c r="A2193" i="9"/>
  <c r="S2192" i="9"/>
  <c r="A2192" i="9"/>
  <c r="S2191" i="9"/>
  <c r="A2191" i="9"/>
  <c r="S2190" i="9"/>
  <c r="A2190" i="9"/>
  <c r="S2189" i="9"/>
  <c r="A2189" i="9"/>
  <c r="S2188" i="9"/>
  <c r="A2188" i="9"/>
  <c r="S2187" i="9"/>
  <c r="A2187" i="9"/>
  <c r="S2186" i="9"/>
  <c r="A2186" i="9"/>
  <c r="S2185" i="9"/>
  <c r="A2185" i="9"/>
  <c r="S2184" i="9"/>
  <c r="A2184" i="9"/>
  <c r="S2183" i="9"/>
  <c r="A2183" i="9"/>
  <c r="S2182" i="9"/>
  <c r="A2182" i="9"/>
  <c r="S2181" i="9"/>
  <c r="A2181" i="9"/>
  <c r="S2180" i="9"/>
  <c r="A2180" i="9"/>
  <c r="S2179" i="9"/>
  <c r="A2179" i="9"/>
  <c r="A2178" i="9"/>
  <c r="S2177" i="9"/>
  <c r="A2177" i="9"/>
  <c r="S2176" i="9"/>
  <c r="A2176" i="9"/>
  <c r="S2175" i="9"/>
  <c r="A2175" i="9"/>
  <c r="S2174" i="9"/>
  <c r="A2174" i="9"/>
  <c r="S2173" i="9"/>
  <c r="A2173" i="9"/>
  <c r="S2172" i="9"/>
  <c r="A2172" i="9"/>
  <c r="S2171" i="9"/>
  <c r="A2171" i="9"/>
  <c r="S2170" i="9"/>
  <c r="A2170" i="9"/>
  <c r="S2169" i="9"/>
  <c r="A2169" i="9"/>
  <c r="S2168" i="9"/>
  <c r="A2168" i="9"/>
  <c r="S2167" i="9"/>
  <c r="A2167" i="9"/>
  <c r="S2166" i="9"/>
  <c r="A2166" i="9"/>
  <c r="S2165" i="9"/>
  <c r="A2165" i="9"/>
  <c r="S2164" i="9"/>
  <c r="A2164" i="9"/>
  <c r="S2163" i="9"/>
  <c r="A2163" i="9"/>
  <c r="S2162" i="9"/>
  <c r="A2162" i="9"/>
  <c r="S2161" i="9"/>
  <c r="A2161" i="9"/>
  <c r="S2160" i="9"/>
  <c r="A2160" i="9"/>
  <c r="S2159" i="9"/>
  <c r="A2159" i="9"/>
  <c r="S2158" i="9"/>
  <c r="A2158" i="9"/>
  <c r="S2157" i="9"/>
  <c r="A2157" i="9"/>
  <c r="S2156" i="9"/>
  <c r="A2156" i="9"/>
  <c r="S2155" i="9"/>
  <c r="A2155" i="9"/>
  <c r="S2154" i="9"/>
  <c r="A2154" i="9"/>
  <c r="S2153" i="9"/>
  <c r="A2153" i="9"/>
  <c r="S2152" i="9"/>
  <c r="A2152" i="9"/>
  <c r="S2151" i="9"/>
  <c r="A2151" i="9"/>
  <c r="S2150" i="9"/>
  <c r="A2150" i="9"/>
  <c r="S2149" i="9"/>
  <c r="A2149" i="9"/>
  <c r="S2148" i="9"/>
  <c r="A2148" i="9"/>
  <c r="S2147" i="9"/>
  <c r="A2147" i="9"/>
  <c r="S2146" i="9"/>
  <c r="A2146" i="9"/>
  <c r="S2145" i="9"/>
  <c r="A2145" i="9"/>
  <c r="S2144" i="9"/>
  <c r="A2144" i="9"/>
  <c r="S2143" i="9"/>
  <c r="A2143" i="9"/>
  <c r="S2142" i="9"/>
  <c r="A2142" i="9"/>
  <c r="S2141" i="9"/>
  <c r="A2141" i="9"/>
  <c r="S2140" i="9"/>
  <c r="A2140" i="9"/>
  <c r="S2139" i="9"/>
  <c r="A2139" i="9"/>
  <c r="S2138" i="9"/>
  <c r="A2138" i="9"/>
  <c r="S2137" i="9"/>
  <c r="A2137" i="9"/>
  <c r="S2136" i="9"/>
  <c r="A2136" i="9"/>
  <c r="S2135" i="9"/>
  <c r="A2135" i="9"/>
  <c r="S2134" i="9"/>
  <c r="A2134" i="9"/>
  <c r="S2133" i="9"/>
  <c r="A2133" i="9"/>
  <c r="S2132" i="9"/>
  <c r="A2132" i="9"/>
  <c r="S2131" i="9"/>
  <c r="A2131" i="9"/>
  <c r="S2130" i="9"/>
  <c r="A2130" i="9"/>
  <c r="S2129" i="9"/>
  <c r="A2129" i="9"/>
  <c r="S2128" i="9"/>
  <c r="A2128" i="9"/>
  <c r="S2127" i="9"/>
  <c r="A2127" i="9"/>
  <c r="S2126" i="9"/>
  <c r="A2126" i="9"/>
  <c r="S2125" i="9"/>
  <c r="A2125" i="9"/>
  <c r="S2124" i="9"/>
  <c r="A2124" i="9"/>
  <c r="S2123" i="9"/>
  <c r="A2123" i="9"/>
  <c r="S2122" i="9"/>
  <c r="A2122" i="9"/>
  <c r="S2121" i="9"/>
  <c r="A2121" i="9"/>
  <c r="S2120" i="9"/>
  <c r="A2120" i="9"/>
  <c r="S2119" i="9"/>
  <c r="A2119" i="9"/>
  <c r="S2118" i="9"/>
  <c r="A2118" i="9"/>
  <c r="S2117" i="9"/>
  <c r="A2117" i="9"/>
  <c r="S2116" i="9"/>
  <c r="A2116" i="9"/>
  <c r="S2115" i="9"/>
  <c r="A2115" i="9"/>
  <c r="S2114" i="9"/>
  <c r="A2114" i="9"/>
  <c r="S2113" i="9"/>
  <c r="A2113" i="9"/>
  <c r="S2112" i="9"/>
  <c r="A2112" i="9"/>
  <c r="S2111" i="9"/>
  <c r="A2111" i="9"/>
  <c r="S2110" i="9"/>
  <c r="A2110" i="9"/>
  <c r="S2109" i="9"/>
  <c r="A2109" i="9"/>
  <c r="S2108" i="9"/>
  <c r="A2108" i="9"/>
  <c r="S2107" i="9"/>
  <c r="A2107" i="9"/>
  <c r="S2106" i="9"/>
  <c r="A2106" i="9"/>
  <c r="S2105" i="9"/>
  <c r="A2105" i="9"/>
  <c r="S2104" i="9"/>
  <c r="A2104" i="9"/>
  <c r="S2103" i="9"/>
  <c r="A2103" i="9"/>
  <c r="S2102" i="9"/>
  <c r="A2102" i="9"/>
  <c r="S2101" i="9"/>
  <c r="A2101" i="9"/>
  <c r="S2100" i="9"/>
  <c r="A2100" i="9"/>
  <c r="S2099" i="9"/>
  <c r="A2099" i="9"/>
  <c r="S2098" i="9"/>
  <c r="A2098" i="9"/>
  <c r="S2097" i="9"/>
  <c r="A2097" i="9"/>
  <c r="S2096" i="9"/>
  <c r="A2096" i="9"/>
  <c r="S2095" i="9"/>
  <c r="A2095" i="9"/>
  <c r="S2094" i="9"/>
  <c r="A2094" i="9"/>
  <c r="S2093" i="9"/>
  <c r="A2093" i="9"/>
  <c r="S2092" i="9"/>
  <c r="A2092" i="9"/>
  <c r="S2091" i="9"/>
  <c r="A2091" i="9"/>
  <c r="S2090" i="9"/>
  <c r="A2090" i="9"/>
  <c r="S2089" i="9"/>
  <c r="A2089" i="9"/>
  <c r="S2088" i="9"/>
  <c r="A2088" i="9"/>
  <c r="S2087" i="9"/>
  <c r="A2087" i="9"/>
  <c r="S2086" i="9"/>
  <c r="A2086" i="9"/>
  <c r="S2085" i="9"/>
  <c r="A2085" i="9"/>
  <c r="S2084" i="9"/>
  <c r="A2084" i="9"/>
  <c r="S2083" i="9"/>
  <c r="A2083" i="9"/>
  <c r="S2082" i="9"/>
  <c r="A2082" i="9"/>
  <c r="S2081" i="9"/>
  <c r="A2081" i="9"/>
  <c r="S2080" i="9"/>
  <c r="A2080" i="9"/>
  <c r="S2079" i="9"/>
  <c r="A2079" i="9"/>
  <c r="S2078" i="9"/>
  <c r="A2078" i="9"/>
  <c r="S2077" i="9"/>
  <c r="A2077" i="9"/>
  <c r="S2076" i="9"/>
  <c r="A2076" i="9"/>
  <c r="S2075" i="9"/>
  <c r="A2075" i="9"/>
  <c r="S2074" i="9"/>
  <c r="A2074" i="9"/>
  <c r="S2073" i="9"/>
  <c r="A2073" i="9"/>
  <c r="S2072" i="9"/>
  <c r="A2072" i="9"/>
  <c r="S2071" i="9"/>
  <c r="A2071" i="9"/>
  <c r="S2070" i="9"/>
  <c r="A2070" i="9"/>
  <c r="S2069" i="9"/>
  <c r="A2069" i="9"/>
  <c r="S2068" i="9"/>
  <c r="A2068" i="9"/>
  <c r="S2067" i="9"/>
  <c r="A2067" i="9"/>
  <c r="S2066" i="9"/>
  <c r="A2066" i="9"/>
  <c r="S2065" i="9"/>
  <c r="A2065" i="9"/>
  <c r="S2064" i="9"/>
  <c r="A2064" i="9"/>
  <c r="S2063" i="9"/>
  <c r="A2063" i="9"/>
  <c r="S2062" i="9"/>
  <c r="A2062" i="9"/>
  <c r="S2061" i="9"/>
  <c r="A2061" i="9"/>
  <c r="S2060" i="9"/>
  <c r="A2060" i="9"/>
  <c r="S2059" i="9"/>
  <c r="A2059" i="9"/>
  <c r="S2058" i="9"/>
  <c r="A2058" i="9"/>
  <c r="S2057" i="9"/>
  <c r="A2057" i="9"/>
  <c r="S2056" i="9"/>
  <c r="A2056" i="9"/>
  <c r="S2055" i="9"/>
  <c r="A2055" i="9"/>
  <c r="S2054" i="9"/>
  <c r="A2054" i="9"/>
  <c r="S2053" i="9"/>
  <c r="A2053" i="9"/>
  <c r="S2052" i="9"/>
  <c r="A2052" i="9"/>
  <c r="S2051" i="9"/>
  <c r="A2051" i="9"/>
  <c r="S2050" i="9"/>
  <c r="A2050" i="9"/>
  <c r="S2049" i="9"/>
  <c r="A2049" i="9"/>
  <c r="S2048" i="9"/>
  <c r="A2048" i="9"/>
  <c r="S2047" i="9"/>
  <c r="A2047" i="9"/>
  <c r="S2046" i="9"/>
  <c r="A2046" i="9"/>
  <c r="S2045" i="9"/>
  <c r="A2045" i="9"/>
  <c r="S2044" i="9"/>
  <c r="A2044" i="9"/>
  <c r="S2043" i="9"/>
  <c r="A2043" i="9"/>
  <c r="S2042" i="9"/>
  <c r="A2042" i="9"/>
  <c r="S2041" i="9"/>
  <c r="A2041" i="9"/>
  <c r="S2040" i="9"/>
  <c r="A2040" i="9"/>
  <c r="S2039" i="9"/>
  <c r="A2039" i="9"/>
  <c r="S2038" i="9"/>
  <c r="A2038" i="9"/>
  <c r="S2037" i="9"/>
  <c r="A2037" i="9"/>
  <c r="S2036" i="9"/>
  <c r="A2036" i="9"/>
  <c r="S2035" i="9"/>
  <c r="A2035" i="9"/>
  <c r="S2034" i="9"/>
  <c r="A2034" i="9"/>
  <c r="S2033" i="9"/>
  <c r="A2033" i="9"/>
  <c r="S2032" i="9"/>
  <c r="A2032" i="9"/>
  <c r="S2031" i="9"/>
  <c r="A2031" i="9"/>
  <c r="S2030" i="9"/>
  <c r="A2030" i="9"/>
  <c r="S2029" i="9"/>
  <c r="A2029" i="9"/>
  <c r="S2028" i="9"/>
  <c r="A2028" i="9"/>
  <c r="S2027" i="9"/>
  <c r="A2027" i="9"/>
  <c r="S2026" i="9"/>
  <c r="A2026" i="9"/>
  <c r="S2025" i="9"/>
  <c r="A2025" i="9"/>
  <c r="S2024" i="9"/>
  <c r="A2024" i="9"/>
  <c r="S2023" i="9"/>
  <c r="A2023" i="9"/>
  <c r="S2022" i="9"/>
  <c r="A2022" i="9"/>
  <c r="S2021" i="9"/>
  <c r="A2021" i="9"/>
  <c r="S2020" i="9"/>
  <c r="A2020" i="9"/>
  <c r="S2019" i="9"/>
  <c r="A2019" i="9"/>
  <c r="S2018" i="9"/>
  <c r="A2018" i="9"/>
  <c r="S2017" i="9"/>
  <c r="A2017" i="9"/>
  <c r="S2016" i="9"/>
  <c r="A2016" i="9"/>
  <c r="S2015" i="9"/>
  <c r="A2015" i="9"/>
  <c r="S2014" i="9"/>
  <c r="A2014" i="9"/>
  <c r="S2013" i="9"/>
  <c r="A2013" i="9"/>
  <c r="S2012" i="9"/>
  <c r="A2012" i="9"/>
  <c r="S2011" i="9"/>
  <c r="A2011" i="9"/>
  <c r="S2010" i="9"/>
  <c r="A2010" i="9"/>
  <c r="S2009" i="9"/>
  <c r="A2009" i="9"/>
  <c r="S2008" i="9"/>
  <c r="A2008" i="9"/>
  <c r="S2007" i="9"/>
  <c r="A2007" i="9"/>
  <c r="S2006" i="9"/>
  <c r="A2006" i="9"/>
  <c r="S2005" i="9"/>
  <c r="A2005" i="9"/>
  <c r="S2004" i="9"/>
  <c r="A2004" i="9"/>
  <c r="S2003" i="9"/>
  <c r="A2003" i="9"/>
  <c r="S2002" i="9"/>
  <c r="A2002" i="9"/>
  <c r="S2001" i="9"/>
  <c r="A2001" i="9"/>
  <c r="S2000" i="9"/>
  <c r="A2000" i="9"/>
  <c r="S1999" i="9"/>
  <c r="A1999" i="9"/>
  <c r="S1998" i="9"/>
  <c r="A1998" i="9"/>
  <c r="S1997" i="9"/>
  <c r="A1997" i="9"/>
  <c r="S1996" i="9"/>
  <c r="A1996" i="9"/>
  <c r="S1995" i="9"/>
  <c r="A1995" i="9"/>
  <c r="S1994" i="9"/>
  <c r="A1994" i="9"/>
  <c r="S1993" i="9"/>
  <c r="A1993" i="9"/>
  <c r="S1992" i="9"/>
  <c r="A1992" i="9"/>
  <c r="S1991" i="9"/>
  <c r="A1991" i="9"/>
  <c r="S1990" i="9"/>
  <c r="A1990" i="9"/>
  <c r="S1989" i="9"/>
  <c r="A1989" i="9"/>
  <c r="S1988" i="9"/>
  <c r="A1988" i="9"/>
  <c r="S1987" i="9"/>
  <c r="A1987" i="9"/>
  <c r="S1986" i="9"/>
  <c r="A1986" i="9"/>
  <c r="S1985" i="9"/>
  <c r="A1985" i="9"/>
  <c r="S1984" i="9"/>
  <c r="A1984" i="9"/>
  <c r="S1983" i="9"/>
  <c r="A1983" i="9"/>
  <c r="S1982" i="9"/>
  <c r="A1982" i="9"/>
  <c r="S1981" i="9"/>
  <c r="A1981" i="9"/>
  <c r="S1980" i="9"/>
  <c r="A1980" i="9"/>
  <c r="S1979" i="9"/>
  <c r="A1979" i="9"/>
  <c r="S1978" i="9"/>
  <c r="A1978" i="9"/>
  <c r="S1977" i="9"/>
  <c r="A1977" i="9"/>
  <c r="S1976" i="9"/>
  <c r="A1976" i="9"/>
  <c r="S1975" i="9"/>
  <c r="A1975" i="9"/>
  <c r="S1974" i="9"/>
  <c r="A1974" i="9"/>
  <c r="S1973" i="9"/>
  <c r="A1973" i="9"/>
  <c r="S1972" i="9"/>
  <c r="A1972" i="9"/>
  <c r="S1971" i="9"/>
  <c r="A1971" i="9"/>
  <c r="S1970" i="9"/>
  <c r="A1970" i="9"/>
  <c r="S1969" i="9"/>
  <c r="A1969" i="9"/>
  <c r="S1968" i="9"/>
  <c r="A1968" i="9"/>
  <c r="S1967" i="9"/>
  <c r="A1967" i="9"/>
  <c r="S1966" i="9"/>
  <c r="A1966" i="9"/>
  <c r="S1965" i="9"/>
  <c r="A1965" i="9"/>
  <c r="S1964" i="9"/>
  <c r="A1964" i="9"/>
  <c r="S1963" i="9"/>
  <c r="A1963" i="9"/>
  <c r="S1962" i="9"/>
  <c r="A1962" i="9"/>
  <c r="S1961" i="9"/>
  <c r="A1961" i="9"/>
  <c r="S1960" i="9"/>
  <c r="A1960" i="9"/>
  <c r="S1959" i="9"/>
  <c r="A1959" i="9"/>
  <c r="S1958" i="9"/>
  <c r="A1958" i="9"/>
  <c r="S1957" i="9"/>
  <c r="A1957" i="9"/>
  <c r="S1956" i="9"/>
  <c r="A1956" i="9"/>
  <c r="S1955" i="9"/>
  <c r="A1955" i="9"/>
  <c r="S1954" i="9"/>
  <c r="A1954" i="9"/>
  <c r="S1953" i="9"/>
  <c r="A1953" i="9"/>
  <c r="S1952" i="9"/>
  <c r="A1952" i="9"/>
  <c r="S1951" i="9"/>
  <c r="A1951" i="9"/>
  <c r="S1950" i="9"/>
  <c r="A1950" i="9"/>
  <c r="S1949" i="9"/>
  <c r="A1949" i="9"/>
  <c r="S1948" i="9"/>
  <c r="A1948" i="9"/>
  <c r="S1947" i="9"/>
  <c r="A1947" i="9"/>
  <c r="S1946" i="9"/>
  <c r="A1946" i="9"/>
  <c r="S1945" i="9"/>
  <c r="A1945" i="9"/>
  <c r="S1944" i="9"/>
  <c r="A1944" i="9"/>
  <c r="S1943" i="9"/>
  <c r="A1943" i="9"/>
  <c r="S1942" i="9"/>
  <c r="A1942" i="9"/>
  <c r="S1941" i="9"/>
  <c r="A1941" i="9"/>
  <c r="S1940" i="9"/>
  <c r="A1940" i="9"/>
  <c r="S1939" i="9"/>
  <c r="A1939" i="9"/>
  <c r="S1938" i="9"/>
  <c r="A1938" i="9"/>
  <c r="S1937" i="9"/>
  <c r="A1937" i="9"/>
  <c r="S1936" i="9"/>
  <c r="A1936" i="9"/>
  <c r="S1935" i="9"/>
  <c r="A1935" i="9"/>
  <c r="S1934" i="9"/>
  <c r="A1934" i="9"/>
  <c r="S1933" i="9"/>
  <c r="A1933" i="9"/>
  <c r="S1932" i="9"/>
  <c r="A1932" i="9"/>
  <c r="S1931" i="9"/>
  <c r="A1931" i="9"/>
  <c r="S1930" i="9"/>
  <c r="A1930" i="9"/>
  <c r="S1929" i="9"/>
  <c r="A1929" i="9"/>
  <c r="S1928" i="9"/>
  <c r="A1928" i="9"/>
  <c r="S1927" i="9"/>
  <c r="A1927" i="9"/>
  <c r="S1926" i="9"/>
  <c r="A1926" i="9"/>
  <c r="S1925" i="9"/>
  <c r="A1925" i="9"/>
  <c r="S1924" i="9"/>
  <c r="A1924" i="9"/>
  <c r="S1923" i="9"/>
  <c r="A1923" i="9"/>
  <c r="S1922" i="9"/>
  <c r="A1922" i="9"/>
  <c r="S1921" i="9"/>
  <c r="A1921" i="9"/>
  <c r="S1920" i="9"/>
  <c r="A1920" i="9"/>
  <c r="S1919" i="9"/>
  <c r="A1919" i="9"/>
  <c r="S1918" i="9"/>
  <c r="A1918" i="9"/>
  <c r="S1917" i="9"/>
  <c r="A1917" i="9"/>
  <c r="S1916" i="9"/>
  <c r="A1916" i="9"/>
  <c r="S1915" i="9"/>
  <c r="A1915" i="9"/>
  <c r="A1914" i="9"/>
  <c r="S1913" i="9"/>
  <c r="A1913" i="9"/>
  <c r="S1912" i="9"/>
  <c r="A1912" i="9"/>
  <c r="S1911" i="9"/>
  <c r="A1911" i="9"/>
  <c r="S1910" i="9"/>
  <c r="A1910" i="9"/>
  <c r="S1909" i="9"/>
  <c r="A1909" i="9"/>
  <c r="S1908" i="9"/>
  <c r="A1908" i="9"/>
  <c r="S1907" i="9"/>
  <c r="A1907" i="9"/>
  <c r="S1906" i="9"/>
  <c r="A1906" i="9"/>
  <c r="S1905" i="9"/>
  <c r="A1905" i="9"/>
  <c r="S1904" i="9"/>
  <c r="A1904" i="9"/>
  <c r="S1903" i="9"/>
  <c r="A1903" i="9"/>
  <c r="S1902" i="9"/>
  <c r="A1902" i="9"/>
  <c r="S1901" i="9"/>
  <c r="A1901" i="9"/>
  <c r="S1900" i="9"/>
  <c r="A1900" i="9"/>
  <c r="S1899" i="9"/>
  <c r="A1899" i="9"/>
  <c r="S1898" i="9"/>
  <c r="A1898" i="9"/>
  <c r="S1897" i="9"/>
  <c r="A1897" i="9"/>
  <c r="S1896" i="9"/>
  <c r="A1896" i="9"/>
  <c r="S1895" i="9"/>
  <c r="A1895" i="9"/>
  <c r="S1894" i="9"/>
  <c r="A1894" i="9"/>
  <c r="S1893" i="9"/>
  <c r="A1893" i="9"/>
  <c r="S1892" i="9"/>
  <c r="A1892" i="9"/>
  <c r="S1891" i="9"/>
  <c r="A1891" i="9"/>
  <c r="S1890" i="9"/>
  <c r="A1890" i="9"/>
  <c r="S1889" i="9"/>
  <c r="A1889" i="9"/>
  <c r="S1888" i="9"/>
  <c r="A1888" i="9"/>
  <c r="S1887" i="9"/>
  <c r="A1887" i="9"/>
  <c r="S1886" i="9"/>
  <c r="A1886" i="9"/>
  <c r="S1885" i="9"/>
  <c r="A1885" i="9"/>
  <c r="S1884" i="9"/>
  <c r="A1884" i="9"/>
  <c r="S1883" i="9"/>
  <c r="A1883" i="9"/>
  <c r="S1882" i="9"/>
  <c r="A1882" i="9"/>
  <c r="S1881" i="9"/>
  <c r="A1881" i="9"/>
  <c r="S1880" i="9"/>
  <c r="A1880" i="9"/>
  <c r="S1879" i="9"/>
  <c r="A1879" i="9"/>
  <c r="S1878" i="9"/>
  <c r="A1878" i="9"/>
  <c r="S1877" i="9"/>
  <c r="A1877" i="9"/>
  <c r="S1876" i="9"/>
  <c r="A1876" i="9"/>
  <c r="S1875" i="9"/>
  <c r="A1875" i="9"/>
  <c r="S1874" i="9"/>
  <c r="A1874" i="9"/>
  <c r="S1873" i="9"/>
  <c r="A1873" i="9"/>
  <c r="S1872" i="9"/>
  <c r="A1872" i="9"/>
  <c r="S1871" i="9"/>
  <c r="A1871" i="9"/>
  <c r="S1870" i="9"/>
  <c r="A1870" i="9"/>
  <c r="S1869" i="9"/>
  <c r="A1869" i="9"/>
  <c r="S1868" i="9"/>
  <c r="A1868" i="9"/>
  <c r="A1867" i="9"/>
  <c r="S1866" i="9"/>
  <c r="A1866" i="9"/>
  <c r="S1865" i="9"/>
  <c r="A1865" i="9"/>
  <c r="S1864" i="9"/>
  <c r="A1864" i="9"/>
  <c r="S1863" i="9"/>
  <c r="A1863" i="9"/>
  <c r="S1862" i="9"/>
  <c r="A1862" i="9"/>
  <c r="S1861" i="9"/>
  <c r="A1861" i="9"/>
  <c r="S1860" i="9"/>
  <c r="A1860" i="9"/>
  <c r="S1859" i="9"/>
  <c r="A1859" i="9"/>
  <c r="S1858" i="9"/>
  <c r="A1858" i="9"/>
  <c r="S1857" i="9"/>
  <c r="A1857" i="9"/>
  <c r="S1856" i="9"/>
  <c r="A1856" i="9"/>
  <c r="S1855" i="9"/>
  <c r="A1855" i="9"/>
  <c r="S1854" i="9"/>
  <c r="A1854" i="9"/>
  <c r="S1853" i="9"/>
  <c r="A1853" i="9"/>
  <c r="S1852" i="9"/>
  <c r="A1852" i="9"/>
  <c r="S1851" i="9"/>
  <c r="A1851" i="9"/>
  <c r="S1850" i="9"/>
  <c r="A1850" i="9"/>
  <c r="S1849" i="9"/>
  <c r="A1849" i="9"/>
  <c r="S1848" i="9"/>
  <c r="A1848" i="9"/>
  <c r="S1847" i="9"/>
  <c r="A1847" i="9"/>
  <c r="S1846" i="9"/>
  <c r="A1846" i="9"/>
  <c r="S1845" i="9"/>
  <c r="A1845" i="9"/>
  <c r="S1844" i="9"/>
  <c r="A1844" i="9"/>
  <c r="S1843" i="9"/>
  <c r="A1843" i="9"/>
  <c r="S1842" i="9"/>
  <c r="A1842" i="9"/>
  <c r="S1841" i="9"/>
  <c r="A1841" i="9"/>
  <c r="S1840" i="9"/>
  <c r="A1840" i="9"/>
  <c r="S1839" i="9"/>
  <c r="A1839" i="9"/>
  <c r="S1838" i="9"/>
  <c r="A1838" i="9"/>
  <c r="S1837" i="9"/>
  <c r="A1837" i="9"/>
  <c r="S1836" i="9"/>
  <c r="A1836" i="9"/>
  <c r="S1835" i="9"/>
  <c r="A1835" i="9"/>
  <c r="S1834" i="9"/>
  <c r="A1834" i="9"/>
  <c r="S1833" i="9"/>
  <c r="A1833" i="9"/>
  <c r="S1832" i="9"/>
  <c r="A1832" i="9"/>
  <c r="S1831" i="9"/>
  <c r="A1831" i="9"/>
  <c r="S1830" i="9"/>
  <c r="A1830" i="9"/>
  <c r="S1829" i="9"/>
  <c r="A1829" i="9"/>
  <c r="S1828" i="9"/>
  <c r="A1828" i="9"/>
  <c r="S1827" i="9"/>
  <c r="A1827" i="9"/>
  <c r="S1826" i="9"/>
  <c r="A1826" i="9"/>
  <c r="S1825" i="9"/>
  <c r="A1825" i="9"/>
  <c r="S1824" i="9"/>
  <c r="A1824" i="9"/>
  <c r="S1823" i="9"/>
  <c r="A1823" i="9"/>
  <c r="S1822" i="9"/>
  <c r="A1822" i="9"/>
  <c r="S1821" i="9"/>
  <c r="A1821" i="9"/>
  <c r="S1820" i="9"/>
  <c r="A1820" i="9"/>
  <c r="S1819" i="9"/>
  <c r="A1819" i="9"/>
  <c r="S1818" i="9"/>
  <c r="A1818" i="9"/>
  <c r="S1817" i="9"/>
  <c r="A1817" i="9"/>
  <c r="S1816" i="9"/>
  <c r="A1816" i="9"/>
  <c r="S1815" i="9"/>
  <c r="A1815" i="9"/>
  <c r="S1814" i="9"/>
  <c r="A1814" i="9"/>
  <c r="S1813" i="9"/>
  <c r="A1813" i="9"/>
  <c r="S1812" i="9"/>
  <c r="A1812" i="9"/>
  <c r="S1811" i="9"/>
  <c r="A1811" i="9"/>
  <c r="S1810" i="9"/>
  <c r="A1810" i="9"/>
  <c r="S1809" i="9"/>
  <c r="A1809" i="9"/>
  <c r="S1808" i="9"/>
  <c r="A1808" i="9"/>
  <c r="S1807" i="9"/>
  <c r="A1807" i="9"/>
  <c r="S1806" i="9"/>
  <c r="A1806" i="9"/>
  <c r="S1805" i="9"/>
  <c r="A1805" i="9"/>
  <c r="S1804" i="9"/>
  <c r="A1804" i="9"/>
  <c r="S1803" i="9"/>
  <c r="A1803" i="9"/>
  <c r="S1802" i="9"/>
  <c r="A1802" i="9"/>
  <c r="S1801" i="9"/>
  <c r="A1801" i="9"/>
  <c r="S1800" i="9"/>
  <c r="A1800" i="9"/>
  <c r="S1799" i="9"/>
  <c r="A1799" i="9"/>
  <c r="S1798" i="9"/>
  <c r="A1798" i="9"/>
  <c r="S1797" i="9"/>
  <c r="A1797" i="9"/>
  <c r="S1796" i="9"/>
  <c r="A1796" i="9"/>
  <c r="S1795" i="9"/>
  <c r="A1795" i="9"/>
  <c r="S1794" i="9"/>
  <c r="A1794" i="9"/>
  <c r="S1793" i="9"/>
  <c r="A1793" i="9"/>
  <c r="S1792" i="9"/>
  <c r="A1792" i="9"/>
  <c r="S1791" i="9"/>
  <c r="A1791" i="9"/>
  <c r="S1790" i="9"/>
  <c r="A1790" i="9"/>
  <c r="S1789" i="9"/>
  <c r="A1789" i="9"/>
  <c r="S1788" i="9"/>
  <c r="A1788" i="9"/>
  <c r="S1787" i="9"/>
  <c r="A1787" i="9"/>
  <c r="S1786" i="9"/>
  <c r="A1786" i="9"/>
  <c r="S1785" i="9"/>
  <c r="A1785" i="9"/>
  <c r="S1784" i="9"/>
  <c r="A1784" i="9"/>
  <c r="S1783" i="9"/>
  <c r="A1783" i="9"/>
  <c r="S1782" i="9"/>
  <c r="A1782" i="9"/>
  <c r="S1781" i="9"/>
  <c r="A1781" i="9"/>
  <c r="S1780" i="9"/>
  <c r="A1780" i="9"/>
  <c r="S1779" i="9"/>
  <c r="A1779" i="9"/>
  <c r="S1778" i="9"/>
  <c r="A1778" i="9"/>
  <c r="S1777" i="9"/>
  <c r="A1777" i="9"/>
  <c r="S1776" i="9"/>
  <c r="A1776" i="9"/>
  <c r="S1775" i="9"/>
  <c r="A1775" i="9"/>
  <c r="S1774" i="9"/>
  <c r="A1774" i="9"/>
  <c r="S1773" i="9"/>
  <c r="A1773" i="9"/>
  <c r="S1772" i="9"/>
  <c r="A1772" i="9"/>
  <c r="S1771" i="9"/>
  <c r="A1771" i="9"/>
  <c r="S1770" i="9"/>
  <c r="A1770" i="9"/>
  <c r="S1769" i="9"/>
  <c r="A1769" i="9"/>
  <c r="S1768" i="9"/>
  <c r="A1768" i="9"/>
  <c r="S1767" i="9"/>
  <c r="A1767" i="9"/>
  <c r="S1766" i="9"/>
  <c r="A1766" i="9"/>
  <c r="S1765" i="9"/>
  <c r="A1765" i="9"/>
  <c r="S1764" i="9"/>
  <c r="A1764" i="9"/>
  <c r="S1763" i="9"/>
  <c r="A1763" i="9"/>
  <c r="S1762" i="9"/>
  <c r="A1762" i="9"/>
  <c r="S1761" i="9"/>
  <c r="A1761" i="9"/>
  <c r="S1760" i="9"/>
  <c r="A1760" i="9"/>
  <c r="S1759" i="9"/>
  <c r="A1759" i="9"/>
  <c r="S1758" i="9"/>
  <c r="A1758" i="9"/>
  <c r="S1757" i="9"/>
  <c r="A1757" i="9"/>
  <c r="S1756" i="9"/>
  <c r="A1756" i="9"/>
  <c r="S1755" i="9"/>
  <c r="A1755" i="9"/>
  <c r="S1754" i="9"/>
  <c r="A1754" i="9"/>
  <c r="S1753" i="9"/>
  <c r="A1753" i="9"/>
  <c r="S1752" i="9"/>
  <c r="A1752" i="9"/>
  <c r="S1751" i="9"/>
  <c r="A1751" i="9"/>
  <c r="S1750" i="9"/>
  <c r="A1750" i="9"/>
  <c r="S1749" i="9"/>
  <c r="A1749" i="9"/>
  <c r="S1748" i="9"/>
  <c r="A1748" i="9"/>
  <c r="S1747" i="9"/>
  <c r="A1747" i="9"/>
  <c r="S1746" i="9"/>
  <c r="A1746" i="9"/>
  <c r="S1745" i="9"/>
  <c r="A1745" i="9"/>
  <c r="S1744" i="9"/>
  <c r="A1744" i="9"/>
  <c r="S1743" i="9"/>
  <c r="A1743" i="9"/>
  <c r="S1742" i="9"/>
  <c r="A1742" i="9"/>
  <c r="S1741" i="9"/>
  <c r="A1741" i="9"/>
  <c r="S1740" i="9"/>
  <c r="A1740" i="9"/>
  <c r="A1739" i="9"/>
  <c r="S1738" i="9"/>
  <c r="A1738" i="9"/>
  <c r="S1737" i="9"/>
  <c r="A1737" i="9"/>
  <c r="S1736" i="9"/>
  <c r="A1736" i="9"/>
  <c r="S1735" i="9"/>
  <c r="A1735" i="9"/>
  <c r="S1734" i="9"/>
  <c r="A1734" i="9"/>
  <c r="S1733" i="9"/>
  <c r="A1733" i="9"/>
  <c r="S1732" i="9"/>
  <c r="A1732" i="9"/>
  <c r="S1731" i="9"/>
  <c r="A1731" i="9"/>
  <c r="S1730" i="9"/>
  <c r="A1730" i="9"/>
  <c r="S1729" i="9"/>
  <c r="A1729" i="9"/>
  <c r="S1728" i="9"/>
  <c r="A1728" i="9"/>
  <c r="S1727" i="9"/>
  <c r="A1727" i="9"/>
  <c r="S1726" i="9"/>
  <c r="A1726" i="9"/>
  <c r="S1725" i="9"/>
  <c r="A1725" i="9"/>
  <c r="S1724" i="9"/>
  <c r="A1724" i="9"/>
  <c r="S1723" i="9"/>
  <c r="A1723" i="9"/>
  <c r="S1722" i="9"/>
  <c r="A1722" i="9"/>
  <c r="S1721" i="9"/>
  <c r="A1721" i="9"/>
  <c r="S1720" i="9"/>
  <c r="A1720" i="9"/>
  <c r="S1719" i="9"/>
  <c r="A1719" i="9"/>
  <c r="S1718" i="9"/>
  <c r="A1718" i="9"/>
  <c r="S1717" i="9"/>
  <c r="A1717" i="9"/>
  <c r="S1716" i="9"/>
  <c r="A1716" i="9"/>
  <c r="S1715" i="9"/>
  <c r="A1715" i="9"/>
  <c r="S1714" i="9"/>
  <c r="A1714" i="9"/>
  <c r="S1713" i="9"/>
  <c r="A1713" i="9"/>
  <c r="S1712" i="9"/>
  <c r="A1712" i="9"/>
  <c r="S1711" i="9"/>
  <c r="A1711" i="9"/>
  <c r="S1710" i="9"/>
  <c r="A1710" i="9"/>
  <c r="S1709" i="9"/>
  <c r="A1709" i="9"/>
  <c r="S1708" i="9"/>
  <c r="A1708" i="9"/>
  <c r="S1707" i="9"/>
  <c r="A1707" i="9"/>
  <c r="S1706" i="9"/>
  <c r="A1706" i="9"/>
  <c r="S1705" i="9"/>
  <c r="A1705" i="9"/>
  <c r="S1704" i="9"/>
  <c r="A1704" i="9"/>
  <c r="S1703" i="9"/>
  <c r="A1703" i="9"/>
  <c r="S1702" i="9"/>
  <c r="A1702" i="9"/>
  <c r="S1701" i="9"/>
  <c r="A1701" i="9"/>
  <c r="S1700" i="9"/>
  <c r="A1700" i="9"/>
  <c r="S1699" i="9"/>
  <c r="A1699" i="9"/>
  <c r="S1698" i="9"/>
  <c r="A1698" i="9"/>
  <c r="S1697" i="9"/>
  <c r="A1697" i="9"/>
  <c r="S1696" i="9"/>
  <c r="A1696" i="9"/>
  <c r="S1695" i="9"/>
  <c r="A1695" i="9"/>
  <c r="S1694" i="9"/>
  <c r="A1694" i="9"/>
  <c r="S1693" i="9"/>
  <c r="A1693" i="9"/>
  <c r="S1692" i="9"/>
  <c r="A1692" i="9"/>
  <c r="S1691" i="9"/>
  <c r="A1691" i="9"/>
  <c r="S1690" i="9"/>
  <c r="A1690" i="9"/>
  <c r="S1689" i="9"/>
  <c r="A1689" i="9"/>
  <c r="S1688" i="9"/>
  <c r="A1688" i="9"/>
  <c r="S1687" i="9"/>
  <c r="A1687" i="9"/>
  <c r="S1686" i="9"/>
  <c r="A1686" i="9"/>
  <c r="S1685" i="9"/>
  <c r="A1685" i="9"/>
  <c r="S1684" i="9"/>
  <c r="A1684" i="9"/>
  <c r="S1683" i="9"/>
  <c r="A1683" i="9"/>
  <c r="S1682" i="9"/>
  <c r="A1682" i="9"/>
  <c r="S1681" i="9"/>
  <c r="A1681" i="9"/>
  <c r="S1680" i="9"/>
  <c r="A1680" i="9"/>
  <c r="S1679" i="9"/>
  <c r="A1679" i="9"/>
  <c r="S1678" i="9"/>
  <c r="A1678" i="9"/>
  <c r="S1677" i="9"/>
  <c r="A1677" i="9"/>
  <c r="S1676" i="9"/>
  <c r="A1676" i="9"/>
  <c r="S1675" i="9"/>
  <c r="A1675" i="9"/>
  <c r="S1674" i="9"/>
  <c r="A1674" i="9"/>
  <c r="S1673" i="9"/>
  <c r="A1673" i="9"/>
  <c r="S1672" i="9"/>
  <c r="A1672" i="9"/>
  <c r="S1671" i="9"/>
  <c r="A1671" i="9"/>
  <c r="S1670" i="9"/>
  <c r="A1670" i="9"/>
  <c r="S1669" i="9"/>
  <c r="A1669" i="9"/>
  <c r="S1668" i="9"/>
  <c r="A1668" i="9"/>
  <c r="S1667" i="9"/>
  <c r="A1667" i="9"/>
  <c r="S1666" i="9"/>
  <c r="A1666" i="9"/>
  <c r="S1665" i="9"/>
  <c r="A1665" i="9"/>
  <c r="S1664" i="9"/>
  <c r="A1664" i="9"/>
  <c r="S1663" i="9"/>
  <c r="A1663" i="9"/>
  <c r="S1662" i="9"/>
  <c r="A1662" i="9"/>
  <c r="S1661" i="9"/>
  <c r="A1661" i="9"/>
  <c r="S1660" i="9"/>
  <c r="A1660" i="9"/>
  <c r="S1659" i="9"/>
  <c r="A1659" i="9"/>
  <c r="S1658" i="9"/>
  <c r="A1658" i="9"/>
  <c r="S1657" i="9"/>
  <c r="A1657" i="9"/>
  <c r="S1656" i="9"/>
  <c r="A1656" i="9"/>
  <c r="S1655" i="9"/>
  <c r="A1655" i="9"/>
  <c r="S1654" i="9"/>
  <c r="A1654" i="9"/>
  <c r="S1653" i="9"/>
  <c r="A1653" i="9"/>
  <c r="S1652" i="9"/>
  <c r="A1652" i="9"/>
  <c r="S1651" i="9"/>
  <c r="A1651" i="9"/>
  <c r="S1650" i="9"/>
  <c r="A1650" i="9"/>
  <c r="S1649" i="9"/>
  <c r="A1649" i="9"/>
  <c r="S1648" i="9"/>
  <c r="A1648" i="9"/>
  <c r="S1647" i="9"/>
  <c r="A1647" i="9"/>
  <c r="S1646" i="9"/>
  <c r="A1646" i="9"/>
  <c r="S1645" i="9"/>
  <c r="A1645" i="9"/>
  <c r="S1644" i="9"/>
  <c r="A1644" i="9"/>
  <c r="S1643" i="9"/>
  <c r="A1643" i="9"/>
  <c r="S1642" i="9"/>
  <c r="A1642" i="9"/>
  <c r="S1641" i="9"/>
  <c r="A1641" i="9"/>
  <c r="S1640" i="9"/>
  <c r="A1640" i="9"/>
  <c r="S1639" i="9"/>
  <c r="A1639" i="9"/>
  <c r="S1638" i="9"/>
  <c r="A1638" i="9"/>
  <c r="S1637" i="9"/>
  <c r="A1637" i="9"/>
  <c r="S1636" i="9"/>
  <c r="A1636" i="9"/>
  <c r="S1635" i="9"/>
  <c r="A1635" i="9"/>
  <c r="S1634" i="9"/>
  <c r="A1634" i="9"/>
  <c r="S1633" i="9"/>
  <c r="A1633" i="9"/>
  <c r="S1632" i="9"/>
  <c r="A1632" i="9"/>
  <c r="S1631" i="9"/>
  <c r="A1631" i="9"/>
  <c r="S1630" i="9"/>
  <c r="A1630" i="9"/>
  <c r="S1629" i="9"/>
  <c r="A1629" i="9"/>
  <c r="S1628" i="9"/>
  <c r="A1628" i="9"/>
  <c r="S1627" i="9"/>
  <c r="A1627" i="9"/>
  <c r="S1626" i="9"/>
  <c r="A1626" i="9"/>
  <c r="S1625" i="9"/>
  <c r="A1625" i="9"/>
  <c r="S1624" i="9"/>
  <c r="A1624" i="9"/>
  <c r="S1623" i="9"/>
  <c r="A1623" i="9"/>
  <c r="S1622" i="9"/>
  <c r="A1622" i="9"/>
  <c r="S1621" i="9"/>
  <c r="A1621" i="9"/>
  <c r="S1620" i="9"/>
  <c r="A1620" i="9"/>
  <c r="S1619" i="9"/>
  <c r="A1619" i="9"/>
  <c r="S1618" i="9"/>
  <c r="A1618" i="9"/>
  <c r="S1617" i="9"/>
  <c r="A1617" i="9"/>
  <c r="S1616" i="9"/>
  <c r="A1616" i="9"/>
  <c r="S1615" i="9"/>
  <c r="A1615" i="9"/>
  <c r="S1614" i="9"/>
  <c r="A1614" i="9"/>
  <c r="S1613" i="9"/>
  <c r="A1613" i="9"/>
  <c r="S1612" i="9"/>
  <c r="A1612" i="9"/>
  <c r="S1611" i="9"/>
  <c r="A1611" i="9"/>
  <c r="S1610" i="9"/>
  <c r="A1610" i="9"/>
  <c r="S1609" i="9"/>
  <c r="A1609" i="9"/>
  <c r="S1608" i="9"/>
  <c r="A1608" i="9"/>
  <c r="S1607" i="9"/>
  <c r="A1607" i="9"/>
  <c r="S1606" i="9"/>
  <c r="A1606" i="9"/>
  <c r="S1605" i="9"/>
  <c r="A1605" i="9"/>
  <c r="S1604" i="9"/>
  <c r="A1604" i="9"/>
  <c r="S1603" i="9"/>
  <c r="A1603" i="9"/>
  <c r="S1602" i="9"/>
  <c r="A1602" i="9"/>
  <c r="S1601" i="9"/>
  <c r="A1601" i="9"/>
  <c r="S1600" i="9"/>
  <c r="A1600" i="9"/>
  <c r="S1599" i="9"/>
  <c r="A1599" i="9"/>
  <c r="S1598" i="9"/>
  <c r="A1598" i="9"/>
  <c r="S1597" i="9"/>
  <c r="A1597" i="9"/>
  <c r="S1596" i="9"/>
  <c r="A1596" i="9"/>
  <c r="S1595" i="9"/>
  <c r="A1595" i="9"/>
  <c r="S1594" i="9"/>
  <c r="A1594" i="9"/>
  <c r="S1593" i="9"/>
  <c r="A1593" i="9"/>
  <c r="S1592" i="9"/>
  <c r="A1592" i="9"/>
  <c r="S1591" i="9"/>
  <c r="A1591" i="9"/>
  <c r="S1590" i="9"/>
  <c r="A1590" i="9"/>
  <c r="S1589" i="9"/>
  <c r="A1589" i="9"/>
  <c r="S1588" i="9"/>
  <c r="A1588" i="9"/>
  <c r="S1587" i="9"/>
  <c r="A1587" i="9"/>
  <c r="S1586" i="9"/>
  <c r="A1586" i="9"/>
  <c r="S1585" i="9"/>
  <c r="A1585" i="9"/>
  <c r="S1584" i="9"/>
  <c r="A1584" i="9"/>
  <c r="S1583" i="9"/>
  <c r="A1583" i="9"/>
  <c r="S1582" i="9"/>
  <c r="A1582" i="9"/>
  <c r="S1581" i="9"/>
  <c r="A1581" i="9"/>
  <c r="S1580" i="9"/>
  <c r="A1580" i="9"/>
  <c r="S1579" i="9"/>
  <c r="A1579" i="9"/>
  <c r="S1578" i="9"/>
  <c r="A1578" i="9"/>
  <c r="S1577" i="9"/>
  <c r="A1577" i="9"/>
  <c r="S1576" i="9"/>
  <c r="A1576" i="9"/>
  <c r="S1575" i="9"/>
  <c r="A1575" i="9"/>
  <c r="S1574" i="9"/>
  <c r="A1574" i="9"/>
  <c r="S1573" i="9"/>
  <c r="A1573" i="9"/>
  <c r="S1572" i="9"/>
  <c r="A1572" i="9"/>
  <c r="S1571" i="9"/>
  <c r="A1571" i="9"/>
  <c r="S1570" i="9"/>
  <c r="A1570" i="9"/>
  <c r="S1569" i="9"/>
  <c r="A1569" i="9"/>
  <c r="S1568" i="9"/>
  <c r="A1568" i="9"/>
  <c r="S1567" i="9"/>
  <c r="A1567" i="9"/>
  <c r="S1566" i="9"/>
  <c r="A1566" i="9"/>
  <c r="S1565" i="9"/>
  <c r="A1565" i="9"/>
  <c r="S1564" i="9"/>
  <c r="A1564" i="9"/>
  <c r="S1563" i="9"/>
  <c r="A1563" i="9"/>
  <c r="S1562" i="9"/>
  <c r="A1562" i="9"/>
  <c r="S1561" i="9"/>
  <c r="A1561" i="9"/>
  <c r="S1560" i="9"/>
  <c r="A1560" i="9"/>
  <c r="S1559" i="9"/>
  <c r="A1559" i="9"/>
  <c r="S1558" i="9"/>
  <c r="A1558" i="9"/>
  <c r="S1557" i="9"/>
  <c r="A1557" i="9"/>
  <c r="S1556" i="9"/>
  <c r="A1556" i="9"/>
  <c r="S1555" i="9"/>
  <c r="A1555" i="9"/>
  <c r="S1554" i="9"/>
  <c r="A1554" i="9"/>
  <c r="S1553" i="9"/>
  <c r="A1553" i="9"/>
  <c r="S1552" i="9"/>
  <c r="A1552" i="9"/>
  <c r="S1551" i="9"/>
  <c r="A1551" i="9"/>
  <c r="S1550" i="9"/>
  <c r="A1550" i="9"/>
  <c r="S1549" i="9"/>
  <c r="A1549" i="9"/>
  <c r="S1548" i="9"/>
  <c r="A1548" i="9"/>
  <c r="S1547" i="9"/>
  <c r="A1547" i="9"/>
  <c r="S1546" i="9"/>
  <c r="A1546" i="9"/>
  <c r="S1545" i="9"/>
  <c r="A1545" i="9"/>
  <c r="S1544" i="9"/>
  <c r="A1544" i="9"/>
  <c r="S1543" i="9"/>
  <c r="A1543" i="9"/>
  <c r="S1542" i="9"/>
  <c r="A1542" i="9"/>
  <c r="S1541" i="9"/>
  <c r="A1541" i="9"/>
  <c r="S1540" i="9"/>
  <c r="A1540" i="9"/>
  <c r="S1539" i="9"/>
  <c r="A1539" i="9"/>
  <c r="S1538" i="9"/>
  <c r="A1538" i="9"/>
  <c r="S1537" i="9"/>
  <c r="A1537" i="9"/>
  <c r="S1536" i="9"/>
  <c r="A1536" i="9"/>
  <c r="S1535" i="9"/>
  <c r="A1535" i="9"/>
  <c r="S1534" i="9"/>
  <c r="A1534" i="9"/>
  <c r="S1533" i="9"/>
  <c r="A1533" i="9"/>
  <c r="S1532" i="9"/>
  <c r="A1532" i="9"/>
  <c r="S1531" i="9"/>
  <c r="A1531" i="9"/>
  <c r="S1530" i="9"/>
  <c r="A1530" i="9"/>
  <c r="S1529" i="9"/>
  <c r="A1529" i="9"/>
  <c r="S1528" i="9"/>
  <c r="A1528" i="9"/>
  <c r="S1527" i="9"/>
  <c r="A1527" i="9"/>
  <c r="S1526" i="9"/>
  <c r="A1526" i="9"/>
  <c r="S1525" i="9"/>
  <c r="A1525" i="9"/>
  <c r="S1524" i="9"/>
  <c r="A1524" i="9"/>
  <c r="S1523" i="9"/>
  <c r="A1523" i="9"/>
  <c r="S1522" i="9"/>
  <c r="A1522" i="9"/>
  <c r="S1521" i="9"/>
  <c r="A1521" i="9"/>
  <c r="S1520" i="9"/>
  <c r="A1520" i="9"/>
  <c r="S1519" i="9"/>
  <c r="A1519" i="9"/>
  <c r="S1518" i="9"/>
  <c r="A1518" i="9"/>
  <c r="S1517" i="9"/>
  <c r="A1517" i="9"/>
  <c r="S1516" i="9"/>
  <c r="A1516" i="9"/>
  <c r="S1515" i="9"/>
  <c r="A1515" i="9"/>
  <c r="S1514" i="9"/>
  <c r="A1514" i="9"/>
  <c r="S1513" i="9"/>
  <c r="A1513" i="9"/>
  <c r="S1512" i="9"/>
  <c r="A1512" i="9"/>
  <c r="S1511" i="9"/>
  <c r="A1511" i="9"/>
  <c r="S1510" i="9"/>
  <c r="A1510" i="9"/>
  <c r="S1509" i="9"/>
  <c r="A1509" i="9"/>
  <c r="S1508" i="9"/>
  <c r="A1508" i="9"/>
  <c r="S1507" i="9"/>
  <c r="A1507" i="9"/>
  <c r="S1506" i="9"/>
  <c r="A1506" i="9"/>
  <c r="S1505" i="9"/>
  <c r="A1505" i="9"/>
  <c r="S1504" i="9"/>
  <c r="A1504" i="9"/>
  <c r="S1503" i="9"/>
  <c r="A1503" i="9"/>
  <c r="S1502" i="9"/>
  <c r="A1502" i="9"/>
  <c r="S1501" i="9"/>
  <c r="A1501" i="9"/>
  <c r="S1500" i="9"/>
  <c r="A1500" i="9"/>
  <c r="S1499" i="9"/>
  <c r="A1499" i="9"/>
  <c r="S1498" i="9"/>
  <c r="A1498" i="9"/>
  <c r="S1497" i="9"/>
  <c r="A1497" i="9"/>
  <c r="S1496" i="9"/>
  <c r="A1496" i="9"/>
  <c r="S1495" i="9"/>
  <c r="A1495" i="9"/>
  <c r="S1494" i="9"/>
  <c r="A1494" i="9"/>
  <c r="S1493" i="9"/>
  <c r="A1493" i="9"/>
  <c r="S1492" i="9"/>
  <c r="A1492" i="9"/>
  <c r="S1491" i="9"/>
  <c r="A1491" i="9"/>
  <c r="S1490" i="9"/>
  <c r="A1490" i="9"/>
  <c r="S1489" i="9"/>
  <c r="A1489" i="9"/>
  <c r="S1488" i="9"/>
  <c r="A1488" i="9"/>
  <c r="S1487" i="9"/>
  <c r="A1487" i="9"/>
  <c r="S1486" i="9"/>
  <c r="A1486" i="9"/>
  <c r="A1485" i="9"/>
  <c r="S1484" i="9"/>
  <c r="A1484" i="9"/>
  <c r="S1483" i="9"/>
  <c r="A1483" i="9"/>
  <c r="S1482" i="9"/>
  <c r="A1482" i="9"/>
  <c r="S1481" i="9"/>
  <c r="A1481" i="9"/>
  <c r="S1480" i="9"/>
  <c r="A1480" i="9"/>
  <c r="S1479" i="9"/>
  <c r="A1479" i="9"/>
  <c r="S1478" i="9"/>
  <c r="A1478" i="9"/>
  <c r="S1477" i="9"/>
  <c r="A1477" i="9"/>
  <c r="S1476" i="9"/>
  <c r="A1476" i="9"/>
  <c r="S1475" i="9"/>
  <c r="A1475" i="9"/>
  <c r="S1474" i="9"/>
  <c r="A1474" i="9"/>
  <c r="S1473" i="9"/>
  <c r="A1473" i="9"/>
  <c r="S1472" i="9"/>
  <c r="A1472" i="9"/>
  <c r="S1471" i="9"/>
  <c r="A1471" i="9"/>
  <c r="S1470" i="9"/>
  <c r="A1470" i="9"/>
  <c r="S1469" i="9"/>
  <c r="A1469" i="9"/>
  <c r="S1468" i="9"/>
  <c r="A1468" i="9"/>
  <c r="S1467" i="9"/>
  <c r="A1467" i="9"/>
  <c r="S1466" i="9"/>
  <c r="A1466" i="9"/>
  <c r="S1465" i="9"/>
  <c r="A1465" i="9"/>
  <c r="S1464" i="9"/>
  <c r="A1464" i="9"/>
  <c r="S1463" i="9"/>
  <c r="A1463" i="9"/>
  <c r="S1462" i="9"/>
  <c r="A1462" i="9"/>
  <c r="S1461" i="9"/>
  <c r="A1461" i="9"/>
  <c r="S1460" i="9"/>
  <c r="A1460" i="9"/>
  <c r="S1459" i="9"/>
  <c r="A1459" i="9"/>
  <c r="S1458" i="9"/>
  <c r="A1458" i="9"/>
  <c r="S1457" i="9"/>
  <c r="A1457" i="9"/>
  <c r="S1456" i="9"/>
  <c r="A1456" i="9"/>
  <c r="S1455" i="9"/>
  <c r="A1455" i="9"/>
  <c r="S1454" i="9"/>
  <c r="A1454" i="9"/>
  <c r="S1453" i="9"/>
  <c r="A1453" i="9"/>
  <c r="S1452" i="9"/>
  <c r="A1452" i="9"/>
  <c r="S1451" i="9"/>
  <c r="A1451" i="9"/>
  <c r="S1450" i="9"/>
  <c r="A1450" i="9"/>
  <c r="S1449" i="9"/>
  <c r="A1449" i="9"/>
  <c r="S1448" i="9"/>
  <c r="A1448" i="9"/>
  <c r="S1447" i="9"/>
  <c r="A1447" i="9"/>
  <c r="S1446" i="9"/>
  <c r="A1446" i="9"/>
  <c r="S1445" i="9"/>
  <c r="A1445" i="9"/>
  <c r="S1444" i="9"/>
  <c r="A1444" i="9"/>
  <c r="S1443" i="9"/>
  <c r="A1443" i="9"/>
  <c r="S1442" i="9"/>
  <c r="A1442" i="9"/>
  <c r="S1441" i="9"/>
  <c r="A1441" i="9"/>
  <c r="S1440" i="9"/>
  <c r="A1440" i="9"/>
  <c r="S1439" i="9"/>
  <c r="A1439" i="9"/>
  <c r="S1438" i="9"/>
  <c r="A1438" i="9"/>
  <c r="S1437" i="9"/>
  <c r="A1437" i="9"/>
  <c r="S1436" i="9"/>
  <c r="A1436" i="9"/>
  <c r="S1435" i="9"/>
  <c r="A1435" i="9"/>
  <c r="S1434" i="9"/>
  <c r="A1434" i="9"/>
  <c r="S1433" i="9"/>
  <c r="A1433" i="9"/>
  <c r="A1432" i="9"/>
  <c r="S1431" i="9"/>
  <c r="A1431" i="9"/>
  <c r="S1430" i="9"/>
  <c r="A1430" i="9"/>
  <c r="S1429" i="9"/>
  <c r="A1429" i="9"/>
  <c r="S1428" i="9"/>
  <c r="A1428" i="9"/>
  <c r="S1427" i="9"/>
  <c r="A1427" i="9"/>
  <c r="S1426" i="9"/>
  <c r="A1426" i="9"/>
  <c r="S1425" i="9"/>
  <c r="A1425" i="9"/>
  <c r="S1424" i="9"/>
  <c r="A1424" i="9"/>
  <c r="S1423" i="9"/>
  <c r="A1423" i="9"/>
  <c r="S1422" i="9"/>
  <c r="A1422" i="9"/>
  <c r="S1421" i="9"/>
  <c r="A1421" i="9"/>
  <c r="S1420" i="9"/>
  <c r="A1420" i="9"/>
  <c r="S1419" i="9"/>
  <c r="A1419" i="9"/>
  <c r="S1418" i="9"/>
  <c r="A1418" i="9"/>
  <c r="S1417" i="9"/>
  <c r="A1417" i="9"/>
  <c r="S1416" i="9"/>
  <c r="A1416" i="9"/>
  <c r="S1415" i="9"/>
  <c r="A1415" i="9"/>
  <c r="S1414" i="9"/>
  <c r="A1414" i="9"/>
  <c r="S1413" i="9"/>
  <c r="A1413" i="9"/>
  <c r="S1412" i="9"/>
  <c r="A1412" i="9"/>
  <c r="S1411" i="9"/>
  <c r="A1411" i="9"/>
  <c r="S1410" i="9"/>
  <c r="A1410" i="9"/>
  <c r="S1409" i="9"/>
  <c r="A1409" i="9"/>
  <c r="S1408" i="9"/>
  <c r="A1408" i="9"/>
  <c r="S1407" i="9"/>
  <c r="A1407" i="9"/>
  <c r="S1406" i="9"/>
  <c r="A1406" i="9"/>
  <c r="S1405" i="9"/>
  <c r="A1405" i="9"/>
  <c r="S1404" i="9"/>
  <c r="A1404" i="9"/>
  <c r="S1403" i="9"/>
  <c r="A1403" i="9"/>
  <c r="S1402" i="9"/>
  <c r="A1402" i="9"/>
  <c r="S1401" i="9"/>
  <c r="A1401" i="9"/>
  <c r="S1400" i="9"/>
  <c r="A1400" i="9"/>
  <c r="S1399" i="9"/>
  <c r="A1399" i="9"/>
  <c r="S1398" i="9"/>
  <c r="A1398" i="9"/>
  <c r="S1397" i="9"/>
  <c r="A1397" i="9"/>
  <c r="S1396" i="9"/>
  <c r="A1396" i="9"/>
  <c r="S1395" i="9"/>
  <c r="A1395" i="9"/>
  <c r="S1394" i="9"/>
  <c r="A1394" i="9"/>
  <c r="S1393" i="9"/>
  <c r="A1393" i="9"/>
  <c r="S1392" i="9"/>
  <c r="A1392" i="9"/>
  <c r="S1391" i="9"/>
  <c r="A1391" i="9"/>
  <c r="S1390" i="9"/>
  <c r="A1390" i="9"/>
  <c r="S1389" i="9"/>
  <c r="A1389" i="9"/>
  <c r="S1388" i="9"/>
  <c r="A1388" i="9"/>
  <c r="S1387" i="9"/>
  <c r="A1387" i="9"/>
  <c r="S1386" i="9"/>
  <c r="A1386" i="9"/>
  <c r="S1385" i="9"/>
  <c r="A1385" i="9"/>
  <c r="S1384" i="9"/>
  <c r="A1384" i="9"/>
  <c r="S1383" i="9"/>
  <c r="A1383" i="9"/>
  <c r="S1382" i="9"/>
  <c r="A1382" i="9"/>
  <c r="S1381" i="9"/>
  <c r="A1381" i="9"/>
  <c r="S1380" i="9"/>
  <c r="A1380" i="9"/>
  <c r="S1379" i="9"/>
  <c r="A1379" i="9"/>
  <c r="S1378" i="9"/>
  <c r="A1378" i="9"/>
  <c r="S1377" i="9"/>
  <c r="A1377" i="9"/>
  <c r="S1376" i="9"/>
  <c r="A1376" i="9"/>
  <c r="S1375" i="9"/>
  <c r="A1375" i="9"/>
  <c r="S1374" i="9"/>
  <c r="A1374" i="9"/>
  <c r="S1373" i="9"/>
  <c r="A1373" i="9"/>
  <c r="S1372" i="9"/>
  <c r="A1372" i="9"/>
  <c r="S1371" i="9"/>
  <c r="A1371" i="9"/>
  <c r="S1370" i="9"/>
  <c r="A1370" i="9"/>
  <c r="S1369" i="9"/>
  <c r="A1369" i="9"/>
  <c r="S1368" i="9"/>
  <c r="A1368" i="9"/>
  <c r="S1367" i="9"/>
  <c r="A1367" i="9"/>
  <c r="S1366" i="9"/>
  <c r="A1366" i="9"/>
  <c r="S1365" i="9"/>
  <c r="A1365" i="9"/>
  <c r="S1364" i="9"/>
  <c r="A1364" i="9"/>
  <c r="S1363" i="9"/>
  <c r="A1363" i="9"/>
  <c r="S1362" i="9"/>
  <c r="A1362" i="9"/>
  <c r="S1361" i="9"/>
  <c r="A1361" i="9"/>
  <c r="S1360" i="9"/>
  <c r="A1360" i="9"/>
  <c r="S1359" i="9"/>
  <c r="A1359" i="9"/>
  <c r="S1358" i="9"/>
  <c r="A1358" i="9"/>
  <c r="S1357" i="9"/>
  <c r="A1357" i="9"/>
  <c r="S1356" i="9"/>
  <c r="A1356" i="9"/>
  <c r="S1355" i="9"/>
  <c r="A1355" i="9"/>
  <c r="S1354" i="9"/>
  <c r="A1354" i="9"/>
  <c r="S1353" i="9"/>
  <c r="A1353" i="9"/>
  <c r="S1352" i="9"/>
  <c r="A1352" i="9"/>
  <c r="S1351" i="9"/>
  <c r="A1351" i="9"/>
  <c r="S1350" i="9"/>
  <c r="A1350" i="9"/>
  <c r="S1349" i="9"/>
  <c r="A1349" i="9"/>
  <c r="S1348" i="9"/>
  <c r="A1348" i="9"/>
  <c r="S1347" i="9"/>
  <c r="A1347" i="9"/>
  <c r="S1346" i="9"/>
  <c r="A1346" i="9"/>
  <c r="S1345" i="9"/>
  <c r="A1345" i="9"/>
  <c r="S1344" i="9"/>
  <c r="A1344" i="9"/>
  <c r="S1343" i="9"/>
  <c r="A1343" i="9"/>
  <c r="S1342" i="9"/>
  <c r="A1342" i="9"/>
  <c r="S1341" i="9"/>
  <c r="A1341" i="9"/>
  <c r="S1340" i="9"/>
  <c r="A1340" i="9"/>
  <c r="S1339" i="9"/>
  <c r="A1339" i="9"/>
  <c r="S1338" i="9"/>
  <c r="A1338" i="9"/>
  <c r="S1337" i="9"/>
  <c r="A1337" i="9"/>
  <c r="S1336" i="9"/>
  <c r="A1336" i="9"/>
  <c r="S1335" i="9"/>
  <c r="A1335" i="9"/>
  <c r="S1334" i="9"/>
  <c r="A1334" i="9"/>
  <c r="S1333" i="9"/>
  <c r="A1333" i="9"/>
  <c r="S1332" i="9"/>
  <c r="A1332" i="9"/>
  <c r="S1331" i="9"/>
  <c r="A1331" i="9"/>
  <c r="S1330" i="9"/>
  <c r="A1330" i="9"/>
  <c r="S1329" i="9"/>
  <c r="A1329" i="9"/>
  <c r="S1328" i="9"/>
  <c r="A1328" i="9"/>
  <c r="S1327" i="9"/>
  <c r="A1327" i="9"/>
  <c r="S1326" i="9"/>
  <c r="A1326" i="9"/>
  <c r="S1325" i="9"/>
  <c r="A1325" i="9"/>
  <c r="S1324" i="9"/>
  <c r="A1324" i="9"/>
  <c r="S1323" i="9"/>
  <c r="A1323" i="9"/>
  <c r="S1322" i="9"/>
  <c r="A1322" i="9"/>
  <c r="S1321" i="9"/>
  <c r="A1321" i="9"/>
  <c r="S1320" i="9"/>
  <c r="A1320" i="9"/>
  <c r="S1319" i="9"/>
  <c r="A1319" i="9"/>
  <c r="S1318" i="9"/>
  <c r="A1318" i="9"/>
  <c r="S1317" i="9"/>
  <c r="A1317" i="9"/>
  <c r="S1316" i="9"/>
  <c r="A1316" i="9"/>
  <c r="S1315" i="9"/>
  <c r="A1315" i="9"/>
  <c r="S1314" i="9"/>
  <c r="A1314" i="9"/>
  <c r="S1313" i="9"/>
  <c r="A1313" i="9"/>
  <c r="S1312" i="9"/>
  <c r="A1312" i="9"/>
  <c r="S1311" i="9"/>
  <c r="A1311" i="9"/>
  <c r="S1310" i="9"/>
  <c r="A1310" i="9"/>
  <c r="S1309" i="9"/>
  <c r="A1309" i="9"/>
  <c r="S1308" i="9"/>
  <c r="A1308" i="9"/>
  <c r="S1307" i="9"/>
  <c r="A1307" i="9"/>
  <c r="S1306" i="9"/>
  <c r="A1306" i="9"/>
  <c r="S1305" i="9"/>
  <c r="A1305" i="9"/>
  <c r="S1304" i="9"/>
  <c r="A1304" i="9"/>
  <c r="S1303" i="9"/>
  <c r="A1303" i="9"/>
  <c r="S1302" i="9"/>
  <c r="A1302" i="9"/>
  <c r="S1301" i="9"/>
  <c r="A1301" i="9"/>
  <c r="S1300" i="9"/>
  <c r="A1300" i="9"/>
  <c r="S1299" i="9"/>
  <c r="A1299" i="9"/>
  <c r="S1298" i="9"/>
  <c r="A1298" i="9"/>
  <c r="S1297" i="9"/>
  <c r="A1297" i="9"/>
  <c r="S1296" i="9"/>
  <c r="A1296" i="9"/>
  <c r="S1295" i="9"/>
  <c r="A1295" i="9"/>
  <c r="S1294" i="9"/>
  <c r="A1294" i="9"/>
  <c r="S1293" i="9"/>
  <c r="A1293" i="9"/>
  <c r="S1292" i="9"/>
  <c r="A1292" i="9"/>
  <c r="S1291" i="9"/>
  <c r="A1291" i="9"/>
  <c r="S1290" i="9"/>
  <c r="A1290" i="9"/>
  <c r="S1289" i="9"/>
  <c r="A1289" i="9"/>
  <c r="S1288" i="9"/>
  <c r="A1288" i="9"/>
  <c r="S1287" i="9"/>
  <c r="A1287" i="9"/>
  <c r="S1286" i="9"/>
  <c r="A1286" i="9"/>
  <c r="S1285" i="9"/>
  <c r="A1285" i="9"/>
  <c r="S1284" i="9"/>
  <c r="A1284" i="9"/>
  <c r="S1283" i="9"/>
  <c r="A1283" i="9"/>
  <c r="S1282" i="9"/>
  <c r="A1282" i="9"/>
  <c r="S1281" i="9"/>
  <c r="A1281" i="9"/>
  <c r="S1280" i="9"/>
  <c r="A1280" i="9"/>
  <c r="S1279" i="9"/>
  <c r="A1279" i="9"/>
  <c r="S1278" i="9"/>
  <c r="A1278" i="9"/>
  <c r="S1277" i="9"/>
  <c r="A1277" i="9"/>
  <c r="S1276" i="9"/>
  <c r="A1276" i="9"/>
  <c r="S1275" i="9"/>
  <c r="A1275" i="9"/>
  <c r="S1274" i="9"/>
  <c r="A1274" i="9"/>
  <c r="S1273" i="9"/>
  <c r="A1273" i="9"/>
  <c r="S1272" i="9"/>
  <c r="A1272" i="9"/>
  <c r="S1271" i="9"/>
  <c r="A1271" i="9"/>
  <c r="S1270" i="9"/>
  <c r="A1270" i="9"/>
  <c r="S1269" i="9"/>
  <c r="A1269" i="9"/>
  <c r="S1268" i="9"/>
  <c r="A1268" i="9"/>
  <c r="S1267" i="9"/>
  <c r="A1267" i="9"/>
  <c r="S1266" i="9"/>
  <c r="A1266" i="9"/>
  <c r="S1265" i="9"/>
  <c r="A1265" i="9"/>
  <c r="S1264" i="9"/>
  <c r="A1264" i="9"/>
  <c r="S1263" i="9"/>
  <c r="A1263" i="9"/>
  <c r="S1262" i="9"/>
  <c r="A1262" i="9"/>
  <c r="S1261" i="9"/>
  <c r="A1261" i="9"/>
  <c r="S1260" i="9"/>
  <c r="A1260" i="9"/>
  <c r="S1259" i="9"/>
  <c r="A1259" i="9"/>
  <c r="S1258" i="9"/>
  <c r="A1258" i="9"/>
  <c r="S1257" i="9"/>
  <c r="A1257" i="9"/>
  <c r="S1256" i="9"/>
  <c r="A1256" i="9"/>
  <c r="S1255" i="9"/>
  <c r="A1255" i="9"/>
  <c r="S1254" i="9"/>
  <c r="A1254" i="9"/>
  <c r="S1253" i="9"/>
  <c r="A1253" i="9"/>
  <c r="S1252" i="9"/>
  <c r="A1252" i="9"/>
  <c r="S1251" i="9"/>
  <c r="A1251" i="9"/>
  <c r="S1250" i="9"/>
  <c r="A1250" i="9"/>
  <c r="S1249" i="9"/>
  <c r="A1249" i="9"/>
  <c r="S1248" i="9"/>
  <c r="A1248" i="9"/>
  <c r="S1247" i="9"/>
  <c r="A1247" i="9"/>
  <c r="S1246" i="9"/>
  <c r="A1246" i="9"/>
  <c r="S1245" i="9"/>
  <c r="A1245" i="9"/>
  <c r="S1244" i="9"/>
  <c r="A1244" i="9"/>
  <c r="S1243" i="9"/>
  <c r="A1243" i="9"/>
  <c r="S1242" i="9"/>
  <c r="A1242" i="9"/>
  <c r="S1241" i="9"/>
  <c r="A1241" i="9"/>
  <c r="S1240" i="9"/>
  <c r="A1240" i="9"/>
  <c r="S1239" i="9"/>
  <c r="A1239" i="9"/>
  <c r="S1238" i="9"/>
  <c r="A1238" i="9"/>
  <c r="S1237" i="9"/>
  <c r="A1237" i="9"/>
  <c r="S1236" i="9"/>
  <c r="A1236" i="9"/>
  <c r="S1235" i="9"/>
  <c r="A1235" i="9"/>
  <c r="S1234" i="9"/>
  <c r="A1234" i="9"/>
  <c r="S1233" i="9"/>
  <c r="A1233" i="9"/>
  <c r="S1232" i="9"/>
  <c r="A1232" i="9"/>
  <c r="S1231" i="9"/>
  <c r="A1231" i="9"/>
  <c r="S1230" i="9"/>
  <c r="A1230" i="9"/>
  <c r="S1229" i="9"/>
  <c r="A1229" i="9"/>
  <c r="S1228" i="9"/>
  <c r="A1228" i="9"/>
  <c r="S1227" i="9"/>
  <c r="A1227" i="9"/>
  <c r="S1226" i="9"/>
  <c r="A1226" i="9"/>
  <c r="S1225" i="9"/>
  <c r="A1225" i="9"/>
  <c r="S1224" i="9"/>
  <c r="A1224" i="9"/>
  <c r="S1223" i="9"/>
  <c r="A1223" i="9"/>
  <c r="S1222" i="9"/>
  <c r="A1222" i="9"/>
  <c r="S1221" i="9"/>
  <c r="A1221" i="9"/>
  <c r="S1220" i="9"/>
  <c r="A1220" i="9"/>
  <c r="S1219" i="9"/>
  <c r="A1219" i="9"/>
  <c r="A1218" i="9"/>
  <c r="S1217" i="9"/>
  <c r="A1217" i="9"/>
  <c r="A1216" i="9"/>
  <c r="S1215" i="9"/>
  <c r="A1215" i="9"/>
  <c r="S1214" i="9"/>
  <c r="A1214" i="9"/>
  <c r="S1213" i="9"/>
  <c r="A1213" i="9"/>
  <c r="S1212" i="9"/>
  <c r="A1212" i="9"/>
  <c r="S1211" i="9"/>
  <c r="A1211" i="9"/>
  <c r="S1210" i="9"/>
  <c r="A1210" i="9"/>
  <c r="S1209" i="9"/>
  <c r="A1209" i="9"/>
  <c r="S1208" i="9"/>
  <c r="A1208" i="9"/>
  <c r="S1207" i="9"/>
  <c r="A1207" i="9"/>
  <c r="S1206" i="9"/>
  <c r="A1206" i="9"/>
  <c r="S1205" i="9"/>
  <c r="A1205" i="9"/>
  <c r="S1204" i="9"/>
  <c r="A1204" i="9"/>
  <c r="S1203" i="9"/>
  <c r="A1203" i="9"/>
  <c r="S1202" i="9"/>
  <c r="A1202" i="9"/>
  <c r="S1201" i="9"/>
  <c r="A1201" i="9"/>
  <c r="A1200" i="9"/>
  <c r="S1199" i="9"/>
  <c r="A1199" i="9"/>
  <c r="S1198" i="9"/>
  <c r="A1198" i="9"/>
  <c r="S1197" i="9"/>
  <c r="A1197" i="9"/>
  <c r="S1196" i="9"/>
  <c r="A1196" i="9"/>
  <c r="S1195" i="9"/>
  <c r="A1195" i="9"/>
  <c r="S1194" i="9"/>
  <c r="A1194" i="9"/>
  <c r="S1193" i="9"/>
  <c r="A1193" i="9"/>
  <c r="S1192" i="9"/>
  <c r="A1192" i="9"/>
  <c r="S1191" i="9"/>
  <c r="A1191" i="9"/>
  <c r="S1190" i="9"/>
  <c r="A1190" i="9"/>
  <c r="S1189" i="9"/>
  <c r="A1189" i="9"/>
  <c r="S1188" i="9"/>
  <c r="A1188" i="9"/>
  <c r="S1187" i="9"/>
  <c r="A1187" i="9"/>
  <c r="S1186" i="9"/>
  <c r="A1186" i="9"/>
  <c r="S1185" i="9"/>
  <c r="A1185" i="9"/>
  <c r="S1184" i="9"/>
  <c r="A1184" i="9"/>
  <c r="S1183" i="9"/>
  <c r="A1183" i="9"/>
  <c r="S1182" i="9"/>
  <c r="A1182" i="9"/>
  <c r="S1181" i="9"/>
  <c r="A1181" i="9"/>
  <c r="S1180" i="9"/>
  <c r="A1180" i="9"/>
  <c r="S1179" i="9"/>
  <c r="A1179" i="9"/>
  <c r="S1178" i="9"/>
  <c r="A1178" i="9"/>
  <c r="S1177" i="9"/>
  <c r="A1177" i="9"/>
  <c r="S1176" i="9"/>
  <c r="A1176" i="9"/>
  <c r="S1175" i="9"/>
  <c r="A1175" i="9"/>
  <c r="S1174" i="9"/>
  <c r="A1174" i="9"/>
  <c r="S1173" i="9"/>
  <c r="A1173" i="9"/>
  <c r="S1172" i="9"/>
  <c r="A1172" i="9"/>
  <c r="S1171" i="9"/>
  <c r="A1171" i="9"/>
  <c r="S1170" i="9"/>
  <c r="A1170" i="9"/>
  <c r="S1169" i="9"/>
  <c r="A1169" i="9"/>
  <c r="S1168" i="9"/>
  <c r="A1168" i="9"/>
  <c r="S1167" i="9"/>
  <c r="A1167" i="9"/>
  <c r="S1166" i="9"/>
  <c r="A1166" i="9"/>
  <c r="S1165" i="9"/>
  <c r="A1165" i="9"/>
  <c r="S1164" i="9"/>
  <c r="A1164" i="9"/>
  <c r="S1163" i="9"/>
  <c r="A1163" i="9"/>
  <c r="S1162" i="9"/>
  <c r="A1162" i="9"/>
  <c r="S1161" i="9"/>
  <c r="A1161" i="9"/>
  <c r="S1160" i="9"/>
  <c r="A1160" i="9"/>
  <c r="S1159" i="9"/>
  <c r="A1159" i="9"/>
  <c r="S1158" i="9"/>
  <c r="A1158" i="9"/>
  <c r="S1157" i="9"/>
  <c r="A1157" i="9"/>
  <c r="S1156" i="9"/>
  <c r="A1156" i="9"/>
  <c r="S1155" i="9"/>
  <c r="A1155" i="9"/>
  <c r="S1154" i="9"/>
  <c r="A1154" i="9"/>
  <c r="S1153" i="9"/>
  <c r="A1153" i="9"/>
  <c r="S1152" i="9"/>
  <c r="A1152" i="9"/>
  <c r="S1151" i="9"/>
  <c r="A1151" i="9"/>
  <c r="S1150" i="9"/>
  <c r="A1150" i="9"/>
  <c r="S1149" i="9"/>
  <c r="A1149" i="9"/>
  <c r="S1148" i="9"/>
  <c r="A1148" i="9"/>
  <c r="S1147" i="9"/>
  <c r="A1147" i="9"/>
  <c r="S1146" i="9"/>
  <c r="A1146" i="9"/>
  <c r="S1145" i="9"/>
  <c r="A1145" i="9"/>
  <c r="S1144" i="9"/>
  <c r="A1144" i="9"/>
  <c r="S1143" i="9"/>
  <c r="A1143" i="9"/>
  <c r="S1142" i="9"/>
  <c r="A1142" i="9"/>
  <c r="S1141" i="9"/>
  <c r="A1141" i="9"/>
  <c r="S1140" i="9"/>
  <c r="A1140" i="9"/>
  <c r="S1139" i="9"/>
  <c r="A1139" i="9"/>
  <c r="S1138" i="9"/>
  <c r="A1138" i="9"/>
  <c r="S1137" i="9"/>
  <c r="A1137" i="9"/>
  <c r="S1136" i="9"/>
  <c r="A1136" i="9"/>
  <c r="S1135" i="9"/>
  <c r="A1135" i="9"/>
  <c r="S1134" i="9"/>
  <c r="A1134" i="9"/>
  <c r="S1133" i="9"/>
  <c r="A1133" i="9"/>
  <c r="S1132" i="9"/>
  <c r="A1132" i="9"/>
  <c r="S1131" i="9"/>
  <c r="A1131" i="9"/>
  <c r="S1130" i="9"/>
  <c r="A1130" i="9"/>
  <c r="S1129" i="9"/>
  <c r="A1129" i="9"/>
  <c r="S1128" i="9"/>
  <c r="A1128" i="9"/>
  <c r="S1127" i="9"/>
  <c r="A1127" i="9"/>
  <c r="S1126" i="9"/>
  <c r="A1126" i="9"/>
  <c r="S1125" i="9"/>
  <c r="A1125" i="9"/>
  <c r="S1124" i="9"/>
  <c r="A1124" i="9"/>
  <c r="S1123" i="9"/>
  <c r="A1123" i="9"/>
  <c r="S1122" i="9"/>
  <c r="A1122" i="9"/>
  <c r="S1121" i="9"/>
  <c r="A1121" i="9"/>
  <c r="S1120" i="9"/>
  <c r="A1120" i="9"/>
  <c r="S1119" i="9"/>
  <c r="A1119" i="9"/>
  <c r="S1118" i="9"/>
  <c r="A1118" i="9"/>
  <c r="S1117" i="9"/>
  <c r="A1117" i="9"/>
  <c r="S1116" i="9"/>
  <c r="A1116" i="9"/>
  <c r="S1115" i="9"/>
  <c r="A1115" i="9"/>
  <c r="S1114" i="9"/>
  <c r="A1114" i="9"/>
  <c r="S1113" i="9"/>
  <c r="A1113" i="9"/>
  <c r="S1112" i="9"/>
  <c r="A1112" i="9"/>
  <c r="S1111" i="9"/>
  <c r="A1111" i="9"/>
  <c r="S1110" i="9"/>
  <c r="A1110" i="9"/>
  <c r="S1109" i="9"/>
  <c r="A1109" i="9"/>
  <c r="S1108" i="9"/>
  <c r="A1108" i="9"/>
  <c r="S1107" i="9"/>
  <c r="A1107" i="9"/>
  <c r="S1106" i="9"/>
  <c r="A1106" i="9"/>
  <c r="S1105" i="9"/>
  <c r="A1105" i="9"/>
  <c r="S1104" i="9"/>
  <c r="A1104" i="9"/>
  <c r="S1103" i="9"/>
  <c r="A1103" i="9"/>
  <c r="S1102" i="9"/>
  <c r="A1102" i="9"/>
  <c r="S1101" i="9"/>
  <c r="A1101" i="9"/>
  <c r="S1100" i="9"/>
  <c r="A1100" i="9"/>
  <c r="S1099" i="9"/>
  <c r="A1099" i="9"/>
  <c r="S1098" i="9"/>
  <c r="A1098" i="9"/>
  <c r="S1097" i="9"/>
  <c r="A1097" i="9"/>
  <c r="S1096" i="9"/>
  <c r="A1096" i="9"/>
  <c r="S1095" i="9"/>
  <c r="A1095" i="9"/>
  <c r="S1094" i="9"/>
  <c r="A1094" i="9"/>
  <c r="S1093" i="9"/>
  <c r="A1093" i="9"/>
  <c r="S1092" i="9"/>
  <c r="A1092" i="9"/>
  <c r="S1091" i="9"/>
  <c r="A1091" i="9"/>
  <c r="S1090" i="9"/>
  <c r="A1090" i="9"/>
  <c r="S1089" i="9"/>
  <c r="A1089" i="9"/>
  <c r="S1088" i="9"/>
  <c r="A1088" i="9"/>
  <c r="S1087" i="9"/>
  <c r="A1087" i="9"/>
  <c r="S1086" i="9"/>
  <c r="A1086" i="9"/>
  <c r="S1085" i="9"/>
  <c r="A1085" i="9"/>
  <c r="S1084" i="9"/>
  <c r="A1084" i="9"/>
  <c r="S1083" i="9"/>
  <c r="A1083" i="9"/>
  <c r="S1082" i="9"/>
  <c r="A1082" i="9"/>
  <c r="S1081" i="9"/>
  <c r="A1081" i="9"/>
  <c r="S1080" i="9"/>
  <c r="A1080" i="9"/>
  <c r="S1079" i="9"/>
  <c r="A1079" i="9"/>
  <c r="S1078" i="9"/>
  <c r="A1078" i="9"/>
  <c r="S1077" i="9"/>
  <c r="A1077" i="9"/>
  <c r="S1076" i="9"/>
  <c r="A1076" i="9"/>
  <c r="S1075" i="9"/>
  <c r="A1075" i="9"/>
  <c r="S1074" i="9"/>
  <c r="A1074" i="9"/>
  <c r="S1073" i="9"/>
  <c r="A1073" i="9"/>
  <c r="S1072" i="9"/>
  <c r="A1072" i="9"/>
  <c r="S1071" i="9"/>
  <c r="A1071" i="9"/>
  <c r="S1070" i="9"/>
  <c r="A1070" i="9"/>
  <c r="S1069" i="9"/>
  <c r="A1069" i="9"/>
  <c r="S1068" i="9"/>
  <c r="A1068" i="9"/>
  <c r="S1067" i="9"/>
  <c r="A1067" i="9"/>
  <c r="S1066" i="9"/>
  <c r="A1066" i="9"/>
  <c r="S1065" i="9"/>
  <c r="A1065" i="9"/>
  <c r="S1064" i="9"/>
  <c r="A1064" i="9"/>
  <c r="S1063" i="9"/>
  <c r="A1063" i="9"/>
  <c r="S1062" i="9"/>
  <c r="A1062" i="9"/>
  <c r="S1061" i="9"/>
  <c r="A1061" i="9"/>
  <c r="S1060" i="9"/>
  <c r="A1060" i="9"/>
  <c r="S1059" i="9"/>
  <c r="A1059" i="9"/>
  <c r="S1058" i="9"/>
  <c r="A1058" i="9"/>
  <c r="S1057" i="9"/>
  <c r="A1057" i="9"/>
  <c r="S1056" i="9"/>
  <c r="A1056" i="9"/>
  <c r="S1055" i="9"/>
  <c r="A1055" i="9"/>
  <c r="S1054" i="9"/>
  <c r="A1054" i="9"/>
  <c r="S1053" i="9"/>
  <c r="A1053" i="9"/>
  <c r="S1052" i="9"/>
  <c r="A1052" i="9"/>
  <c r="S1051" i="9"/>
  <c r="A1051" i="9"/>
  <c r="S1050" i="9"/>
  <c r="A1050" i="9"/>
  <c r="S1049" i="9"/>
  <c r="A1049" i="9"/>
  <c r="S1048" i="9"/>
  <c r="A1048" i="9"/>
  <c r="S1047" i="9"/>
  <c r="A1047" i="9"/>
  <c r="S1046" i="9"/>
  <c r="A1046" i="9"/>
  <c r="S1045" i="9"/>
  <c r="A1045" i="9"/>
  <c r="S1044" i="9"/>
  <c r="A1044" i="9"/>
  <c r="S1043" i="9"/>
  <c r="A1043" i="9"/>
  <c r="S1042" i="9"/>
  <c r="A1042" i="9"/>
  <c r="S1041" i="9"/>
  <c r="A1041" i="9"/>
  <c r="S1040" i="9"/>
  <c r="A1040" i="9"/>
  <c r="S1039" i="9"/>
  <c r="A1039" i="9"/>
  <c r="S1038" i="9"/>
  <c r="A1038" i="9"/>
  <c r="S1037" i="9"/>
  <c r="A1037" i="9"/>
  <c r="S1036" i="9"/>
  <c r="A1036" i="9"/>
  <c r="S1035" i="9"/>
  <c r="A1035" i="9"/>
  <c r="S1034" i="9"/>
  <c r="A1034" i="9"/>
  <c r="S1033" i="9"/>
  <c r="A1033" i="9"/>
  <c r="S1032" i="9"/>
  <c r="A1032" i="9"/>
  <c r="S1031" i="9"/>
  <c r="A1031" i="9"/>
  <c r="S1030" i="9"/>
  <c r="A1030" i="9"/>
  <c r="S1029" i="9"/>
  <c r="A1029" i="9"/>
  <c r="S1028" i="9"/>
  <c r="A1028" i="9"/>
  <c r="S1027" i="9"/>
  <c r="A1027" i="9"/>
  <c r="S1026" i="9"/>
  <c r="A1026" i="9"/>
  <c r="S1025" i="9"/>
  <c r="A1025" i="9"/>
  <c r="S1024" i="9"/>
  <c r="A1024" i="9"/>
  <c r="S1023" i="9"/>
  <c r="A1023" i="9"/>
  <c r="S1022" i="9"/>
  <c r="A1022" i="9"/>
  <c r="S1021" i="9"/>
  <c r="A1021" i="9"/>
  <c r="S1020" i="9"/>
  <c r="A1020" i="9"/>
  <c r="S1019" i="9"/>
  <c r="A1019" i="9"/>
  <c r="S1018" i="9"/>
  <c r="A1018" i="9"/>
  <c r="S1017" i="9"/>
  <c r="A1017" i="9"/>
  <c r="S1016" i="9"/>
  <c r="A1016" i="9"/>
  <c r="S1015" i="9"/>
  <c r="A1015" i="9"/>
  <c r="S1014" i="9"/>
  <c r="A1014" i="9"/>
  <c r="S1013" i="9"/>
  <c r="A1013" i="9"/>
  <c r="S1012" i="9"/>
  <c r="A1012" i="9"/>
  <c r="S1011" i="9"/>
  <c r="A1011" i="9"/>
  <c r="S1010" i="9"/>
  <c r="A1010" i="9"/>
  <c r="S1009" i="9"/>
  <c r="A1009" i="9"/>
  <c r="S1008" i="9"/>
  <c r="A1008" i="9"/>
  <c r="S1007" i="9"/>
  <c r="A1007" i="9"/>
  <c r="S1006" i="9"/>
  <c r="A1006" i="9"/>
  <c r="S1005" i="9"/>
  <c r="A1005" i="9"/>
  <c r="S1004" i="9"/>
  <c r="A1004" i="9"/>
  <c r="S1003" i="9"/>
  <c r="A1003" i="9"/>
  <c r="S1002" i="9"/>
  <c r="A1002" i="9"/>
  <c r="S1001" i="9"/>
  <c r="A1001" i="9"/>
  <c r="S1000" i="9"/>
  <c r="A1000" i="9"/>
  <c r="S999" i="9"/>
  <c r="A999" i="9"/>
  <c r="S998" i="9"/>
  <c r="A998" i="9"/>
  <c r="S997" i="9"/>
  <c r="A997" i="9"/>
  <c r="S996" i="9"/>
  <c r="A996" i="9"/>
  <c r="S995" i="9"/>
  <c r="A995" i="9"/>
  <c r="S994" i="9"/>
  <c r="A994" i="9"/>
  <c r="S993" i="9"/>
  <c r="A993" i="9"/>
  <c r="S992" i="9"/>
  <c r="A992" i="9"/>
  <c r="S991" i="9"/>
  <c r="A991" i="9"/>
  <c r="S990" i="9"/>
  <c r="A990" i="9"/>
  <c r="S989" i="9"/>
  <c r="A989" i="9"/>
  <c r="S988" i="9"/>
  <c r="A988" i="9"/>
  <c r="S987" i="9"/>
  <c r="A987" i="9"/>
  <c r="A986" i="9"/>
  <c r="S985" i="9"/>
  <c r="A985" i="9"/>
  <c r="S984" i="9"/>
  <c r="A984" i="9"/>
  <c r="S983" i="9"/>
  <c r="A983" i="9"/>
  <c r="S982" i="9"/>
  <c r="A982" i="9"/>
  <c r="S981" i="9"/>
  <c r="A981" i="9"/>
  <c r="S980" i="9"/>
  <c r="A980" i="9"/>
  <c r="S979" i="9"/>
  <c r="A979" i="9"/>
  <c r="S978" i="9"/>
  <c r="A978" i="9"/>
  <c r="S977" i="9"/>
  <c r="A977" i="9"/>
  <c r="S976" i="9"/>
  <c r="A976" i="9"/>
  <c r="S975" i="9"/>
  <c r="A975" i="9"/>
  <c r="S974" i="9"/>
  <c r="A974" i="9"/>
  <c r="S973" i="9"/>
  <c r="A973" i="9"/>
  <c r="S972" i="9"/>
  <c r="A972" i="9"/>
  <c r="S971" i="9"/>
  <c r="A971" i="9"/>
  <c r="S970" i="9"/>
  <c r="A970" i="9"/>
  <c r="S969" i="9"/>
  <c r="A969" i="9"/>
  <c r="S968" i="9"/>
  <c r="A968" i="9"/>
  <c r="S967" i="9"/>
  <c r="A967" i="9"/>
  <c r="S966" i="9"/>
  <c r="A966" i="9"/>
  <c r="S965" i="9"/>
  <c r="A965" i="9"/>
  <c r="S964" i="9"/>
  <c r="A964" i="9"/>
  <c r="S963" i="9"/>
  <c r="A963" i="9"/>
  <c r="S962" i="9"/>
  <c r="A962" i="9"/>
  <c r="S961" i="9"/>
  <c r="A961" i="9"/>
  <c r="S960" i="9"/>
  <c r="A960" i="9"/>
  <c r="S959" i="9"/>
  <c r="A959" i="9"/>
  <c r="S958" i="9"/>
  <c r="A958" i="9"/>
  <c r="S957" i="9"/>
  <c r="A957" i="9"/>
  <c r="S956" i="9"/>
  <c r="A956" i="9"/>
  <c r="S955" i="9"/>
  <c r="A955" i="9"/>
  <c r="S954" i="9"/>
  <c r="A954" i="9"/>
  <c r="S953" i="9"/>
  <c r="A953" i="9"/>
  <c r="S952" i="9"/>
  <c r="A952" i="9"/>
  <c r="S951" i="9"/>
  <c r="A951" i="9"/>
  <c r="S950" i="9"/>
  <c r="A950" i="9"/>
  <c r="S949" i="9"/>
  <c r="A949" i="9"/>
  <c r="S948" i="9"/>
  <c r="A948" i="9"/>
  <c r="S947" i="9"/>
  <c r="A947" i="9"/>
  <c r="S946" i="9"/>
  <c r="A946" i="9"/>
  <c r="S945" i="9"/>
  <c r="A945" i="9"/>
  <c r="S944" i="9"/>
  <c r="A944" i="9"/>
  <c r="S943" i="9"/>
  <c r="A943" i="9"/>
  <c r="S942" i="9"/>
  <c r="A942" i="9"/>
  <c r="S941" i="9"/>
  <c r="A941" i="9"/>
  <c r="S940" i="9"/>
  <c r="A940" i="9"/>
  <c r="S939" i="9"/>
  <c r="A939" i="9"/>
  <c r="S938" i="9"/>
  <c r="A938" i="9"/>
  <c r="S937" i="9"/>
  <c r="A937" i="9"/>
  <c r="S936" i="9"/>
  <c r="A936" i="9"/>
  <c r="S935" i="9"/>
  <c r="A935" i="9"/>
  <c r="S934" i="9"/>
  <c r="A934" i="9"/>
  <c r="S933" i="9"/>
  <c r="A933" i="9"/>
  <c r="S932" i="9"/>
  <c r="A932" i="9"/>
  <c r="S931" i="9"/>
  <c r="A931" i="9"/>
  <c r="S930" i="9"/>
  <c r="A930" i="9"/>
  <c r="S929" i="9"/>
  <c r="A929" i="9"/>
  <c r="S928" i="9"/>
  <c r="A928" i="9"/>
  <c r="S927" i="9"/>
  <c r="A927" i="9"/>
  <c r="S926" i="9"/>
  <c r="A926" i="9"/>
  <c r="S925" i="9"/>
  <c r="A925" i="9"/>
  <c r="S924" i="9"/>
  <c r="A924" i="9"/>
  <c r="S923" i="9"/>
  <c r="A923" i="9"/>
  <c r="S922" i="9"/>
  <c r="A922" i="9"/>
  <c r="S921" i="9"/>
  <c r="A921" i="9"/>
  <c r="S920" i="9"/>
  <c r="A920" i="9"/>
  <c r="S919" i="9"/>
  <c r="A919" i="9"/>
  <c r="A918" i="9"/>
  <c r="S917" i="9"/>
  <c r="A917" i="9"/>
  <c r="S916" i="9"/>
  <c r="A916" i="9"/>
  <c r="S915" i="9"/>
  <c r="A915" i="9"/>
  <c r="S914" i="9"/>
  <c r="A914" i="9"/>
  <c r="S913" i="9"/>
  <c r="A913" i="9"/>
  <c r="S912" i="9"/>
  <c r="A912" i="9"/>
  <c r="S911" i="9"/>
  <c r="A911" i="9"/>
  <c r="S910" i="9"/>
  <c r="A910" i="9"/>
  <c r="S909" i="9"/>
  <c r="A909" i="9"/>
  <c r="S908" i="9"/>
  <c r="A908" i="9"/>
  <c r="S907" i="9"/>
  <c r="A907" i="9"/>
  <c r="S906" i="9"/>
  <c r="A906" i="9"/>
  <c r="S905" i="9"/>
  <c r="A905" i="9"/>
  <c r="S904" i="9"/>
  <c r="A904" i="9"/>
  <c r="S903" i="9"/>
  <c r="A903" i="9"/>
  <c r="S902" i="9"/>
  <c r="A902" i="9"/>
  <c r="S901" i="9"/>
  <c r="A901" i="9"/>
  <c r="S900" i="9"/>
  <c r="A900" i="9"/>
  <c r="S899" i="9"/>
  <c r="A899" i="9"/>
  <c r="S898" i="9"/>
  <c r="A898" i="9"/>
  <c r="S897" i="9"/>
  <c r="A897" i="9"/>
  <c r="S896" i="9"/>
  <c r="A896" i="9"/>
  <c r="S895" i="9"/>
  <c r="A895" i="9"/>
  <c r="S894" i="9"/>
  <c r="A894" i="9"/>
  <c r="S893" i="9"/>
  <c r="A893" i="9"/>
  <c r="S892" i="9"/>
  <c r="A892" i="9"/>
  <c r="S891" i="9"/>
  <c r="A891" i="9"/>
  <c r="S890" i="9"/>
  <c r="A890" i="9"/>
  <c r="S889" i="9"/>
  <c r="A889" i="9"/>
  <c r="S888" i="9"/>
  <c r="A888" i="9"/>
  <c r="S887" i="9"/>
  <c r="A887" i="9"/>
  <c r="S886" i="9"/>
  <c r="A886" i="9"/>
  <c r="S885" i="9"/>
  <c r="A885" i="9"/>
  <c r="S884" i="9"/>
  <c r="A884" i="9"/>
  <c r="S883" i="9"/>
  <c r="A883" i="9"/>
  <c r="S882" i="9"/>
  <c r="A882" i="9"/>
  <c r="S881" i="9"/>
  <c r="A881" i="9"/>
  <c r="S880" i="9"/>
  <c r="A880" i="9"/>
  <c r="S879" i="9"/>
  <c r="A879" i="9"/>
  <c r="A878" i="9"/>
  <c r="S877" i="9"/>
  <c r="A877" i="9"/>
  <c r="S876" i="9"/>
  <c r="A876" i="9"/>
  <c r="S875" i="9"/>
  <c r="A875" i="9"/>
  <c r="S874" i="9"/>
  <c r="A874" i="9"/>
  <c r="S873" i="9"/>
  <c r="A873" i="9"/>
  <c r="S872" i="9"/>
  <c r="A872" i="9"/>
  <c r="S871" i="9"/>
  <c r="A871" i="9"/>
  <c r="S870" i="9"/>
  <c r="A870" i="9"/>
  <c r="S869" i="9"/>
  <c r="A869" i="9"/>
  <c r="S868" i="9"/>
  <c r="A868" i="9"/>
  <c r="S867" i="9"/>
  <c r="A867" i="9"/>
  <c r="S866" i="9"/>
  <c r="A866" i="9"/>
  <c r="S865" i="9"/>
  <c r="A865" i="9"/>
  <c r="S864" i="9"/>
  <c r="A864" i="9"/>
  <c r="A863" i="9"/>
  <c r="A862" i="9"/>
  <c r="S861" i="9"/>
  <c r="A861" i="9"/>
  <c r="A860" i="9"/>
  <c r="S859" i="9"/>
  <c r="A859" i="9"/>
  <c r="S858" i="9"/>
  <c r="A858" i="9"/>
  <c r="S857" i="9"/>
  <c r="A857" i="9"/>
  <c r="S856" i="9"/>
  <c r="A856" i="9"/>
  <c r="S855" i="9"/>
  <c r="A855" i="9"/>
  <c r="S854" i="9"/>
  <c r="A854" i="9"/>
  <c r="S853" i="9"/>
  <c r="A853" i="9"/>
  <c r="S852" i="9"/>
  <c r="A852" i="9"/>
  <c r="S851" i="9"/>
  <c r="A851" i="9"/>
  <c r="S850" i="9"/>
  <c r="A850" i="9"/>
  <c r="S849" i="9"/>
  <c r="A849" i="9"/>
  <c r="S848" i="9"/>
  <c r="A848" i="9"/>
  <c r="S847" i="9"/>
  <c r="A847" i="9"/>
  <c r="S846" i="9"/>
  <c r="A846" i="9"/>
  <c r="S845" i="9"/>
  <c r="A845" i="9"/>
  <c r="S844" i="9"/>
  <c r="A844" i="9"/>
  <c r="S843" i="9"/>
  <c r="A843" i="9"/>
  <c r="S842" i="9"/>
  <c r="A842" i="9"/>
  <c r="S841" i="9"/>
  <c r="A841" i="9"/>
  <c r="S840" i="9"/>
  <c r="A840" i="9"/>
  <c r="S839" i="9"/>
  <c r="A839" i="9"/>
  <c r="S838" i="9"/>
  <c r="A838" i="9"/>
  <c r="S837" i="9"/>
  <c r="A837" i="9"/>
  <c r="S836" i="9"/>
  <c r="A836" i="9"/>
  <c r="S835" i="9"/>
  <c r="A835" i="9"/>
  <c r="S834" i="9"/>
  <c r="A834" i="9"/>
  <c r="S833" i="9"/>
  <c r="A833" i="9"/>
  <c r="S832" i="9"/>
  <c r="A832" i="9"/>
  <c r="S831" i="9"/>
  <c r="A831" i="9"/>
  <c r="S830" i="9"/>
  <c r="A830" i="9"/>
  <c r="S829" i="9"/>
  <c r="A829" i="9"/>
  <c r="S828" i="9"/>
  <c r="A828" i="9"/>
  <c r="S827" i="9"/>
  <c r="A827" i="9"/>
  <c r="S826" i="9"/>
  <c r="A826" i="9"/>
  <c r="S825" i="9"/>
  <c r="A825" i="9"/>
  <c r="S824" i="9"/>
  <c r="A824" i="9"/>
  <c r="S823" i="9"/>
  <c r="A823" i="9"/>
  <c r="S822" i="9"/>
  <c r="A822" i="9"/>
  <c r="S821" i="9"/>
  <c r="A821" i="9"/>
  <c r="S820" i="9"/>
  <c r="A820" i="9"/>
  <c r="S819" i="9"/>
  <c r="A819" i="9"/>
  <c r="S818" i="9"/>
  <c r="A818" i="9"/>
  <c r="S817" i="9"/>
  <c r="A817" i="9"/>
  <c r="S816" i="9"/>
  <c r="A816" i="9"/>
  <c r="S815" i="9"/>
  <c r="A815" i="9"/>
  <c r="S814" i="9"/>
  <c r="A814" i="9"/>
  <c r="S813" i="9"/>
  <c r="A813" i="9"/>
  <c r="S812" i="9"/>
  <c r="A812" i="9"/>
  <c r="S811" i="9"/>
  <c r="A811" i="9"/>
  <c r="S810" i="9"/>
  <c r="A810" i="9"/>
  <c r="S809" i="9"/>
  <c r="A809" i="9"/>
  <c r="S808" i="9"/>
  <c r="A808" i="9"/>
  <c r="S807" i="9"/>
  <c r="A807" i="9"/>
  <c r="S806" i="9"/>
  <c r="A806" i="9"/>
  <c r="S805" i="9"/>
  <c r="A805" i="9"/>
  <c r="S804" i="9"/>
  <c r="A804" i="9"/>
  <c r="S803" i="9"/>
  <c r="A803" i="9"/>
  <c r="S802" i="9"/>
  <c r="A802" i="9"/>
  <c r="S801" i="9"/>
  <c r="A801" i="9"/>
  <c r="S800" i="9"/>
  <c r="A800" i="9"/>
  <c r="S799" i="9"/>
  <c r="A799" i="9"/>
  <c r="S798" i="9"/>
  <c r="A798" i="9"/>
  <c r="S797" i="9"/>
  <c r="A797" i="9"/>
  <c r="S796" i="9"/>
  <c r="A796" i="9"/>
  <c r="S795" i="9"/>
  <c r="A795" i="9"/>
  <c r="S794" i="9"/>
  <c r="A794" i="9"/>
  <c r="S793" i="9"/>
  <c r="A793" i="9"/>
  <c r="S792" i="9"/>
  <c r="A792" i="9"/>
  <c r="S791" i="9"/>
  <c r="A791" i="9"/>
  <c r="S790" i="9"/>
  <c r="A790" i="9"/>
  <c r="S789" i="9"/>
  <c r="A789" i="9"/>
  <c r="S788" i="9"/>
  <c r="A788" i="9"/>
  <c r="S787" i="9"/>
  <c r="A787" i="9"/>
  <c r="S786" i="9"/>
  <c r="A786" i="9"/>
  <c r="S785" i="9"/>
  <c r="A785" i="9"/>
  <c r="S784" i="9"/>
  <c r="A784" i="9"/>
  <c r="S783" i="9"/>
  <c r="A783" i="9"/>
  <c r="S782" i="9"/>
  <c r="A782" i="9"/>
  <c r="S781" i="9"/>
  <c r="A781" i="9"/>
  <c r="S780" i="9"/>
  <c r="A780" i="9"/>
  <c r="S779" i="9"/>
  <c r="A779" i="9"/>
  <c r="A778" i="9"/>
  <c r="S777" i="9"/>
  <c r="A777" i="9"/>
  <c r="S776" i="9"/>
  <c r="A776" i="9"/>
  <c r="S775" i="9"/>
  <c r="A775" i="9"/>
  <c r="S774" i="9"/>
  <c r="A774" i="9"/>
  <c r="S773" i="9"/>
  <c r="A773" i="9"/>
  <c r="S772" i="9"/>
  <c r="A772" i="9"/>
  <c r="S771" i="9"/>
  <c r="A771" i="9"/>
  <c r="S770" i="9"/>
  <c r="A770" i="9"/>
  <c r="S769" i="9"/>
  <c r="A769" i="9"/>
  <c r="S768" i="9"/>
  <c r="A768" i="9"/>
  <c r="S767" i="9"/>
  <c r="A767" i="9"/>
  <c r="S766" i="9"/>
  <c r="A766" i="9"/>
  <c r="S765" i="9"/>
  <c r="A765" i="9"/>
  <c r="S764" i="9"/>
  <c r="A764" i="9"/>
  <c r="S763" i="9"/>
  <c r="A763" i="9"/>
  <c r="S762" i="9"/>
  <c r="A762" i="9"/>
  <c r="S761" i="9"/>
  <c r="A761" i="9"/>
  <c r="S760" i="9"/>
  <c r="A760" i="9"/>
  <c r="S759" i="9"/>
  <c r="A759" i="9"/>
  <c r="S758" i="9"/>
  <c r="A758" i="9"/>
  <c r="S757" i="9"/>
  <c r="A757" i="9"/>
  <c r="S756" i="9"/>
  <c r="A756" i="9"/>
  <c r="S755" i="9"/>
  <c r="A755" i="9"/>
  <c r="S754" i="9"/>
  <c r="A754" i="9"/>
  <c r="S753" i="9"/>
  <c r="A753" i="9"/>
  <c r="S752" i="9"/>
  <c r="A752" i="9"/>
  <c r="S751" i="9"/>
  <c r="A751" i="9"/>
  <c r="S750" i="9"/>
  <c r="A750" i="9"/>
  <c r="S749" i="9"/>
  <c r="A749" i="9"/>
  <c r="S748" i="9"/>
  <c r="A748" i="9"/>
  <c r="S747" i="9"/>
  <c r="A747" i="9"/>
  <c r="S746" i="9"/>
  <c r="A746" i="9"/>
  <c r="S745" i="9"/>
  <c r="A745" i="9"/>
  <c r="S744" i="9"/>
  <c r="A744" i="9"/>
  <c r="S743" i="9"/>
  <c r="A743" i="9"/>
  <c r="S742" i="9"/>
  <c r="A742" i="9"/>
  <c r="S741" i="9"/>
  <c r="A741" i="9"/>
  <c r="S740" i="9"/>
  <c r="A740" i="9"/>
  <c r="S739" i="9"/>
  <c r="A739" i="9"/>
  <c r="S738" i="9"/>
  <c r="A738" i="9"/>
  <c r="S737" i="9"/>
  <c r="A737" i="9"/>
  <c r="S736" i="9"/>
  <c r="A736" i="9"/>
  <c r="S735" i="9"/>
  <c r="A735" i="9"/>
  <c r="S734" i="9"/>
  <c r="A734" i="9"/>
  <c r="S733" i="9"/>
  <c r="A733" i="9"/>
  <c r="S732" i="9"/>
  <c r="A732" i="9"/>
  <c r="S731" i="9"/>
  <c r="A731" i="9"/>
  <c r="S730" i="9"/>
  <c r="A730" i="9"/>
  <c r="S729" i="9"/>
  <c r="A729" i="9"/>
  <c r="S728" i="9"/>
  <c r="A728" i="9"/>
  <c r="S727" i="9"/>
  <c r="A727" i="9"/>
  <c r="S726" i="9"/>
  <c r="A726" i="9"/>
  <c r="S725" i="9"/>
  <c r="A725" i="9"/>
  <c r="S724" i="9"/>
  <c r="A724" i="9"/>
  <c r="S723" i="9"/>
  <c r="A723" i="9"/>
  <c r="S722" i="9"/>
  <c r="A722" i="9"/>
  <c r="S721" i="9"/>
  <c r="A721" i="9"/>
  <c r="S720" i="9"/>
  <c r="A720" i="9"/>
  <c r="S719" i="9"/>
  <c r="A719" i="9"/>
  <c r="S718" i="9"/>
  <c r="A718" i="9"/>
  <c r="S717" i="9"/>
  <c r="A717" i="9"/>
  <c r="S716" i="9"/>
  <c r="A716" i="9"/>
  <c r="S715" i="9"/>
  <c r="A715" i="9"/>
  <c r="S714" i="9"/>
  <c r="A714" i="9"/>
  <c r="S713" i="9"/>
  <c r="A713" i="9"/>
  <c r="S712" i="9"/>
  <c r="A712" i="9"/>
  <c r="S711" i="9"/>
  <c r="A711" i="9"/>
  <c r="S710" i="9"/>
  <c r="A710" i="9"/>
  <c r="S709" i="9"/>
  <c r="A709" i="9"/>
  <c r="S708" i="9"/>
  <c r="A708" i="9"/>
  <c r="S707" i="9"/>
  <c r="A707" i="9"/>
  <c r="S706" i="9"/>
  <c r="A706" i="9"/>
  <c r="S705" i="9"/>
  <c r="A705" i="9"/>
  <c r="S704" i="9"/>
  <c r="A704" i="9"/>
  <c r="S703" i="9"/>
  <c r="A703" i="9"/>
  <c r="S702" i="9"/>
  <c r="A702" i="9"/>
  <c r="S701" i="9"/>
  <c r="A701" i="9"/>
  <c r="S700" i="9"/>
  <c r="A700" i="9"/>
  <c r="S699" i="9"/>
  <c r="A699" i="9"/>
  <c r="S698" i="9"/>
  <c r="A698" i="9"/>
  <c r="S697" i="9"/>
  <c r="A697" i="9"/>
  <c r="S696" i="9"/>
  <c r="A696" i="9"/>
  <c r="S695" i="9"/>
  <c r="A695" i="9"/>
  <c r="S694" i="9"/>
  <c r="A694" i="9"/>
  <c r="S693" i="9"/>
  <c r="A693" i="9"/>
  <c r="S692" i="9"/>
  <c r="A692" i="9"/>
  <c r="S691" i="9"/>
  <c r="A691" i="9"/>
  <c r="S690" i="9"/>
  <c r="A690" i="9"/>
  <c r="S689" i="9"/>
  <c r="A689" i="9"/>
  <c r="S688" i="9"/>
  <c r="A688" i="9"/>
  <c r="S687" i="9"/>
  <c r="A687" i="9"/>
  <c r="S686" i="9"/>
  <c r="A686" i="9"/>
  <c r="S685" i="9"/>
  <c r="A685" i="9"/>
  <c r="S684" i="9"/>
  <c r="A684" i="9"/>
  <c r="S683" i="9"/>
  <c r="A683" i="9"/>
  <c r="S682" i="9"/>
  <c r="A682" i="9"/>
  <c r="S681" i="9"/>
  <c r="A681" i="9"/>
  <c r="S680" i="9"/>
  <c r="A680" i="9"/>
  <c r="S679" i="9"/>
  <c r="A679" i="9"/>
  <c r="S678" i="9"/>
  <c r="A678" i="9"/>
  <c r="S677" i="9"/>
  <c r="A677" i="9"/>
  <c r="S676" i="9"/>
  <c r="A676" i="9"/>
  <c r="S675" i="9"/>
  <c r="A675" i="9"/>
  <c r="S674" i="9"/>
  <c r="A674" i="9"/>
  <c r="S673" i="9"/>
  <c r="A673" i="9"/>
  <c r="S672" i="9"/>
  <c r="A672" i="9"/>
  <c r="S671" i="9"/>
  <c r="A671" i="9"/>
  <c r="S670" i="9"/>
  <c r="A670" i="9"/>
  <c r="S669" i="9"/>
  <c r="A669" i="9"/>
  <c r="S668" i="9"/>
  <c r="A668" i="9"/>
  <c r="S667" i="9"/>
  <c r="A667" i="9"/>
  <c r="S666" i="9"/>
  <c r="A666" i="9"/>
  <c r="S665" i="9"/>
  <c r="A665" i="9"/>
  <c r="S664" i="9"/>
  <c r="A664" i="9"/>
  <c r="S663" i="9"/>
  <c r="A663" i="9"/>
  <c r="S662" i="9"/>
  <c r="A662" i="9"/>
  <c r="S661" i="9"/>
  <c r="A661" i="9"/>
  <c r="S660" i="9"/>
  <c r="A660" i="9"/>
  <c r="S659" i="9"/>
  <c r="A659" i="9"/>
  <c r="S658" i="9"/>
  <c r="A658" i="9"/>
  <c r="S657" i="9"/>
  <c r="A657" i="9"/>
  <c r="S656" i="9"/>
  <c r="A656" i="9"/>
  <c r="S655" i="9"/>
  <c r="A655" i="9"/>
  <c r="S654" i="9"/>
  <c r="A654" i="9"/>
  <c r="S653" i="9"/>
  <c r="A653" i="9"/>
  <c r="S652" i="9"/>
  <c r="A652" i="9"/>
  <c r="S651" i="9"/>
  <c r="A651" i="9"/>
  <c r="S650" i="9"/>
  <c r="A650" i="9"/>
  <c r="S649" i="9"/>
  <c r="A649" i="9"/>
  <c r="S648" i="9"/>
  <c r="A648" i="9"/>
  <c r="S647" i="9"/>
  <c r="A647" i="9"/>
  <c r="S646" i="9"/>
  <c r="A646" i="9"/>
  <c r="S645" i="9"/>
  <c r="A645" i="9"/>
  <c r="S644" i="9"/>
  <c r="A644" i="9"/>
  <c r="S643" i="9"/>
  <c r="A643" i="9"/>
  <c r="S642" i="9"/>
  <c r="A642" i="9"/>
  <c r="S641" i="9"/>
  <c r="A641" i="9"/>
  <c r="S640" i="9"/>
  <c r="A640" i="9"/>
  <c r="S639" i="9"/>
  <c r="A639" i="9"/>
  <c r="S638" i="9"/>
  <c r="A638" i="9"/>
  <c r="S637" i="9"/>
  <c r="A637" i="9"/>
  <c r="S636" i="9"/>
  <c r="A636" i="9"/>
  <c r="S635" i="9"/>
  <c r="A635" i="9"/>
  <c r="S634" i="9"/>
  <c r="A634" i="9"/>
  <c r="S633" i="9"/>
  <c r="A633" i="9"/>
  <c r="S632" i="9"/>
  <c r="A632" i="9"/>
  <c r="S631" i="9"/>
  <c r="A631" i="9"/>
  <c r="S630" i="9"/>
  <c r="A630" i="9"/>
  <c r="S629" i="9"/>
  <c r="A629" i="9"/>
  <c r="S628" i="9"/>
  <c r="A628" i="9"/>
  <c r="S627" i="9"/>
  <c r="A627" i="9"/>
  <c r="S626" i="9"/>
  <c r="A626" i="9"/>
  <c r="S625" i="9"/>
  <c r="A625" i="9"/>
  <c r="S624" i="9"/>
  <c r="A624" i="9"/>
  <c r="S623" i="9"/>
  <c r="A623" i="9"/>
  <c r="S622" i="9"/>
  <c r="A622" i="9"/>
  <c r="S621" i="9"/>
  <c r="A621" i="9"/>
  <c r="S620" i="9"/>
  <c r="A620" i="9"/>
  <c r="S619" i="9"/>
  <c r="A619" i="9"/>
  <c r="S618" i="9"/>
  <c r="A618" i="9"/>
  <c r="S617" i="9"/>
  <c r="A617" i="9"/>
  <c r="S616" i="9"/>
  <c r="A616" i="9"/>
  <c r="S615" i="9"/>
  <c r="A615" i="9"/>
  <c r="S614" i="9"/>
  <c r="A614" i="9"/>
  <c r="S613" i="9"/>
  <c r="A613" i="9"/>
  <c r="S612" i="9"/>
  <c r="A612" i="9"/>
  <c r="S611" i="9"/>
  <c r="A611" i="9"/>
  <c r="S610" i="9"/>
  <c r="A610" i="9"/>
  <c r="A609" i="9"/>
  <c r="A608" i="9"/>
  <c r="A607" i="9"/>
  <c r="A606" i="9"/>
  <c r="A605" i="9"/>
  <c r="A604" i="9"/>
  <c r="A603" i="9"/>
  <c r="A602" i="9"/>
  <c r="A601" i="9"/>
  <c r="A600" i="9"/>
  <c r="S599" i="9"/>
  <c r="A599" i="9"/>
  <c r="S598" i="9"/>
  <c r="A598" i="9"/>
  <c r="S597" i="9"/>
  <c r="A597" i="9"/>
  <c r="S596" i="9"/>
  <c r="A596" i="9"/>
  <c r="S595" i="9"/>
  <c r="A595" i="9"/>
  <c r="S594" i="9"/>
  <c r="A594" i="9"/>
  <c r="S593" i="9"/>
  <c r="A593" i="9"/>
  <c r="S592" i="9"/>
  <c r="A592" i="9"/>
  <c r="S591" i="9"/>
  <c r="A591" i="9"/>
  <c r="S590" i="9"/>
  <c r="A590" i="9"/>
  <c r="S589" i="9"/>
  <c r="A589" i="9"/>
  <c r="S588" i="9"/>
  <c r="A588" i="9"/>
  <c r="S587" i="9"/>
  <c r="A587" i="9"/>
  <c r="S586" i="9"/>
  <c r="A586" i="9"/>
  <c r="S585" i="9"/>
  <c r="A585" i="9"/>
  <c r="S584" i="9"/>
  <c r="A584" i="9"/>
  <c r="S583" i="9"/>
  <c r="A583" i="9"/>
  <c r="S582" i="9"/>
  <c r="A582" i="9"/>
  <c r="S581" i="9"/>
  <c r="A581" i="9"/>
  <c r="S580" i="9"/>
  <c r="A580" i="9"/>
  <c r="S579" i="9"/>
  <c r="A579" i="9"/>
  <c r="S578" i="9"/>
  <c r="A578" i="9"/>
  <c r="S577" i="9"/>
  <c r="A577" i="9"/>
  <c r="S576" i="9"/>
  <c r="A576" i="9"/>
  <c r="S575" i="9"/>
  <c r="A575" i="9"/>
  <c r="S574" i="9"/>
  <c r="A574" i="9"/>
  <c r="S573" i="9"/>
  <c r="A573" i="9"/>
  <c r="S572" i="9"/>
  <c r="A572" i="9"/>
  <c r="S571" i="9"/>
  <c r="A571" i="9"/>
  <c r="S570" i="9"/>
  <c r="A570" i="9"/>
  <c r="S569" i="9"/>
  <c r="A569" i="9"/>
  <c r="S568" i="9"/>
  <c r="A568" i="9"/>
  <c r="S567" i="9"/>
  <c r="A567" i="9"/>
  <c r="S566" i="9"/>
  <c r="A566" i="9"/>
  <c r="S565" i="9"/>
  <c r="A565" i="9"/>
  <c r="S564" i="9"/>
  <c r="A564" i="9"/>
  <c r="S563" i="9"/>
  <c r="A563" i="9"/>
  <c r="S562" i="9"/>
  <c r="A562" i="9"/>
  <c r="S561" i="9"/>
  <c r="A561" i="9"/>
  <c r="S560" i="9"/>
  <c r="A560" i="9"/>
  <c r="S559" i="9"/>
  <c r="A559" i="9"/>
  <c r="S558" i="9"/>
  <c r="A558" i="9"/>
  <c r="S557" i="9"/>
  <c r="A557" i="9"/>
  <c r="S556" i="9"/>
  <c r="A556" i="9"/>
  <c r="S555" i="9"/>
  <c r="A555" i="9"/>
  <c r="S554" i="9"/>
  <c r="A554" i="9"/>
  <c r="S553" i="9"/>
  <c r="A553" i="9"/>
  <c r="S552" i="9"/>
  <c r="A552" i="9"/>
  <c r="S551" i="9"/>
  <c r="A551" i="9"/>
  <c r="S550" i="9"/>
  <c r="A550" i="9"/>
  <c r="S549" i="9"/>
  <c r="A549" i="9"/>
  <c r="S548" i="9"/>
  <c r="A548" i="9"/>
  <c r="S547" i="9"/>
  <c r="A547" i="9"/>
  <c r="S546" i="9"/>
  <c r="A546" i="9"/>
  <c r="S545" i="9"/>
  <c r="A545" i="9"/>
  <c r="S544" i="9"/>
  <c r="A544" i="9"/>
  <c r="S543" i="9"/>
  <c r="A543" i="9"/>
  <c r="S542" i="9"/>
  <c r="A542" i="9"/>
  <c r="S541" i="9"/>
  <c r="A541" i="9"/>
  <c r="S540" i="9"/>
  <c r="A540" i="9"/>
  <c r="S539" i="9"/>
  <c r="A539" i="9"/>
  <c r="S538" i="9"/>
  <c r="A538" i="9"/>
  <c r="S537" i="9"/>
  <c r="A537" i="9"/>
  <c r="S536" i="9"/>
  <c r="A536" i="9"/>
  <c r="S535" i="9"/>
  <c r="A535" i="9"/>
  <c r="S534" i="9"/>
  <c r="A534" i="9"/>
  <c r="S533" i="9"/>
  <c r="A533" i="9"/>
  <c r="S532" i="9"/>
  <c r="A532" i="9"/>
  <c r="S531" i="9"/>
  <c r="A531" i="9"/>
  <c r="S530" i="9"/>
  <c r="A530" i="9"/>
  <c r="S529" i="9"/>
  <c r="A529" i="9"/>
  <c r="S528" i="9"/>
  <c r="A528" i="9"/>
  <c r="S527" i="9"/>
  <c r="A527" i="9"/>
  <c r="S526" i="9"/>
  <c r="A526" i="9"/>
  <c r="S525" i="9"/>
  <c r="A525" i="9"/>
  <c r="S524" i="9"/>
  <c r="A524" i="9"/>
  <c r="S523" i="9"/>
  <c r="A523" i="9"/>
  <c r="S522" i="9"/>
  <c r="A522" i="9"/>
  <c r="A521" i="9"/>
  <c r="S520" i="9"/>
  <c r="A520" i="9"/>
  <c r="S519" i="9"/>
  <c r="A519" i="9"/>
  <c r="S518" i="9"/>
  <c r="A518" i="9"/>
  <c r="S517" i="9"/>
  <c r="A517" i="9"/>
  <c r="S516" i="9"/>
  <c r="A516" i="9"/>
  <c r="S515" i="9"/>
  <c r="A515" i="9"/>
  <c r="S514" i="9"/>
  <c r="A514" i="9"/>
  <c r="S513" i="9"/>
  <c r="A513" i="9"/>
  <c r="S512" i="9"/>
  <c r="A512" i="9"/>
  <c r="S511" i="9"/>
  <c r="A511" i="9"/>
  <c r="S510" i="9"/>
  <c r="A510" i="9"/>
  <c r="S509" i="9"/>
  <c r="A509" i="9"/>
  <c r="S508" i="9"/>
  <c r="A508" i="9"/>
  <c r="S507" i="9"/>
  <c r="A507" i="9"/>
  <c r="S506" i="9"/>
  <c r="A506" i="9"/>
  <c r="S505" i="9"/>
  <c r="A505" i="9"/>
  <c r="S504" i="9"/>
  <c r="A504" i="9"/>
  <c r="S503" i="9"/>
  <c r="A503" i="9"/>
  <c r="S502" i="9"/>
  <c r="A502" i="9"/>
  <c r="S501" i="9"/>
  <c r="A501" i="9"/>
  <c r="S500" i="9"/>
  <c r="A500" i="9"/>
  <c r="S499" i="9"/>
  <c r="A499" i="9"/>
  <c r="S498" i="9"/>
  <c r="A498" i="9"/>
  <c r="S497" i="9"/>
  <c r="A497" i="9"/>
  <c r="S496" i="9"/>
  <c r="A496" i="9"/>
  <c r="S495" i="9"/>
  <c r="A495" i="9"/>
  <c r="S494" i="9"/>
  <c r="A494" i="9"/>
  <c r="S493" i="9"/>
  <c r="A493" i="9"/>
  <c r="S492" i="9"/>
  <c r="A492" i="9"/>
  <c r="S491" i="9"/>
  <c r="A491" i="9"/>
  <c r="S490" i="9"/>
  <c r="A490" i="9"/>
  <c r="S489" i="9"/>
  <c r="A489" i="9"/>
  <c r="S488" i="9"/>
  <c r="A488" i="9"/>
  <c r="S487" i="9"/>
  <c r="A487" i="9"/>
  <c r="S486" i="9"/>
  <c r="A486" i="9"/>
  <c r="S485" i="9"/>
  <c r="A485" i="9"/>
  <c r="S484" i="9"/>
  <c r="A484" i="9"/>
  <c r="S483" i="9"/>
  <c r="A483" i="9"/>
  <c r="S482" i="9"/>
  <c r="A482" i="9"/>
  <c r="S481" i="9"/>
  <c r="A481" i="9"/>
  <c r="S480" i="9"/>
  <c r="A480" i="9"/>
  <c r="S479" i="9"/>
  <c r="A479" i="9"/>
  <c r="S478" i="9"/>
  <c r="A478" i="9"/>
  <c r="S477" i="9"/>
  <c r="A477" i="9"/>
  <c r="S476" i="9"/>
  <c r="A476" i="9"/>
  <c r="S475" i="9"/>
  <c r="A475" i="9"/>
  <c r="S474" i="9"/>
  <c r="A474" i="9"/>
  <c r="S473" i="9"/>
  <c r="A473" i="9"/>
  <c r="S472" i="9"/>
  <c r="A472" i="9"/>
  <c r="S471" i="9"/>
  <c r="A471" i="9"/>
  <c r="S470" i="9"/>
  <c r="A470" i="9"/>
  <c r="S469" i="9"/>
  <c r="A469" i="9"/>
  <c r="S468" i="9"/>
  <c r="A468" i="9"/>
  <c r="S467" i="9"/>
  <c r="A467" i="9"/>
  <c r="S466" i="9"/>
  <c r="A466" i="9"/>
  <c r="S465" i="9"/>
  <c r="A465" i="9"/>
  <c r="S464" i="9"/>
  <c r="A464" i="9"/>
  <c r="S463" i="9"/>
  <c r="A463" i="9"/>
  <c r="S462" i="9"/>
  <c r="A462" i="9"/>
  <c r="S461" i="9"/>
  <c r="A461" i="9"/>
  <c r="S460" i="9"/>
  <c r="A460" i="9"/>
  <c r="S459" i="9"/>
  <c r="A459" i="9"/>
  <c r="S458" i="9"/>
  <c r="A458" i="9"/>
  <c r="S457" i="9"/>
  <c r="A457" i="9"/>
  <c r="S456" i="9"/>
  <c r="A456" i="9"/>
  <c r="S455" i="9"/>
  <c r="A455" i="9"/>
  <c r="S454" i="9"/>
  <c r="A454" i="9"/>
  <c r="S453" i="9"/>
  <c r="A453" i="9"/>
  <c r="S452" i="9"/>
  <c r="A452" i="9"/>
  <c r="S451" i="9"/>
  <c r="A451" i="9"/>
  <c r="S450" i="9"/>
  <c r="A450" i="9"/>
  <c r="S449" i="9"/>
  <c r="A449" i="9"/>
  <c r="S448" i="9"/>
  <c r="A448" i="9"/>
  <c r="S447" i="9"/>
  <c r="A447" i="9"/>
  <c r="S446" i="9"/>
  <c r="A446" i="9"/>
  <c r="S445" i="9"/>
  <c r="A445" i="9"/>
  <c r="S444" i="9"/>
  <c r="A444" i="9"/>
  <c r="S443" i="9"/>
  <c r="A443" i="9"/>
  <c r="S442" i="9"/>
  <c r="A442" i="9"/>
  <c r="S441" i="9"/>
  <c r="A441" i="9"/>
  <c r="S440" i="9"/>
  <c r="A440" i="9"/>
  <c r="S439" i="9"/>
  <c r="A439" i="9"/>
  <c r="S438" i="9"/>
  <c r="A438" i="9"/>
  <c r="S437" i="9"/>
  <c r="A437" i="9"/>
  <c r="S436" i="9"/>
  <c r="A436" i="9"/>
  <c r="S435" i="9"/>
  <c r="A435" i="9"/>
  <c r="S434" i="9"/>
  <c r="A434" i="9"/>
  <c r="S433" i="9"/>
  <c r="A433" i="9"/>
  <c r="A432" i="9"/>
  <c r="S431" i="9"/>
  <c r="A431" i="9"/>
  <c r="S430" i="9"/>
  <c r="A430" i="9"/>
  <c r="S429" i="9"/>
  <c r="A429" i="9"/>
  <c r="S428" i="9"/>
  <c r="A428" i="9"/>
  <c r="S427" i="9"/>
  <c r="A427" i="9"/>
  <c r="S426" i="9"/>
  <c r="A426" i="9"/>
  <c r="S425" i="9"/>
  <c r="A425" i="9"/>
  <c r="S424" i="9"/>
  <c r="A424" i="9"/>
  <c r="S423" i="9"/>
  <c r="A423" i="9"/>
  <c r="S422" i="9"/>
  <c r="A422" i="9"/>
  <c r="S421" i="9"/>
  <c r="A421" i="9"/>
  <c r="S420" i="9"/>
  <c r="A420" i="9"/>
  <c r="S419" i="9"/>
  <c r="A419" i="9"/>
  <c r="S418" i="9"/>
  <c r="A418" i="9"/>
  <c r="S417" i="9"/>
  <c r="A417" i="9"/>
  <c r="S416" i="9"/>
  <c r="A416" i="9"/>
  <c r="S415" i="9"/>
  <c r="A415" i="9"/>
  <c r="S414" i="9"/>
  <c r="A414" i="9"/>
  <c r="S413" i="9"/>
  <c r="A413" i="9"/>
  <c r="S412" i="9"/>
  <c r="A412" i="9"/>
  <c r="S411" i="9"/>
  <c r="A411" i="9"/>
  <c r="S410" i="9"/>
  <c r="A410" i="9"/>
  <c r="S409" i="9"/>
  <c r="A409" i="9"/>
  <c r="S408" i="9"/>
  <c r="A408" i="9"/>
  <c r="S407" i="9"/>
  <c r="A407" i="9"/>
  <c r="S406" i="9"/>
  <c r="A406" i="9"/>
  <c r="S405" i="9"/>
  <c r="A405" i="9"/>
  <c r="S404" i="9"/>
  <c r="A404" i="9"/>
  <c r="S403" i="9"/>
  <c r="A403" i="9"/>
  <c r="S402" i="9"/>
  <c r="A402" i="9"/>
  <c r="S401" i="9"/>
  <c r="A401" i="9"/>
  <c r="S400" i="9"/>
  <c r="A400" i="9"/>
  <c r="S399" i="9"/>
  <c r="A399" i="9"/>
  <c r="S398" i="9"/>
  <c r="A398" i="9"/>
  <c r="S397" i="9"/>
  <c r="A397" i="9"/>
  <c r="S396" i="9"/>
  <c r="A396" i="9"/>
  <c r="S395" i="9"/>
  <c r="A395" i="9"/>
  <c r="S394" i="9"/>
  <c r="A394" i="9"/>
  <c r="S393" i="9"/>
  <c r="A393" i="9"/>
  <c r="S392" i="9"/>
  <c r="A392" i="9"/>
  <c r="S391" i="9"/>
  <c r="A391" i="9"/>
  <c r="S390" i="9"/>
  <c r="A390" i="9"/>
  <c r="S389" i="9"/>
  <c r="A389" i="9"/>
  <c r="S388" i="9"/>
  <c r="A388" i="9"/>
  <c r="S387" i="9"/>
  <c r="A387" i="9"/>
  <c r="S386" i="9"/>
  <c r="A386" i="9"/>
  <c r="S385" i="9"/>
  <c r="A385" i="9"/>
  <c r="S384" i="9"/>
  <c r="A384" i="9"/>
  <c r="S383" i="9"/>
  <c r="A383" i="9"/>
  <c r="S382" i="9"/>
  <c r="A382" i="9"/>
  <c r="S381" i="9"/>
  <c r="A381" i="9"/>
  <c r="S380" i="9"/>
  <c r="A380" i="9"/>
  <c r="S379" i="9"/>
  <c r="A379" i="9"/>
  <c r="S378" i="9"/>
  <c r="A378" i="9"/>
  <c r="S377" i="9"/>
  <c r="A377" i="9"/>
  <c r="S376" i="9"/>
  <c r="A376" i="9"/>
  <c r="S375" i="9"/>
  <c r="A375" i="9"/>
  <c r="S374" i="9"/>
  <c r="A374" i="9"/>
  <c r="S373" i="9"/>
  <c r="A373" i="9"/>
  <c r="S372" i="9"/>
  <c r="A372" i="9"/>
  <c r="S371" i="9"/>
  <c r="A371" i="9"/>
  <c r="S370" i="9"/>
  <c r="A370" i="9"/>
  <c r="S369" i="9"/>
  <c r="A369" i="9"/>
  <c r="S368" i="9"/>
  <c r="A368" i="9"/>
  <c r="S367" i="9"/>
  <c r="A367" i="9"/>
  <c r="S366" i="9"/>
  <c r="A366" i="9"/>
  <c r="S365" i="9"/>
  <c r="A365" i="9"/>
  <c r="S364" i="9"/>
  <c r="A364" i="9"/>
  <c r="S363" i="9"/>
  <c r="A363" i="9"/>
  <c r="S362" i="9"/>
  <c r="A362" i="9"/>
  <c r="S361" i="9"/>
  <c r="A361" i="9"/>
  <c r="S360" i="9"/>
  <c r="A360" i="9"/>
  <c r="S359" i="9"/>
  <c r="A359" i="9"/>
  <c r="S358" i="9"/>
  <c r="A358" i="9"/>
  <c r="S357" i="9"/>
  <c r="A357" i="9"/>
  <c r="S356" i="9"/>
  <c r="A356" i="9"/>
  <c r="S355" i="9"/>
  <c r="A355" i="9"/>
  <c r="S354" i="9"/>
  <c r="A354" i="9"/>
  <c r="S353" i="9"/>
  <c r="A353" i="9"/>
  <c r="S352" i="9"/>
  <c r="A352" i="9"/>
  <c r="S351" i="9"/>
  <c r="A351" i="9"/>
  <c r="S350" i="9"/>
  <c r="A350" i="9"/>
  <c r="S349" i="9"/>
  <c r="A349" i="9"/>
  <c r="S348" i="9"/>
  <c r="A348" i="9"/>
  <c r="S347" i="9"/>
  <c r="A347" i="9"/>
  <c r="S346" i="9"/>
  <c r="A346" i="9"/>
  <c r="S345" i="9"/>
  <c r="A345" i="9"/>
  <c r="S344" i="9"/>
  <c r="A344" i="9"/>
  <c r="S343" i="9"/>
  <c r="A343" i="9"/>
  <c r="S342" i="9"/>
  <c r="A342" i="9"/>
  <c r="S341" i="9"/>
  <c r="A341" i="9"/>
  <c r="S340" i="9"/>
  <c r="A340" i="9"/>
  <c r="S339" i="9"/>
  <c r="A339" i="9"/>
  <c r="S338" i="9"/>
  <c r="A338" i="9"/>
  <c r="S337" i="9"/>
  <c r="A337" i="9"/>
  <c r="S336" i="9"/>
  <c r="A336" i="9"/>
  <c r="S335" i="9"/>
  <c r="A335" i="9"/>
  <c r="S334" i="9"/>
  <c r="A334" i="9"/>
  <c r="S333" i="9"/>
  <c r="A333" i="9"/>
  <c r="S332" i="9"/>
  <c r="A332" i="9"/>
  <c r="S331" i="9"/>
  <c r="A331" i="9"/>
  <c r="S330" i="9"/>
  <c r="A330" i="9"/>
  <c r="S329" i="9"/>
  <c r="A329" i="9"/>
  <c r="S328" i="9"/>
  <c r="A328" i="9"/>
  <c r="S327" i="9"/>
  <c r="A327" i="9"/>
  <c r="S326" i="9"/>
  <c r="A326" i="9"/>
  <c r="S325" i="9"/>
  <c r="A325" i="9"/>
  <c r="S324" i="9"/>
  <c r="A324" i="9"/>
  <c r="S323" i="9"/>
  <c r="A323" i="9"/>
  <c r="S322" i="9"/>
  <c r="A322" i="9"/>
  <c r="S321" i="9"/>
  <c r="A321" i="9"/>
  <c r="S320" i="9"/>
  <c r="A320" i="9"/>
  <c r="S319" i="9"/>
  <c r="A319" i="9"/>
  <c r="S318" i="9"/>
  <c r="A318" i="9"/>
  <c r="S317" i="9"/>
  <c r="A317" i="9"/>
  <c r="S316" i="9"/>
  <c r="A316" i="9"/>
  <c r="S315" i="9"/>
  <c r="A315" i="9"/>
  <c r="S314" i="9"/>
  <c r="A314" i="9"/>
  <c r="S313" i="9"/>
  <c r="A313" i="9"/>
  <c r="S312" i="9"/>
  <c r="A312" i="9"/>
  <c r="S311" i="9"/>
  <c r="A311" i="9"/>
  <c r="S310" i="9"/>
  <c r="A310" i="9"/>
  <c r="S309" i="9"/>
  <c r="A309" i="9"/>
  <c r="S308" i="9"/>
  <c r="A308" i="9"/>
  <c r="S307" i="9"/>
  <c r="A307" i="9"/>
  <c r="S306" i="9"/>
  <c r="A306" i="9"/>
  <c r="S305" i="9"/>
  <c r="A305" i="9"/>
  <c r="S304" i="9"/>
  <c r="A304" i="9"/>
  <c r="S303" i="9"/>
  <c r="A303" i="9"/>
  <c r="S302" i="9"/>
  <c r="A302" i="9"/>
  <c r="S301" i="9"/>
  <c r="A301" i="9"/>
  <c r="S300" i="9"/>
  <c r="A300" i="9"/>
  <c r="S299" i="9"/>
  <c r="A299" i="9"/>
  <c r="S298" i="9"/>
  <c r="A298" i="9"/>
  <c r="S297" i="9"/>
  <c r="A297" i="9"/>
  <c r="S296" i="9"/>
  <c r="A296" i="9"/>
  <c r="S295" i="9"/>
  <c r="A295" i="9"/>
  <c r="S294" i="9"/>
  <c r="A294" i="9"/>
  <c r="S293" i="9"/>
  <c r="A293" i="9"/>
  <c r="S292" i="9"/>
  <c r="A292" i="9"/>
  <c r="S291" i="9"/>
  <c r="A291" i="9"/>
  <c r="S290" i="9"/>
  <c r="A290" i="9"/>
  <c r="S289" i="9"/>
  <c r="A289" i="9"/>
  <c r="S288" i="9"/>
  <c r="A288" i="9"/>
  <c r="S287" i="9"/>
  <c r="A287" i="9"/>
  <c r="S286" i="9"/>
  <c r="A286" i="9"/>
  <c r="S285" i="9"/>
  <c r="A285" i="9"/>
  <c r="S284" i="9"/>
  <c r="A284" i="9"/>
  <c r="S283" i="9"/>
  <c r="A283" i="9"/>
  <c r="S282" i="9"/>
  <c r="A282" i="9"/>
  <c r="S281" i="9"/>
  <c r="A281" i="9"/>
  <c r="S280" i="9"/>
  <c r="A280" i="9"/>
  <c r="S279" i="9"/>
  <c r="A279" i="9"/>
  <c r="S278" i="9"/>
  <c r="A278" i="9"/>
  <c r="S277" i="9"/>
  <c r="A277" i="9"/>
  <c r="S276" i="9"/>
  <c r="A276" i="9"/>
  <c r="S275" i="9"/>
  <c r="A275" i="9"/>
  <c r="S274" i="9"/>
  <c r="A274" i="9"/>
  <c r="S273" i="9"/>
  <c r="A273" i="9"/>
  <c r="S272" i="9"/>
  <c r="A272" i="9"/>
  <c r="S271" i="9"/>
  <c r="A271" i="9"/>
  <c r="S270" i="9"/>
  <c r="A270" i="9"/>
  <c r="S269" i="9"/>
  <c r="A269" i="9"/>
  <c r="S268" i="9"/>
  <c r="A268" i="9"/>
  <c r="S267" i="9"/>
  <c r="A267" i="9"/>
  <c r="S266" i="9"/>
  <c r="A266" i="9"/>
  <c r="S265" i="9"/>
  <c r="A265" i="9"/>
  <c r="S264" i="9"/>
  <c r="A264" i="9"/>
  <c r="S263" i="9"/>
  <c r="A263" i="9"/>
  <c r="S262" i="9"/>
  <c r="A262" i="9"/>
  <c r="S261" i="9"/>
  <c r="A261" i="9"/>
  <c r="S260" i="9"/>
  <c r="A260" i="9"/>
  <c r="S259" i="9"/>
  <c r="A259" i="9"/>
  <c r="S258" i="9"/>
  <c r="A258" i="9"/>
  <c r="S257" i="9"/>
  <c r="A257" i="9"/>
  <c r="S256" i="9"/>
  <c r="A256" i="9"/>
  <c r="S255" i="9"/>
  <c r="A255" i="9"/>
  <c r="S254" i="9"/>
  <c r="A254" i="9"/>
  <c r="S253" i="9"/>
  <c r="A253" i="9"/>
  <c r="S252" i="9"/>
  <c r="A252" i="9"/>
  <c r="S251" i="9"/>
  <c r="A251" i="9"/>
  <c r="S250" i="9"/>
  <c r="A250" i="9"/>
  <c r="S249" i="9"/>
  <c r="A249" i="9"/>
  <c r="S248" i="9"/>
  <c r="A248" i="9"/>
  <c r="S247" i="9"/>
  <c r="A247" i="9"/>
  <c r="S246" i="9"/>
  <c r="A246" i="9"/>
  <c r="S245" i="9"/>
  <c r="A245" i="9"/>
  <c r="S244" i="9"/>
  <c r="A244" i="9"/>
  <c r="S243" i="9"/>
  <c r="A243" i="9"/>
  <c r="S242" i="9"/>
  <c r="A242" i="9"/>
  <c r="S241" i="9"/>
  <c r="A241" i="9"/>
  <c r="S240" i="9"/>
  <c r="A240" i="9"/>
  <c r="S239" i="9"/>
  <c r="A239" i="9"/>
  <c r="S238" i="9"/>
  <c r="A238" i="9"/>
  <c r="S237" i="9"/>
  <c r="A237" i="9"/>
  <c r="S236" i="9"/>
  <c r="A236" i="9"/>
  <c r="S235" i="9"/>
  <c r="A235" i="9"/>
  <c r="S234" i="9"/>
  <c r="A234" i="9"/>
  <c r="S233" i="9"/>
  <c r="A233" i="9"/>
  <c r="S232" i="9"/>
  <c r="A232" i="9"/>
  <c r="S231" i="9"/>
  <c r="A231" i="9"/>
  <c r="S230" i="9"/>
  <c r="A230" i="9"/>
  <c r="S229" i="9"/>
  <c r="A229" i="9"/>
  <c r="S228" i="9"/>
  <c r="A228" i="9"/>
  <c r="S227" i="9"/>
  <c r="A227" i="9"/>
  <c r="S226" i="9"/>
  <c r="A226" i="9"/>
  <c r="S225" i="9"/>
  <c r="A225" i="9"/>
  <c r="S224" i="9"/>
  <c r="A224" i="9"/>
  <c r="S223" i="9"/>
  <c r="A223" i="9"/>
  <c r="S222" i="9"/>
  <c r="A222" i="9"/>
  <c r="S221" i="9"/>
  <c r="A221" i="9"/>
  <c r="S220" i="9"/>
  <c r="A220" i="9"/>
  <c r="S219" i="9"/>
  <c r="A219" i="9"/>
  <c r="S218" i="9"/>
  <c r="A218" i="9"/>
  <c r="S217" i="9"/>
  <c r="A217" i="9"/>
  <c r="S216" i="9"/>
  <c r="A216" i="9"/>
  <c r="S215" i="9"/>
  <c r="A215" i="9"/>
  <c r="S214" i="9"/>
  <c r="A214" i="9"/>
  <c r="S213" i="9"/>
  <c r="A213" i="9"/>
  <c r="S212" i="9"/>
  <c r="A212" i="9"/>
  <c r="S211" i="9"/>
  <c r="A211" i="9"/>
  <c r="S210" i="9"/>
  <c r="A210" i="9"/>
  <c r="S209" i="9"/>
  <c r="A209" i="9"/>
  <c r="S208" i="9"/>
  <c r="A208" i="9"/>
  <c r="S207" i="9"/>
  <c r="A207" i="9"/>
  <c r="S206" i="9"/>
  <c r="A206" i="9"/>
  <c r="S205" i="9"/>
  <c r="A205" i="9"/>
  <c r="S204" i="9"/>
  <c r="A204" i="9"/>
  <c r="S203" i="9"/>
  <c r="A203" i="9"/>
  <c r="S202" i="9"/>
  <c r="A202" i="9"/>
  <c r="S201" i="9"/>
  <c r="A201" i="9"/>
  <c r="S200" i="9"/>
  <c r="A200" i="9"/>
  <c r="S199" i="9"/>
  <c r="A199" i="9"/>
  <c r="S198" i="9"/>
  <c r="A198" i="9"/>
  <c r="S197" i="9"/>
  <c r="A197" i="9"/>
  <c r="S196" i="9"/>
  <c r="A196" i="9"/>
  <c r="S195" i="9"/>
  <c r="A195" i="9"/>
  <c r="S194" i="9"/>
  <c r="A194" i="9"/>
  <c r="S193" i="9"/>
  <c r="A193" i="9"/>
  <c r="S192" i="9"/>
  <c r="A192" i="9"/>
  <c r="S191" i="9"/>
  <c r="A191" i="9"/>
  <c r="S190" i="9"/>
  <c r="A190" i="9"/>
  <c r="S189" i="9"/>
  <c r="A189" i="9"/>
  <c r="S188" i="9"/>
  <c r="A188" i="9"/>
  <c r="S187" i="9"/>
  <c r="A187" i="9"/>
  <c r="S186" i="9"/>
  <c r="A186" i="9"/>
  <c r="S185" i="9"/>
  <c r="A185" i="9"/>
  <c r="S184" i="9"/>
  <c r="A184" i="9"/>
  <c r="S183" i="9"/>
  <c r="A183" i="9"/>
  <c r="S182" i="9"/>
  <c r="A182" i="9"/>
  <c r="S181" i="9"/>
  <c r="A181" i="9"/>
  <c r="S180" i="9"/>
  <c r="A180" i="9"/>
  <c r="S179" i="9"/>
  <c r="A179" i="9"/>
  <c r="S178" i="9"/>
  <c r="A178" i="9"/>
  <c r="S177" i="9"/>
  <c r="A177" i="9"/>
  <c r="S176" i="9"/>
  <c r="A176" i="9"/>
  <c r="S175" i="9"/>
  <c r="A175" i="9"/>
  <c r="S174" i="9"/>
  <c r="A174" i="9"/>
  <c r="S173" i="9"/>
  <c r="A173" i="9"/>
  <c r="S172" i="9"/>
  <c r="A172" i="9"/>
  <c r="S171" i="9"/>
  <c r="A171" i="9"/>
  <c r="S170" i="9"/>
  <c r="A170" i="9"/>
  <c r="S169" i="9"/>
  <c r="A169" i="9"/>
  <c r="S168" i="9"/>
  <c r="A168" i="9"/>
  <c r="S167" i="9"/>
  <c r="A167" i="9"/>
  <c r="S166" i="9"/>
  <c r="A166" i="9"/>
  <c r="S165" i="9"/>
  <c r="A165" i="9"/>
  <c r="S164" i="9"/>
  <c r="A164" i="9"/>
  <c r="S163" i="9"/>
  <c r="A163" i="9"/>
  <c r="S162" i="9"/>
  <c r="A162" i="9"/>
  <c r="S161" i="9"/>
  <c r="A161" i="9"/>
  <c r="A160" i="9"/>
  <c r="S159" i="9"/>
  <c r="A159" i="9"/>
  <c r="S158" i="9"/>
  <c r="A158" i="9"/>
  <c r="S157" i="9"/>
  <c r="A157" i="9"/>
  <c r="S156" i="9"/>
  <c r="A156" i="9"/>
  <c r="S155" i="9"/>
  <c r="A155" i="9"/>
  <c r="S154" i="9"/>
  <c r="A154" i="9"/>
  <c r="S153" i="9"/>
  <c r="A153" i="9"/>
  <c r="S152" i="9"/>
  <c r="A152" i="9"/>
  <c r="S151" i="9"/>
  <c r="A151" i="9"/>
  <c r="S150" i="9"/>
  <c r="A150" i="9"/>
  <c r="S149" i="9"/>
  <c r="A149" i="9"/>
  <c r="S148" i="9"/>
  <c r="A148" i="9"/>
  <c r="S147" i="9"/>
  <c r="A147" i="9"/>
  <c r="S146" i="9"/>
  <c r="A146" i="9"/>
  <c r="S145" i="9"/>
  <c r="A145" i="9"/>
  <c r="S144" i="9"/>
  <c r="A144" i="9"/>
  <c r="S143" i="9"/>
  <c r="A143" i="9"/>
  <c r="S142" i="9"/>
  <c r="A142" i="9"/>
  <c r="S141" i="9"/>
  <c r="A141" i="9"/>
  <c r="S140" i="9"/>
  <c r="A140" i="9"/>
  <c r="S139" i="9"/>
  <c r="A139" i="9"/>
  <c r="S138" i="9"/>
  <c r="A138" i="9"/>
  <c r="S137" i="9"/>
  <c r="A137" i="9"/>
  <c r="S136" i="9"/>
  <c r="A136" i="9"/>
  <c r="S135" i="9"/>
  <c r="A135" i="9"/>
  <c r="S134" i="9"/>
  <c r="A134" i="9"/>
  <c r="S133" i="9"/>
  <c r="A133" i="9"/>
  <c r="S132" i="9"/>
  <c r="A132" i="9"/>
  <c r="S131" i="9"/>
  <c r="A131" i="9"/>
  <c r="S130" i="9"/>
  <c r="A130" i="9"/>
  <c r="S129" i="9"/>
  <c r="A129" i="9"/>
  <c r="S128" i="9"/>
  <c r="A128" i="9"/>
  <c r="S127" i="9"/>
  <c r="A127" i="9"/>
  <c r="A126" i="9"/>
  <c r="S125" i="9"/>
  <c r="A125" i="9"/>
  <c r="S124" i="9"/>
  <c r="A124" i="9"/>
  <c r="S123" i="9"/>
  <c r="A123" i="9"/>
  <c r="S122" i="9"/>
  <c r="A122" i="9"/>
  <c r="S121" i="9"/>
  <c r="A121" i="9"/>
  <c r="S120" i="9"/>
  <c r="A120" i="9"/>
  <c r="S119" i="9"/>
  <c r="A119" i="9"/>
  <c r="S118" i="9"/>
  <c r="A118" i="9"/>
  <c r="S117" i="9"/>
  <c r="A117" i="9"/>
  <c r="S116" i="9"/>
  <c r="A116" i="9"/>
  <c r="S115" i="9"/>
  <c r="A115" i="9"/>
  <c r="A114" i="9"/>
  <c r="A113" i="9"/>
  <c r="A112" i="9"/>
  <c r="A111" i="9"/>
  <c r="A110" i="9"/>
  <c r="A109" i="9"/>
  <c r="A108" i="9"/>
  <c r="A107" i="9"/>
  <c r="S106" i="9"/>
  <c r="A106" i="9"/>
  <c r="S105" i="9"/>
  <c r="A105" i="9"/>
  <c r="S104" i="9"/>
  <c r="A104" i="9"/>
  <c r="S103" i="9"/>
  <c r="A103" i="9"/>
  <c r="S102" i="9"/>
  <c r="A102" i="9"/>
  <c r="S101" i="9"/>
  <c r="A101" i="9"/>
  <c r="S100" i="9"/>
  <c r="A100" i="9"/>
  <c r="S99" i="9"/>
  <c r="A99" i="9"/>
  <c r="S98" i="9"/>
  <c r="A98" i="9"/>
  <c r="S97" i="9"/>
  <c r="A97" i="9"/>
  <c r="S96" i="9"/>
  <c r="A96" i="9"/>
  <c r="S95" i="9"/>
  <c r="A95" i="9"/>
  <c r="S94" i="9"/>
  <c r="A94" i="9"/>
  <c r="S93" i="9"/>
  <c r="A93" i="9"/>
  <c r="S92" i="9"/>
  <c r="A92" i="9"/>
  <c r="S91" i="9"/>
  <c r="A91" i="9"/>
  <c r="S90" i="9"/>
  <c r="A90" i="9"/>
  <c r="S89" i="9"/>
  <c r="A89" i="9"/>
  <c r="S88" i="9"/>
  <c r="A88" i="9"/>
  <c r="S87" i="9"/>
  <c r="A87" i="9"/>
  <c r="S86" i="9"/>
  <c r="A86" i="9"/>
  <c r="S85" i="9"/>
  <c r="A85" i="9"/>
  <c r="S84" i="9"/>
  <c r="A84" i="9"/>
  <c r="S83" i="9"/>
  <c r="A83" i="9"/>
  <c r="S82" i="9"/>
  <c r="A82" i="9"/>
  <c r="S81" i="9"/>
  <c r="A81" i="9"/>
  <c r="S80" i="9"/>
  <c r="A80" i="9"/>
  <c r="S79" i="9"/>
  <c r="A79" i="9"/>
  <c r="S78" i="9"/>
  <c r="A78" i="9"/>
  <c r="S77" i="9"/>
  <c r="A77" i="9"/>
  <c r="S76" i="9"/>
  <c r="A76" i="9"/>
  <c r="S75" i="9"/>
  <c r="A75" i="9"/>
  <c r="S74" i="9"/>
  <c r="A74" i="9"/>
  <c r="S73" i="9"/>
  <c r="A73" i="9"/>
  <c r="S72" i="9"/>
  <c r="A72" i="9"/>
  <c r="S71" i="9"/>
  <c r="A71" i="9"/>
  <c r="S70" i="9"/>
  <c r="A70" i="9"/>
  <c r="S69" i="9"/>
  <c r="A69" i="9"/>
  <c r="S68" i="9"/>
  <c r="A68" i="9"/>
  <c r="S67" i="9"/>
  <c r="A67" i="9"/>
  <c r="S66" i="9"/>
  <c r="A66" i="9"/>
  <c r="S65" i="9"/>
  <c r="A65" i="9"/>
  <c r="S64" i="9"/>
  <c r="A64" i="9"/>
  <c r="S63" i="9"/>
  <c r="A63" i="9"/>
  <c r="S62" i="9"/>
  <c r="A62" i="9"/>
  <c r="S61" i="9"/>
  <c r="A61" i="9"/>
  <c r="S60" i="9"/>
  <c r="A60" i="9"/>
  <c r="S59" i="9"/>
  <c r="A59" i="9"/>
  <c r="S58" i="9"/>
  <c r="A58" i="9"/>
  <c r="S57" i="9"/>
  <c r="A57" i="9"/>
  <c r="S56" i="9"/>
  <c r="A56" i="9"/>
  <c r="S55" i="9"/>
  <c r="A55" i="9"/>
  <c r="S54" i="9"/>
  <c r="A54" i="9"/>
  <c r="S53" i="9"/>
  <c r="A53" i="9"/>
  <c r="S52" i="9"/>
  <c r="A52" i="9"/>
  <c r="S51" i="9"/>
  <c r="A51" i="9"/>
  <c r="S50" i="9"/>
  <c r="A50" i="9"/>
  <c r="S49" i="9"/>
  <c r="A49" i="9"/>
  <c r="S48" i="9"/>
  <c r="A48" i="9"/>
  <c r="S47" i="9"/>
  <c r="A47" i="9"/>
  <c r="S46" i="9"/>
  <c r="A46" i="9"/>
  <c r="S45" i="9"/>
  <c r="A45" i="9"/>
  <c r="S44" i="9"/>
  <c r="A44" i="9"/>
  <c r="S43" i="9"/>
  <c r="A43" i="9"/>
  <c r="S42" i="9"/>
  <c r="A42" i="9"/>
  <c r="S41" i="9"/>
  <c r="A41" i="9"/>
  <c r="S40" i="9"/>
  <c r="A40" i="9"/>
  <c r="S39" i="9"/>
  <c r="A39" i="9"/>
  <c r="S38" i="9"/>
  <c r="A38" i="9"/>
  <c r="S37" i="9"/>
  <c r="A37" i="9"/>
  <c r="S36" i="9"/>
  <c r="A36" i="9"/>
  <c r="S35" i="9"/>
  <c r="A35" i="9"/>
  <c r="S34" i="9"/>
  <c r="A34" i="9"/>
  <c r="S33" i="9"/>
  <c r="A33" i="9"/>
  <c r="S32" i="9"/>
  <c r="A32" i="9"/>
  <c r="S31" i="9"/>
  <c r="A31" i="9"/>
  <c r="S30" i="9"/>
  <c r="A30" i="9"/>
  <c r="S29" i="9"/>
  <c r="A29" i="9"/>
  <c r="S28" i="9"/>
  <c r="A28" i="9"/>
  <c r="S27" i="9"/>
  <c r="A27" i="9"/>
  <c r="S26" i="9"/>
  <c r="A26" i="9"/>
  <c r="S25" i="9"/>
  <c r="A25" i="9"/>
  <c r="S24" i="9"/>
  <c r="A24" i="9"/>
  <c r="S23" i="9"/>
  <c r="A23" i="9"/>
  <c r="S22" i="9"/>
  <c r="A22" i="9"/>
  <c r="S21" i="9"/>
  <c r="A21" i="9"/>
  <c r="S20" i="9"/>
  <c r="A20" i="9"/>
  <c r="S19" i="9"/>
  <c r="A19" i="9"/>
  <c r="S18" i="9"/>
  <c r="A18" i="9"/>
  <c r="S17" i="9"/>
  <c r="A17" i="9"/>
  <c r="S16" i="9"/>
  <c r="A16" i="9"/>
  <c r="S15" i="9"/>
  <c r="A15" i="9"/>
  <c r="S14" i="9"/>
  <c r="A14" i="9"/>
  <c r="S13" i="9"/>
  <c r="A13" i="9"/>
  <c r="S12" i="9"/>
  <c r="A12" i="9"/>
  <c r="S11" i="9"/>
  <c r="A11" i="9"/>
  <c r="S10" i="9"/>
  <c r="A10" i="9"/>
  <c r="S9" i="9"/>
  <c r="A9" i="9"/>
  <c r="S8" i="9"/>
  <c r="A8" i="9"/>
  <c r="S7" i="9"/>
  <c r="A7" i="9"/>
  <c r="S6" i="9"/>
  <c r="A6" i="9"/>
  <c r="S5" i="9"/>
  <c r="A5" i="9"/>
  <c r="S4" i="9"/>
  <c r="A4" i="9"/>
  <c r="S3" i="9"/>
  <c r="A3" i="9"/>
  <c r="S1198" i="8"/>
  <c r="A1198" i="8"/>
  <c r="S1197" i="8"/>
  <c r="A1197" i="8"/>
  <c r="S1196" i="8"/>
  <c r="A1196" i="8"/>
  <c r="S1195" i="8"/>
  <c r="A1195" i="8"/>
  <c r="S1194" i="8"/>
  <c r="A1194" i="8"/>
  <c r="S1193" i="8"/>
  <c r="A1193" i="8"/>
  <c r="S1192" i="8"/>
  <c r="A1192" i="8"/>
  <c r="S1191" i="8"/>
  <c r="A1191" i="8"/>
  <c r="S1190" i="8"/>
  <c r="A1190" i="8"/>
  <c r="S1189" i="8"/>
  <c r="A1189" i="8"/>
  <c r="S1188" i="8"/>
  <c r="A1188" i="8"/>
  <c r="A1187" i="8"/>
  <c r="S1186" i="8"/>
  <c r="A1186" i="8"/>
  <c r="S1185" i="8"/>
  <c r="A1185" i="8"/>
  <c r="S1184" i="8"/>
  <c r="A1184" i="8"/>
  <c r="S1183" i="8"/>
  <c r="A1183" i="8"/>
  <c r="S1182" i="8"/>
  <c r="A1182" i="8"/>
  <c r="S1181" i="8"/>
  <c r="A1181" i="8"/>
  <c r="S1180" i="8"/>
  <c r="A1180" i="8"/>
  <c r="S1179" i="8"/>
  <c r="A1179" i="8"/>
  <c r="S1178" i="8"/>
  <c r="A1178" i="8"/>
  <c r="S1177" i="8"/>
  <c r="A1177" i="8"/>
  <c r="S1176" i="8"/>
  <c r="A1176" i="8"/>
  <c r="S1175" i="8"/>
  <c r="A1175" i="8"/>
  <c r="S1174" i="8"/>
  <c r="A1174" i="8"/>
  <c r="S1173" i="8"/>
  <c r="A1173" i="8"/>
  <c r="S1172" i="8"/>
  <c r="A1172" i="8"/>
  <c r="S1171" i="8"/>
  <c r="A1171" i="8"/>
  <c r="S1170" i="8"/>
  <c r="A1170" i="8"/>
  <c r="S1169" i="8"/>
  <c r="A1169" i="8"/>
  <c r="S1168" i="8"/>
  <c r="A1168" i="8"/>
  <c r="S1167" i="8"/>
  <c r="A1167" i="8"/>
  <c r="S1166" i="8"/>
  <c r="A1166" i="8"/>
  <c r="S1165" i="8"/>
  <c r="A1165" i="8"/>
  <c r="S1164" i="8"/>
  <c r="A1164" i="8"/>
  <c r="S1163" i="8"/>
  <c r="A1163" i="8"/>
  <c r="S1162" i="8"/>
  <c r="A1162" i="8"/>
  <c r="S1161" i="8"/>
  <c r="A1161" i="8"/>
  <c r="S1160" i="8"/>
  <c r="A1160" i="8"/>
  <c r="S1159" i="8"/>
  <c r="A1159" i="8"/>
  <c r="S1158" i="8"/>
  <c r="A1158" i="8"/>
  <c r="S1157" i="8"/>
  <c r="A1157" i="8"/>
  <c r="S1156" i="8"/>
  <c r="A1156" i="8"/>
  <c r="S1155" i="8"/>
  <c r="A1155" i="8"/>
  <c r="S1154" i="8"/>
  <c r="A1154" i="8"/>
  <c r="S1153" i="8"/>
  <c r="A1153" i="8"/>
  <c r="S1152" i="8"/>
  <c r="A1152" i="8"/>
  <c r="S1151" i="8"/>
  <c r="A1151" i="8"/>
  <c r="S1150" i="8"/>
  <c r="A1150" i="8"/>
  <c r="S1149" i="8"/>
  <c r="A1149" i="8"/>
  <c r="S1148" i="8"/>
  <c r="A1148" i="8"/>
  <c r="S1147" i="8"/>
  <c r="A1147" i="8"/>
  <c r="S1146" i="8"/>
  <c r="A1146" i="8"/>
  <c r="S1145" i="8"/>
  <c r="A1145" i="8"/>
  <c r="S1144" i="8"/>
  <c r="A1144" i="8"/>
  <c r="S1143" i="8"/>
  <c r="A1143" i="8"/>
  <c r="S1142" i="8"/>
  <c r="A1142" i="8"/>
  <c r="S1141" i="8"/>
  <c r="A1141" i="8"/>
  <c r="S1140" i="8"/>
  <c r="A1140" i="8"/>
  <c r="S1139" i="8"/>
  <c r="A1139" i="8"/>
  <c r="S1138" i="8"/>
  <c r="A1138" i="8"/>
  <c r="S1137" i="8"/>
  <c r="A1137" i="8"/>
  <c r="S1136" i="8"/>
  <c r="A1136" i="8"/>
  <c r="S1135" i="8"/>
  <c r="A1135" i="8"/>
  <c r="S1134" i="8"/>
  <c r="A1134" i="8"/>
  <c r="S1133" i="8"/>
  <c r="A1133" i="8"/>
  <c r="S1132" i="8"/>
  <c r="A1132" i="8"/>
  <c r="S1131" i="8"/>
  <c r="A1131" i="8"/>
  <c r="S1130" i="8"/>
  <c r="A1130" i="8"/>
  <c r="S1129" i="8"/>
  <c r="A1129" i="8"/>
  <c r="S1128" i="8"/>
  <c r="A1128" i="8"/>
  <c r="S1127" i="8"/>
  <c r="A1127" i="8"/>
  <c r="S1126" i="8"/>
  <c r="A1126" i="8"/>
  <c r="S1125" i="8"/>
  <c r="A1125" i="8"/>
  <c r="S1124" i="8"/>
  <c r="A1124" i="8"/>
  <c r="S1123" i="8"/>
  <c r="A1123" i="8"/>
  <c r="S1122" i="8"/>
  <c r="A1122" i="8"/>
  <c r="S1121" i="8"/>
  <c r="A1121" i="8"/>
  <c r="S1120" i="8"/>
  <c r="A1120" i="8"/>
  <c r="S1119" i="8"/>
  <c r="A1119" i="8"/>
  <c r="S1118" i="8"/>
  <c r="A1118" i="8"/>
  <c r="S1117" i="8"/>
  <c r="A1117" i="8"/>
  <c r="S1116" i="8"/>
  <c r="A1116" i="8"/>
  <c r="S1115" i="8"/>
  <c r="A1115" i="8"/>
  <c r="S1114" i="8"/>
  <c r="A1114" i="8"/>
  <c r="S1113" i="8"/>
  <c r="A1113" i="8"/>
  <c r="S1112" i="8"/>
  <c r="A1112" i="8"/>
  <c r="S1111" i="8"/>
  <c r="A1111" i="8"/>
  <c r="S1110" i="8"/>
  <c r="A1110" i="8"/>
  <c r="S1109" i="8"/>
  <c r="A1109" i="8"/>
  <c r="S1108" i="8"/>
  <c r="A1108" i="8"/>
  <c r="S1107" i="8"/>
  <c r="A1107" i="8"/>
  <c r="S1106" i="8"/>
  <c r="A1106" i="8"/>
  <c r="S1105" i="8"/>
  <c r="A1105" i="8"/>
  <c r="S1104" i="8"/>
  <c r="A1104" i="8"/>
  <c r="S1103" i="8"/>
  <c r="A1103" i="8"/>
  <c r="S1102" i="8"/>
  <c r="A1102" i="8"/>
  <c r="S1101" i="8"/>
  <c r="A1101" i="8"/>
  <c r="S1100" i="8"/>
  <c r="A1100" i="8"/>
  <c r="S1099" i="8"/>
  <c r="A1099" i="8"/>
  <c r="S1098" i="8"/>
  <c r="A1098" i="8"/>
  <c r="S1097" i="8"/>
  <c r="A1097" i="8"/>
  <c r="S1096" i="8"/>
  <c r="A1096" i="8"/>
  <c r="S1095" i="8"/>
  <c r="A1095" i="8"/>
  <c r="S1094" i="8"/>
  <c r="A1094" i="8"/>
  <c r="S1093" i="8"/>
  <c r="A1093" i="8"/>
  <c r="S1092" i="8"/>
  <c r="A1092" i="8"/>
  <c r="S1091" i="8"/>
  <c r="A1091" i="8"/>
  <c r="S1090" i="8"/>
  <c r="A1090" i="8"/>
  <c r="S1089" i="8"/>
  <c r="A1089" i="8"/>
  <c r="S1088" i="8"/>
  <c r="A1088" i="8"/>
  <c r="S1087" i="8"/>
  <c r="A1087" i="8"/>
  <c r="S1086" i="8"/>
  <c r="A1086" i="8"/>
  <c r="S1085" i="8"/>
  <c r="A1085" i="8"/>
  <c r="S1084" i="8"/>
  <c r="A1084" i="8"/>
  <c r="S1083" i="8"/>
  <c r="A1083" i="8"/>
  <c r="S1082" i="8"/>
  <c r="A1082" i="8"/>
  <c r="S1081" i="8"/>
  <c r="A1081" i="8"/>
  <c r="S1080" i="8"/>
  <c r="A1080" i="8"/>
  <c r="S1079" i="8"/>
  <c r="A1079" i="8"/>
  <c r="S1078" i="8"/>
  <c r="A1078" i="8"/>
  <c r="S1077" i="8"/>
  <c r="A1077" i="8"/>
  <c r="S1076" i="8"/>
  <c r="A1076" i="8"/>
  <c r="S1075" i="8"/>
  <c r="A1075" i="8"/>
  <c r="S1074" i="8"/>
  <c r="A1074" i="8"/>
  <c r="S1073" i="8"/>
  <c r="A1073" i="8"/>
  <c r="S1072" i="8"/>
  <c r="A1072" i="8"/>
  <c r="S1071" i="8"/>
  <c r="A1071" i="8"/>
  <c r="S1070" i="8"/>
  <c r="A1070" i="8"/>
  <c r="S1069" i="8"/>
  <c r="A1069" i="8"/>
  <c r="S1068" i="8"/>
  <c r="A1068" i="8"/>
  <c r="S1067" i="8"/>
  <c r="A1067" i="8"/>
  <c r="S1066" i="8"/>
  <c r="A1066" i="8"/>
  <c r="S1065" i="8"/>
  <c r="A1065" i="8"/>
  <c r="S1064" i="8"/>
  <c r="A1064" i="8"/>
  <c r="S1063" i="8"/>
  <c r="A1063" i="8"/>
  <c r="S1062" i="8"/>
  <c r="A1062" i="8"/>
  <c r="S1061" i="8"/>
  <c r="A1061" i="8"/>
  <c r="S1060" i="8"/>
  <c r="A1060" i="8"/>
  <c r="S1059" i="8"/>
  <c r="A1059" i="8"/>
  <c r="S1058" i="8"/>
  <c r="A1058" i="8"/>
  <c r="S1057" i="8"/>
  <c r="A1057" i="8"/>
  <c r="S1056" i="8"/>
  <c r="A1056" i="8"/>
  <c r="S1055" i="8"/>
  <c r="A1055" i="8"/>
  <c r="S1054" i="8"/>
  <c r="A1054" i="8"/>
  <c r="S1053" i="8"/>
  <c r="A1053" i="8"/>
  <c r="S1052" i="8"/>
  <c r="A1052" i="8"/>
  <c r="S1051" i="8"/>
  <c r="A1051" i="8"/>
  <c r="S1050" i="8"/>
  <c r="A1050" i="8"/>
  <c r="S1049" i="8"/>
  <c r="A1049" i="8"/>
  <c r="S1048" i="8"/>
  <c r="A1048" i="8"/>
  <c r="S1047" i="8"/>
  <c r="A1047" i="8"/>
  <c r="S1046" i="8"/>
  <c r="A1046" i="8"/>
  <c r="S1045" i="8"/>
  <c r="A1045" i="8"/>
  <c r="S1044" i="8"/>
  <c r="A1044" i="8"/>
  <c r="S1043" i="8"/>
  <c r="A1043" i="8"/>
  <c r="S1042" i="8"/>
  <c r="A1042" i="8"/>
  <c r="S1041" i="8"/>
  <c r="A1041" i="8"/>
  <c r="S1040" i="8"/>
  <c r="A1040" i="8"/>
  <c r="S1039" i="8"/>
  <c r="A1039" i="8"/>
  <c r="S1038" i="8"/>
  <c r="A1038" i="8"/>
  <c r="S1037" i="8"/>
  <c r="A1037" i="8"/>
  <c r="S1036" i="8"/>
  <c r="A1036" i="8"/>
  <c r="S1035" i="8"/>
  <c r="A1035" i="8"/>
  <c r="S1034" i="8"/>
  <c r="A1034" i="8"/>
  <c r="S1033" i="8"/>
  <c r="A1033" i="8"/>
  <c r="S1032" i="8"/>
  <c r="A1032" i="8"/>
  <c r="S1031" i="8"/>
  <c r="A1031" i="8"/>
  <c r="S1030" i="8"/>
  <c r="A1030" i="8"/>
  <c r="S1029" i="8"/>
  <c r="A1029" i="8"/>
  <c r="S1028" i="8"/>
  <c r="A1028" i="8"/>
  <c r="S1027" i="8"/>
  <c r="A1027" i="8"/>
  <c r="S1026" i="8"/>
  <c r="A1026" i="8"/>
  <c r="S1025" i="8"/>
  <c r="A1025" i="8"/>
  <c r="S1024" i="8"/>
  <c r="A1024" i="8"/>
  <c r="S1023" i="8"/>
  <c r="A1023" i="8"/>
  <c r="S1022" i="8"/>
  <c r="A1022" i="8"/>
  <c r="S1021" i="8"/>
  <c r="A1021" i="8"/>
  <c r="S1020" i="8"/>
  <c r="A1020" i="8"/>
  <c r="S1019" i="8"/>
  <c r="A1019" i="8"/>
  <c r="S1018" i="8"/>
  <c r="A1018" i="8"/>
  <c r="S1017" i="8"/>
  <c r="A1017" i="8"/>
  <c r="S1016" i="8"/>
  <c r="A1016" i="8"/>
  <c r="S1015" i="8"/>
  <c r="A1015" i="8"/>
  <c r="S1014" i="8"/>
  <c r="A1014" i="8"/>
  <c r="S1013" i="8"/>
  <c r="A1013" i="8"/>
  <c r="S1012" i="8"/>
  <c r="A1012" i="8"/>
  <c r="S1011" i="8"/>
  <c r="A1011" i="8"/>
  <c r="S1010" i="8"/>
  <c r="A1010" i="8"/>
  <c r="S1009" i="8"/>
  <c r="A1009" i="8"/>
  <c r="S1008" i="8"/>
  <c r="A1008" i="8"/>
  <c r="S1007" i="8"/>
  <c r="A1007" i="8"/>
  <c r="S1006" i="8"/>
  <c r="A1006" i="8"/>
  <c r="S1005" i="8"/>
  <c r="A1005" i="8"/>
  <c r="S1004" i="8"/>
  <c r="A1004" i="8"/>
  <c r="S1003" i="8"/>
  <c r="A1003" i="8"/>
  <c r="S1002" i="8"/>
  <c r="A1002" i="8"/>
  <c r="S1001" i="8"/>
  <c r="A1001" i="8"/>
  <c r="S1000" i="8"/>
  <c r="A1000" i="8"/>
  <c r="S999" i="8"/>
  <c r="A999" i="8"/>
  <c r="S998" i="8"/>
  <c r="A998" i="8"/>
  <c r="S997" i="8"/>
  <c r="A997" i="8"/>
  <c r="S996" i="8"/>
  <c r="A996" i="8"/>
  <c r="S995" i="8"/>
  <c r="A995" i="8"/>
  <c r="S994" i="8"/>
  <c r="A994" i="8"/>
  <c r="S993" i="8"/>
  <c r="A993" i="8"/>
  <c r="S992" i="8"/>
  <c r="A992" i="8"/>
  <c r="S991" i="8"/>
  <c r="A991" i="8"/>
  <c r="S990" i="8"/>
  <c r="A990" i="8"/>
  <c r="S989" i="8"/>
  <c r="A989" i="8"/>
  <c r="S988" i="8"/>
  <c r="A988" i="8"/>
  <c r="S987" i="8"/>
  <c r="A987" i="8"/>
  <c r="S986" i="8"/>
  <c r="A986" i="8"/>
  <c r="S985" i="8"/>
  <c r="A985" i="8"/>
  <c r="S984" i="8"/>
  <c r="A984" i="8"/>
  <c r="S983" i="8"/>
  <c r="A983" i="8"/>
  <c r="S982" i="8"/>
  <c r="A982" i="8"/>
  <c r="S981" i="8"/>
  <c r="A981" i="8"/>
  <c r="S980" i="8"/>
  <c r="A980" i="8"/>
  <c r="S979" i="8"/>
  <c r="A979" i="8"/>
  <c r="S978" i="8"/>
  <c r="A978" i="8"/>
  <c r="S977" i="8"/>
  <c r="A977" i="8"/>
  <c r="S976" i="8"/>
  <c r="A976" i="8"/>
  <c r="S975" i="8"/>
  <c r="A975" i="8"/>
  <c r="S974" i="8"/>
  <c r="A974" i="8"/>
  <c r="S973" i="8"/>
  <c r="A973" i="8"/>
  <c r="S972" i="8"/>
  <c r="A972" i="8"/>
  <c r="S971" i="8"/>
  <c r="A971" i="8"/>
  <c r="S970" i="8"/>
  <c r="A970" i="8"/>
  <c r="S969" i="8"/>
  <c r="A969" i="8"/>
  <c r="S968" i="8"/>
  <c r="A968" i="8"/>
  <c r="S967" i="8"/>
  <c r="A967" i="8"/>
  <c r="S966" i="8"/>
  <c r="A966" i="8"/>
  <c r="S965" i="8"/>
  <c r="A965" i="8"/>
  <c r="S964" i="8"/>
  <c r="A964" i="8"/>
  <c r="S963" i="8"/>
  <c r="A963" i="8"/>
  <c r="S962" i="8"/>
  <c r="A962" i="8"/>
  <c r="S961" i="8"/>
  <c r="A961" i="8"/>
  <c r="S960" i="8"/>
  <c r="A960" i="8"/>
  <c r="S959" i="8"/>
  <c r="A959" i="8"/>
  <c r="S958" i="8"/>
  <c r="A958" i="8"/>
  <c r="S957" i="8"/>
  <c r="A957" i="8"/>
  <c r="S956" i="8"/>
  <c r="A956" i="8"/>
  <c r="S955" i="8"/>
  <c r="A955" i="8"/>
  <c r="S954" i="8"/>
  <c r="A954" i="8"/>
  <c r="S953" i="8"/>
  <c r="A953" i="8"/>
  <c r="S952" i="8"/>
  <c r="A952" i="8"/>
  <c r="S951" i="8"/>
  <c r="A951" i="8"/>
  <c r="S950" i="8"/>
  <c r="A950" i="8"/>
  <c r="S949" i="8"/>
  <c r="A949" i="8"/>
  <c r="S948" i="8"/>
  <c r="A948" i="8"/>
  <c r="S947" i="8"/>
  <c r="A947" i="8"/>
  <c r="S946" i="8"/>
  <c r="A946" i="8"/>
  <c r="S945" i="8"/>
  <c r="A945" i="8"/>
  <c r="S944" i="8"/>
  <c r="A944" i="8"/>
  <c r="S943" i="8"/>
  <c r="A943" i="8"/>
  <c r="S942" i="8"/>
  <c r="A942" i="8"/>
  <c r="S941" i="8"/>
  <c r="A941" i="8"/>
  <c r="S940" i="8"/>
  <c r="A940" i="8"/>
  <c r="S939" i="8"/>
  <c r="A939" i="8"/>
  <c r="S938" i="8"/>
  <c r="A938" i="8"/>
  <c r="S937" i="8"/>
  <c r="A937" i="8"/>
  <c r="S936" i="8"/>
  <c r="A936" i="8"/>
  <c r="S935" i="8"/>
  <c r="A935" i="8"/>
  <c r="S934" i="8"/>
  <c r="A934" i="8"/>
  <c r="S933" i="8"/>
  <c r="A933" i="8"/>
  <c r="S932" i="8"/>
  <c r="A932" i="8"/>
  <c r="S931" i="8"/>
  <c r="A931" i="8"/>
  <c r="S930" i="8"/>
  <c r="A930" i="8"/>
  <c r="S929" i="8"/>
  <c r="A929" i="8"/>
  <c r="S928" i="8"/>
  <c r="A928" i="8"/>
  <c r="S927" i="8"/>
  <c r="A927" i="8"/>
  <c r="S926" i="8"/>
  <c r="A926" i="8"/>
  <c r="S925" i="8"/>
  <c r="A925" i="8"/>
  <c r="S924" i="8"/>
  <c r="A924" i="8"/>
  <c r="S923" i="8"/>
  <c r="A923" i="8"/>
  <c r="S922" i="8"/>
  <c r="A922" i="8"/>
  <c r="S921" i="8"/>
  <c r="A921" i="8"/>
  <c r="S920" i="8"/>
  <c r="A920" i="8"/>
  <c r="S919" i="8"/>
  <c r="A919" i="8"/>
  <c r="S918" i="8"/>
  <c r="A918" i="8"/>
  <c r="S917" i="8"/>
  <c r="A917" i="8"/>
  <c r="S916" i="8"/>
  <c r="A916" i="8"/>
  <c r="S915" i="8"/>
  <c r="A915" i="8"/>
  <c r="S914" i="8"/>
  <c r="A914" i="8"/>
  <c r="S913" i="8"/>
  <c r="A913" i="8"/>
  <c r="S912" i="8"/>
  <c r="A912" i="8"/>
  <c r="S911" i="8"/>
  <c r="A911" i="8"/>
  <c r="S910" i="8"/>
  <c r="A910" i="8"/>
  <c r="S909" i="8"/>
  <c r="A909" i="8"/>
  <c r="S908" i="8"/>
  <c r="A908" i="8"/>
  <c r="S907" i="8"/>
  <c r="A907" i="8"/>
  <c r="S906" i="8"/>
  <c r="A906" i="8"/>
  <c r="S905" i="8"/>
  <c r="A905" i="8"/>
  <c r="S904" i="8"/>
  <c r="A904" i="8"/>
  <c r="S903" i="8"/>
  <c r="A903" i="8"/>
  <c r="S902" i="8"/>
  <c r="A902" i="8"/>
  <c r="S901" i="8"/>
  <c r="A901" i="8"/>
  <c r="S900" i="8"/>
  <c r="A900" i="8"/>
  <c r="S899" i="8"/>
  <c r="A899" i="8"/>
  <c r="S898" i="8"/>
  <c r="A898" i="8"/>
  <c r="S897" i="8"/>
  <c r="A897" i="8"/>
  <c r="S896" i="8"/>
  <c r="A896" i="8"/>
  <c r="S895" i="8"/>
  <c r="A895" i="8"/>
  <c r="S894" i="8"/>
  <c r="A894" i="8"/>
  <c r="S893" i="8"/>
  <c r="A893" i="8"/>
  <c r="S892" i="8"/>
  <c r="A892" i="8"/>
  <c r="S891" i="8"/>
  <c r="A891" i="8"/>
  <c r="S890" i="8"/>
  <c r="A890" i="8"/>
  <c r="S889" i="8"/>
  <c r="A889" i="8"/>
  <c r="S888" i="8"/>
  <c r="A888" i="8"/>
  <c r="S887" i="8"/>
  <c r="A887" i="8"/>
  <c r="S886" i="8"/>
  <c r="A886" i="8"/>
  <c r="S885" i="8"/>
  <c r="A885" i="8"/>
  <c r="S884" i="8"/>
  <c r="A884" i="8"/>
  <c r="S883" i="8"/>
  <c r="A883" i="8"/>
  <c r="S882" i="8"/>
  <c r="A882" i="8"/>
  <c r="S881" i="8"/>
  <c r="A881" i="8"/>
  <c r="S880" i="8"/>
  <c r="A880" i="8"/>
  <c r="S879" i="8"/>
  <c r="A879" i="8"/>
  <c r="S878" i="8"/>
  <c r="A878" i="8"/>
  <c r="S877" i="8"/>
  <c r="A877" i="8"/>
  <c r="S876" i="8"/>
  <c r="A876" i="8"/>
  <c r="S875" i="8"/>
  <c r="A875" i="8"/>
  <c r="S874" i="8"/>
  <c r="A874" i="8"/>
  <c r="S873" i="8"/>
  <c r="A873" i="8"/>
  <c r="S872" i="8"/>
  <c r="A872" i="8"/>
  <c r="S871" i="8"/>
  <c r="A871" i="8"/>
  <c r="S870" i="8"/>
  <c r="A870" i="8"/>
  <c r="S869" i="8"/>
  <c r="A869" i="8"/>
  <c r="S868" i="8"/>
  <c r="A868" i="8"/>
  <c r="S867" i="8"/>
  <c r="A867" i="8"/>
  <c r="S866" i="8"/>
  <c r="A866" i="8"/>
  <c r="S865" i="8"/>
  <c r="A865" i="8"/>
  <c r="S864" i="8"/>
  <c r="A864" i="8"/>
  <c r="S863" i="8"/>
  <c r="A863" i="8"/>
  <c r="S862" i="8"/>
  <c r="A862" i="8"/>
  <c r="S861" i="8"/>
  <c r="A861" i="8"/>
  <c r="S860" i="8"/>
  <c r="A860" i="8"/>
  <c r="S859" i="8"/>
  <c r="A859" i="8"/>
  <c r="S858" i="8"/>
  <c r="A858" i="8"/>
  <c r="S857" i="8"/>
  <c r="A857" i="8"/>
  <c r="S856" i="8"/>
  <c r="A856" i="8"/>
  <c r="S855" i="8"/>
  <c r="A855" i="8"/>
  <c r="S854" i="8"/>
  <c r="A854" i="8"/>
  <c r="S853" i="8"/>
  <c r="A853" i="8"/>
  <c r="S852" i="8"/>
  <c r="A852" i="8"/>
  <c r="S851" i="8"/>
  <c r="A851" i="8"/>
  <c r="S850" i="8"/>
  <c r="A850" i="8"/>
  <c r="S849" i="8"/>
  <c r="A849" i="8"/>
  <c r="S848" i="8"/>
  <c r="A848" i="8"/>
  <c r="S847" i="8"/>
  <c r="A847" i="8"/>
  <c r="S846" i="8"/>
  <c r="A846" i="8"/>
  <c r="S845" i="8"/>
  <c r="A845" i="8"/>
  <c r="S844" i="8"/>
  <c r="A844" i="8"/>
  <c r="S843" i="8"/>
  <c r="A843" i="8"/>
  <c r="S842" i="8"/>
  <c r="A842" i="8"/>
  <c r="S841" i="8"/>
  <c r="A841" i="8"/>
  <c r="S840" i="8"/>
  <c r="A840" i="8"/>
  <c r="S839" i="8"/>
  <c r="A839" i="8"/>
  <c r="S838" i="8"/>
  <c r="A838" i="8"/>
  <c r="S837" i="8"/>
  <c r="A837" i="8"/>
  <c r="S836" i="8"/>
  <c r="A836" i="8"/>
  <c r="S835" i="8"/>
  <c r="A835" i="8"/>
  <c r="S834" i="8"/>
  <c r="A834" i="8"/>
  <c r="S833" i="8"/>
  <c r="A833" i="8"/>
  <c r="S832" i="8"/>
  <c r="A832" i="8"/>
  <c r="S831" i="8"/>
  <c r="A831" i="8"/>
  <c r="S830" i="8"/>
  <c r="A830" i="8"/>
  <c r="S829" i="8"/>
  <c r="A829" i="8"/>
  <c r="S828" i="8"/>
  <c r="A828" i="8"/>
  <c r="S827" i="8"/>
  <c r="A827" i="8"/>
  <c r="S826" i="8"/>
  <c r="A826" i="8"/>
  <c r="S825" i="8"/>
  <c r="A825" i="8"/>
  <c r="S824" i="8"/>
  <c r="A824" i="8"/>
  <c r="S823" i="8"/>
  <c r="A823" i="8"/>
  <c r="S822" i="8"/>
  <c r="A822" i="8"/>
  <c r="S821" i="8"/>
  <c r="A821" i="8"/>
  <c r="S820" i="8"/>
  <c r="A820" i="8"/>
  <c r="S819" i="8"/>
  <c r="A819" i="8"/>
  <c r="S818" i="8"/>
  <c r="A818" i="8"/>
  <c r="S817" i="8"/>
  <c r="A817" i="8"/>
  <c r="S816" i="8"/>
  <c r="A816" i="8"/>
  <c r="S815" i="8"/>
  <c r="A815" i="8"/>
  <c r="S814" i="8"/>
  <c r="A814" i="8"/>
  <c r="S813" i="8"/>
  <c r="A813" i="8"/>
  <c r="S812" i="8"/>
  <c r="A812" i="8"/>
  <c r="S811" i="8"/>
  <c r="A811" i="8"/>
  <c r="S810" i="8"/>
  <c r="A810" i="8"/>
  <c r="S809" i="8"/>
  <c r="A809" i="8"/>
  <c r="S808" i="8"/>
  <c r="A808" i="8"/>
  <c r="S807" i="8"/>
  <c r="A807" i="8"/>
  <c r="S806" i="8"/>
  <c r="A806" i="8"/>
  <c r="S805" i="8"/>
  <c r="A805" i="8"/>
  <c r="S804" i="8"/>
  <c r="A804" i="8"/>
  <c r="S803" i="8"/>
  <c r="A803" i="8"/>
  <c r="S802" i="8"/>
  <c r="A802" i="8"/>
  <c r="S801" i="8"/>
  <c r="A801" i="8"/>
  <c r="S800" i="8"/>
  <c r="A800" i="8"/>
  <c r="S799" i="8"/>
  <c r="A799" i="8"/>
  <c r="S798" i="8"/>
  <c r="A798" i="8"/>
  <c r="S797" i="8"/>
  <c r="A797" i="8"/>
  <c r="S796" i="8"/>
  <c r="A796" i="8"/>
  <c r="S795" i="8"/>
  <c r="A795" i="8"/>
  <c r="S794" i="8"/>
  <c r="A794" i="8"/>
  <c r="S793" i="8"/>
  <c r="A793" i="8"/>
  <c r="S792" i="8"/>
  <c r="A792" i="8"/>
  <c r="S791" i="8"/>
  <c r="A791" i="8"/>
  <c r="S790" i="8"/>
  <c r="A790" i="8"/>
  <c r="S789" i="8"/>
  <c r="A789" i="8"/>
  <c r="S788" i="8"/>
  <c r="A788" i="8"/>
  <c r="S787" i="8"/>
  <c r="A787" i="8"/>
  <c r="S786" i="8"/>
  <c r="A786" i="8"/>
  <c r="S785" i="8"/>
  <c r="A785" i="8"/>
  <c r="S784" i="8"/>
  <c r="A784" i="8"/>
  <c r="S783" i="8"/>
  <c r="A783" i="8"/>
  <c r="S782" i="8"/>
  <c r="A782" i="8"/>
  <c r="S781" i="8"/>
  <c r="A781" i="8"/>
  <c r="S780" i="8"/>
  <c r="A780" i="8"/>
  <c r="S779" i="8"/>
  <c r="A779" i="8"/>
  <c r="S778" i="8"/>
  <c r="A778" i="8"/>
  <c r="S777" i="8"/>
  <c r="A777" i="8"/>
  <c r="S776" i="8"/>
  <c r="A776" i="8"/>
  <c r="S775" i="8"/>
  <c r="A775" i="8"/>
  <c r="S774" i="8"/>
  <c r="A774" i="8"/>
  <c r="S773" i="8"/>
  <c r="A773" i="8"/>
  <c r="S772" i="8"/>
  <c r="A772" i="8"/>
  <c r="S771" i="8"/>
  <c r="A771" i="8"/>
  <c r="S770" i="8"/>
  <c r="A770" i="8"/>
  <c r="S769" i="8"/>
  <c r="A769" i="8"/>
  <c r="S768" i="8"/>
  <c r="A768" i="8"/>
  <c r="S767" i="8"/>
  <c r="A767" i="8"/>
  <c r="S766" i="8"/>
  <c r="A766" i="8"/>
  <c r="S765" i="8"/>
  <c r="A765" i="8"/>
  <c r="S764" i="8"/>
  <c r="A764" i="8"/>
  <c r="S763" i="8"/>
  <c r="A763" i="8"/>
  <c r="S762" i="8"/>
  <c r="A762" i="8"/>
  <c r="S761" i="8"/>
  <c r="A761" i="8"/>
  <c r="S760" i="8"/>
  <c r="A760" i="8"/>
  <c r="S759" i="8"/>
  <c r="A759" i="8"/>
  <c r="S758" i="8"/>
  <c r="A758" i="8"/>
  <c r="S757" i="8"/>
  <c r="A757" i="8"/>
  <c r="S756" i="8"/>
  <c r="A756" i="8"/>
  <c r="S755" i="8"/>
  <c r="A755" i="8"/>
  <c r="S754" i="8"/>
  <c r="A754" i="8"/>
  <c r="S753" i="8"/>
  <c r="A753" i="8"/>
  <c r="S752" i="8"/>
  <c r="A752" i="8"/>
  <c r="S751" i="8"/>
  <c r="A751" i="8"/>
  <c r="S750" i="8"/>
  <c r="A750" i="8"/>
  <c r="S749" i="8"/>
  <c r="A749" i="8"/>
  <c r="S748" i="8"/>
  <c r="A748" i="8"/>
  <c r="S747" i="8"/>
  <c r="A747" i="8"/>
  <c r="S746" i="8"/>
  <c r="A746" i="8"/>
  <c r="S745" i="8"/>
  <c r="A745" i="8"/>
  <c r="S744" i="8"/>
  <c r="A744" i="8"/>
  <c r="S743" i="8"/>
  <c r="A743" i="8"/>
  <c r="S742" i="8"/>
  <c r="A742" i="8"/>
  <c r="S741" i="8"/>
  <c r="A741" i="8"/>
  <c r="S740" i="8"/>
  <c r="A740" i="8"/>
  <c r="S739" i="8"/>
  <c r="A739" i="8"/>
  <c r="S738" i="8"/>
  <c r="A738" i="8"/>
  <c r="S737" i="8"/>
  <c r="A737" i="8"/>
  <c r="S736" i="8"/>
  <c r="A736" i="8"/>
  <c r="S735" i="8"/>
  <c r="A735" i="8"/>
  <c r="S734" i="8"/>
  <c r="A734" i="8"/>
  <c r="S733" i="8"/>
  <c r="A733" i="8"/>
  <c r="S732" i="8"/>
  <c r="A732" i="8"/>
  <c r="S731" i="8"/>
  <c r="A731" i="8"/>
  <c r="S730" i="8"/>
  <c r="A730" i="8"/>
  <c r="S729" i="8"/>
  <c r="A729" i="8"/>
  <c r="S728" i="8"/>
  <c r="A728" i="8"/>
  <c r="S727" i="8"/>
  <c r="A727" i="8"/>
  <c r="S726" i="8"/>
  <c r="A726" i="8"/>
  <c r="S725" i="8"/>
  <c r="A725" i="8"/>
  <c r="S724" i="8"/>
  <c r="A724" i="8"/>
  <c r="S723" i="8"/>
  <c r="A723" i="8"/>
  <c r="S722" i="8"/>
  <c r="A722" i="8"/>
  <c r="S721" i="8"/>
  <c r="A721" i="8"/>
  <c r="S720" i="8"/>
  <c r="A720" i="8"/>
  <c r="S719" i="8"/>
  <c r="A719" i="8"/>
  <c r="S718" i="8"/>
  <c r="A718" i="8"/>
  <c r="S717" i="8"/>
  <c r="A717" i="8"/>
  <c r="S716" i="8"/>
  <c r="A716" i="8"/>
  <c r="S715" i="8"/>
  <c r="A715" i="8"/>
  <c r="S714" i="8"/>
  <c r="A714" i="8"/>
  <c r="S713" i="8"/>
  <c r="A713" i="8"/>
  <c r="S712" i="8"/>
  <c r="A712" i="8"/>
  <c r="S711" i="8"/>
  <c r="A711" i="8"/>
  <c r="S710" i="8"/>
  <c r="A710" i="8"/>
  <c r="S709" i="8"/>
  <c r="A709" i="8"/>
  <c r="S708" i="8"/>
  <c r="A708" i="8"/>
  <c r="S707" i="8"/>
  <c r="A707" i="8"/>
  <c r="S706" i="8"/>
  <c r="A706" i="8"/>
  <c r="S705" i="8"/>
  <c r="A705" i="8"/>
  <c r="S704" i="8"/>
  <c r="A704" i="8"/>
  <c r="S703" i="8"/>
  <c r="A703" i="8"/>
  <c r="S702" i="8"/>
  <c r="A702" i="8"/>
  <c r="S701" i="8"/>
  <c r="A701" i="8"/>
  <c r="S700" i="8"/>
  <c r="A700" i="8"/>
  <c r="S699" i="8"/>
  <c r="A699" i="8"/>
  <c r="S698" i="8"/>
  <c r="A698" i="8"/>
  <c r="S697" i="8"/>
  <c r="A697" i="8"/>
  <c r="S696" i="8"/>
  <c r="A696" i="8"/>
  <c r="S695" i="8"/>
  <c r="A695" i="8"/>
  <c r="S694" i="8"/>
  <c r="A694" i="8"/>
  <c r="S693" i="8"/>
  <c r="A693" i="8"/>
  <c r="S692" i="8"/>
  <c r="A692" i="8"/>
  <c r="S691" i="8"/>
  <c r="A691" i="8"/>
  <c r="S690" i="8"/>
  <c r="A690" i="8"/>
  <c r="S689" i="8"/>
  <c r="A689" i="8"/>
  <c r="S688" i="8"/>
  <c r="A688" i="8"/>
  <c r="S687" i="8"/>
  <c r="A687" i="8"/>
  <c r="S686" i="8"/>
  <c r="A686" i="8"/>
  <c r="S685" i="8"/>
  <c r="A685" i="8"/>
  <c r="S684" i="8"/>
  <c r="A684" i="8"/>
  <c r="S683" i="8"/>
  <c r="A683" i="8"/>
  <c r="S682" i="8"/>
  <c r="A682" i="8"/>
  <c r="S681" i="8"/>
  <c r="A681" i="8"/>
  <c r="S680" i="8"/>
  <c r="A680" i="8"/>
  <c r="S679" i="8"/>
  <c r="A679" i="8"/>
  <c r="S678" i="8"/>
  <c r="A678" i="8"/>
  <c r="S677" i="8"/>
  <c r="A677" i="8"/>
  <c r="S676" i="8"/>
  <c r="A676" i="8"/>
  <c r="S675" i="8"/>
  <c r="A675" i="8"/>
  <c r="S674" i="8"/>
  <c r="A674" i="8"/>
  <c r="S673" i="8"/>
  <c r="A673" i="8"/>
  <c r="S672" i="8"/>
  <c r="A672" i="8"/>
  <c r="S671" i="8"/>
  <c r="A671" i="8"/>
  <c r="S670" i="8"/>
  <c r="A670" i="8"/>
  <c r="S669" i="8"/>
  <c r="A669" i="8"/>
  <c r="S668" i="8"/>
  <c r="A668" i="8"/>
  <c r="S667" i="8"/>
  <c r="A667" i="8"/>
  <c r="S666" i="8"/>
  <c r="A666" i="8"/>
  <c r="S665" i="8"/>
  <c r="A665" i="8"/>
  <c r="S664" i="8"/>
  <c r="A664" i="8"/>
  <c r="S663" i="8"/>
  <c r="A663" i="8"/>
  <c r="S662" i="8"/>
  <c r="A662" i="8"/>
  <c r="S661" i="8"/>
  <c r="A661" i="8"/>
  <c r="S660" i="8"/>
  <c r="A660" i="8"/>
  <c r="S659" i="8"/>
  <c r="A659" i="8"/>
  <c r="S658" i="8"/>
  <c r="A658" i="8"/>
  <c r="S657" i="8"/>
  <c r="A657" i="8"/>
  <c r="S656" i="8"/>
  <c r="A656" i="8"/>
  <c r="S655" i="8"/>
  <c r="A655" i="8"/>
  <c r="S654" i="8"/>
  <c r="A654" i="8"/>
  <c r="S653" i="8"/>
  <c r="A653" i="8"/>
  <c r="S652" i="8"/>
  <c r="A652" i="8"/>
  <c r="S651" i="8"/>
  <c r="A651" i="8"/>
  <c r="S650" i="8"/>
  <c r="A650" i="8"/>
  <c r="S649" i="8"/>
  <c r="A649" i="8"/>
  <c r="S648" i="8"/>
  <c r="A648" i="8"/>
  <c r="S647" i="8"/>
  <c r="A647" i="8"/>
  <c r="S646" i="8"/>
  <c r="A646" i="8"/>
  <c r="S645" i="8"/>
  <c r="A645" i="8"/>
  <c r="S644" i="8"/>
  <c r="A644" i="8"/>
  <c r="S643" i="8"/>
  <c r="A643" i="8"/>
  <c r="S642" i="8"/>
  <c r="A642" i="8"/>
  <c r="S641" i="8"/>
  <c r="A641" i="8"/>
  <c r="S640" i="8"/>
  <c r="A640" i="8"/>
  <c r="S639" i="8"/>
  <c r="A639" i="8"/>
  <c r="S638" i="8"/>
  <c r="A638" i="8"/>
  <c r="S637" i="8"/>
  <c r="A637" i="8"/>
  <c r="S636" i="8"/>
  <c r="A636" i="8"/>
  <c r="S635" i="8"/>
  <c r="A635" i="8"/>
  <c r="S634" i="8"/>
  <c r="A634" i="8"/>
  <c r="S633" i="8"/>
  <c r="A633" i="8"/>
  <c r="S632" i="8"/>
  <c r="A632" i="8"/>
  <c r="S631" i="8"/>
  <c r="A631" i="8"/>
  <c r="S630" i="8"/>
  <c r="A630" i="8"/>
  <c r="S629" i="8"/>
  <c r="A629" i="8"/>
  <c r="S628" i="8"/>
  <c r="A628" i="8"/>
  <c r="S627" i="8"/>
  <c r="A627" i="8"/>
  <c r="S626" i="8"/>
  <c r="A626" i="8"/>
  <c r="S625" i="8"/>
  <c r="A625" i="8"/>
  <c r="S624" i="8"/>
  <c r="A624" i="8"/>
  <c r="S623" i="8"/>
  <c r="A623" i="8"/>
  <c r="S622" i="8"/>
  <c r="A622" i="8"/>
  <c r="S621" i="8"/>
  <c r="A621" i="8"/>
  <c r="S620" i="8"/>
  <c r="A620" i="8"/>
  <c r="S619" i="8"/>
  <c r="A619" i="8"/>
  <c r="S618" i="8"/>
  <c r="A618" i="8"/>
  <c r="S617" i="8"/>
  <c r="A617" i="8"/>
  <c r="S616" i="8"/>
  <c r="A616" i="8"/>
  <c r="S615" i="8"/>
  <c r="A615" i="8"/>
  <c r="S614" i="8"/>
  <c r="A614" i="8"/>
  <c r="S613" i="8"/>
  <c r="A613" i="8"/>
  <c r="S612" i="8"/>
  <c r="A612" i="8"/>
  <c r="S611" i="8"/>
  <c r="A611" i="8"/>
  <c r="S610" i="8"/>
  <c r="A610" i="8"/>
  <c r="S609" i="8"/>
  <c r="A609" i="8"/>
  <c r="S608" i="8"/>
  <c r="A608" i="8"/>
  <c r="S607" i="8"/>
  <c r="A607" i="8"/>
  <c r="S606" i="8"/>
  <c r="A606" i="8"/>
  <c r="S605" i="8"/>
  <c r="A605" i="8"/>
  <c r="A604" i="8"/>
  <c r="S603" i="8"/>
  <c r="A603" i="8"/>
  <c r="S602" i="8"/>
  <c r="A602" i="8"/>
  <c r="S601" i="8"/>
  <c r="A601" i="8"/>
  <c r="S600" i="8"/>
  <c r="A600" i="8"/>
  <c r="S599" i="8"/>
  <c r="A599" i="8"/>
  <c r="S598" i="8"/>
  <c r="A598" i="8"/>
  <c r="S597" i="8"/>
  <c r="A597" i="8"/>
  <c r="S596" i="8"/>
  <c r="A596" i="8"/>
  <c r="S595" i="8"/>
  <c r="A595" i="8"/>
  <c r="S594" i="8"/>
  <c r="A594" i="8"/>
  <c r="S593" i="8"/>
  <c r="A593" i="8"/>
  <c r="S592" i="8"/>
  <c r="A592" i="8"/>
  <c r="S591" i="8"/>
  <c r="A591" i="8"/>
  <c r="S590" i="8"/>
  <c r="A590" i="8"/>
  <c r="S589" i="8"/>
  <c r="A589" i="8"/>
  <c r="S588" i="8"/>
  <c r="A588" i="8"/>
  <c r="S587" i="8"/>
  <c r="A587" i="8"/>
  <c r="S586" i="8"/>
  <c r="A586" i="8"/>
  <c r="S585" i="8"/>
  <c r="A585" i="8"/>
  <c r="S584" i="8"/>
  <c r="A584" i="8"/>
  <c r="S583" i="8"/>
  <c r="A583" i="8"/>
  <c r="S582" i="8"/>
  <c r="A582" i="8"/>
  <c r="S581" i="8"/>
  <c r="A581" i="8"/>
  <c r="S580" i="8"/>
  <c r="A580" i="8"/>
  <c r="S579" i="8"/>
  <c r="A579" i="8"/>
  <c r="S578" i="8"/>
  <c r="A578" i="8"/>
  <c r="S577" i="8"/>
  <c r="A577" i="8"/>
  <c r="S576" i="8"/>
  <c r="A576" i="8"/>
  <c r="S575" i="8"/>
  <c r="A575" i="8"/>
  <c r="S574" i="8"/>
  <c r="A574" i="8"/>
  <c r="S573" i="8"/>
  <c r="A573" i="8"/>
  <c r="S572" i="8"/>
  <c r="A572" i="8"/>
  <c r="S571" i="8"/>
  <c r="A571" i="8"/>
  <c r="S570" i="8"/>
  <c r="A570" i="8"/>
  <c r="S569" i="8"/>
  <c r="A569" i="8"/>
  <c r="S568" i="8"/>
  <c r="A568" i="8"/>
  <c r="S567" i="8"/>
  <c r="A567" i="8"/>
  <c r="S566" i="8"/>
  <c r="A566" i="8"/>
  <c r="S565" i="8"/>
  <c r="A565" i="8"/>
  <c r="S564" i="8"/>
  <c r="A564" i="8"/>
  <c r="S563" i="8"/>
  <c r="A563" i="8"/>
  <c r="S562" i="8"/>
  <c r="A562" i="8"/>
  <c r="S561" i="8"/>
  <c r="A561" i="8"/>
  <c r="S560" i="8"/>
  <c r="A560" i="8"/>
  <c r="S559" i="8"/>
  <c r="A559" i="8"/>
  <c r="S558" i="8"/>
  <c r="A558" i="8"/>
  <c r="S557" i="8"/>
  <c r="A557" i="8"/>
  <c r="S556" i="8"/>
  <c r="A556" i="8"/>
  <c r="S555" i="8"/>
  <c r="A555" i="8"/>
  <c r="S554" i="8"/>
  <c r="A554" i="8"/>
  <c r="S553" i="8"/>
  <c r="A553" i="8"/>
  <c r="S552" i="8"/>
  <c r="A552" i="8"/>
  <c r="S551" i="8"/>
  <c r="A551" i="8"/>
  <c r="S550" i="8"/>
  <c r="A550" i="8"/>
  <c r="S549" i="8"/>
  <c r="A549" i="8"/>
  <c r="S548" i="8"/>
  <c r="A548" i="8"/>
  <c r="S547" i="8"/>
  <c r="A547" i="8"/>
  <c r="S546" i="8"/>
  <c r="A546" i="8"/>
  <c r="S545" i="8"/>
  <c r="A545" i="8"/>
  <c r="S544" i="8"/>
  <c r="A544" i="8"/>
  <c r="S543" i="8"/>
  <c r="A543" i="8"/>
  <c r="S542" i="8"/>
  <c r="A542" i="8"/>
  <c r="S541" i="8"/>
  <c r="A541" i="8"/>
  <c r="S540" i="8"/>
  <c r="A540" i="8"/>
  <c r="S539" i="8"/>
  <c r="A539" i="8"/>
  <c r="S538" i="8"/>
  <c r="A538" i="8"/>
  <c r="S537" i="8"/>
  <c r="A537" i="8"/>
  <c r="S536" i="8"/>
  <c r="A536" i="8"/>
  <c r="S535" i="8"/>
  <c r="A535" i="8"/>
  <c r="S534" i="8"/>
  <c r="A534" i="8"/>
  <c r="S533" i="8"/>
  <c r="A533" i="8"/>
  <c r="S532" i="8"/>
  <c r="A532" i="8"/>
  <c r="S531" i="8"/>
  <c r="A531" i="8"/>
  <c r="S530" i="8"/>
  <c r="A530" i="8"/>
  <c r="S529" i="8"/>
  <c r="A529" i="8"/>
  <c r="S528" i="8"/>
  <c r="A528" i="8"/>
  <c r="S527" i="8"/>
  <c r="A527" i="8"/>
  <c r="S526" i="8"/>
  <c r="A526" i="8"/>
  <c r="S525" i="8"/>
  <c r="A525" i="8"/>
  <c r="S524" i="8"/>
  <c r="A524" i="8"/>
  <c r="S523" i="8"/>
  <c r="A523" i="8"/>
  <c r="S522" i="8"/>
  <c r="A522" i="8"/>
  <c r="S521" i="8"/>
  <c r="A521" i="8"/>
  <c r="S520" i="8"/>
  <c r="A520" i="8"/>
  <c r="S519" i="8"/>
  <c r="A519" i="8"/>
  <c r="S518" i="8"/>
  <c r="A518" i="8"/>
  <c r="S517" i="8"/>
  <c r="A517" i="8"/>
  <c r="S516" i="8"/>
  <c r="A516" i="8"/>
  <c r="S515" i="8"/>
  <c r="A515" i="8"/>
  <c r="S514" i="8"/>
  <c r="A514" i="8"/>
  <c r="S513" i="8"/>
  <c r="A513" i="8"/>
  <c r="S512" i="8"/>
  <c r="A512" i="8"/>
  <c r="S511" i="8"/>
  <c r="A511" i="8"/>
  <c r="S510" i="8"/>
  <c r="A510" i="8"/>
  <c r="S509" i="8"/>
  <c r="A509" i="8"/>
  <c r="S508" i="8"/>
  <c r="A508" i="8"/>
  <c r="S507" i="8"/>
  <c r="A507" i="8"/>
  <c r="S506" i="8"/>
  <c r="A506" i="8"/>
  <c r="S505" i="8"/>
  <c r="A505" i="8"/>
  <c r="S504" i="8"/>
  <c r="A504" i="8"/>
  <c r="S503" i="8"/>
  <c r="A503" i="8"/>
  <c r="S502" i="8"/>
  <c r="A502" i="8"/>
  <c r="S501" i="8"/>
  <c r="A501" i="8"/>
  <c r="S500" i="8"/>
  <c r="A500" i="8"/>
  <c r="S499" i="8"/>
  <c r="A499" i="8"/>
  <c r="S498" i="8"/>
  <c r="A498" i="8"/>
  <c r="S497" i="8"/>
  <c r="A497" i="8"/>
  <c r="S496" i="8"/>
  <c r="A496" i="8"/>
  <c r="S495" i="8"/>
  <c r="A495" i="8"/>
  <c r="S494" i="8"/>
  <c r="A494" i="8"/>
  <c r="S493" i="8"/>
  <c r="A493" i="8"/>
  <c r="S492" i="8"/>
  <c r="A492" i="8"/>
  <c r="S491" i="8"/>
  <c r="A491" i="8"/>
  <c r="S490" i="8"/>
  <c r="A490" i="8"/>
  <c r="S489" i="8"/>
  <c r="A489" i="8"/>
  <c r="S488" i="8"/>
  <c r="A488" i="8"/>
  <c r="S487" i="8"/>
  <c r="A487" i="8"/>
  <c r="S486" i="8"/>
  <c r="A486" i="8"/>
  <c r="S485" i="8"/>
  <c r="A485" i="8"/>
  <c r="S484" i="8"/>
  <c r="A484" i="8"/>
  <c r="S483" i="8"/>
  <c r="A483" i="8"/>
  <c r="S482" i="8"/>
  <c r="A482" i="8"/>
  <c r="S481" i="8"/>
  <c r="A481" i="8"/>
  <c r="S480" i="8"/>
  <c r="A480" i="8"/>
  <c r="S479" i="8"/>
  <c r="A479" i="8"/>
  <c r="S478" i="8"/>
  <c r="A478" i="8"/>
  <c r="S477" i="8"/>
  <c r="A477" i="8"/>
  <c r="S476" i="8"/>
  <c r="A476" i="8"/>
  <c r="S475" i="8"/>
  <c r="A475" i="8"/>
  <c r="S474" i="8"/>
  <c r="A474" i="8"/>
  <c r="S473" i="8"/>
  <c r="A473" i="8"/>
  <c r="S472" i="8"/>
  <c r="A472" i="8"/>
  <c r="S471" i="8"/>
  <c r="A471" i="8"/>
  <c r="S470" i="8"/>
  <c r="A470" i="8"/>
  <c r="S469" i="8"/>
  <c r="A469" i="8"/>
  <c r="S468" i="8"/>
  <c r="A468" i="8"/>
  <c r="S467" i="8"/>
  <c r="A467" i="8"/>
  <c r="S466" i="8"/>
  <c r="A466" i="8"/>
  <c r="S465" i="8"/>
  <c r="A465" i="8"/>
  <c r="S464" i="8"/>
  <c r="A464" i="8"/>
  <c r="S463" i="8"/>
  <c r="A463" i="8"/>
  <c r="S462" i="8"/>
  <c r="A462" i="8"/>
  <c r="S461" i="8"/>
  <c r="A461" i="8"/>
  <c r="S460" i="8"/>
  <c r="A460" i="8"/>
  <c r="S459" i="8"/>
  <c r="A459" i="8"/>
  <c r="S458" i="8"/>
  <c r="A458" i="8"/>
  <c r="S457" i="8"/>
  <c r="A457" i="8"/>
  <c r="S456" i="8"/>
  <c r="A456" i="8"/>
  <c r="S455" i="8"/>
  <c r="A455" i="8"/>
  <c r="S454" i="8"/>
  <c r="A454" i="8"/>
  <c r="S453" i="8"/>
  <c r="A453" i="8"/>
  <c r="S452" i="8"/>
  <c r="A452" i="8"/>
  <c r="S451" i="8"/>
  <c r="A451" i="8"/>
  <c r="S450" i="8"/>
  <c r="A450" i="8"/>
  <c r="S449" i="8"/>
  <c r="A449" i="8"/>
  <c r="S448" i="8"/>
  <c r="A448" i="8"/>
  <c r="S447" i="8"/>
  <c r="A447" i="8"/>
  <c r="S446" i="8"/>
  <c r="A446" i="8"/>
  <c r="S445" i="8"/>
  <c r="A445" i="8"/>
  <c r="S444" i="8"/>
  <c r="A444" i="8"/>
  <c r="S443" i="8"/>
  <c r="A443" i="8"/>
  <c r="S442" i="8"/>
  <c r="A442" i="8"/>
  <c r="S441" i="8"/>
  <c r="A441" i="8"/>
  <c r="S440" i="8"/>
  <c r="A440" i="8"/>
  <c r="S439" i="8"/>
  <c r="A439" i="8"/>
  <c r="S438" i="8"/>
  <c r="A438" i="8"/>
  <c r="S437" i="8"/>
  <c r="A437" i="8"/>
  <c r="S436" i="8"/>
  <c r="A436" i="8"/>
  <c r="S435" i="8"/>
  <c r="A435" i="8"/>
  <c r="S434" i="8"/>
  <c r="A434" i="8"/>
  <c r="S433" i="8"/>
  <c r="A433" i="8"/>
  <c r="S432" i="8"/>
  <c r="A432" i="8"/>
  <c r="S431" i="8"/>
  <c r="A431" i="8"/>
  <c r="S430" i="8"/>
  <c r="A430" i="8"/>
  <c r="S429" i="8"/>
  <c r="A429" i="8"/>
  <c r="S428" i="8"/>
  <c r="A428" i="8"/>
  <c r="S427" i="8"/>
  <c r="A427" i="8"/>
  <c r="S426" i="8"/>
  <c r="A426" i="8"/>
  <c r="S425" i="8"/>
  <c r="A425" i="8"/>
  <c r="S424" i="8"/>
  <c r="A424" i="8"/>
  <c r="S423" i="8"/>
  <c r="A423" i="8"/>
  <c r="S422" i="8"/>
  <c r="A422" i="8"/>
  <c r="S421" i="8"/>
  <c r="A421" i="8"/>
  <c r="S420" i="8"/>
  <c r="A420" i="8"/>
  <c r="S419" i="8"/>
  <c r="A419" i="8"/>
  <c r="S418" i="8"/>
  <c r="A418" i="8"/>
  <c r="S417" i="8"/>
  <c r="A417" i="8"/>
  <c r="S416" i="8"/>
  <c r="A416" i="8"/>
  <c r="S415" i="8"/>
  <c r="A415" i="8"/>
  <c r="S414" i="8"/>
  <c r="A414" i="8"/>
  <c r="S413" i="8"/>
  <c r="A413" i="8"/>
  <c r="S412" i="8"/>
  <c r="A412" i="8"/>
  <c r="S411" i="8"/>
  <c r="A411" i="8"/>
  <c r="S410" i="8"/>
  <c r="A410" i="8"/>
  <c r="S409" i="8"/>
  <c r="A409" i="8"/>
  <c r="S408" i="8"/>
  <c r="A408" i="8"/>
  <c r="S407" i="8"/>
  <c r="A407" i="8"/>
  <c r="S406" i="8"/>
  <c r="A406" i="8"/>
  <c r="S405" i="8"/>
  <c r="A405" i="8"/>
  <c r="S404" i="8"/>
  <c r="A404" i="8"/>
  <c r="S403" i="8"/>
  <c r="A403" i="8"/>
  <c r="S402" i="8"/>
  <c r="A402" i="8"/>
  <c r="S401" i="8"/>
  <c r="A401" i="8"/>
  <c r="S400" i="8"/>
  <c r="A400" i="8"/>
  <c r="S399" i="8"/>
  <c r="A399" i="8"/>
  <c r="S398" i="8"/>
  <c r="A398" i="8"/>
  <c r="S397" i="8"/>
  <c r="A397" i="8"/>
  <c r="S396" i="8"/>
  <c r="A396" i="8"/>
  <c r="S395" i="8"/>
  <c r="A395" i="8"/>
  <c r="S394" i="8"/>
  <c r="A394" i="8"/>
  <c r="S393" i="8"/>
  <c r="A393" i="8"/>
  <c r="S392" i="8"/>
  <c r="A392" i="8"/>
  <c r="S391" i="8"/>
  <c r="A391" i="8"/>
  <c r="S390" i="8"/>
  <c r="A390" i="8"/>
  <c r="S389" i="8"/>
  <c r="A389" i="8"/>
  <c r="S388" i="8"/>
  <c r="A388" i="8"/>
  <c r="S387" i="8"/>
  <c r="A387" i="8"/>
  <c r="S386" i="8"/>
  <c r="A386" i="8"/>
  <c r="S385" i="8"/>
  <c r="A385" i="8"/>
  <c r="S384" i="8"/>
  <c r="A384" i="8"/>
  <c r="S383" i="8"/>
  <c r="A383" i="8"/>
  <c r="S382" i="8"/>
  <c r="A382" i="8"/>
  <c r="S381" i="8"/>
  <c r="A381" i="8"/>
  <c r="S380" i="8"/>
  <c r="A380" i="8"/>
  <c r="S379" i="8"/>
  <c r="A379" i="8"/>
  <c r="S378" i="8"/>
  <c r="A378" i="8"/>
  <c r="S377" i="8"/>
  <c r="A377" i="8"/>
  <c r="S376" i="8"/>
  <c r="A376" i="8"/>
  <c r="S375" i="8"/>
  <c r="A375" i="8"/>
  <c r="S374" i="8"/>
  <c r="A374" i="8"/>
  <c r="S373" i="8"/>
  <c r="A373" i="8"/>
  <c r="S372" i="8"/>
  <c r="A372" i="8"/>
  <c r="S371" i="8"/>
  <c r="A371" i="8"/>
  <c r="S370" i="8"/>
  <c r="A370" i="8"/>
  <c r="S369" i="8"/>
  <c r="A369" i="8"/>
  <c r="S368" i="8"/>
  <c r="A368" i="8"/>
  <c r="S367" i="8"/>
  <c r="A367" i="8"/>
  <c r="S366" i="8"/>
  <c r="A366" i="8"/>
  <c r="S365" i="8"/>
  <c r="A365" i="8"/>
  <c r="S364" i="8"/>
  <c r="A364" i="8"/>
  <c r="S363" i="8"/>
  <c r="A363" i="8"/>
  <c r="S362" i="8"/>
  <c r="A362" i="8"/>
  <c r="S361" i="8"/>
  <c r="A361" i="8"/>
  <c r="S360" i="8"/>
  <c r="A360" i="8"/>
  <c r="S359" i="8"/>
  <c r="A359" i="8"/>
  <c r="S358" i="8"/>
  <c r="A358" i="8"/>
  <c r="S357" i="8"/>
  <c r="A357" i="8"/>
  <c r="S356" i="8"/>
  <c r="A356" i="8"/>
  <c r="S355" i="8"/>
  <c r="A355" i="8"/>
  <c r="S354" i="8"/>
  <c r="A354" i="8"/>
  <c r="S353" i="8"/>
  <c r="A353" i="8"/>
  <c r="S352" i="8"/>
  <c r="A352" i="8"/>
  <c r="S351" i="8"/>
  <c r="A351" i="8"/>
  <c r="S350" i="8"/>
  <c r="A350" i="8"/>
  <c r="S349" i="8"/>
  <c r="A349" i="8"/>
  <c r="S348" i="8"/>
  <c r="A348" i="8"/>
  <c r="S347" i="8"/>
  <c r="A347" i="8"/>
  <c r="S346" i="8"/>
  <c r="A346" i="8"/>
  <c r="S345" i="8"/>
  <c r="A345" i="8"/>
  <c r="S344" i="8"/>
  <c r="A344" i="8"/>
  <c r="S343" i="8"/>
  <c r="A343" i="8"/>
  <c r="S342" i="8"/>
  <c r="A342" i="8"/>
  <c r="S341" i="8"/>
  <c r="A341" i="8"/>
  <c r="S340" i="8"/>
  <c r="A340" i="8"/>
  <c r="S339" i="8"/>
  <c r="A339" i="8"/>
  <c r="S338" i="8"/>
  <c r="A338" i="8"/>
  <c r="S337" i="8"/>
  <c r="A337" i="8"/>
  <c r="S336" i="8"/>
  <c r="A336" i="8"/>
  <c r="S335" i="8"/>
  <c r="A335" i="8"/>
  <c r="S334" i="8"/>
  <c r="A334" i="8"/>
  <c r="S333" i="8"/>
  <c r="A333" i="8"/>
  <c r="S332" i="8"/>
  <c r="A332" i="8"/>
  <c r="S331" i="8"/>
  <c r="A331" i="8"/>
  <c r="S330" i="8"/>
  <c r="A330" i="8"/>
  <c r="S329" i="8"/>
  <c r="A329" i="8"/>
  <c r="S328" i="8"/>
  <c r="A328" i="8"/>
  <c r="S327" i="8"/>
  <c r="A327" i="8"/>
  <c r="S326" i="8"/>
  <c r="A326" i="8"/>
  <c r="S325" i="8"/>
  <c r="A325" i="8"/>
  <c r="S324" i="8"/>
  <c r="A324" i="8"/>
  <c r="S323" i="8"/>
  <c r="A323" i="8"/>
  <c r="S322" i="8"/>
  <c r="A322" i="8"/>
  <c r="S321" i="8"/>
  <c r="A321" i="8"/>
  <c r="S320" i="8"/>
  <c r="A320" i="8"/>
  <c r="S319" i="8"/>
  <c r="A319" i="8"/>
  <c r="S318" i="8"/>
  <c r="A318" i="8"/>
  <c r="S317" i="8"/>
  <c r="A317" i="8"/>
  <c r="S316" i="8"/>
  <c r="A316" i="8"/>
  <c r="S315" i="8"/>
  <c r="A315" i="8"/>
  <c r="S314" i="8"/>
  <c r="A314" i="8"/>
  <c r="S313" i="8"/>
  <c r="A313" i="8"/>
  <c r="S312" i="8"/>
  <c r="A312" i="8"/>
  <c r="S311" i="8"/>
  <c r="A311" i="8"/>
  <c r="S310" i="8"/>
  <c r="A310" i="8"/>
  <c r="S309" i="8"/>
  <c r="A309" i="8"/>
  <c r="S308" i="8"/>
  <c r="A308" i="8"/>
  <c r="S307" i="8"/>
  <c r="A307" i="8"/>
  <c r="S306" i="8"/>
  <c r="A306" i="8"/>
  <c r="S305" i="8"/>
  <c r="A305" i="8"/>
  <c r="S304" i="8"/>
  <c r="A304" i="8"/>
  <c r="S303" i="8"/>
  <c r="A303" i="8"/>
  <c r="S302" i="8"/>
  <c r="A302" i="8"/>
  <c r="S301" i="8"/>
  <c r="A301" i="8"/>
  <c r="S300" i="8"/>
  <c r="A300" i="8"/>
  <c r="S299" i="8"/>
  <c r="A299" i="8"/>
  <c r="S298" i="8"/>
  <c r="A298" i="8"/>
  <c r="S297" i="8"/>
  <c r="A297" i="8"/>
  <c r="S296" i="8"/>
  <c r="A296" i="8"/>
  <c r="S295" i="8"/>
  <c r="A295" i="8"/>
  <c r="S294" i="8"/>
  <c r="A294" i="8"/>
  <c r="S293" i="8"/>
  <c r="A293" i="8"/>
  <c r="S292" i="8"/>
  <c r="A292" i="8"/>
  <c r="S291" i="8"/>
  <c r="A291" i="8"/>
  <c r="S290" i="8"/>
  <c r="A290" i="8"/>
  <c r="S289" i="8"/>
  <c r="A289" i="8"/>
  <c r="S288" i="8"/>
  <c r="A288" i="8"/>
  <c r="S287" i="8"/>
  <c r="A287" i="8"/>
  <c r="S286" i="8"/>
  <c r="A286" i="8"/>
  <c r="S285" i="8"/>
  <c r="A285" i="8"/>
  <c r="S284" i="8"/>
  <c r="A284" i="8"/>
  <c r="S283" i="8"/>
  <c r="A283" i="8"/>
  <c r="S282" i="8"/>
  <c r="A282" i="8"/>
  <c r="S281" i="8"/>
  <c r="A281" i="8"/>
  <c r="S280" i="8"/>
  <c r="A280" i="8"/>
  <c r="S279" i="8"/>
  <c r="A279" i="8"/>
  <c r="S278" i="8"/>
  <c r="A278" i="8"/>
  <c r="S277" i="8"/>
  <c r="A277" i="8"/>
  <c r="S276" i="8"/>
  <c r="A276" i="8"/>
  <c r="S275" i="8"/>
  <c r="A275" i="8"/>
  <c r="S274" i="8"/>
  <c r="A274" i="8"/>
  <c r="S273" i="8"/>
  <c r="A273" i="8"/>
  <c r="S272" i="8"/>
  <c r="A272" i="8"/>
  <c r="S271" i="8"/>
  <c r="A271" i="8"/>
  <c r="S270" i="8"/>
  <c r="A270" i="8"/>
  <c r="S269" i="8"/>
  <c r="A269" i="8"/>
  <c r="S268" i="8"/>
  <c r="A268" i="8"/>
  <c r="S267" i="8"/>
  <c r="A267" i="8"/>
  <c r="S266" i="8"/>
  <c r="A266" i="8"/>
  <c r="S265" i="8"/>
  <c r="A265" i="8"/>
  <c r="S264" i="8"/>
  <c r="A264" i="8"/>
  <c r="S263" i="8"/>
  <c r="A263" i="8"/>
  <c r="S262" i="8"/>
  <c r="A262" i="8"/>
  <c r="S261" i="8"/>
  <c r="A261" i="8"/>
  <c r="S260" i="8"/>
  <c r="A260" i="8"/>
  <c r="S259" i="8"/>
  <c r="A259" i="8"/>
  <c r="S258" i="8"/>
  <c r="A258" i="8"/>
  <c r="S257" i="8"/>
  <c r="A257" i="8"/>
  <c r="S256" i="8"/>
  <c r="A256" i="8"/>
  <c r="S255" i="8"/>
  <c r="A255" i="8"/>
  <c r="S254" i="8"/>
  <c r="A254" i="8"/>
  <c r="S253" i="8"/>
  <c r="A253" i="8"/>
  <c r="S252" i="8"/>
  <c r="A252" i="8"/>
  <c r="S251" i="8"/>
  <c r="A251" i="8"/>
  <c r="S250" i="8"/>
  <c r="A250" i="8"/>
  <c r="S249" i="8"/>
  <c r="A249" i="8"/>
  <c r="S248" i="8"/>
  <c r="A248" i="8"/>
  <c r="S247" i="8"/>
  <c r="A247" i="8"/>
  <c r="S246" i="8"/>
  <c r="A246" i="8"/>
  <c r="S245" i="8"/>
  <c r="A245" i="8"/>
  <c r="S244" i="8"/>
  <c r="A244" i="8"/>
  <c r="S243" i="8"/>
  <c r="A243" i="8"/>
  <c r="S242" i="8"/>
  <c r="A242" i="8"/>
  <c r="S241" i="8"/>
  <c r="A241" i="8"/>
  <c r="S240" i="8"/>
  <c r="A240" i="8"/>
  <c r="S239" i="8"/>
  <c r="A239" i="8"/>
  <c r="S238" i="8"/>
  <c r="A238" i="8"/>
  <c r="S237" i="8"/>
  <c r="A237" i="8"/>
  <c r="S236" i="8"/>
  <c r="A236" i="8"/>
  <c r="S235" i="8"/>
  <c r="A235" i="8"/>
  <c r="S234" i="8"/>
  <c r="A234" i="8"/>
  <c r="S233" i="8"/>
  <c r="A233" i="8"/>
  <c r="S232" i="8"/>
  <c r="A232" i="8"/>
  <c r="S231" i="8"/>
  <c r="A231" i="8"/>
  <c r="S230" i="8"/>
  <c r="A230" i="8"/>
  <c r="S229" i="8"/>
  <c r="A229" i="8"/>
  <c r="S228" i="8"/>
  <c r="A228" i="8"/>
  <c r="S227" i="8"/>
  <c r="A227" i="8"/>
  <c r="S226" i="8"/>
  <c r="A226" i="8"/>
  <c r="S225" i="8"/>
  <c r="A225" i="8"/>
  <c r="S224" i="8"/>
  <c r="A224" i="8"/>
  <c r="S223" i="8"/>
  <c r="A223" i="8"/>
  <c r="S222" i="8"/>
  <c r="A222" i="8"/>
  <c r="S221" i="8"/>
  <c r="A221" i="8"/>
  <c r="S220" i="8"/>
  <c r="A220" i="8"/>
  <c r="S219" i="8"/>
  <c r="A219" i="8"/>
  <c r="S218" i="8"/>
  <c r="A218" i="8"/>
  <c r="S217" i="8"/>
  <c r="A217" i="8"/>
  <c r="S216" i="8"/>
  <c r="A216" i="8"/>
  <c r="S215" i="8"/>
  <c r="A215" i="8"/>
  <c r="S214" i="8"/>
  <c r="A214" i="8"/>
  <c r="S213" i="8"/>
  <c r="A213" i="8"/>
  <c r="S212" i="8"/>
  <c r="A212" i="8"/>
  <c r="S211" i="8"/>
  <c r="A211" i="8"/>
  <c r="S210" i="8"/>
  <c r="A210" i="8"/>
  <c r="S209" i="8"/>
  <c r="A209" i="8"/>
  <c r="S208" i="8"/>
  <c r="A208" i="8"/>
  <c r="S207" i="8"/>
  <c r="A207" i="8"/>
  <c r="S206" i="8"/>
  <c r="A206" i="8"/>
  <c r="S205" i="8"/>
  <c r="A205" i="8"/>
  <c r="S204" i="8"/>
  <c r="A204" i="8"/>
  <c r="S203" i="8"/>
  <c r="A203" i="8"/>
  <c r="S202" i="8"/>
  <c r="A202" i="8"/>
  <c r="S201" i="8"/>
  <c r="A201" i="8"/>
  <c r="S200" i="8"/>
  <c r="A200" i="8"/>
  <c r="S199" i="8"/>
  <c r="A199" i="8"/>
  <c r="S198" i="8"/>
  <c r="A198" i="8"/>
  <c r="S197" i="8"/>
  <c r="A197" i="8"/>
  <c r="S196" i="8"/>
  <c r="A196" i="8"/>
  <c r="S195" i="8"/>
  <c r="A195" i="8"/>
  <c r="S194" i="8"/>
  <c r="A194" i="8"/>
  <c r="S193" i="8"/>
  <c r="A193" i="8"/>
  <c r="S192" i="8"/>
  <c r="A192" i="8"/>
  <c r="S191" i="8"/>
  <c r="A191" i="8"/>
  <c r="S190" i="8"/>
  <c r="A190" i="8"/>
  <c r="S189" i="8"/>
  <c r="A189" i="8"/>
  <c r="S188" i="8"/>
  <c r="A188" i="8"/>
  <c r="S187" i="8"/>
  <c r="A187" i="8"/>
  <c r="S186" i="8"/>
  <c r="A186" i="8"/>
  <c r="S185" i="8"/>
  <c r="A185" i="8"/>
  <c r="S184" i="8"/>
  <c r="A184" i="8"/>
  <c r="S183" i="8"/>
  <c r="A183" i="8"/>
  <c r="S182" i="8"/>
  <c r="A182" i="8"/>
  <c r="S181" i="8"/>
  <c r="A181" i="8"/>
  <c r="S180" i="8"/>
  <c r="A180" i="8"/>
  <c r="S179" i="8"/>
  <c r="A179" i="8"/>
  <c r="S178" i="8"/>
  <c r="A178" i="8"/>
  <c r="S177" i="8"/>
  <c r="A177" i="8"/>
  <c r="S176" i="8"/>
  <c r="A176" i="8"/>
  <c r="S175" i="8"/>
  <c r="A175" i="8"/>
  <c r="S174" i="8"/>
  <c r="A174" i="8"/>
  <c r="S173" i="8"/>
  <c r="A173" i="8"/>
  <c r="S172" i="8"/>
  <c r="A172" i="8"/>
  <c r="S171" i="8"/>
  <c r="A171" i="8"/>
  <c r="S170" i="8"/>
  <c r="A170" i="8"/>
  <c r="S169" i="8"/>
  <c r="A169" i="8"/>
  <c r="S168" i="8"/>
  <c r="A168" i="8"/>
  <c r="S167" i="8"/>
  <c r="A167" i="8"/>
  <c r="S166" i="8"/>
  <c r="A166" i="8"/>
  <c r="S165" i="8"/>
  <c r="A165" i="8"/>
  <c r="S164" i="8"/>
  <c r="A164" i="8"/>
  <c r="S163" i="8"/>
  <c r="A163" i="8"/>
  <c r="S162" i="8"/>
  <c r="A162" i="8"/>
  <c r="S161" i="8"/>
  <c r="A161" i="8"/>
  <c r="S160" i="8"/>
  <c r="A160" i="8"/>
  <c r="S159" i="8"/>
  <c r="A159" i="8"/>
  <c r="S158" i="8"/>
  <c r="A158" i="8"/>
  <c r="S157" i="8"/>
  <c r="A157" i="8"/>
  <c r="S156" i="8"/>
  <c r="A156" i="8"/>
  <c r="S155" i="8"/>
  <c r="A155" i="8"/>
  <c r="S154" i="8"/>
  <c r="A154" i="8"/>
  <c r="S153" i="8"/>
  <c r="A153" i="8"/>
  <c r="S152" i="8"/>
  <c r="A152" i="8"/>
  <c r="S151" i="8"/>
  <c r="A151" i="8"/>
  <c r="S150" i="8"/>
  <c r="A150" i="8"/>
  <c r="S149" i="8"/>
  <c r="A149" i="8"/>
  <c r="S148" i="8"/>
  <c r="A148" i="8"/>
  <c r="S147" i="8"/>
  <c r="A147" i="8"/>
  <c r="S146" i="8"/>
  <c r="A146" i="8"/>
  <c r="S145" i="8"/>
  <c r="A145" i="8"/>
  <c r="S144" i="8"/>
  <c r="A144" i="8"/>
  <c r="S143" i="8"/>
  <c r="A143" i="8"/>
  <c r="S142" i="8"/>
  <c r="A142" i="8"/>
  <c r="S141" i="8"/>
  <c r="A141" i="8"/>
  <c r="S140" i="8"/>
  <c r="A140" i="8"/>
  <c r="S139" i="8"/>
  <c r="A139" i="8"/>
  <c r="S138" i="8"/>
  <c r="A138" i="8"/>
  <c r="S137" i="8"/>
  <c r="A137" i="8"/>
  <c r="S136" i="8"/>
  <c r="A136" i="8"/>
  <c r="S135" i="8"/>
  <c r="A135" i="8"/>
  <c r="S134" i="8"/>
  <c r="A134" i="8"/>
  <c r="S133" i="8"/>
  <c r="A133" i="8"/>
  <c r="S132" i="8"/>
  <c r="A132" i="8"/>
  <c r="S131" i="8"/>
  <c r="A131" i="8"/>
  <c r="S130" i="8"/>
  <c r="A130" i="8"/>
  <c r="S129" i="8"/>
  <c r="A129" i="8"/>
  <c r="S128" i="8"/>
  <c r="A128" i="8"/>
  <c r="S127" i="8"/>
  <c r="A127" i="8"/>
  <c r="S126" i="8"/>
  <c r="A126" i="8"/>
  <c r="S125" i="8"/>
  <c r="A125" i="8"/>
  <c r="S124" i="8"/>
  <c r="A124" i="8"/>
  <c r="S123" i="8"/>
  <c r="A123" i="8"/>
  <c r="S122" i="8"/>
  <c r="A122" i="8"/>
  <c r="S121" i="8"/>
  <c r="A121" i="8"/>
  <c r="S120" i="8"/>
  <c r="A120" i="8"/>
  <c r="S119" i="8"/>
  <c r="A119" i="8"/>
  <c r="S118" i="8"/>
  <c r="A118" i="8"/>
  <c r="S117" i="8"/>
  <c r="A117" i="8"/>
  <c r="S116" i="8"/>
  <c r="A116" i="8"/>
  <c r="S115" i="8"/>
  <c r="A115" i="8"/>
  <c r="S114" i="8"/>
  <c r="A114" i="8"/>
  <c r="S113" i="8"/>
  <c r="A113" i="8"/>
  <c r="S112" i="8"/>
  <c r="A112" i="8"/>
  <c r="S111" i="8"/>
  <c r="A111" i="8"/>
  <c r="S110" i="8"/>
  <c r="A110" i="8"/>
  <c r="S109" i="8"/>
  <c r="A109" i="8"/>
  <c r="S108" i="8"/>
  <c r="A108" i="8"/>
  <c r="S107" i="8"/>
  <c r="A107" i="8"/>
  <c r="S106" i="8"/>
  <c r="A106" i="8"/>
  <c r="S105" i="8"/>
  <c r="A105" i="8"/>
  <c r="S104" i="8"/>
  <c r="A104" i="8"/>
  <c r="S103" i="8"/>
  <c r="A103" i="8"/>
  <c r="S102" i="8"/>
  <c r="A102" i="8"/>
  <c r="S101" i="8"/>
  <c r="A101" i="8"/>
  <c r="S100" i="8"/>
  <c r="A100" i="8"/>
  <c r="S99" i="8"/>
  <c r="A99" i="8"/>
  <c r="S98" i="8"/>
  <c r="A98" i="8"/>
  <c r="S97" i="8"/>
  <c r="A97" i="8"/>
  <c r="S96" i="8"/>
  <c r="A96" i="8"/>
  <c r="S95" i="8"/>
  <c r="A95" i="8"/>
  <c r="S94" i="8"/>
  <c r="A94" i="8"/>
  <c r="S93" i="8"/>
  <c r="A93" i="8"/>
  <c r="S92" i="8"/>
  <c r="A92" i="8"/>
  <c r="S91" i="8"/>
  <c r="A91" i="8"/>
  <c r="S90" i="8"/>
  <c r="A90" i="8"/>
  <c r="S89" i="8"/>
  <c r="A89" i="8"/>
  <c r="S88" i="8"/>
  <c r="A88" i="8"/>
  <c r="S87" i="8"/>
  <c r="A87" i="8"/>
  <c r="S86" i="8"/>
  <c r="A86" i="8"/>
  <c r="S85" i="8"/>
  <c r="A85" i="8"/>
  <c r="S84" i="8"/>
  <c r="A84" i="8"/>
  <c r="S83" i="8"/>
  <c r="A83" i="8"/>
  <c r="S82" i="8"/>
  <c r="A82" i="8"/>
  <c r="S81" i="8"/>
  <c r="A81" i="8"/>
  <c r="S80" i="8"/>
  <c r="A80" i="8"/>
  <c r="S79" i="8"/>
  <c r="A79" i="8"/>
  <c r="S78" i="8"/>
  <c r="A78" i="8"/>
  <c r="S77" i="8"/>
  <c r="A77" i="8"/>
  <c r="S76" i="8"/>
  <c r="A76" i="8"/>
  <c r="S75" i="8"/>
  <c r="A75" i="8"/>
  <c r="S74" i="8"/>
  <c r="A74" i="8"/>
  <c r="S73" i="8"/>
  <c r="A73" i="8"/>
  <c r="S72" i="8"/>
  <c r="A72" i="8"/>
  <c r="S71" i="8"/>
  <c r="A71" i="8"/>
  <c r="S70" i="8"/>
  <c r="A70" i="8"/>
  <c r="S69" i="8"/>
  <c r="A69" i="8"/>
  <c r="S68" i="8"/>
  <c r="A68" i="8"/>
  <c r="S67" i="8"/>
  <c r="A67" i="8"/>
  <c r="S66" i="8"/>
  <c r="A66" i="8"/>
  <c r="S65" i="8"/>
  <c r="A65" i="8"/>
  <c r="S64" i="8"/>
  <c r="A64" i="8"/>
  <c r="S63" i="8"/>
  <c r="A63" i="8"/>
  <c r="S62" i="8"/>
  <c r="A62" i="8"/>
  <c r="S61" i="8"/>
  <c r="A61" i="8"/>
  <c r="S60" i="8"/>
  <c r="A60" i="8"/>
  <c r="S59" i="8"/>
  <c r="A59" i="8"/>
  <c r="S58" i="8"/>
  <c r="A58" i="8"/>
  <c r="S57" i="8"/>
  <c r="A57" i="8"/>
  <c r="S56" i="8"/>
  <c r="A56" i="8"/>
  <c r="S55" i="8"/>
  <c r="A55" i="8"/>
  <c r="S54" i="8"/>
  <c r="A54" i="8"/>
  <c r="S53" i="8"/>
  <c r="A53" i="8"/>
  <c r="S52" i="8"/>
  <c r="A52" i="8"/>
  <c r="S51" i="8"/>
  <c r="A51" i="8"/>
  <c r="S50" i="8"/>
  <c r="A50" i="8"/>
  <c r="S49" i="8"/>
  <c r="A49" i="8"/>
  <c r="S48" i="8"/>
  <c r="A48" i="8"/>
  <c r="S47" i="8"/>
  <c r="A47" i="8"/>
  <c r="S46" i="8"/>
  <c r="A46" i="8"/>
  <c r="S45" i="8"/>
  <c r="A45" i="8"/>
  <c r="S44" i="8"/>
  <c r="A44" i="8"/>
  <c r="S43" i="8"/>
  <c r="A43" i="8"/>
  <c r="S42" i="8"/>
  <c r="A42" i="8"/>
  <c r="S41" i="8"/>
  <c r="A41" i="8"/>
  <c r="S40" i="8"/>
  <c r="A40" i="8"/>
  <c r="S39" i="8"/>
  <c r="A39" i="8"/>
  <c r="S38" i="8"/>
  <c r="A38" i="8"/>
  <c r="S37" i="8"/>
  <c r="A37" i="8"/>
  <c r="S36" i="8"/>
  <c r="A36" i="8"/>
  <c r="S35" i="8"/>
  <c r="A35" i="8"/>
  <c r="S34" i="8"/>
  <c r="A34" i="8"/>
  <c r="S33" i="8"/>
  <c r="A33" i="8"/>
  <c r="S32" i="8"/>
  <c r="A32" i="8"/>
  <c r="S31" i="8"/>
  <c r="A31" i="8"/>
  <c r="S30" i="8"/>
  <c r="A30" i="8"/>
  <c r="S29" i="8"/>
  <c r="A29" i="8"/>
  <c r="S28" i="8"/>
  <c r="A28" i="8"/>
  <c r="S27" i="8"/>
  <c r="A27" i="8"/>
  <c r="S26" i="8"/>
  <c r="A26" i="8"/>
  <c r="S25" i="8"/>
  <c r="A25" i="8"/>
  <c r="S24" i="8"/>
  <c r="A24" i="8"/>
  <c r="S23" i="8"/>
  <c r="A23" i="8"/>
  <c r="S22" i="8"/>
  <c r="A22" i="8"/>
  <c r="S21" i="8"/>
  <c r="A21" i="8"/>
  <c r="S20" i="8"/>
  <c r="A20" i="8"/>
  <c r="S19" i="8"/>
  <c r="A19" i="8"/>
  <c r="S18" i="8"/>
  <c r="A18" i="8"/>
  <c r="S17" i="8"/>
  <c r="A17" i="8"/>
  <c r="S16" i="8"/>
  <c r="A16" i="8"/>
  <c r="S15" i="8"/>
  <c r="A15" i="8"/>
  <c r="S14" i="8"/>
  <c r="A14" i="8"/>
  <c r="S13" i="8"/>
  <c r="A13" i="8"/>
  <c r="S12" i="8"/>
  <c r="A12" i="8"/>
  <c r="S11" i="8"/>
  <c r="A11" i="8"/>
  <c r="S10" i="8"/>
  <c r="A10" i="8"/>
  <c r="S9" i="8"/>
  <c r="A9" i="8"/>
  <c r="S8" i="8"/>
  <c r="A8" i="8"/>
  <c r="S7" i="8"/>
  <c r="A7" i="8"/>
  <c r="S6" i="8"/>
  <c r="A6" i="8"/>
  <c r="S5" i="8"/>
  <c r="A5" i="8"/>
  <c r="S4" i="8"/>
  <c r="A4" i="8"/>
  <c r="S3" i="8"/>
  <c r="A3" i="8"/>
  <c r="R219" i="7"/>
  <c r="A219" i="7"/>
  <c r="R218" i="7"/>
  <c r="A218" i="7"/>
  <c r="R217" i="7"/>
  <c r="A217" i="7"/>
  <c r="R216" i="7"/>
  <c r="A216" i="7"/>
  <c r="R215" i="7"/>
  <c r="A215" i="7"/>
  <c r="R214" i="7"/>
  <c r="A214" i="7"/>
  <c r="R213" i="7"/>
  <c r="A213" i="7"/>
  <c r="R212" i="7"/>
  <c r="A212" i="7"/>
  <c r="R211" i="7"/>
  <c r="A211" i="7"/>
  <c r="R210" i="7"/>
  <c r="A210" i="7"/>
  <c r="R209" i="7"/>
  <c r="A209" i="7"/>
  <c r="R208" i="7"/>
  <c r="A208" i="7"/>
  <c r="R207" i="7"/>
  <c r="A207" i="7"/>
  <c r="R206" i="7"/>
  <c r="A206" i="7"/>
  <c r="R205" i="7"/>
  <c r="A205" i="7"/>
  <c r="R204" i="7"/>
  <c r="A204" i="7"/>
  <c r="R203" i="7"/>
  <c r="A203" i="7"/>
  <c r="R202" i="7"/>
  <c r="A202" i="7"/>
  <c r="R201" i="7"/>
  <c r="A201" i="7"/>
  <c r="R200" i="7"/>
  <c r="A200" i="7"/>
  <c r="R199" i="7"/>
  <c r="A199" i="7"/>
  <c r="R198" i="7"/>
  <c r="A198" i="7"/>
  <c r="R197" i="7"/>
  <c r="A197" i="7"/>
  <c r="R196" i="7"/>
  <c r="A196" i="7"/>
  <c r="R195" i="7"/>
  <c r="A195" i="7"/>
  <c r="R194" i="7"/>
  <c r="A194" i="7"/>
  <c r="R193" i="7"/>
  <c r="A193" i="7"/>
  <c r="R192" i="7"/>
  <c r="A192" i="7"/>
  <c r="R191" i="7"/>
  <c r="A191" i="7"/>
  <c r="R190" i="7"/>
  <c r="A190" i="7"/>
  <c r="R189" i="7"/>
  <c r="A189" i="7"/>
  <c r="R188" i="7"/>
  <c r="A188" i="7"/>
  <c r="R187" i="7"/>
  <c r="A187" i="7"/>
  <c r="R186" i="7"/>
  <c r="A186" i="7"/>
  <c r="R185" i="7"/>
  <c r="A185" i="7"/>
  <c r="R184" i="7"/>
  <c r="A184" i="7"/>
  <c r="R183" i="7"/>
  <c r="A183" i="7"/>
  <c r="R182" i="7"/>
  <c r="A182" i="7"/>
  <c r="R181" i="7"/>
  <c r="A181" i="7"/>
  <c r="R180" i="7"/>
  <c r="A180" i="7"/>
  <c r="R179" i="7"/>
  <c r="A179" i="7"/>
  <c r="R178" i="7"/>
  <c r="A178" i="7"/>
  <c r="R177" i="7"/>
  <c r="A177" i="7"/>
  <c r="R176" i="7"/>
  <c r="A176" i="7"/>
  <c r="R175" i="7"/>
  <c r="A175" i="7"/>
  <c r="R174" i="7"/>
  <c r="A174" i="7"/>
  <c r="R173" i="7"/>
  <c r="A173" i="7"/>
  <c r="R172" i="7"/>
  <c r="A172" i="7"/>
  <c r="R171" i="7"/>
  <c r="A171" i="7"/>
  <c r="R170" i="7"/>
  <c r="A170" i="7"/>
  <c r="R169" i="7"/>
  <c r="A169" i="7"/>
  <c r="R168" i="7"/>
  <c r="A168" i="7"/>
  <c r="R167" i="7"/>
  <c r="A167" i="7"/>
  <c r="R166" i="7"/>
  <c r="A166" i="7"/>
  <c r="R165" i="7"/>
  <c r="A165" i="7"/>
  <c r="R164" i="7"/>
  <c r="A164" i="7"/>
  <c r="R163" i="7"/>
  <c r="A163" i="7"/>
  <c r="R162" i="7"/>
  <c r="A162" i="7"/>
  <c r="R161" i="7"/>
  <c r="A161" i="7"/>
  <c r="R160" i="7"/>
  <c r="A160" i="7"/>
  <c r="R159" i="7"/>
  <c r="A159" i="7"/>
  <c r="R158" i="7"/>
  <c r="A158" i="7"/>
  <c r="R157" i="7"/>
  <c r="A157" i="7"/>
  <c r="R156" i="7"/>
  <c r="A156" i="7"/>
  <c r="R155" i="7"/>
  <c r="A155" i="7"/>
  <c r="R154" i="7"/>
  <c r="A154" i="7"/>
  <c r="R153" i="7"/>
  <c r="A153" i="7"/>
  <c r="R152" i="7"/>
  <c r="A152" i="7"/>
  <c r="R151" i="7"/>
  <c r="A151" i="7"/>
  <c r="R150" i="7"/>
  <c r="A150" i="7"/>
  <c r="R149" i="7"/>
  <c r="A149" i="7"/>
  <c r="R148" i="7"/>
  <c r="A148" i="7"/>
  <c r="R147" i="7"/>
  <c r="A147" i="7"/>
  <c r="R146" i="7"/>
  <c r="A146" i="7"/>
  <c r="R145" i="7"/>
  <c r="A145" i="7"/>
  <c r="R144" i="7"/>
  <c r="A144" i="7"/>
  <c r="R143" i="7"/>
  <c r="A143" i="7"/>
  <c r="R142" i="7"/>
  <c r="A142" i="7"/>
  <c r="R141" i="7"/>
  <c r="A141" i="7"/>
  <c r="R140" i="7"/>
  <c r="A140" i="7"/>
  <c r="R139" i="7"/>
  <c r="A139" i="7"/>
  <c r="R138" i="7"/>
  <c r="A138" i="7"/>
  <c r="R137" i="7"/>
  <c r="A137" i="7"/>
  <c r="R136" i="7"/>
  <c r="A136" i="7"/>
  <c r="R135" i="7"/>
  <c r="A135" i="7"/>
  <c r="R134" i="7"/>
  <c r="A134" i="7"/>
  <c r="R133" i="7"/>
  <c r="A133" i="7"/>
  <c r="R132" i="7"/>
  <c r="A132" i="7"/>
  <c r="R131" i="7"/>
  <c r="A131" i="7"/>
  <c r="R130" i="7"/>
  <c r="A130" i="7"/>
  <c r="R129" i="7"/>
  <c r="A129" i="7"/>
  <c r="R128" i="7"/>
  <c r="A128" i="7"/>
  <c r="R127" i="7"/>
  <c r="A127" i="7"/>
  <c r="R126" i="7"/>
  <c r="A126" i="7"/>
  <c r="R125" i="7"/>
  <c r="A125" i="7"/>
  <c r="R124" i="7"/>
  <c r="A124" i="7"/>
  <c r="R123" i="7"/>
  <c r="A123" i="7"/>
  <c r="R122" i="7"/>
  <c r="A122" i="7"/>
  <c r="R121" i="7"/>
  <c r="A121" i="7"/>
  <c r="R120" i="7"/>
  <c r="A120" i="7"/>
  <c r="R119" i="7"/>
  <c r="A119" i="7"/>
  <c r="R118" i="7"/>
  <c r="A118" i="7"/>
  <c r="R117" i="7"/>
  <c r="A117" i="7"/>
  <c r="R116" i="7"/>
  <c r="A116" i="7"/>
  <c r="R115" i="7"/>
  <c r="A115" i="7"/>
  <c r="R114" i="7"/>
  <c r="A114" i="7"/>
  <c r="R113" i="7"/>
  <c r="A113" i="7"/>
  <c r="R112" i="7"/>
  <c r="A112" i="7"/>
  <c r="R111" i="7"/>
  <c r="A111" i="7"/>
  <c r="R110" i="7"/>
  <c r="A110" i="7"/>
  <c r="R109" i="7"/>
  <c r="A109" i="7"/>
  <c r="R108" i="7"/>
  <c r="A108" i="7"/>
  <c r="R107" i="7"/>
  <c r="A107" i="7"/>
  <c r="R106" i="7"/>
  <c r="A106" i="7"/>
  <c r="R105" i="7"/>
  <c r="A105" i="7"/>
  <c r="R104" i="7"/>
  <c r="A104" i="7"/>
  <c r="R103" i="7"/>
  <c r="A103" i="7"/>
  <c r="R102" i="7"/>
  <c r="A102" i="7"/>
  <c r="R101" i="7"/>
  <c r="A101" i="7"/>
  <c r="R100" i="7"/>
  <c r="A100" i="7"/>
  <c r="R99" i="7"/>
  <c r="A99" i="7"/>
  <c r="R98" i="7"/>
  <c r="A98" i="7"/>
  <c r="R97" i="7"/>
  <c r="A97" i="7"/>
  <c r="R96" i="7"/>
  <c r="A96" i="7"/>
  <c r="A95" i="7"/>
  <c r="R94" i="7"/>
  <c r="A94" i="7"/>
  <c r="R93" i="7"/>
  <c r="A93" i="7"/>
  <c r="R92" i="7"/>
  <c r="A92" i="7"/>
  <c r="R91" i="7"/>
  <c r="A91" i="7"/>
  <c r="R90" i="7"/>
  <c r="A90" i="7"/>
  <c r="R89" i="7"/>
  <c r="A89" i="7"/>
  <c r="R88" i="7"/>
  <c r="A88" i="7"/>
  <c r="R87" i="7"/>
  <c r="A87" i="7"/>
  <c r="R86" i="7"/>
  <c r="A86" i="7"/>
  <c r="R85" i="7"/>
  <c r="A85" i="7"/>
  <c r="R84" i="7"/>
  <c r="A84" i="7"/>
  <c r="R83" i="7"/>
  <c r="A83" i="7"/>
  <c r="R82" i="7"/>
  <c r="A82" i="7"/>
  <c r="R81" i="7"/>
  <c r="A81" i="7"/>
  <c r="R80" i="7"/>
  <c r="A80" i="7"/>
  <c r="R79" i="7"/>
  <c r="A79" i="7"/>
  <c r="R78" i="7"/>
  <c r="A78" i="7"/>
  <c r="R77" i="7"/>
  <c r="A77" i="7"/>
  <c r="R76" i="7"/>
  <c r="A76" i="7"/>
  <c r="R75" i="7"/>
  <c r="A75" i="7"/>
  <c r="R74" i="7"/>
  <c r="A74" i="7"/>
  <c r="R73" i="7"/>
  <c r="A73" i="7"/>
  <c r="R72" i="7"/>
  <c r="A72" i="7"/>
  <c r="R71" i="7"/>
  <c r="A71" i="7"/>
  <c r="R70" i="7"/>
  <c r="A70" i="7"/>
  <c r="R69" i="7"/>
  <c r="A69" i="7"/>
  <c r="R68" i="7"/>
  <c r="A68" i="7"/>
  <c r="R67" i="7"/>
  <c r="A67" i="7"/>
  <c r="R66" i="7"/>
  <c r="A66" i="7"/>
  <c r="R65" i="7"/>
  <c r="A65" i="7"/>
  <c r="A64" i="7"/>
  <c r="A63" i="7"/>
  <c r="A62" i="7"/>
  <c r="A61" i="7"/>
  <c r="A60" i="7"/>
  <c r="A59" i="7"/>
  <c r="A58" i="7"/>
  <c r="A57" i="7"/>
  <c r="A56" i="7"/>
  <c r="A55" i="7"/>
  <c r="R54" i="7"/>
  <c r="A54" i="7"/>
  <c r="R53" i="7"/>
  <c r="A53" i="7"/>
  <c r="R52" i="7"/>
  <c r="A52" i="7"/>
  <c r="A51" i="7"/>
  <c r="R50" i="7"/>
  <c r="A50" i="7"/>
  <c r="R49" i="7"/>
  <c r="A49" i="7"/>
  <c r="R48" i="7"/>
  <c r="A48" i="7"/>
  <c r="R47" i="7"/>
  <c r="A47" i="7"/>
  <c r="R46" i="7"/>
  <c r="A46" i="7"/>
  <c r="A45" i="7"/>
  <c r="R44" i="7"/>
  <c r="A44" i="7"/>
  <c r="R43" i="7"/>
  <c r="A43" i="7"/>
  <c r="R42" i="7"/>
  <c r="A42" i="7"/>
  <c r="R41" i="7"/>
  <c r="A41" i="7"/>
  <c r="R40" i="7"/>
  <c r="A40" i="7"/>
  <c r="R39" i="7"/>
  <c r="A39" i="7"/>
  <c r="R38" i="7"/>
  <c r="A38" i="7"/>
  <c r="R37" i="7"/>
  <c r="A37" i="7"/>
  <c r="R36" i="7"/>
  <c r="A36" i="7"/>
  <c r="R35" i="7"/>
  <c r="A35" i="7"/>
  <c r="R34" i="7"/>
  <c r="A34" i="7"/>
  <c r="R33" i="7"/>
  <c r="A33" i="7"/>
  <c r="R32" i="7"/>
  <c r="A32" i="7"/>
  <c r="R31" i="7"/>
  <c r="A31" i="7"/>
  <c r="R30" i="7"/>
  <c r="A30" i="7"/>
  <c r="R29" i="7"/>
  <c r="A29" i="7"/>
  <c r="R28" i="7"/>
  <c r="A28" i="7"/>
  <c r="R27" i="7"/>
  <c r="A27" i="7"/>
  <c r="R26" i="7"/>
  <c r="A26" i="7"/>
  <c r="R25" i="7"/>
  <c r="A25" i="7"/>
  <c r="R24" i="7"/>
  <c r="A24" i="7"/>
  <c r="R23" i="7"/>
  <c r="A23" i="7"/>
  <c r="R22" i="7"/>
  <c r="A22" i="7"/>
  <c r="R21" i="7"/>
  <c r="A21" i="7"/>
  <c r="R20" i="7"/>
  <c r="A20" i="7"/>
  <c r="A19" i="7"/>
  <c r="R18" i="7"/>
  <c r="A18" i="7"/>
  <c r="R17" i="7"/>
  <c r="A17" i="7"/>
  <c r="R16" i="7"/>
  <c r="A16" i="7"/>
  <c r="R15" i="7"/>
  <c r="A15" i="7"/>
  <c r="A14" i="7"/>
  <c r="A13" i="7"/>
  <c r="A12" i="7"/>
  <c r="A11" i="7"/>
  <c r="A10" i="7"/>
  <c r="A9" i="7"/>
  <c r="A8" i="7"/>
  <c r="A7" i="7"/>
  <c r="R6" i="7"/>
  <c r="A6" i="7"/>
  <c r="R5" i="7"/>
  <c r="A5" i="7"/>
  <c r="R4" i="7"/>
  <c r="A4" i="7"/>
  <c r="R3" i="7"/>
  <c r="A3" i="7"/>
  <c r="Q788" i="6"/>
  <c r="A788" i="6"/>
  <c r="Q787" i="6"/>
  <c r="A787" i="6"/>
  <c r="Q786" i="6"/>
  <c r="A786" i="6"/>
  <c r="Q785" i="6"/>
  <c r="A785" i="6"/>
  <c r="Q784" i="6"/>
  <c r="A784" i="6"/>
  <c r="Q783" i="6"/>
  <c r="A783" i="6"/>
  <c r="Q782" i="6"/>
  <c r="A782" i="6"/>
  <c r="Q781" i="6"/>
  <c r="A781" i="6"/>
  <c r="Q780" i="6"/>
  <c r="A780" i="6"/>
  <c r="Q779" i="6"/>
  <c r="A779" i="6"/>
  <c r="Q778" i="6"/>
  <c r="A778" i="6"/>
  <c r="Q777" i="6"/>
  <c r="A777" i="6"/>
  <c r="Q776" i="6"/>
  <c r="A776" i="6"/>
  <c r="Q775" i="6"/>
  <c r="A775" i="6"/>
  <c r="Q774" i="6"/>
  <c r="A774" i="6"/>
  <c r="Q773" i="6"/>
  <c r="A773" i="6"/>
  <c r="Q772" i="6"/>
  <c r="A772" i="6"/>
  <c r="Q771" i="6"/>
  <c r="A771" i="6"/>
  <c r="Q770" i="6"/>
  <c r="A770" i="6"/>
  <c r="Q769" i="6"/>
  <c r="A769" i="6"/>
  <c r="Q768" i="6"/>
  <c r="A768" i="6"/>
  <c r="Q767" i="6"/>
  <c r="A767" i="6"/>
  <c r="Q766" i="6"/>
  <c r="A766" i="6"/>
  <c r="Q765" i="6"/>
  <c r="A765" i="6"/>
  <c r="Q764" i="6"/>
  <c r="A764" i="6"/>
  <c r="Q763" i="6"/>
  <c r="A763" i="6"/>
  <c r="Q762" i="6"/>
  <c r="A762" i="6"/>
  <c r="Q761" i="6"/>
  <c r="A761" i="6"/>
  <c r="Q760" i="6"/>
  <c r="A760" i="6"/>
  <c r="Q759" i="6"/>
  <c r="A759" i="6"/>
  <c r="Q758" i="6"/>
  <c r="A758" i="6"/>
  <c r="Q757" i="6"/>
  <c r="A757" i="6"/>
  <c r="Q756" i="6"/>
  <c r="A756" i="6"/>
  <c r="Q755" i="6"/>
  <c r="A755" i="6"/>
  <c r="Q754" i="6"/>
  <c r="A754" i="6"/>
  <c r="Q753" i="6"/>
  <c r="A753" i="6"/>
  <c r="Q752" i="6"/>
  <c r="A752" i="6"/>
  <c r="Q751" i="6"/>
  <c r="A751" i="6"/>
  <c r="Q750" i="6"/>
  <c r="A750" i="6"/>
  <c r="Q749" i="6"/>
  <c r="A749" i="6"/>
  <c r="Q748" i="6"/>
  <c r="A748" i="6"/>
  <c r="Q747" i="6"/>
  <c r="A747" i="6"/>
  <c r="A746" i="6"/>
  <c r="A745" i="6"/>
  <c r="A744" i="6"/>
  <c r="Q743" i="6"/>
  <c r="A743" i="6"/>
  <c r="Q742" i="6"/>
  <c r="A742" i="6"/>
  <c r="Q741" i="6"/>
  <c r="A741" i="6"/>
  <c r="Q740" i="6"/>
  <c r="A740" i="6"/>
  <c r="Q739" i="6"/>
  <c r="A739" i="6"/>
  <c r="Q738" i="6"/>
  <c r="A738" i="6"/>
  <c r="Q737" i="6"/>
  <c r="A737" i="6"/>
  <c r="Q736" i="6"/>
  <c r="A736" i="6"/>
  <c r="Q735" i="6"/>
  <c r="A735" i="6"/>
  <c r="Q734" i="6"/>
  <c r="A734" i="6"/>
  <c r="Q733" i="6"/>
  <c r="A733" i="6"/>
  <c r="A732" i="6"/>
  <c r="Q731" i="6"/>
  <c r="A731" i="6"/>
  <c r="Q730" i="6"/>
  <c r="A730" i="6"/>
  <c r="Q729" i="6"/>
  <c r="A729" i="6"/>
  <c r="Q728" i="6"/>
  <c r="A728" i="6"/>
  <c r="Q727" i="6"/>
  <c r="A727" i="6"/>
  <c r="Q726" i="6"/>
  <c r="A726" i="6"/>
  <c r="Q725" i="6"/>
  <c r="A725" i="6"/>
  <c r="Q724" i="6"/>
  <c r="A724" i="6"/>
  <c r="Q723" i="6"/>
  <c r="A723" i="6"/>
  <c r="Q722" i="6"/>
  <c r="A722" i="6"/>
  <c r="Q721" i="6"/>
  <c r="A721" i="6"/>
  <c r="Q720" i="6"/>
  <c r="A720" i="6"/>
  <c r="Q719" i="6"/>
  <c r="A719" i="6"/>
  <c r="Q718" i="6"/>
  <c r="A718" i="6"/>
  <c r="Q717" i="6"/>
  <c r="A717" i="6"/>
  <c r="Q716" i="6"/>
  <c r="A716" i="6"/>
  <c r="Q715" i="6"/>
  <c r="A715" i="6"/>
  <c r="Q714" i="6"/>
  <c r="A714" i="6"/>
  <c r="Q713" i="6"/>
  <c r="A713" i="6"/>
  <c r="Q712" i="6"/>
  <c r="A712" i="6"/>
  <c r="Q711" i="6"/>
  <c r="A711" i="6"/>
  <c r="Q710" i="6"/>
  <c r="A710" i="6"/>
  <c r="Q709" i="6"/>
  <c r="A709" i="6"/>
  <c r="Q708" i="6"/>
  <c r="A708" i="6"/>
  <c r="Q707" i="6"/>
  <c r="A707" i="6"/>
  <c r="Q706" i="6"/>
  <c r="A706" i="6"/>
  <c r="Q705" i="6"/>
  <c r="A705" i="6"/>
  <c r="Q704" i="6"/>
  <c r="A704" i="6"/>
  <c r="Q703" i="6"/>
  <c r="A703" i="6"/>
  <c r="Q702" i="6"/>
  <c r="A702" i="6"/>
  <c r="Q701" i="6"/>
  <c r="A701" i="6"/>
  <c r="Q700" i="6"/>
  <c r="A700" i="6"/>
  <c r="Q699" i="6"/>
  <c r="A699" i="6"/>
  <c r="Q698" i="6"/>
  <c r="A698" i="6"/>
  <c r="Q697" i="6"/>
  <c r="A697" i="6"/>
  <c r="Q696" i="6"/>
  <c r="A696" i="6"/>
  <c r="Q695" i="6"/>
  <c r="A695" i="6"/>
  <c r="Q694" i="6"/>
  <c r="A694" i="6"/>
  <c r="Q693" i="6"/>
  <c r="A693" i="6"/>
  <c r="Q692" i="6"/>
  <c r="A692" i="6"/>
  <c r="Q691" i="6"/>
  <c r="A691" i="6"/>
  <c r="Q690" i="6"/>
  <c r="A690" i="6"/>
  <c r="Q689" i="6"/>
  <c r="A689" i="6"/>
  <c r="Q688" i="6"/>
  <c r="A688" i="6"/>
  <c r="Q687" i="6"/>
  <c r="A687" i="6"/>
  <c r="Q686" i="6"/>
  <c r="A686" i="6"/>
  <c r="Q685" i="6"/>
  <c r="A685" i="6"/>
  <c r="Q684" i="6"/>
  <c r="A684" i="6"/>
  <c r="Q683" i="6"/>
  <c r="A683" i="6"/>
  <c r="Q682" i="6"/>
  <c r="A682" i="6"/>
  <c r="Q681" i="6"/>
  <c r="A681" i="6"/>
  <c r="Q680" i="6"/>
  <c r="A680" i="6"/>
  <c r="Q679" i="6"/>
  <c r="A679" i="6"/>
  <c r="Q678" i="6"/>
  <c r="A678" i="6"/>
  <c r="Q677" i="6"/>
  <c r="A677" i="6"/>
  <c r="Q676" i="6"/>
  <c r="A676" i="6"/>
  <c r="Q675" i="6"/>
  <c r="A675" i="6"/>
  <c r="Q674" i="6"/>
  <c r="A674" i="6"/>
  <c r="Q673" i="6"/>
  <c r="A673" i="6"/>
  <c r="Q672" i="6"/>
  <c r="A672" i="6"/>
  <c r="Q671" i="6"/>
  <c r="A671" i="6"/>
  <c r="Q670" i="6"/>
  <c r="A670" i="6"/>
  <c r="Q669" i="6"/>
  <c r="A669" i="6"/>
  <c r="Q668" i="6"/>
  <c r="A668" i="6"/>
  <c r="Q667" i="6"/>
  <c r="A667" i="6"/>
  <c r="Q666" i="6"/>
  <c r="A666" i="6"/>
  <c r="Q665" i="6"/>
  <c r="A665" i="6"/>
  <c r="Q664" i="6"/>
  <c r="A664" i="6"/>
  <c r="Q663" i="6"/>
  <c r="A663" i="6"/>
  <c r="Q662" i="6"/>
  <c r="A662" i="6"/>
  <c r="Q661" i="6"/>
  <c r="A661" i="6"/>
  <c r="Q660" i="6"/>
  <c r="A660" i="6"/>
  <c r="Q659" i="6"/>
  <c r="A659" i="6"/>
  <c r="Q658" i="6"/>
  <c r="A658" i="6"/>
  <c r="Q657" i="6"/>
  <c r="A657" i="6"/>
  <c r="Q656" i="6"/>
  <c r="A656" i="6"/>
  <c r="Q655" i="6"/>
  <c r="A655" i="6"/>
  <c r="Q654" i="6"/>
  <c r="A654" i="6"/>
  <c r="Q653" i="6"/>
  <c r="A653" i="6"/>
  <c r="Q652" i="6"/>
  <c r="A652" i="6"/>
  <c r="Q651" i="6"/>
  <c r="A651" i="6"/>
  <c r="Q650" i="6"/>
  <c r="A650" i="6"/>
  <c r="Q649" i="6"/>
  <c r="A649" i="6"/>
  <c r="Q648" i="6"/>
  <c r="A648" i="6"/>
  <c r="Q647" i="6"/>
  <c r="A647" i="6"/>
  <c r="Q646" i="6"/>
  <c r="A646" i="6"/>
  <c r="Q645" i="6"/>
  <c r="A645" i="6"/>
  <c r="Q644" i="6"/>
  <c r="A644" i="6"/>
  <c r="Q643" i="6"/>
  <c r="A643" i="6"/>
  <c r="Q642" i="6"/>
  <c r="A642" i="6"/>
  <c r="Q641" i="6"/>
  <c r="A641" i="6"/>
  <c r="Q640" i="6"/>
  <c r="A640" i="6"/>
  <c r="Q639" i="6"/>
  <c r="A639" i="6"/>
  <c r="Q638" i="6"/>
  <c r="A638" i="6"/>
  <c r="Q637" i="6"/>
  <c r="A637" i="6"/>
  <c r="Q636" i="6"/>
  <c r="A636" i="6"/>
  <c r="Q635" i="6"/>
  <c r="A635" i="6"/>
  <c r="Q634" i="6"/>
  <c r="A634" i="6"/>
  <c r="Q633" i="6"/>
  <c r="A633" i="6"/>
  <c r="Q632" i="6"/>
  <c r="A632" i="6"/>
  <c r="Q631" i="6"/>
  <c r="A631" i="6"/>
  <c r="Q630" i="6"/>
  <c r="A630" i="6"/>
  <c r="Q629" i="6"/>
  <c r="A629" i="6"/>
  <c r="Q628" i="6"/>
  <c r="A628" i="6"/>
  <c r="Q627" i="6"/>
  <c r="A627" i="6"/>
  <c r="Q626" i="6"/>
  <c r="A626" i="6"/>
  <c r="Q625" i="6"/>
  <c r="A625" i="6"/>
  <c r="Q624" i="6"/>
  <c r="A624" i="6"/>
  <c r="Q623" i="6"/>
  <c r="A623" i="6"/>
  <c r="Q622" i="6"/>
  <c r="A622" i="6"/>
  <c r="Q621" i="6"/>
  <c r="A621" i="6"/>
  <c r="Q620" i="6"/>
  <c r="A620" i="6"/>
  <c r="Q619" i="6"/>
  <c r="A619" i="6"/>
  <c r="Q618" i="6"/>
  <c r="A618" i="6"/>
  <c r="Q617" i="6"/>
  <c r="A617" i="6"/>
  <c r="A616" i="6"/>
  <c r="A615" i="6"/>
  <c r="A614" i="6"/>
  <c r="A613" i="6"/>
  <c r="A612" i="6"/>
  <c r="Q611" i="6"/>
  <c r="A611" i="6"/>
  <c r="Q610" i="6"/>
  <c r="A610" i="6"/>
  <c r="Q609" i="6"/>
  <c r="A609" i="6"/>
  <c r="Q608" i="6"/>
  <c r="A608" i="6"/>
  <c r="Q607" i="6"/>
  <c r="A607" i="6"/>
  <c r="Q606" i="6"/>
  <c r="A606" i="6"/>
  <c r="Q605" i="6"/>
  <c r="A605" i="6"/>
  <c r="Q604" i="6"/>
  <c r="A604" i="6"/>
  <c r="Q603" i="6"/>
  <c r="A603" i="6"/>
  <c r="Q602" i="6"/>
  <c r="A602" i="6"/>
  <c r="Q601" i="6"/>
  <c r="A601" i="6"/>
  <c r="Q600" i="6"/>
  <c r="A600" i="6"/>
  <c r="Q599" i="6"/>
  <c r="A599" i="6"/>
  <c r="Q598" i="6"/>
  <c r="A598" i="6"/>
  <c r="Q597" i="6"/>
  <c r="A597" i="6"/>
  <c r="Q596" i="6"/>
  <c r="A596" i="6"/>
  <c r="Q595" i="6"/>
  <c r="A595" i="6"/>
  <c r="Q594" i="6"/>
  <c r="A594" i="6"/>
  <c r="Q593" i="6"/>
  <c r="A593" i="6"/>
  <c r="A592" i="6"/>
  <c r="Q591" i="6"/>
  <c r="A591" i="6"/>
  <c r="Q590" i="6"/>
  <c r="A590" i="6"/>
  <c r="Q589" i="6"/>
  <c r="A589" i="6"/>
  <c r="Q588" i="6"/>
  <c r="A588" i="6"/>
  <c r="Q587" i="6"/>
  <c r="A587" i="6"/>
  <c r="Q586" i="6"/>
  <c r="A586" i="6"/>
  <c r="Q585" i="6"/>
  <c r="A585" i="6"/>
  <c r="Q584" i="6"/>
  <c r="A584" i="6"/>
  <c r="Q583" i="6"/>
  <c r="A583" i="6"/>
  <c r="Q582" i="6"/>
  <c r="A582" i="6"/>
  <c r="Q581" i="6"/>
  <c r="A581" i="6"/>
  <c r="Q580" i="6"/>
  <c r="A580" i="6"/>
  <c r="Q579" i="6"/>
  <c r="A579" i="6"/>
  <c r="Q578" i="6"/>
  <c r="A578" i="6"/>
  <c r="Q577" i="6"/>
  <c r="A577" i="6"/>
  <c r="Q576" i="6"/>
  <c r="A576" i="6"/>
  <c r="Q575" i="6"/>
  <c r="A575" i="6"/>
  <c r="Q574" i="6"/>
  <c r="A574" i="6"/>
  <c r="Q573" i="6"/>
  <c r="A573" i="6"/>
  <c r="Q572" i="6"/>
  <c r="A572" i="6"/>
  <c r="Q571" i="6"/>
  <c r="A571" i="6"/>
  <c r="Q570" i="6"/>
  <c r="A570" i="6"/>
  <c r="Q569" i="6"/>
  <c r="A569" i="6"/>
  <c r="Q568" i="6"/>
  <c r="A568" i="6"/>
  <c r="Q567" i="6"/>
  <c r="A567" i="6"/>
  <c r="Q566" i="6"/>
  <c r="A566" i="6"/>
  <c r="Q565" i="6"/>
  <c r="A565" i="6"/>
  <c r="Q564" i="6"/>
  <c r="A564" i="6"/>
  <c r="Q563" i="6"/>
  <c r="A563" i="6"/>
  <c r="Q562" i="6"/>
  <c r="A562" i="6"/>
  <c r="Q561" i="6"/>
  <c r="A561" i="6"/>
  <c r="Q560" i="6"/>
  <c r="A560" i="6"/>
  <c r="Q559" i="6"/>
  <c r="A559" i="6"/>
  <c r="Q558" i="6"/>
  <c r="A558" i="6"/>
  <c r="Q557" i="6"/>
  <c r="A557" i="6"/>
  <c r="Q556" i="6"/>
  <c r="A556" i="6"/>
  <c r="Q555" i="6"/>
  <c r="A555" i="6"/>
  <c r="Q554" i="6"/>
  <c r="A554" i="6"/>
  <c r="Q553" i="6"/>
  <c r="A553" i="6"/>
  <c r="Q552" i="6"/>
  <c r="A552" i="6"/>
  <c r="Q551" i="6"/>
  <c r="A551" i="6"/>
  <c r="Q550" i="6"/>
  <c r="A550" i="6"/>
  <c r="Q549" i="6"/>
  <c r="A549" i="6"/>
  <c r="Q548" i="6"/>
  <c r="A548" i="6"/>
  <c r="Q547" i="6"/>
  <c r="A547" i="6"/>
  <c r="Q546" i="6"/>
  <c r="A546" i="6"/>
  <c r="Q545" i="6"/>
  <c r="A545" i="6"/>
  <c r="Q544" i="6"/>
  <c r="A544" i="6"/>
  <c r="Q543" i="6"/>
  <c r="A543" i="6"/>
  <c r="Q542" i="6"/>
  <c r="A542" i="6"/>
  <c r="Q541" i="6"/>
  <c r="A541" i="6"/>
  <c r="Q540" i="6"/>
  <c r="A540" i="6"/>
  <c r="Q539" i="6"/>
  <c r="A539" i="6"/>
  <c r="Q538" i="6"/>
  <c r="A538" i="6"/>
  <c r="Q537" i="6"/>
  <c r="A537" i="6"/>
  <c r="Q536" i="6"/>
  <c r="A536" i="6"/>
  <c r="Q535" i="6"/>
  <c r="A535" i="6"/>
  <c r="Q534" i="6"/>
  <c r="A534" i="6"/>
  <c r="Q533" i="6"/>
  <c r="A533" i="6"/>
  <c r="Q532" i="6"/>
  <c r="A532" i="6"/>
  <c r="Q531" i="6"/>
  <c r="A531" i="6"/>
  <c r="Q530" i="6"/>
  <c r="A530" i="6"/>
  <c r="Q529" i="6"/>
  <c r="A529" i="6"/>
  <c r="Q528" i="6"/>
  <c r="A528" i="6"/>
  <c r="Q527" i="6"/>
  <c r="A527" i="6"/>
  <c r="Q526" i="6"/>
  <c r="A526" i="6"/>
  <c r="Q525" i="6"/>
  <c r="A525" i="6"/>
  <c r="Q524" i="6"/>
  <c r="A524" i="6"/>
  <c r="Q523" i="6"/>
  <c r="A523" i="6"/>
  <c r="Q522" i="6"/>
  <c r="A522" i="6"/>
  <c r="Q521" i="6"/>
  <c r="A521" i="6"/>
  <c r="Q520" i="6"/>
  <c r="A520" i="6"/>
  <c r="Q519" i="6"/>
  <c r="A519" i="6"/>
  <c r="Q518" i="6"/>
  <c r="A518" i="6"/>
  <c r="Q517" i="6"/>
  <c r="A517" i="6"/>
  <c r="Q516" i="6"/>
  <c r="A516" i="6"/>
  <c r="Q515" i="6"/>
  <c r="A515" i="6"/>
  <c r="Q514" i="6"/>
  <c r="A514" i="6"/>
  <c r="Q513" i="6"/>
  <c r="A513" i="6"/>
  <c r="Q512" i="6"/>
  <c r="A512" i="6"/>
  <c r="Q511" i="6"/>
  <c r="A511" i="6"/>
  <c r="Q510" i="6"/>
  <c r="A510" i="6"/>
  <c r="Q509" i="6"/>
  <c r="A509" i="6"/>
  <c r="Q508" i="6"/>
  <c r="A508" i="6"/>
  <c r="Q507" i="6"/>
  <c r="A507" i="6"/>
  <c r="Q506" i="6"/>
  <c r="A506" i="6"/>
  <c r="Q505" i="6"/>
  <c r="A505" i="6"/>
  <c r="Q504" i="6"/>
  <c r="A504" i="6"/>
  <c r="Q503" i="6"/>
  <c r="A503" i="6"/>
  <c r="Q502" i="6"/>
  <c r="A502" i="6"/>
  <c r="Q501" i="6"/>
  <c r="A501" i="6"/>
  <c r="Q500" i="6"/>
  <c r="A500" i="6"/>
  <c r="Q499" i="6"/>
  <c r="A499" i="6"/>
  <c r="A498" i="6"/>
  <c r="Q497" i="6"/>
  <c r="A497" i="6"/>
  <c r="Q496" i="6"/>
  <c r="A496" i="6"/>
  <c r="Q495" i="6"/>
  <c r="A495" i="6"/>
  <c r="Q494" i="6"/>
  <c r="A494" i="6"/>
  <c r="Q493" i="6"/>
  <c r="A493" i="6"/>
  <c r="Q492" i="6"/>
  <c r="A492" i="6"/>
  <c r="Q491" i="6"/>
  <c r="A491" i="6"/>
  <c r="Q490" i="6"/>
  <c r="A490" i="6"/>
  <c r="Q489" i="6"/>
  <c r="A489" i="6"/>
  <c r="Q488" i="6"/>
  <c r="A488" i="6"/>
  <c r="Q487" i="6"/>
  <c r="A487" i="6"/>
  <c r="Q486" i="6"/>
  <c r="A486" i="6"/>
  <c r="Q485" i="6"/>
  <c r="A485" i="6"/>
  <c r="Q484" i="6"/>
  <c r="A484" i="6"/>
  <c r="Q483" i="6"/>
  <c r="A483" i="6"/>
  <c r="Q482" i="6"/>
  <c r="A482" i="6"/>
  <c r="Q481" i="6"/>
  <c r="A481" i="6"/>
  <c r="Q480" i="6"/>
  <c r="A480" i="6"/>
  <c r="Q479" i="6"/>
  <c r="A479" i="6"/>
  <c r="Q478" i="6"/>
  <c r="A478" i="6"/>
  <c r="Q477" i="6"/>
  <c r="A477" i="6"/>
  <c r="Q476" i="6"/>
  <c r="A476" i="6"/>
  <c r="Q475" i="6"/>
  <c r="A475" i="6"/>
  <c r="Q474" i="6"/>
  <c r="A474" i="6"/>
  <c r="Q473" i="6"/>
  <c r="A473" i="6"/>
  <c r="Q472" i="6"/>
  <c r="A472" i="6"/>
  <c r="Q471" i="6"/>
  <c r="A471" i="6"/>
  <c r="Q470" i="6"/>
  <c r="A470" i="6"/>
  <c r="Q469" i="6"/>
  <c r="A469" i="6"/>
  <c r="Q468" i="6"/>
  <c r="A468" i="6"/>
  <c r="Q467" i="6"/>
  <c r="A467" i="6"/>
  <c r="Q466" i="6"/>
  <c r="A466" i="6"/>
  <c r="Q465" i="6"/>
  <c r="A465" i="6"/>
  <c r="Q464" i="6"/>
  <c r="A464" i="6"/>
  <c r="A463" i="6"/>
  <c r="Q462" i="6"/>
  <c r="A462" i="6"/>
  <c r="Q461" i="6"/>
  <c r="A461" i="6"/>
  <c r="Q460" i="6"/>
  <c r="A460" i="6"/>
  <c r="Q459" i="6"/>
  <c r="A459" i="6"/>
  <c r="Q458" i="6"/>
  <c r="A458" i="6"/>
  <c r="Q457" i="6"/>
  <c r="A457" i="6"/>
  <c r="Q456" i="6"/>
  <c r="A456" i="6"/>
  <c r="Q455" i="6"/>
  <c r="A455" i="6"/>
  <c r="Q454" i="6"/>
  <c r="A454" i="6"/>
  <c r="Q453" i="6"/>
  <c r="A453" i="6"/>
  <c r="Q452" i="6"/>
  <c r="A452" i="6"/>
  <c r="Q451" i="6"/>
  <c r="A451" i="6"/>
  <c r="Q450" i="6"/>
  <c r="A450" i="6"/>
  <c r="Q449" i="6"/>
  <c r="A449" i="6"/>
  <c r="Q448" i="6"/>
  <c r="A448" i="6"/>
  <c r="Q447" i="6"/>
  <c r="A447" i="6"/>
  <c r="Q446" i="6"/>
  <c r="A446" i="6"/>
  <c r="Q445" i="6"/>
  <c r="A445" i="6"/>
  <c r="Q444" i="6"/>
  <c r="A444" i="6"/>
  <c r="Q443" i="6"/>
  <c r="A443" i="6"/>
  <c r="Q442" i="6"/>
  <c r="A442" i="6"/>
  <c r="Q441" i="6"/>
  <c r="A441" i="6"/>
  <c r="Q440" i="6"/>
  <c r="A440" i="6"/>
  <c r="Q439" i="6"/>
  <c r="A439" i="6"/>
  <c r="Q438" i="6"/>
  <c r="A438" i="6"/>
  <c r="Q437" i="6"/>
  <c r="A437" i="6"/>
  <c r="Q436" i="6"/>
  <c r="A436" i="6"/>
  <c r="Q435" i="6"/>
  <c r="A435" i="6"/>
  <c r="Q434" i="6"/>
  <c r="A434" i="6"/>
  <c r="Q433" i="6"/>
  <c r="A433" i="6"/>
  <c r="Q432" i="6"/>
  <c r="A432" i="6"/>
  <c r="Q431" i="6"/>
  <c r="A431" i="6"/>
  <c r="Q430" i="6"/>
  <c r="A430" i="6"/>
  <c r="Q429" i="6"/>
  <c r="A429" i="6"/>
  <c r="Q428" i="6"/>
  <c r="A428" i="6"/>
  <c r="Q427" i="6"/>
  <c r="A427" i="6"/>
  <c r="Q426" i="6"/>
  <c r="A426" i="6"/>
  <c r="Q425" i="6"/>
  <c r="A425" i="6"/>
  <c r="Q424" i="6"/>
  <c r="A424" i="6"/>
  <c r="Q423" i="6"/>
  <c r="A423" i="6"/>
  <c r="Q422" i="6"/>
  <c r="A422" i="6"/>
  <c r="Q421" i="6"/>
  <c r="A421" i="6"/>
  <c r="Q420" i="6"/>
  <c r="A420" i="6"/>
  <c r="Q419" i="6"/>
  <c r="A419" i="6"/>
  <c r="Q418" i="6"/>
  <c r="A418" i="6"/>
  <c r="Q417" i="6"/>
  <c r="A417" i="6"/>
  <c r="Q416" i="6"/>
  <c r="A416" i="6"/>
  <c r="Q415" i="6"/>
  <c r="A415" i="6"/>
  <c r="Q414" i="6"/>
  <c r="A414" i="6"/>
  <c r="Q413" i="6"/>
  <c r="A413" i="6"/>
  <c r="Q412" i="6"/>
  <c r="A412" i="6"/>
  <c r="Q411" i="6"/>
  <c r="A411" i="6"/>
  <c r="Q410" i="6"/>
  <c r="A410" i="6"/>
  <c r="Q409" i="6"/>
  <c r="A409" i="6"/>
  <c r="Q408" i="6"/>
  <c r="A408" i="6"/>
  <c r="Q407" i="6"/>
  <c r="A407" i="6"/>
  <c r="Q406" i="6"/>
  <c r="A406" i="6"/>
  <c r="Q405" i="6"/>
  <c r="A405" i="6"/>
  <c r="Q404" i="6"/>
  <c r="A404" i="6"/>
  <c r="Q403" i="6"/>
  <c r="A403" i="6"/>
  <c r="Q402" i="6"/>
  <c r="A402" i="6"/>
  <c r="Q401" i="6"/>
  <c r="A401" i="6"/>
  <c r="Q400" i="6"/>
  <c r="A400" i="6"/>
  <c r="Q399" i="6"/>
  <c r="A399" i="6"/>
  <c r="Q398" i="6"/>
  <c r="A398" i="6"/>
  <c r="Q397" i="6"/>
  <c r="A397" i="6"/>
  <c r="A396" i="6"/>
  <c r="Q395" i="6"/>
  <c r="A395" i="6"/>
  <c r="Q394" i="6"/>
  <c r="A394" i="6"/>
  <c r="Q393" i="6"/>
  <c r="A393" i="6"/>
  <c r="Q392" i="6"/>
  <c r="A392" i="6"/>
  <c r="Q391" i="6"/>
  <c r="A391" i="6"/>
  <c r="Q390" i="6"/>
  <c r="A390" i="6"/>
  <c r="A389" i="6"/>
  <c r="Q388" i="6"/>
  <c r="A388" i="6"/>
  <c r="Q387" i="6"/>
  <c r="A387" i="6"/>
  <c r="Q386" i="6"/>
  <c r="A386" i="6"/>
  <c r="Q385" i="6"/>
  <c r="A385" i="6"/>
  <c r="Q384" i="6"/>
  <c r="A384" i="6"/>
  <c r="Q383" i="6"/>
  <c r="A383" i="6"/>
  <c r="Q382" i="6"/>
  <c r="A382" i="6"/>
  <c r="Q381" i="6"/>
  <c r="A381" i="6"/>
  <c r="Q380" i="6"/>
  <c r="A380" i="6"/>
  <c r="Q379" i="6"/>
  <c r="A379" i="6"/>
  <c r="Q378" i="6"/>
  <c r="A378" i="6"/>
  <c r="Q377" i="6"/>
  <c r="A377" i="6"/>
  <c r="Q376" i="6"/>
  <c r="A376" i="6"/>
  <c r="Q375" i="6"/>
  <c r="A375" i="6"/>
  <c r="Q374" i="6"/>
  <c r="A374" i="6"/>
  <c r="Q373" i="6"/>
  <c r="A373" i="6"/>
  <c r="Q372" i="6"/>
  <c r="A372" i="6"/>
  <c r="Q371" i="6"/>
  <c r="A371" i="6"/>
  <c r="Q370" i="6"/>
  <c r="A370" i="6"/>
  <c r="Q369" i="6"/>
  <c r="A369" i="6"/>
  <c r="Q368" i="6"/>
  <c r="A368" i="6"/>
  <c r="Q367" i="6"/>
  <c r="A367" i="6"/>
  <c r="Q366" i="6"/>
  <c r="A366" i="6"/>
  <c r="Q365" i="6"/>
  <c r="A365" i="6"/>
  <c r="Q364" i="6"/>
  <c r="A364" i="6"/>
  <c r="Q363" i="6"/>
  <c r="A363" i="6"/>
  <c r="Q362" i="6"/>
  <c r="A362" i="6"/>
  <c r="Q361" i="6"/>
  <c r="A361" i="6"/>
  <c r="Q360" i="6"/>
  <c r="A360" i="6"/>
  <c r="Q359" i="6"/>
  <c r="A359" i="6"/>
  <c r="Q358" i="6"/>
  <c r="A358" i="6"/>
  <c r="Q357" i="6"/>
  <c r="A357" i="6"/>
  <c r="Q356" i="6"/>
  <c r="A356" i="6"/>
  <c r="Q355" i="6"/>
  <c r="A355" i="6"/>
  <c r="Q354" i="6"/>
  <c r="A354" i="6"/>
  <c r="Q353" i="6"/>
  <c r="A353" i="6"/>
  <c r="Q352" i="6"/>
  <c r="A352" i="6"/>
  <c r="Q351" i="6"/>
  <c r="A351" i="6"/>
  <c r="Q350" i="6"/>
  <c r="A350" i="6"/>
  <c r="Q349" i="6"/>
  <c r="A349" i="6"/>
  <c r="Q348" i="6"/>
  <c r="A348" i="6"/>
  <c r="Q347" i="6"/>
  <c r="A347" i="6"/>
  <c r="Q346" i="6"/>
  <c r="A346" i="6"/>
  <c r="Q345" i="6"/>
  <c r="A345" i="6"/>
  <c r="Q344" i="6"/>
  <c r="A344" i="6"/>
  <c r="Q343" i="6"/>
  <c r="A343" i="6"/>
  <c r="Q342" i="6"/>
  <c r="A342" i="6"/>
  <c r="Q341" i="6"/>
  <c r="A341" i="6"/>
  <c r="Q340" i="6"/>
  <c r="A340" i="6"/>
  <c r="Q339" i="6"/>
  <c r="A339" i="6"/>
  <c r="Q338" i="6"/>
  <c r="A338" i="6"/>
  <c r="Q337" i="6"/>
  <c r="A337" i="6"/>
  <c r="Q336" i="6"/>
  <c r="A336" i="6"/>
  <c r="Q335" i="6"/>
  <c r="A335" i="6"/>
  <c r="Q334" i="6"/>
  <c r="A334" i="6"/>
  <c r="Q333" i="6"/>
  <c r="A333" i="6"/>
  <c r="Q332" i="6"/>
  <c r="A332" i="6"/>
  <c r="Q331" i="6"/>
  <c r="A331" i="6"/>
  <c r="Q330" i="6"/>
  <c r="A330" i="6"/>
  <c r="Q329" i="6"/>
  <c r="A329" i="6"/>
  <c r="Q328" i="6"/>
  <c r="A328" i="6"/>
  <c r="Q327" i="6"/>
  <c r="A327" i="6"/>
  <c r="Q326" i="6"/>
  <c r="A326" i="6"/>
  <c r="Q325" i="6"/>
  <c r="A325" i="6"/>
  <c r="Q324" i="6"/>
  <c r="A324" i="6"/>
  <c r="Q323" i="6"/>
  <c r="A323" i="6"/>
  <c r="Q322" i="6"/>
  <c r="A322" i="6"/>
  <c r="Q321" i="6"/>
  <c r="A321" i="6"/>
  <c r="Q320" i="6"/>
  <c r="A320" i="6"/>
  <c r="Q319" i="6"/>
  <c r="A319" i="6"/>
  <c r="A318" i="6"/>
  <c r="Q317" i="6"/>
  <c r="A317" i="6"/>
  <c r="Q316" i="6"/>
  <c r="A316" i="6"/>
  <c r="Q315" i="6"/>
  <c r="A315" i="6"/>
  <c r="Q314" i="6"/>
  <c r="A314" i="6"/>
  <c r="A313" i="6"/>
  <c r="Q312" i="6"/>
  <c r="A312" i="6"/>
  <c r="Q311" i="6"/>
  <c r="A311" i="6"/>
  <c r="Q310" i="6"/>
  <c r="A310" i="6"/>
  <c r="Q309" i="6"/>
  <c r="A309" i="6"/>
  <c r="Q308" i="6"/>
  <c r="A308" i="6"/>
  <c r="Q307" i="6"/>
  <c r="A307" i="6"/>
  <c r="Q306" i="6"/>
  <c r="A306" i="6"/>
  <c r="Q305" i="6"/>
  <c r="A305" i="6"/>
  <c r="Q304" i="6"/>
  <c r="A304" i="6"/>
  <c r="Q303" i="6"/>
  <c r="A303" i="6"/>
  <c r="Q302" i="6"/>
  <c r="A302" i="6"/>
  <c r="Q301" i="6"/>
  <c r="A301" i="6"/>
  <c r="Q300" i="6"/>
  <c r="A300" i="6"/>
  <c r="Q299" i="6"/>
  <c r="A299" i="6"/>
  <c r="Q298" i="6"/>
  <c r="A298" i="6"/>
  <c r="Q297" i="6"/>
  <c r="A297" i="6"/>
  <c r="Q296" i="6"/>
  <c r="A296" i="6"/>
  <c r="Q295" i="6"/>
  <c r="A295" i="6"/>
  <c r="Q294" i="6"/>
  <c r="A294" i="6"/>
  <c r="Q293" i="6"/>
  <c r="A293" i="6"/>
  <c r="Q292" i="6"/>
  <c r="A292" i="6"/>
  <c r="Q291" i="6"/>
  <c r="A291" i="6"/>
  <c r="Q290" i="6"/>
  <c r="A290" i="6"/>
  <c r="Q289" i="6"/>
  <c r="A289" i="6"/>
  <c r="Q288" i="6"/>
  <c r="A288" i="6"/>
  <c r="Q287" i="6"/>
  <c r="A287" i="6"/>
  <c r="Q286" i="6"/>
  <c r="A286" i="6"/>
  <c r="Q285" i="6"/>
  <c r="A285" i="6"/>
  <c r="Q284" i="6"/>
  <c r="A284" i="6"/>
  <c r="Q283" i="6"/>
  <c r="A283" i="6"/>
  <c r="Q282" i="6"/>
  <c r="A282" i="6"/>
  <c r="Q281" i="6"/>
  <c r="A281" i="6"/>
  <c r="Q280" i="6"/>
  <c r="A280" i="6"/>
  <c r="Q279" i="6"/>
  <c r="A279" i="6"/>
  <c r="Q278" i="6"/>
  <c r="A278" i="6"/>
  <c r="Q277" i="6"/>
  <c r="A277" i="6"/>
  <c r="Q276" i="6"/>
  <c r="A276" i="6"/>
  <c r="Q275" i="6"/>
  <c r="A275" i="6"/>
  <c r="Q274" i="6"/>
  <c r="A274" i="6"/>
  <c r="Q273" i="6"/>
  <c r="A273" i="6"/>
  <c r="Q272" i="6"/>
  <c r="A272" i="6"/>
  <c r="Q271" i="6"/>
  <c r="A271" i="6"/>
  <c r="Q270" i="6"/>
  <c r="A270" i="6"/>
  <c r="Q269" i="6"/>
  <c r="A269" i="6"/>
  <c r="Q268" i="6"/>
  <c r="A268" i="6"/>
  <c r="Q267" i="6"/>
  <c r="A267" i="6"/>
  <c r="Q266" i="6"/>
  <c r="A266" i="6"/>
  <c r="Q265" i="6"/>
  <c r="A265" i="6"/>
  <c r="Q264" i="6"/>
  <c r="A264" i="6"/>
  <c r="Q263" i="6"/>
  <c r="A263" i="6"/>
  <c r="Q262" i="6"/>
  <c r="A262" i="6"/>
  <c r="Q261" i="6"/>
  <c r="A261" i="6"/>
  <c r="Q260" i="6"/>
  <c r="A260" i="6"/>
  <c r="Q259" i="6"/>
  <c r="A259" i="6"/>
  <c r="Q258" i="6"/>
  <c r="A258" i="6"/>
  <c r="Q257" i="6"/>
  <c r="A257" i="6"/>
  <c r="Q256" i="6"/>
  <c r="A256" i="6"/>
  <c r="Q255" i="6"/>
  <c r="A255" i="6"/>
  <c r="Q254" i="6"/>
  <c r="A254" i="6"/>
  <c r="Q253" i="6"/>
  <c r="A253" i="6"/>
  <c r="Q252" i="6"/>
  <c r="A252" i="6"/>
  <c r="Q251" i="6"/>
  <c r="A251" i="6"/>
  <c r="Q250" i="6"/>
  <c r="A250" i="6"/>
  <c r="Q249" i="6"/>
  <c r="A249" i="6"/>
  <c r="Q248" i="6"/>
  <c r="A248" i="6"/>
  <c r="Q247" i="6"/>
  <c r="A247" i="6"/>
  <c r="Q246" i="6"/>
  <c r="A246" i="6"/>
  <c r="Q245" i="6"/>
  <c r="A245" i="6"/>
  <c r="Q244" i="6"/>
  <c r="A244" i="6"/>
  <c r="Q243" i="6"/>
  <c r="A243" i="6"/>
  <c r="Q242" i="6"/>
  <c r="A242" i="6"/>
  <c r="Q241" i="6"/>
  <c r="A241" i="6"/>
  <c r="Q240" i="6"/>
  <c r="A240" i="6"/>
  <c r="Q239" i="6"/>
  <c r="A239" i="6"/>
  <c r="Q238" i="6"/>
  <c r="A238" i="6"/>
  <c r="Q237" i="6"/>
  <c r="A237" i="6"/>
  <c r="A236" i="6"/>
  <c r="Q235" i="6"/>
  <c r="A235" i="6"/>
  <c r="A234" i="6"/>
  <c r="A233" i="6"/>
  <c r="Q232" i="6"/>
  <c r="A232" i="6"/>
  <c r="A231" i="6"/>
  <c r="Q230" i="6"/>
  <c r="A230" i="6"/>
  <c r="Q229" i="6"/>
  <c r="A229" i="6"/>
  <c r="Q228" i="6"/>
  <c r="A228" i="6"/>
  <c r="Q227" i="6"/>
  <c r="A227" i="6"/>
  <c r="Q226" i="6"/>
  <c r="A226" i="6"/>
  <c r="Q225" i="6"/>
  <c r="A225" i="6"/>
  <c r="Q224" i="6"/>
  <c r="A224" i="6"/>
  <c r="Q223" i="6"/>
  <c r="A223" i="6"/>
  <c r="Q222" i="6"/>
  <c r="A222" i="6"/>
  <c r="Q221" i="6"/>
  <c r="A221" i="6"/>
  <c r="Q220" i="6"/>
  <c r="A220" i="6"/>
  <c r="Q219" i="6"/>
  <c r="A219" i="6"/>
  <c r="Q218" i="6"/>
  <c r="A218" i="6"/>
  <c r="Q217" i="6"/>
  <c r="A217" i="6"/>
  <c r="Q216" i="6"/>
  <c r="A216" i="6"/>
  <c r="Q215" i="6"/>
  <c r="A215" i="6"/>
  <c r="Q214" i="6"/>
  <c r="A214" i="6"/>
  <c r="Q213" i="6"/>
  <c r="A213" i="6"/>
  <c r="Q212" i="6"/>
  <c r="A212" i="6"/>
  <c r="Q211" i="6"/>
  <c r="A211" i="6"/>
  <c r="Q210" i="6"/>
  <c r="A210" i="6"/>
  <c r="Q209" i="6"/>
  <c r="A209" i="6"/>
  <c r="A208" i="6"/>
  <c r="Q207" i="6"/>
  <c r="A207" i="6"/>
  <c r="Q206" i="6"/>
  <c r="A206" i="6"/>
  <c r="Q205" i="6"/>
  <c r="A205" i="6"/>
  <c r="Q204" i="6"/>
  <c r="A204" i="6"/>
  <c r="Q203" i="6"/>
  <c r="A203" i="6"/>
  <c r="Q202" i="6"/>
  <c r="A202" i="6"/>
  <c r="Q201" i="6"/>
  <c r="A201" i="6"/>
  <c r="Q200" i="6"/>
  <c r="A200" i="6"/>
  <c r="Q199" i="6"/>
  <c r="A199" i="6"/>
  <c r="Q198" i="6"/>
  <c r="A198" i="6"/>
  <c r="Q197" i="6"/>
  <c r="A197" i="6"/>
  <c r="Q196" i="6"/>
  <c r="A196" i="6"/>
  <c r="Q195" i="6"/>
  <c r="A195" i="6"/>
  <c r="Q194" i="6"/>
  <c r="A194" i="6"/>
  <c r="Q193" i="6"/>
  <c r="A193" i="6"/>
  <c r="Q192" i="6"/>
  <c r="A192" i="6"/>
  <c r="Q191" i="6"/>
  <c r="A191" i="6"/>
  <c r="Q190" i="6"/>
  <c r="A190" i="6"/>
  <c r="Q189" i="6"/>
  <c r="A189" i="6"/>
  <c r="Q188" i="6"/>
  <c r="A188" i="6"/>
  <c r="Q187" i="6"/>
  <c r="A187" i="6"/>
  <c r="Q186" i="6"/>
  <c r="A186" i="6"/>
  <c r="Q185" i="6"/>
  <c r="A185" i="6"/>
  <c r="Q184" i="6"/>
  <c r="A184" i="6"/>
  <c r="Q183" i="6"/>
  <c r="A183" i="6"/>
  <c r="Q182" i="6"/>
  <c r="A182" i="6"/>
  <c r="Q181" i="6"/>
  <c r="A181" i="6"/>
  <c r="Q180" i="6"/>
  <c r="A180" i="6"/>
  <c r="Q179" i="6"/>
  <c r="A179" i="6"/>
  <c r="Q178" i="6"/>
  <c r="A178" i="6"/>
  <c r="Q177" i="6"/>
  <c r="A177" i="6"/>
  <c r="Q176" i="6"/>
  <c r="A176" i="6"/>
  <c r="Q175" i="6"/>
  <c r="A175" i="6"/>
  <c r="Q174" i="6"/>
  <c r="A174" i="6"/>
  <c r="Q173" i="6"/>
  <c r="A173" i="6"/>
  <c r="Q172" i="6"/>
  <c r="A172" i="6"/>
  <c r="Q171" i="6"/>
  <c r="A171" i="6"/>
  <c r="Q170" i="6"/>
  <c r="A170" i="6"/>
  <c r="Q169" i="6"/>
  <c r="A169" i="6"/>
  <c r="Q168" i="6"/>
  <c r="A168" i="6"/>
  <c r="Q167" i="6"/>
  <c r="A167" i="6"/>
  <c r="Q166" i="6"/>
  <c r="A166" i="6"/>
  <c r="Q165" i="6"/>
  <c r="A165" i="6"/>
  <c r="Q164" i="6"/>
  <c r="A164" i="6"/>
  <c r="Q163" i="6"/>
  <c r="A163" i="6"/>
  <c r="Q162" i="6"/>
  <c r="A162" i="6"/>
  <c r="Q161" i="6"/>
  <c r="A161" i="6"/>
  <c r="Q160" i="6"/>
  <c r="A160" i="6"/>
  <c r="Q159" i="6"/>
  <c r="A159" i="6"/>
  <c r="Q158" i="6"/>
  <c r="A158" i="6"/>
  <c r="Q157" i="6"/>
  <c r="A157" i="6"/>
  <c r="Q156" i="6"/>
  <c r="A156" i="6"/>
  <c r="Q155" i="6"/>
  <c r="A155" i="6"/>
  <c r="Q154" i="6"/>
  <c r="A154" i="6"/>
  <c r="Q153" i="6"/>
  <c r="A153" i="6"/>
  <c r="Q152" i="6"/>
  <c r="A152" i="6"/>
  <c r="Q151" i="6"/>
  <c r="A151" i="6"/>
  <c r="Q150" i="6"/>
  <c r="A150" i="6"/>
  <c r="Q149" i="6"/>
  <c r="A149" i="6"/>
  <c r="Q148" i="6"/>
  <c r="A148" i="6"/>
  <c r="Q147" i="6"/>
  <c r="A147" i="6"/>
  <c r="Q146" i="6"/>
  <c r="A146" i="6"/>
  <c r="Q145" i="6"/>
  <c r="A145" i="6"/>
  <c r="Q144" i="6"/>
  <c r="A144" i="6"/>
  <c r="Q143" i="6"/>
  <c r="A143" i="6"/>
  <c r="Q142" i="6"/>
  <c r="A142" i="6"/>
  <c r="Q141" i="6"/>
  <c r="A141" i="6"/>
  <c r="Q140" i="6"/>
  <c r="A140" i="6"/>
  <c r="Q139" i="6"/>
  <c r="A139" i="6"/>
  <c r="Q138" i="6"/>
  <c r="A138" i="6"/>
  <c r="Q137" i="6"/>
  <c r="A137" i="6"/>
  <c r="Q136" i="6"/>
  <c r="A136" i="6"/>
  <c r="Q135" i="6"/>
  <c r="A135" i="6"/>
  <c r="Q134" i="6"/>
  <c r="A134" i="6"/>
  <c r="Q133" i="6"/>
  <c r="A133" i="6"/>
  <c r="Q132" i="6"/>
  <c r="A132" i="6"/>
  <c r="Q131" i="6"/>
  <c r="A131" i="6"/>
  <c r="Q130" i="6"/>
  <c r="A130" i="6"/>
  <c r="Q129" i="6"/>
  <c r="A129" i="6"/>
  <c r="Q128" i="6"/>
  <c r="A128" i="6"/>
  <c r="Q127" i="6"/>
  <c r="A127" i="6"/>
  <c r="Q126" i="6"/>
  <c r="A126" i="6"/>
  <c r="Q125" i="6"/>
  <c r="A125" i="6"/>
  <c r="Q124" i="6"/>
  <c r="A124" i="6"/>
  <c r="Q123" i="6"/>
  <c r="A123" i="6"/>
  <c r="Q122" i="6"/>
  <c r="A122" i="6"/>
  <c r="Q121" i="6"/>
  <c r="A121" i="6"/>
  <c r="Q120" i="6"/>
  <c r="A120" i="6"/>
  <c r="Q119" i="6"/>
  <c r="A119" i="6"/>
  <c r="Q118" i="6"/>
  <c r="A118" i="6"/>
  <c r="Q117" i="6"/>
  <c r="A117" i="6"/>
  <c r="Q116" i="6"/>
  <c r="A116" i="6"/>
  <c r="Q115" i="6"/>
  <c r="A115" i="6"/>
  <c r="Q114" i="6"/>
  <c r="A114" i="6"/>
  <c r="Q113" i="6"/>
  <c r="A113" i="6"/>
  <c r="Q112" i="6"/>
  <c r="A112" i="6"/>
  <c r="Q111" i="6"/>
  <c r="A111" i="6"/>
  <c r="Q110" i="6"/>
  <c r="A110" i="6"/>
  <c r="Q109" i="6"/>
  <c r="A109" i="6"/>
  <c r="Q108" i="6"/>
  <c r="A108" i="6"/>
  <c r="Q107" i="6"/>
  <c r="A107" i="6"/>
  <c r="Q106" i="6"/>
  <c r="A106" i="6"/>
  <c r="Q105" i="6"/>
  <c r="A105" i="6"/>
  <c r="Q104" i="6"/>
  <c r="A104" i="6"/>
  <c r="Q103" i="6"/>
  <c r="A103" i="6"/>
  <c r="Q102" i="6"/>
  <c r="A102" i="6"/>
  <c r="Q101" i="6"/>
  <c r="A101" i="6"/>
  <c r="Q100" i="6"/>
  <c r="A100" i="6"/>
  <c r="Q99" i="6"/>
  <c r="A99" i="6"/>
  <c r="Q98" i="6"/>
  <c r="A98" i="6"/>
  <c r="Q97" i="6"/>
  <c r="A97" i="6"/>
  <c r="Q96" i="6"/>
  <c r="A96" i="6"/>
  <c r="Q95" i="6"/>
  <c r="A95" i="6"/>
  <c r="Q94" i="6"/>
  <c r="A94" i="6"/>
  <c r="Q93" i="6"/>
  <c r="A93" i="6"/>
  <c r="Q92" i="6"/>
  <c r="A92" i="6"/>
  <c r="Q91" i="6"/>
  <c r="A91" i="6"/>
  <c r="Q90" i="6"/>
  <c r="A90" i="6"/>
  <c r="Q89" i="6"/>
  <c r="A89" i="6"/>
  <c r="Q88" i="6"/>
  <c r="A88" i="6"/>
  <c r="Q87" i="6"/>
  <c r="A87" i="6"/>
  <c r="Q86" i="6"/>
  <c r="A86" i="6"/>
  <c r="Q85" i="6"/>
  <c r="A85" i="6"/>
  <c r="Q84" i="6"/>
  <c r="A84" i="6"/>
  <c r="Q83" i="6"/>
  <c r="A83" i="6"/>
  <c r="Q82" i="6"/>
  <c r="A82" i="6"/>
  <c r="Q81" i="6"/>
  <c r="A81" i="6"/>
  <c r="Q80" i="6"/>
  <c r="A80" i="6"/>
  <c r="Q79" i="6"/>
  <c r="A79" i="6"/>
  <c r="Q78" i="6"/>
  <c r="A78" i="6"/>
  <c r="Q77" i="6"/>
  <c r="A77" i="6"/>
  <c r="Q76" i="6"/>
  <c r="A76" i="6"/>
  <c r="Q75" i="6"/>
  <c r="A75" i="6"/>
  <c r="Q74" i="6"/>
  <c r="A74" i="6"/>
  <c r="Q73" i="6"/>
  <c r="A73" i="6"/>
  <c r="Q72" i="6"/>
  <c r="A72" i="6"/>
  <c r="Q71" i="6"/>
  <c r="A71" i="6"/>
  <c r="Q70" i="6"/>
  <c r="A70" i="6"/>
  <c r="Q69" i="6"/>
  <c r="A69" i="6"/>
  <c r="Q68" i="6"/>
  <c r="A68" i="6"/>
  <c r="Q67" i="6"/>
  <c r="A67" i="6"/>
  <c r="Q66" i="6"/>
  <c r="A66" i="6"/>
  <c r="Q65" i="6"/>
  <c r="A65" i="6"/>
  <c r="Q64" i="6"/>
  <c r="A64" i="6"/>
  <c r="Q63" i="6"/>
  <c r="A63" i="6"/>
  <c r="Q62" i="6"/>
  <c r="A62" i="6"/>
  <c r="Q61" i="6"/>
  <c r="A61" i="6"/>
  <c r="Q60" i="6"/>
  <c r="A60" i="6"/>
  <c r="Q59" i="6"/>
  <c r="A59" i="6"/>
  <c r="Q58" i="6"/>
  <c r="A58" i="6"/>
  <c r="Q57" i="6"/>
  <c r="A57" i="6"/>
  <c r="Q56" i="6"/>
  <c r="A56" i="6"/>
  <c r="Q55" i="6"/>
  <c r="A55" i="6"/>
  <c r="Q54" i="6"/>
  <c r="A54" i="6"/>
  <c r="Q53" i="6"/>
  <c r="A53" i="6"/>
  <c r="Q52" i="6"/>
  <c r="A52" i="6"/>
  <c r="Q51" i="6"/>
  <c r="A51" i="6"/>
  <c r="Q50" i="6"/>
  <c r="A50" i="6"/>
  <c r="Q49" i="6"/>
  <c r="A49" i="6"/>
  <c r="Q48" i="6"/>
  <c r="A48" i="6"/>
  <c r="Q47" i="6"/>
  <c r="A47" i="6"/>
  <c r="Q46" i="6"/>
  <c r="A46" i="6"/>
  <c r="Q45" i="6"/>
  <c r="A45" i="6"/>
  <c r="A44" i="6"/>
  <c r="Q43" i="6"/>
  <c r="A43" i="6"/>
  <c r="Q42" i="6"/>
  <c r="A42" i="6"/>
  <c r="Q41" i="6"/>
  <c r="A41" i="6"/>
  <c r="Q40" i="6"/>
  <c r="A40" i="6"/>
  <c r="Q39" i="6"/>
  <c r="A39" i="6"/>
  <c r="Q38" i="6"/>
  <c r="A38" i="6"/>
  <c r="Q37" i="6"/>
  <c r="A37" i="6"/>
  <c r="Q36" i="6"/>
  <c r="A36" i="6"/>
  <c r="Q35" i="6"/>
  <c r="A35" i="6"/>
  <c r="Q34" i="6"/>
  <c r="A34" i="6"/>
  <c r="Q33" i="6"/>
  <c r="A33" i="6"/>
  <c r="Q32" i="6"/>
  <c r="A32" i="6"/>
  <c r="Q31" i="6"/>
  <c r="A31" i="6"/>
  <c r="Q30" i="6"/>
  <c r="A30" i="6"/>
  <c r="Q29" i="6"/>
  <c r="A29" i="6"/>
  <c r="Q28" i="6"/>
  <c r="A28" i="6"/>
  <c r="Q27" i="6"/>
  <c r="A27" i="6"/>
  <c r="Q26" i="6"/>
  <c r="A26" i="6"/>
  <c r="Q25" i="6"/>
  <c r="A25" i="6"/>
  <c r="Q24" i="6"/>
  <c r="A24" i="6"/>
  <c r="Q23" i="6"/>
  <c r="A23" i="6"/>
  <c r="Q22" i="6"/>
  <c r="A22" i="6"/>
  <c r="Q21" i="6"/>
  <c r="A21" i="6"/>
  <c r="Q20" i="6"/>
  <c r="A20" i="6"/>
  <c r="Q19" i="6"/>
  <c r="A19" i="6"/>
  <c r="Q18" i="6"/>
  <c r="A18" i="6"/>
  <c r="Q17" i="6"/>
  <c r="A17" i="6"/>
  <c r="Q16" i="6"/>
  <c r="A16" i="6"/>
  <c r="Q15" i="6"/>
  <c r="A15" i="6"/>
  <c r="Q14" i="6"/>
  <c r="A14" i="6"/>
  <c r="Q13" i="6"/>
  <c r="A13" i="6"/>
  <c r="Q12" i="6"/>
  <c r="A12" i="6"/>
  <c r="Q11" i="6"/>
  <c r="A11" i="6"/>
  <c r="Q10" i="6"/>
  <c r="A10" i="6"/>
  <c r="Q9" i="6"/>
  <c r="A9" i="6"/>
  <c r="Q8" i="6"/>
  <c r="A8" i="6"/>
  <c r="Q7" i="6"/>
  <c r="A7" i="6"/>
  <c r="Q6" i="6"/>
  <c r="A6" i="6"/>
  <c r="Q5" i="6"/>
  <c r="A5" i="6"/>
  <c r="Q4" i="6"/>
  <c r="A4" i="6"/>
  <c r="Q3" i="6"/>
  <c r="A3" i="6"/>
  <c r="A293" i="5"/>
  <c r="Q292" i="5"/>
  <c r="A292" i="5"/>
  <c r="Q291" i="5"/>
  <c r="A291" i="5"/>
  <c r="Q290" i="5"/>
  <c r="A290" i="5"/>
  <c r="Q289" i="5"/>
  <c r="A289" i="5"/>
  <c r="Q288" i="5"/>
  <c r="A288" i="5"/>
  <c r="Q287" i="5"/>
  <c r="A287" i="5"/>
  <c r="Q286" i="5"/>
  <c r="A286" i="5"/>
  <c r="Q285" i="5"/>
  <c r="A285" i="5"/>
  <c r="Q284" i="5"/>
  <c r="A284" i="5"/>
  <c r="Q283" i="5"/>
  <c r="A283" i="5"/>
  <c r="Q282" i="5"/>
  <c r="A282" i="5"/>
  <c r="Q281" i="5"/>
  <c r="A281" i="5"/>
  <c r="Q280" i="5"/>
  <c r="A280" i="5"/>
  <c r="Q279" i="5"/>
  <c r="A279" i="5"/>
  <c r="Q278" i="5"/>
  <c r="A278" i="5"/>
  <c r="Q277" i="5"/>
  <c r="A277" i="5"/>
  <c r="Q276" i="5"/>
  <c r="A276" i="5"/>
  <c r="Q275" i="5"/>
  <c r="A275" i="5"/>
  <c r="Q274" i="5"/>
  <c r="A274" i="5"/>
  <c r="Q273" i="5"/>
  <c r="A273" i="5"/>
  <c r="Q272" i="5"/>
  <c r="A272" i="5"/>
  <c r="Q271" i="5"/>
  <c r="A271" i="5"/>
  <c r="Q270" i="5"/>
  <c r="A270" i="5"/>
  <c r="Q269" i="5"/>
  <c r="A269" i="5"/>
  <c r="Q268" i="5"/>
  <c r="A268" i="5"/>
  <c r="Q267" i="5"/>
  <c r="A267" i="5"/>
  <c r="Q266" i="5"/>
  <c r="A266" i="5"/>
  <c r="Q265" i="5"/>
  <c r="A265" i="5"/>
  <c r="Q264" i="5"/>
  <c r="A264" i="5"/>
  <c r="Q263" i="5"/>
  <c r="A263" i="5"/>
  <c r="Q262" i="5"/>
  <c r="A262" i="5"/>
  <c r="Q261" i="5"/>
  <c r="A261" i="5"/>
  <c r="Q260" i="5"/>
  <c r="A260" i="5"/>
  <c r="Q259" i="5"/>
  <c r="A259" i="5"/>
  <c r="Q258" i="5"/>
  <c r="A258" i="5"/>
  <c r="Q257" i="5"/>
  <c r="A257" i="5"/>
  <c r="Q256" i="5"/>
  <c r="A256" i="5"/>
  <c r="Q255" i="5"/>
  <c r="A255" i="5"/>
  <c r="Q254" i="5"/>
  <c r="A254" i="5"/>
  <c r="Q253" i="5"/>
  <c r="A253" i="5"/>
  <c r="Q252" i="5"/>
  <c r="A252" i="5"/>
  <c r="Q251" i="5"/>
  <c r="A251" i="5"/>
  <c r="Q250" i="5"/>
  <c r="A250" i="5"/>
  <c r="Q249" i="5"/>
  <c r="A249" i="5"/>
  <c r="Q248" i="5"/>
  <c r="A248" i="5"/>
  <c r="Q247" i="5"/>
  <c r="A247" i="5"/>
  <c r="Q246" i="5"/>
  <c r="A246" i="5"/>
  <c r="Q245" i="5"/>
  <c r="A245" i="5"/>
  <c r="Q244" i="5"/>
  <c r="A244" i="5"/>
  <c r="Q243" i="5"/>
  <c r="A243" i="5"/>
  <c r="Q242" i="5"/>
  <c r="A242" i="5"/>
  <c r="Q241" i="5"/>
  <c r="A241" i="5"/>
  <c r="Q240" i="5"/>
  <c r="A240" i="5"/>
  <c r="Q239" i="5"/>
  <c r="A239" i="5"/>
  <c r="Q238" i="5"/>
  <c r="A238" i="5"/>
  <c r="Q237" i="5"/>
  <c r="A237" i="5"/>
  <c r="Q236" i="5"/>
  <c r="A236" i="5"/>
  <c r="Q235" i="5"/>
  <c r="A235" i="5"/>
  <c r="Q234" i="5"/>
  <c r="A234" i="5"/>
  <c r="Q233" i="5"/>
  <c r="A233" i="5"/>
  <c r="Q232" i="5"/>
  <c r="A232" i="5"/>
  <c r="Q231" i="5"/>
  <c r="A231" i="5"/>
  <c r="Q230" i="5"/>
  <c r="A230" i="5"/>
  <c r="Q229" i="5"/>
  <c r="A229" i="5"/>
  <c r="Q228" i="5"/>
  <c r="A228" i="5"/>
  <c r="Q227" i="5"/>
  <c r="A227" i="5"/>
  <c r="Q226" i="5"/>
  <c r="A226" i="5"/>
  <c r="Q225" i="5"/>
  <c r="A225" i="5"/>
  <c r="Q224" i="5"/>
  <c r="A224" i="5"/>
  <c r="Q223" i="5"/>
  <c r="A223" i="5"/>
  <c r="Q222" i="5"/>
  <c r="A222" i="5"/>
  <c r="Q221" i="5"/>
  <c r="A221" i="5"/>
  <c r="Q220" i="5"/>
  <c r="A220" i="5"/>
  <c r="Q219" i="5"/>
  <c r="A219" i="5"/>
  <c r="Q218" i="5"/>
  <c r="A218" i="5"/>
  <c r="Q217" i="5"/>
  <c r="A217" i="5"/>
  <c r="Q216" i="5"/>
  <c r="A216" i="5"/>
  <c r="Q215" i="5"/>
  <c r="A215" i="5"/>
  <c r="Q214" i="5"/>
  <c r="A214" i="5"/>
  <c r="Q213" i="5"/>
  <c r="A213" i="5"/>
  <c r="Q212" i="5"/>
  <c r="A212" i="5"/>
  <c r="Q211" i="5"/>
  <c r="A211" i="5"/>
  <c r="Q210" i="5"/>
  <c r="A210" i="5"/>
  <c r="Q209" i="5"/>
  <c r="A209" i="5"/>
  <c r="Q208" i="5"/>
  <c r="A208" i="5"/>
  <c r="Q207" i="5"/>
  <c r="A207" i="5"/>
  <c r="Q206" i="5"/>
  <c r="A206" i="5"/>
  <c r="Q205" i="5"/>
  <c r="A205" i="5"/>
  <c r="Q204" i="5"/>
  <c r="A204" i="5"/>
  <c r="Q203" i="5"/>
  <c r="A203" i="5"/>
  <c r="Q202" i="5"/>
  <c r="A202" i="5"/>
  <c r="Q201" i="5"/>
  <c r="A201" i="5"/>
  <c r="Q200" i="5"/>
  <c r="A200" i="5"/>
  <c r="Q199" i="5"/>
  <c r="A199" i="5"/>
  <c r="Q198" i="5"/>
  <c r="A198" i="5"/>
  <c r="Q197" i="5"/>
  <c r="A197" i="5"/>
  <c r="Q196" i="5"/>
  <c r="A196" i="5"/>
  <c r="Q195" i="5"/>
  <c r="A195" i="5"/>
  <c r="Q194" i="5"/>
  <c r="A194" i="5"/>
  <c r="Q193" i="5"/>
  <c r="A193" i="5"/>
  <c r="Q192" i="5"/>
  <c r="A192" i="5"/>
  <c r="Q191" i="5"/>
  <c r="A191" i="5"/>
  <c r="A190" i="5"/>
  <c r="Q189" i="5"/>
  <c r="A189" i="5"/>
  <c r="Q188" i="5"/>
  <c r="A188" i="5"/>
  <c r="Q187" i="5"/>
  <c r="A187" i="5"/>
  <c r="Q186" i="5"/>
  <c r="A186" i="5"/>
  <c r="Q185" i="5"/>
  <c r="A185" i="5"/>
  <c r="Q184" i="5"/>
  <c r="A184" i="5"/>
  <c r="Q183" i="5"/>
  <c r="A183" i="5"/>
  <c r="Q182" i="5"/>
  <c r="A182" i="5"/>
  <c r="Q181" i="5"/>
  <c r="A181" i="5"/>
  <c r="Q180" i="5"/>
  <c r="A180" i="5"/>
  <c r="Q179" i="5"/>
  <c r="A179" i="5"/>
  <c r="Q178" i="5"/>
  <c r="A178" i="5"/>
  <c r="Q177" i="5"/>
  <c r="A177" i="5"/>
  <c r="Q176" i="5"/>
  <c r="A176" i="5"/>
  <c r="Q175" i="5"/>
  <c r="A175" i="5"/>
  <c r="Q174" i="5"/>
  <c r="A174" i="5"/>
  <c r="Q173" i="5"/>
  <c r="A173" i="5"/>
  <c r="Q172" i="5"/>
  <c r="A172" i="5"/>
  <c r="Q171" i="5"/>
  <c r="A171" i="5"/>
  <c r="Q170" i="5"/>
  <c r="A170" i="5"/>
  <c r="Q169" i="5"/>
  <c r="A169" i="5"/>
  <c r="Q168" i="5"/>
  <c r="A168" i="5"/>
  <c r="Q167" i="5"/>
  <c r="A167" i="5"/>
  <c r="Q166" i="5"/>
  <c r="A166" i="5"/>
  <c r="Q165" i="5"/>
  <c r="A165" i="5"/>
  <c r="Q164" i="5"/>
  <c r="A164" i="5"/>
  <c r="Q163" i="5"/>
  <c r="A163" i="5"/>
  <c r="Q162" i="5"/>
  <c r="A162" i="5"/>
  <c r="Q161" i="5"/>
  <c r="A161" i="5"/>
  <c r="Q160" i="5"/>
  <c r="A160" i="5"/>
  <c r="Q159" i="5"/>
  <c r="A159" i="5"/>
  <c r="Q158" i="5"/>
  <c r="A158" i="5"/>
  <c r="Q157" i="5"/>
  <c r="A157" i="5"/>
  <c r="Q156" i="5"/>
  <c r="A156" i="5"/>
  <c r="Q155" i="5"/>
  <c r="A155" i="5"/>
  <c r="Q154" i="5"/>
  <c r="A154" i="5"/>
  <c r="Q153" i="5"/>
  <c r="A153" i="5"/>
  <c r="Q152" i="5"/>
  <c r="A152" i="5"/>
  <c r="Q151" i="5"/>
  <c r="A151" i="5"/>
  <c r="Q150" i="5"/>
  <c r="A150" i="5"/>
  <c r="Q149" i="5"/>
  <c r="A149" i="5"/>
  <c r="Q148" i="5"/>
  <c r="A148" i="5"/>
  <c r="Q147" i="5"/>
  <c r="A147" i="5"/>
  <c r="Q146" i="5"/>
  <c r="A146" i="5"/>
  <c r="Q145" i="5"/>
  <c r="A145" i="5"/>
  <c r="Q144" i="5"/>
  <c r="A144" i="5"/>
  <c r="Q143" i="5"/>
  <c r="A143" i="5"/>
  <c r="Q142" i="5"/>
  <c r="A142" i="5"/>
  <c r="Q141" i="5"/>
  <c r="A141" i="5"/>
  <c r="Q140" i="5"/>
  <c r="A140" i="5"/>
  <c r="Q139" i="5"/>
  <c r="A139" i="5"/>
  <c r="Q138" i="5"/>
  <c r="A138" i="5"/>
  <c r="Q137" i="5"/>
  <c r="A137" i="5"/>
  <c r="Q136" i="5"/>
  <c r="A136" i="5"/>
  <c r="Q135" i="5"/>
  <c r="A135" i="5"/>
  <c r="Q134" i="5"/>
  <c r="A134" i="5"/>
  <c r="Q133" i="5"/>
  <c r="A133" i="5"/>
  <c r="Q132" i="5"/>
  <c r="A132" i="5"/>
  <c r="Q131" i="5"/>
  <c r="A131" i="5"/>
  <c r="Q130" i="5"/>
  <c r="A130" i="5"/>
  <c r="Q129" i="5"/>
  <c r="A129" i="5"/>
  <c r="Q128" i="5"/>
  <c r="A128" i="5"/>
  <c r="Q127" i="5"/>
  <c r="A127" i="5"/>
  <c r="Q126" i="5"/>
  <c r="A126" i="5"/>
  <c r="Q125" i="5"/>
  <c r="A125" i="5"/>
  <c r="Q124" i="5"/>
  <c r="A124" i="5"/>
  <c r="Q123" i="5"/>
  <c r="A123" i="5"/>
  <c r="Q122" i="5"/>
  <c r="A122" i="5"/>
  <c r="Q121" i="5"/>
  <c r="A121" i="5"/>
  <c r="Q120" i="5"/>
  <c r="A120" i="5"/>
  <c r="Q119" i="5"/>
  <c r="A119" i="5"/>
  <c r="Q118" i="5"/>
  <c r="A118" i="5"/>
  <c r="Q117" i="5"/>
  <c r="A117" i="5"/>
  <c r="Q116" i="5"/>
  <c r="A116" i="5"/>
  <c r="Q115" i="5"/>
  <c r="A115" i="5"/>
  <c r="Q114" i="5"/>
  <c r="A114" i="5"/>
  <c r="Q113" i="5"/>
  <c r="A113" i="5"/>
  <c r="Q112" i="5"/>
  <c r="A112" i="5"/>
  <c r="Q111" i="5"/>
  <c r="A111" i="5"/>
  <c r="Q110" i="5"/>
  <c r="A110" i="5"/>
  <c r="Q109" i="5"/>
  <c r="A109" i="5"/>
  <c r="Q108" i="5"/>
  <c r="A108" i="5"/>
  <c r="Q107" i="5"/>
  <c r="A107" i="5"/>
  <c r="Q106" i="5"/>
  <c r="A106" i="5"/>
  <c r="Q105" i="5"/>
  <c r="A105" i="5"/>
  <c r="Q104" i="5"/>
  <c r="A104" i="5"/>
  <c r="Q103" i="5"/>
  <c r="A103" i="5"/>
  <c r="Q102" i="5"/>
  <c r="A102" i="5"/>
  <c r="Q101" i="5"/>
  <c r="A101" i="5"/>
  <c r="Q100" i="5"/>
  <c r="A100" i="5"/>
  <c r="Q99" i="5"/>
  <c r="A99" i="5"/>
  <c r="Q98" i="5"/>
  <c r="A98" i="5"/>
  <c r="Q97" i="5"/>
  <c r="A97" i="5"/>
  <c r="Q96" i="5"/>
  <c r="A96" i="5"/>
  <c r="Q95" i="5"/>
  <c r="A95" i="5"/>
  <c r="Q94" i="5"/>
  <c r="A94" i="5"/>
  <c r="Q93" i="5"/>
  <c r="A93" i="5"/>
  <c r="Q92" i="5"/>
  <c r="A92" i="5"/>
  <c r="Q91" i="5"/>
  <c r="A91" i="5"/>
  <c r="Q90" i="5"/>
  <c r="A90" i="5"/>
  <c r="Q89" i="5"/>
  <c r="A89" i="5"/>
  <c r="Q88" i="5"/>
  <c r="A88" i="5"/>
  <c r="Q87" i="5"/>
  <c r="A87" i="5"/>
  <c r="Q86" i="5"/>
  <c r="A86" i="5"/>
  <c r="Q85" i="5"/>
  <c r="A85" i="5"/>
  <c r="Q84" i="5"/>
  <c r="A84" i="5"/>
  <c r="Q83" i="5"/>
  <c r="A83" i="5"/>
  <c r="Q82" i="5"/>
  <c r="A82" i="5"/>
  <c r="A81" i="5"/>
  <c r="Q80" i="5"/>
  <c r="A80" i="5"/>
  <c r="Q79" i="5"/>
  <c r="A79" i="5"/>
  <c r="Q78" i="5"/>
  <c r="A78" i="5"/>
  <c r="Q77" i="5"/>
  <c r="A77" i="5"/>
  <c r="Q76" i="5"/>
  <c r="A76" i="5"/>
  <c r="Q75" i="5"/>
  <c r="A75" i="5"/>
  <c r="Q74" i="5"/>
  <c r="A74" i="5"/>
  <c r="Q73" i="5"/>
  <c r="A73" i="5"/>
  <c r="Q72" i="5"/>
  <c r="A72" i="5"/>
  <c r="Q71" i="5"/>
  <c r="A71" i="5"/>
  <c r="Q70" i="5"/>
  <c r="A70" i="5"/>
  <c r="Q69" i="5"/>
  <c r="A69" i="5"/>
  <c r="Q68" i="5"/>
  <c r="A68" i="5"/>
  <c r="Q67" i="5"/>
  <c r="A67" i="5"/>
  <c r="Q66" i="5"/>
  <c r="A66" i="5"/>
  <c r="Q65" i="5"/>
  <c r="A65" i="5"/>
  <c r="Q64" i="5"/>
  <c r="A64" i="5"/>
  <c r="Q63" i="5"/>
  <c r="A63" i="5"/>
  <c r="Q62" i="5"/>
  <c r="A62" i="5"/>
  <c r="Q61" i="5"/>
  <c r="A61" i="5"/>
  <c r="Q60" i="5"/>
  <c r="A60" i="5"/>
  <c r="Q59" i="5"/>
  <c r="A59" i="5"/>
  <c r="Q58" i="5"/>
  <c r="A58" i="5"/>
  <c r="Q57" i="5"/>
  <c r="A57" i="5"/>
  <c r="Q56" i="5"/>
  <c r="A56" i="5"/>
  <c r="Q55" i="5"/>
  <c r="A55" i="5"/>
  <c r="Q54" i="5"/>
  <c r="A54" i="5"/>
  <c r="Q53" i="5"/>
  <c r="A53" i="5"/>
  <c r="Q52" i="5"/>
  <c r="A52" i="5"/>
  <c r="Q51" i="5"/>
  <c r="A51" i="5"/>
  <c r="Q50" i="5"/>
  <c r="A50" i="5"/>
  <c r="Q49" i="5"/>
  <c r="A49" i="5"/>
  <c r="Q48" i="5"/>
  <c r="A48" i="5"/>
  <c r="Q47" i="5"/>
  <c r="A47" i="5"/>
  <c r="Q46" i="5"/>
  <c r="A46" i="5"/>
  <c r="Q45" i="5"/>
  <c r="A45" i="5"/>
  <c r="Q44" i="5"/>
  <c r="A44" i="5"/>
  <c r="Q43" i="5"/>
  <c r="A43" i="5"/>
  <c r="Q42" i="5"/>
  <c r="A42" i="5"/>
  <c r="Q41" i="5"/>
  <c r="A41" i="5"/>
  <c r="Q40" i="5"/>
  <c r="A40" i="5"/>
  <c r="Q39" i="5"/>
  <c r="A39" i="5"/>
  <c r="Q38" i="5"/>
  <c r="A38" i="5"/>
  <c r="Q37" i="5"/>
  <c r="A37" i="5"/>
  <c r="Q36" i="5"/>
  <c r="A36" i="5"/>
  <c r="Q35" i="5"/>
  <c r="A35" i="5"/>
  <c r="Q34" i="5"/>
  <c r="A34" i="5"/>
  <c r="Q33" i="5"/>
  <c r="A33" i="5"/>
  <c r="Q32" i="5"/>
  <c r="A32" i="5"/>
  <c r="Q31" i="5"/>
  <c r="A31" i="5"/>
  <c r="Q30" i="5"/>
  <c r="A30" i="5"/>
  <c r="Q29" i="5"/>
  <c r="A29" i="5"/>
  <c r="Q28" i="5"/>
  <c r="A28" i="5"/>
  <c r="Q27" i="5"/>
  <c r="A27" i="5"/>
  <c r="Q26" i="5"/>
  <c r="A26" i="5"/>
  <c r="Q25" i="5"/>
  <c r="A25" i="5"/>
  <c r="Q24" i="5"/>
  <c r="A24" i="5"/>
  <c r="Q23" i="5"/>
  <c r="A23" i="5"/>
  <c r="Q22" i="5"/>
  <c r="A22" i="5"/>
  <c r="Q21" i="5"/>
  <c r="A21" i="5"/>
  <c r="Q20" i="5"/>
  <c r="A20" i="5"/>
  <c r="Q19" i="5"/>
  <c r="A19" i="5"/>
  <c r="Q18" i="5"/>
  <c r="A18" i="5"/>
  <c r="Q17" i="5"/>
  <c r="A17" i="5"/>
  <c r="Q16" i="5"/>
  <c r="A16" i="5"/>
  <c r="Q15" i="5"/>
  <c r="A15" i="5"/>
  <c r="Q14" i="5"/>
  <c r="A14" i="5"/>
  <c r="Q13" i="5"/>
  <c r="A13" i="5"/>
  <c r="Q12" i="5"/>
  <c r="A12" i="5"/>
  <c r="Q11" i="5"/>
  <c r="A11" i="5"/>
  <c r="Q10" i="5"/>
  <c r="A10" i="5"/>
  <c r="Q9" i="5"/>
  <c r="A9" i="5"/>
  <c r="Q8" i="5"/>
  <c r="A8" i="5"/>
  <c r="Q7" i="5"/>
  <c r="A7" i="5"/>
  <c r="Q6" i="5"/>
  <c r="A6" i="5"/>
  <c r="Q5" i="5"/>
  <c r="A5" i="5"/>
  <c r="Q4" i="5"/>
  <c r="A4" i="5"/>
  <c r="Q3" i="5"/>
  <c r="A3" i="5"/>
  <c r="Q96" i="4"/>
  <c r="A96" i="4"/>
  <c r="Q95" i="4"/>
  <c r="A95" i="4"/>
  <c r="Q94" i="4"/>
  <c r="A94" i="4"/>
  <c r="Q93" i="4"/>
  <c r="A93" i="4"/>
  <c r="Q92" i="4"/>
  <c r="A92" i="4"/>
  <c r="Q91" i="4"/>
  <c r="A91" i="4"/>
  <c r="Q90" i="4"/>
  <c r="A90" i="4"/>
  <c r="Q89" i="4"/>
  <c r="A89" i="4"/>
  <c r="Q88" i="4"/>
  <c r="A88" i="4"/>
  <c r="Q87" i="4"/>
  <c r="A87" i="4"/>
  <c r="Q86" i="4"/>
  <c r="A86" i="4"/>
  <c r="Q85" i="4"/>
  <c r="A85" i="4"/>
  <c r="Q84" i="4"/>
  <c r="A84" i="4"/>
  <c r="Q83" i="4"/>
  <c r="A83" i="4"/>
  <c r="Q82" i="4"/>
  <c r="A82" i="4"/>
  <c r="Q81" i="4"/>
  <c r="A81" i="4"/>
  <c r="Q80" i="4"/>
  <c r="A80" i="4"/>
  <c r="Q79" i="4"/>
  <c r="A79" i="4"/>
  <c r="Q78" i="4"/>
  <c r="A78" i="4"/>
  <c r="Q77" i="4"/>
  <c r="A77" i="4"/>
  <c r="Q76" i="4"/>
  <c r="A76" i="4"/>
  <c r="Q75" i="4"/>
  <c r="A75" i="4"/>
  <c r="Q74" i="4"/>
  <c r="A74" i="4"/>
  <c r="Q73" i="4"/>
  <c r="A73" i="4"/>
  <c r="Q72" i="4"/>
  <c r="A72" i="4"/>
  <c r="Q71" i="4"/>
  <c r="A71" i="4"/>
  <c r="Q70" i="4"/>
  <c r="A70" i="4"/>
  <c r="Q69" i="4"/>
  <c r="A69" i="4"/>
  <c r="Q68" i="4"/>
  <c r="A68" i="4"/>
  <c r="Q67" i="4"/>
  <c r="A67" i="4"/>
  <c r="Q66" i="4"/>
  <c r="A66" i="4"/>
  <c r="Q65" i="4"/>
  <c r="A65" i="4"/>
  <c r="Q64" i="4"/>
  <c r="A64" i="4"/>
  <c r="Q63" i="4"/>
  <c r="A63" i="4"/>
  <c r="Q62" i="4"/>
  <c r="A62" i="4"/>
  <c r="Q61" i="4"/>
  <c r="A61" i="4"/>
  <c r="Q60" i="4"/>
  <c r="A60" i="4"/>
  <c r="Q59" i="4"/>
  <c r="A59" i="4"/>
  <c r="Q58" i="4"/>
  <c r="A58" i="4"/>
  <c r="Q57" i="4"/>
  <c r="A57" i="4"/>
  <c r="Q56" i="4"/>
  <c r="A56" i="4"/>
  <c r="Q55" i="4"/>
  <c r="A55" i="4"/>
  <c r="Q54" i="4"/>
  <c r="A54" i="4"/>
  <c r="Q53" i="4"/>
  <c r="A53" i="4"/>
  <c r="Q52" i="4"/>
  <c r="A52" i="4"/>
  <c r="Q51" i="4"/>
  <c r="A51" i="4"/>
  <c r="Q50" i="4"/>
  <c r="A50" i="4"/>
  <c r="Q49" i="4"/>
  <c r="A49" i="4"/>
  <c r="Q48" i="4"/>
  <c r="A48" i="4"/>
  <c r="Q47" i="4"/>
  <c r="A47" i="4"/>
  <c r="Q46" i="4"/>
  <c r="A46" i="4"/>
  <c r="Q45" i="4"/>
  <c r="A45" i="4"/>
  <c r="Q44" i="4"/>
  <c r="A44" i="4"/>
  <c r="Q43" i="4"/>
  <c r="A43" i="4"/>
  <c r="Q42" i="4"/>
  <c r="A42" i="4"/>
  <c r="Q41" i="4"/>
  <c r="A41" i="4"/>
  <c r="Q40" i="4"/>
  <c r="A40" i="4"/>
  <c r="Q39" i="4"/>
  <c r="A39" i="4"/>
  <c r="Q38" i="4"/>
  <c r="A38" i="4"/>
  <c r="Q37" i="4"/>
  <c r="A37" i="4"/>
  <c r="Q36" i="4"/>
  <c r="A36" i="4"/>
  <c r="Q35" i="4"/>
  <c r="A35" i="4"/>
  <c r="Q34" i="4"/>
  <c r="A34" i="4"/>
  <c r="Q33" i="4"/>
  <c r="A33" i="4"/>
  <c r="Q32" i="4"/>
  <c r="A32" i="4"/>
  <c r="Q31" i="4"/>
  <c r="A31" i="4"/>
  <c r="Q30" i="4"/>
  <c r="A30" i="4"/>
  <c r="Q29" i="4"/>
  <c r="A29" i="4"/>
  <c r="Q28" i="4"/>
  <c r="A28" i="4"/>
  <c r="Q27" i="4"/>
  <c r="A27" i="4"/>
  <c r="Q26" i="4"/>
  <c r="A26" i="4"/>
  <c r="Q25" i="4"/>
  <c r="A25" i="4"/>
  <c r="Q24" i="4"/>
  <c r="A24" i="4"/>
  <c r="Q23" i="4"/>
  <c r="A23" i="4"/>
  <c r="Q22" i="4"/>
  <c r="A22" i="4"/>
  <c r="Q21" i="4"/>
  <c r="A21" i="4"/>
  <c r="Q20" i="4"/>
  <c r="A20" i="4"/>
  <c r="Q19" i="4"/>
  <c r="A19" i="4"/>
  <c r="Q18" i="4"/>
  <c r="A18" i="4"/>
  <c r="Q17" i="4"/>
  <c r="A17" i="4"/>
  <c r="Q16" i="4"/>
  <c r="A16" i="4"/>
  <c r="Q15" i="4"/>
  <c r="A15" i="4"/>
  <c r="Q14" i="4"/>
  <c r="A14" i="4"/>
  <c r="Q13" i="4"/>
  <c r="A13" i="4"/>
  <c r="Q12" i="4"/>
  <c r="A12" i="4"/>
  <c r="Q11" i="4"/>
  <c r="A11" i="4"/>
  <c r="Q10" i="4"/>
  <c r="A10" i="4"/>
  <c r="Q9" i="4"/>
  <c r="A9" i="4"/>
  <c r="Q8" i="4"/>
  <c r="A8" i="4"/>
  <c r="Q7" i="4"/>
  <c r="A7" i="4"/>
  <c r="Q6" i="4"/>
  <c r="A6" i="4"/>
  <c r="Q5" i="4"/>
  <c r="A5" i="4"/>
  <c r="Q4" i="4"/>
  <c r="A4" i="4"/>
  <c r="Q3" i="4"/>
  <c r="A3" i="4"/>
  <c r="Q92" i="3"/>
  <c r="A92" i="3"/>
  <c r="Q91" i="3"/>
  <c r="A91" i="3"/>
  <c r="Q90" i="3"/>
  <c r="A90" i="3"/>
  <c r="Q89" i="3"/>
  <c r="A89" i="3"/>
  <c r="Q88" i="3"/>
  <c r="A88" i="3"/>
  <c r="Q87" i="3"/>
  <c r="A87" i="3"/>
  <c r="Q86" i="3"/>
  <c r="A86" i="3"/>
  <c r="Q85" i="3"/>
  <c r="A85" i="3"/>
  <c r="Q84" i="3"/>
  <c r="A84" i="3"/>
  <c r="Q83" i="3"/>
  <c r="A83" i="3"/>
  <c r="Q82" i="3"/>
  <c r="A82" i="3"/>
  <c r="Q81" i="3"/>
  <c r="A81" i="3"/>
  <c r="Q80" i="3"/>
  <c r="A80" i="3"/>
  <c r="Q79" i="3"/>
  <c r="A79" i="3"/>
  <c r="Q78" i="3"/>
  <c r="A78" i="3"/>
  <c r="Q77" i="3"/>
  <c r="A77" i="3"/>
  <c r="Q76" i="3"/>
  <c r="A76" i="3"/>
  <c r="Q75" i="3"/>
  <c r="A75" i="3"/>
  <c r="Q74" i="3"/>
  <c r="A74" i="3"/>
  <c r="Q73" i="3"/>
  <c r="A73" i="3"/>
  <c r="Q72" i="3"/>
  <c r="A72" i="3"/>
  <c r="Q71" i="3"/>
  <c r="A71" i="3"/>
  <c r="Q70" i="3"/>
  <c r="A70" i="3"/>
  <c r="Q69" i="3"/>
  <c r="A69" i="3"/>
  <c r="Q68" i="3"/>
  <c r="A68" i="3"/>
  <c r="Q67" i="3"/>
  <c r="A67" i="3"/>
  <c r="Q66" i="3"/>
  <c r="A66" i="3"/>
  <c r="Q65" i="3"/>
  <c r="A65" i="3"/>
  <c r="Q64" i="3"/>
  <c r="A64" i="3"/>
  <c r="Q63" i="3"/>
  <c r="A63" i="3"/>
  <c r="Q62" i="3"/>
  <c r="A62" i="3"/>
  <c r="Q61" i="3"/>
  <c r="A61" i="3"/>
  <c r="Q60" i="3"/>
  <c r="A60" i="3"/>
  <c r="Q59" i="3"/>
  <c r="A59" i="3"/>
  <c r="Q58" i="3"/>
  <c r="A58" i="3"/>
  <c r="Q57" i="3"/>
  <c r="A57" i="3"/>
  <c r="Q56" i="3"/>
  <c r="A56" i="3"/>
  <c r="Q55" i="3"/>
  <c r="A55" i="3"/>
  <c r="Q54" i="3"/>
  <c r="A54" i="3"/>
  <c r="Q53" i="3"/>
  <c r="A53" i="3"/>
  <c r="Q52" i="3"/>
  <c r="A52" i="3"/>
  <c r="Q51" i="3"/>
  <c r="A51" i="3"/>
  <c r="Q50" i="3"/>
  <c r="A50" i="3"/>
  <c r="Q49" i="3"/>
  <c r="A49" i="3"/>
  <c r="Q48" i="3"/>
  <c r="A48" i="3"/>
  <c r="Q47" i="3"/>
  <c r="A47" i="3"/>
  <c r="Q46" i="3"/>
  <c r="A46" i="3"/>
  <c r="Q45" i="3"/>
  <c r="A45" i="3"/>
  <c r="Q44" i="3"/>
  <c r="A44" i="3"/>
  <c r="Q43" i="3"/>
  <c r="A43" i="3"/>
  <c r="Q42" i="3"/>
  <c r="A42" i="3"/>
  <c r="Q41" i="3"/>
  <c r="A41" i="3"/>
  <c r="Q40" i="3"/>
  <c r="A40" i="3"/>
  <c r="Q39" i="3"/>
  <c r="A39" i="3"/>
  <c r="Q38" i="3"/>
  <c r="A38" i="3"/>
  <c r="Q37" i="3"/>
  <c r="A37" i="3"/>
  <c r="Q36" i="3"/>
  <c r="A36" i="3"/>
  <c r="Q35" i="3"/>
  <c r="A35" i="3"/>
  <c r="Q34" i="3"/>
  <c r="A34" i="3"/>
  <c r="Q33" i="3"/>
  <c r="A33" i="3"/>
  <c r="Q32" i="3"/>
  <c r="A32" i="3"/>
  <c r="Q31" i="3"/>
  <c r="A31" i="3"/>
  <c r="Q30" i="3"/>
  <c r="A30" i="3"/>
  <c r="Q29" i="3"/>
  <c r="A29" i="3"/>
  <c r="Q28" i="3"/>
  <c r="A28" i="3"/>
  <c r="Q27" i="3"/>
  <c r="A27" i="3"/>
  <c r="Q26" i="3"/>
  <c r="A26" i="3"/>
  <c r="Q25" i="3"/>
  <c r="A25" i="3"/>
  <c r="Q24" i="3"/>
  <c r="A24" i="3"/>
  <c r="Q23" i="3"/>
  <c r="A23" i="3"/>
  <c r="Q22" i="3"/>
  <c r="A22" i="3"/>
  <c r="Q21" i="3"/>
  <c r="A21" i="3"/>
  <c r="Q20" i="3"/>
  <c r="A20" i="3"/>
  <c r="Q19" i="3"/>
  <c r="A19" i="3"/>
  <c r="Q18" i="3"/>
  <c r="A18" i="3"/>
  <c r="Q17" i="3"/>
  <c r="A17" i="3"/>
  <c r="Q16" i="3"/>
  <c r="A16" i="3"/>
  <c r="Q15" i="3"/>
  <c r="A15" i="3"/>
  <c r="Q14" i="3"/>
  <c r="A14" i="3"/>
  <c r="Q13" i="3"/>
  <c r="A13" i="3"/>
  <c r="Q12" i="3"/>
  <c r="A12" i="3"/>
  <c r="Q11" i="3"/>
  <c r="A11" i="3"/>
  <c r="Q10" i="3"/>
  <c r="A10" i="3"/>
  <c r="Q9" i="3"/>
  <c r="A9" i="3"/>
  <c r="Q8" i="3"/>
  <c r="A8" i="3"/>
  <c r="Q7" i="3"/>
  <c r="A7" i="3"/>
  <c r="Q6" i="3"/>
  <c r="A6" i="3"/>
  <c r="Q5" i="3"/>
  <c r="A5" i="3"/>
  <c r="Q4" i="3"/>
  <c r="A4" i="3"/>
  <c r="Q3" i="3"/>
  <c r="A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200-000005000000}">
      <text>
        <r>
          <rPr>
            <sz val="11"/>
            <color theme="1"/>
            <rFont val="Arial"/>
          </rPr>
          <t>======
ID#AAAAJS3ZyoY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P2" authorId="0" shapeId="0" xr:uid="{00000000-0006-0000-0200-000001000000}">
      <text>
        <r>
          <rPr>
            <sz val="11"/>
            <color theme="1"/>
            <rFont val="Arial"/>
          </rPr>
          <t>======
ID#AAAAJS3ZyqA
Dial Jasmin    (2020-04-06 11:35:52)
Includes: tuition, room and board (on or off campus), books and supplies, other</t>
        </r>
      </text>
    </comment>
    <comment ref="Q2" authorId="0" shapeId="0" xr:uid="{00000000-0006-0000-0200-000002000000}">
      <text>
        <r>
          <rPr>
            <sz val="11"/>
            <color theme="1"/>
            <rFont val="Arial"/>
          </rPr>
          <t>======
ID#AAAAJS3Zypc
Dial Jasmin    (2020-04-06 11:35:52)
INCLUDES indirect expenses (ex: books, supplies, living expenses) AS WELL AS directly billed expenses (ex: tuition, fees, room and board)</t>
        </r>
      </text>
    </comment>
    <comment ref="T2" authorId="0" shapeId="0" xr:uid="{00000000-0006-0000-0200-000006000000}">
      <text>
        <r>
          <rPr>
            <sz val="11"/>
            <color theme="1"/>
            <rFont val="Arial"/>
          </rPr>
          <t>======
ID#AAAAJS3ZyoI
Dial Jasmin    (2020-04-06 11:35:52)
includes: book, supplies, and other (transportation, entertainment, laundry, etc.)</t>
        </r>
      </text>
    </comment>
    <comment ref="V2" authorId="0" shapeId="0" xr:uid="{00000000-0006-0000-0200-000003000000}">
      <text>
        <r>
          <rPr>
            <sz val="11"/>
            <color theme="1"/>
            <rFont val="Arial"/>
          </rPr>
          <t>======
ID#AAAAJS3ZypA
Dial Jasmin    (2020-04-06 11:35:52)
Source: http://blog.collegegreenlight.com/blog/colleges-that-meet-100-of-student-financial-need/</t>
        </r>
      </text>
    </comment>
    <comment ref="Y2" authorId="0" shapeId="0" xr:uid="{00000000-0006-0000-0200-000004000000}">
      <text>
        <r>
          <rPr>
            <sz val="11"/>
            <color theme="1"/>
            <rFont val="Arial"/>
          </rPr>
          <t>======
ID#AAAAJS3Zyos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joYBzqkqKMM0L9OfoaH0946i51G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300-000004000000}">
      <text>
        <r>
          <rPr>
            <sz val="11"/>
            <color theme="1"/>
            <rFont val="Arial"/>
          </rPr>
          <t>======
ID#AAAAJS3Zyn8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P2" authorId="0" shapeId="0" xr:uid="{00000000-0006-0000-0300-000002000000}">
      <text>
        <r>
          <rPr>
            <sz val="11"/>
            <color theme="1"/>
            <rFont val="Arial"/>
          </rPr>
          <t>======
ID#AAAAJS3Zyo4
Dial Jasmin    (2020-04-06 11:35:52)
Includes: tuition, room and board (on or off campus), books and supplies, other</t>
        </r>
      </text>
    </comment>
    <comment ref="Q2" authorId="0" shapeId="0" xr:uid="{00000000-0006-0000-0300-000001000000}">
      <text>
        <r>
          <rPr>
            <sz val="11"/>
            <color theme="1"/>
            <rFont val="Arial"/>
          </rPr>
          <t>======
ID#AAAAJS3Zypo
Dial Jasmin    (2020-04-06 11:35:52)
INCLUDES indirect expenses (ex: books, supplies, living expenses) AS WELL AS directly billed expenses (ex: tuition, fees, room and board)</t>
        </r>
      </text>
    </comment>
    <comment ref="T2" authorId="0" shapeId="0" xr:uid="{00000000-0006-0000-0300-000005000000}">
      <text>
        <r>
          <rPr>
            <sz val="11"/>
            <color theme="1"/>
            <rFont val="Arial"/>
          </rPr>
          <t>======
ID#AAAAJS3Zyn4
Dial Jasmin    (2020-04-06 11:35:52)
includes: book, supplies, and other (transportation, entertainment, laundry, etc.)</t>
        </r>
      </text>
    </comment>
    <comment ref="V2" authorId="0" shapeId="0" xr:uid="{00000000-0006-0000-0300-000003000000}">
      <text>
        <r>
          <rPr>
            <sz val="11"/>
            <color theme="1"/>
            <rFont val="Arial"/>
          </rPr>
          <t>======
ID#AAAAJS3Zyoc
Dial Jasmin    (2020-04-06 11:35:52)
Source: http://blog.collegegreenlight.com/blog/colleges-that-meet-100-of-student-financial-need/</t>
        </r>
      </text>
    </comment>
    <comment ref="Y2" authorId="0" shapeId="0" xr:uid="{00000000-0006-0000-0300-000006000000}">
      <text>
        <r>
          <rPr>
            <sz val="11"/>
            <color theme="1"/>
            <rFont val="Arial"/>
          </rPr>
          <t>======
ID#AAAAJS3Zyns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i7BBK3GQE8iWkKU4PwxoGsAuNVS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400-000005000000}">
      <text>
        <r>
          <rPr>
            <sz val="11"/>
            <color theme="1"/>
            <rFont val="Arial"/>
          </rPr>
          <t>======
ID#AAAAJS3Zynw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P2" authorId="0" shapeId="0" xr:uid="{00000000-0006-0000-0400-000001000000}">
      <text>
        <r>
          <rPr>
            <sz val="11"/>
            <color theme="1"/>
            <rFont val="Arial"/>
          </rPr>
          <t>======
ID#AAAAJS3ZypQ
Dial Jasmin    (2020-04-06 11:35:52)
Includes: tuition, room and board (on or off campus), books and supplies, other</t>
        </r>
      </text>
    </comment>
    <comment ref="Q2" authorId="0" shapeId="0" xr:uid="{00000000-0006-0000-0400-000002000000}">
      <text>
        <r>
          <rPr>
            <sz val="11"/>
            <color theme="1"/>
            <rFont val="Arial"/>
          </rPr>
          <t>======
ID#AAAAJS3ZypE
Dial Jasmin    (2020-04-06 11:35:52)
INCLUDES indirect expenses (ex: books, supplies, living expenses) AS WELL AS directly billed expenses (ex: tuition, fees, room and board)</t>
        </r>
      </text>
    </comment>
    <comment ref="T2" authorId="0" shapeId="0" xr:uid="{00000000-0006-0000-0400-000003000000}">
      <text>
        <r>
          <rPr>
            <sz val="11"/>
            <color theme="1"/>
            <rFont val="Arial"/>
          </rPr>
          <t>======
ID#AAAAJS3Zyog
Dial Jasmin    (2020-04-06 11:35:52)
includes: book, supplies, and other (transportation, entertainment, laundry, etc.)</t>
        </r>
      </text>
    </comment>
    <comment ref="V2" authorId="0" shapeId="0" xr:uid="{00000000-0006-0000-0400-000004000000}">
      <text>
        <r>
          <rPr>
            <sz val="11"/>
            <color theme="1"/>
            <rFont val="Arial"/>
          </rPr>
          <t>======
ID#AAAAJS3ZyoM
Dial Jasmin    (2020-04-06 11:35:52)
Source: http://blog.collegegreenlight.com/blog/colleges-that-meet-100-of-student-financial-need/</t>
        </r>
      </text>
    </comment>
    <comment ref="Y2" authorId="0" shapeId="0" xr:uid="{00000000-0006-0000-0400-000006000000}">
      <text>
        <r>
          <rPr>
            <sz val="11"/>
            <color theme="1"/>
            <rFont val="Arial"/>
          </rPr>
          <t>======
ID#AAAAJS3ZynY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jKmeWd2snnZObApmqOXMFrFy0UG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500-000003000000}">
      <text>
        <r>
          <rPr>
            <sz val="11"/>
            <color theme="1"/>
            <rFont val="Arial"/>
          </rPr>
          <t>======
ID#AAAAJS3Zypg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P2" authorId="0" shapeId="0" xr:uid="{00000000-0006-0000-0500-000006000000}">
      <text>
        <r>
          <rPr>
            <sz val="11"/>
            <color theme="1"/>
            <rFont val="Arial"/>
          </rPr>
          <t>======
ID#AAAAJS3Zync
Dial Jasmin    (2020-04-06 11:35:52)
Includes: tuition, room and board (on or off campus), books and supplies, other</t>
        </r>
      </text>
    </comment>
    <comment ref="Q2" authorId="0" shapeId="0" xr:uid="{00000000-0006-0000-0500-000005000000}">
      <text>
        <r>
          <rPr>
            <sz val="11"/>
            <color theme="1"/>
            <rFont val="Arial"/>
          </rPr>
          <t>======
ID#AAAAJS3ZyoA
Dial Jasmin    (2020-04-06 11:35:52)
INCLUDES indirect expenses (ex: books, supplies, living expenses) AS WELL AS directly billed expenses (ex: tuition, fees, room and board)</t>
        </r>
      </text>
    </comment>
    <comment ref="T2" authorId="0" shapeId="0" xr:uid="{00000000-0006-0000-0500-000004000000}">
      <text>
        <r>
          <rPr>
            <sz val="11"/>
            <color theme="1"/>
            <rFont val="Arial"/>
          </rPr>
          <t>======
ID#AAAAJS3Zyok
Dial Jasmin    (2020-04-06 11:35:52)
includes: book, supplies, and other (transportation, entertainment, laundry, etc.)</t>
        </r>
      </text>
    </comment>
    <comment ref="V2" authorId="0" shapeId="0" xr:uid="{00000000-0006-0000-0500-000002000000}">
      <text>
        <r>
          <rPr>
            <sz val="11"/>
            <color theme="1"/>
            <rFont val="Arial"/>
          </rPr>
          <t>======
ID#AAAAJS3ZyqE
Dial Jasmin    (2020-04-06 11:35:52)
Source: http://blog.collegegreenlight.com/blog/colleges-that-meet-100-of-student-financial-need/</t>
        </r>
      </text>
    </comment>
    <comment ref="Y2" authorId="0" shapeId="0" xr:uid="{00000000-0006-0000-0500-000001000000}">
      <text>
        <r>
          <rPr>
            <sz val="11"/>
            <color theme="1"/>
            <rFont val="Arial"/>
          </rPr>
          <t>======
ID#AAAAJS3ZyqI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gBoXhLapIJPlPgC2VqNPvZ33ArJ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600-000001000000}">
      <text>
        <r>
          <rPr>
            <sz val="11"/>
            <color theme="1"/>
            <rFont val="Arial"/>
          </rPr>
          <t>======
ID#AAAAJS3Zyp4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J2" authorId="0" shapeId="0" xr:uid="{00000000-0006-0000-0600-000004000000}">
      <text>
        <r>
          <rPr>
            <sz val="11"/>
            <color theme="1"/>
            <rFont val="Arial"/>
          </rPr>
          <t>======
ID#AAAAJS3ZypI
Dial Jasmin    (2020-04-06 11:35:52)
CUNY College Transition Programs: http://www2.cuny.edu/academics/academic-programs/model-programs/cuny-college-transition-programs/
CUNY Start: http://www1.cuny.edu/sites/cunystart/program/cuny-start/
Math Start: http://www1.cuny.edu/sites/cunystart/program/math-start/
CLIP: http://www2.cuny.edu/academics/academic-programs/model-programs/cuny-college-transition-programs/cuny-language-immersion-program-clip/
Guttman Summer Bridge: http://guttman.cuny.edu/academics/academic-programs/first-year-experience/summer-bridge-program/</t>
        </r>
      </text>
    </comment>
    <comment ref="Q2" authorId="0" shapeId="0" xr:uid="{00000000-0006-0000-0600-000003000000}">
      <text>
        <r>
          <rPr>
            <sz val="11"/>
            <color theme="1"/>
            <rFont val="Arial"/>
          </rPr>
          <t>======
ID#AAAAJS3ZypM
Dial Jasmin    (2020-04-06 11:35:52)
Includes: tuition, room and board (on or off campus), books and supplies, other</t>
        </r>
      </text>
    </comment>
    <comment ref="R2" authorId="0" shapeId="0" xr:uid="{00000000-0006-0000-0600-000005000000}">
      <text>
        <r>
          <rPr>
            <sz val="11"/>
            <color theme="1"/>
            <rFont val="Arial"/>
          </rPr>
          <t>======
ID#AAAAJS3Zyo8
Dial Jasmin    (2020-04-06 11:35:52)
INCLUDES indirect expenses (ex: books, supplies, living expenses) AS WELL AS directly billed expenses (ex: tuition, fees, room and board)</t>
        </r>
      </text>
    </comment>
    <comment ref="U2" authorId="0" shapeId="0" xr:uid="{00000000-0006-0000-0600-000006000000}">
      <text>
        <r>
          <rPr>
            <sz val="11"/>
            <color theme="1"/>
            <rFont val="Arial"/>
          </rPr>
          <t>======
ID#AAAAJS3Zyo0
Dial Jasmin    (2020-04-06 11:35:52)
includes: book, supplies, and other (transportation, entertainment, laundry, etc.)</t>
        </r>
      </text>
    </comment>
    <comment ref="W2" authorId="0" shapeId="0" xr:uid="{00000000-0006-0000-0600-000002000000}">
      <text>
        <r>
          <rPr>
            <sz val="11"/>
            <color theme="1"/>
            <rFont val="Arial"/>
          </rPr>
          <t>======
ID#AAAAJS3Zyps
Dial Jasmin    (2020-04-06 11:35:52)
Source: http://blog.collegegreenlight.com/blog/colleges-that-meet-100-of-student-financial-need/</t>
        </r>
      </text>
    </comment>
    <comment ref="Z2" authorId="0" shapeId="0" xr:uid="{00000000-0006-0000-0600-000007000000}">
      <text>
        <r>
          <rPr>
            <sz val="11"/>
            <color theme="1"/>
            <rFont val="Arial"/>
          </rPr>
          <t>======
ID#AAAAJS3Zyow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jvOS4pMtBgHKERvWSzjoYy6yRng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700-000001000000}">
      <text>
        <r>
          <rPr>
            <sz val="11"/>
            <color theme="1"/>
            <rFont val="Arial"/>
          </rPr>
          <t>======
ID#AAAAJS3Zyp8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J2" authorId="0" shapeId="0" xr:uid="{00000000-0006-0000-0700-000004000000}">
      <text>
        <r>
          <rPr>
            <sz val="11"/>
            <color theme="1"/>
            <rFont val="Arial"/>
          </rPr>
          <t>======
ID#AAAAJS3Zyoo
Dial Jasmin    (2020-04-06 11:35:52)
CUNY College Transition Programs: http://www2.cuny.edu/academics/academic-programs/model-programs/cuny-college-transition-programs/
CUNY Start: http://www1.cuny.edu/sites/cunystart/program/cuny-start/
Math Start: http://www1.cuny.edu/sites/cunystart/program/math-start/
CLIP: http://www2.cuny.edu/academics/academic-programs/model-programs/cuny-college-transition-programs/cuny-language-immersion-program-clip/
Guttman Summer Bridge: http://guttman.cuny.edu/academics/academic-programs/first-year-experience/summer-bridge-program/</t>
        </r>
      </text>
    </comment>
    <comment ref="R2" authorId="0" shapeId="0" xr:uid="{00000000-0006-0000-0700-000006000000}">
      <text>
        <r>
          <rPr>
            <sz val="11"/>
            <color theme="1"/>
            <rFont val="Arial"/>
          </rPr>
          <t>======
ID#AAAAJS3Zyn0
Dial Jasmin    (2020-04-06 11:35:52)
Includes: tuition, room and board (on or off campus), books and supplies, other</t>
        </r>
      </text>
    </comment>
    <comment ref="S2" authorId="0" shapeId="0" xr:uid="{00000000-0006-0000-0700-000002000000}">
      <text>
        <r>
          <rPr>
            <sz val="11"/>
            <color theme="1"/>
            <rFont val="Arial"/>
          </rPr>
          <t>======
ID#AAAAJS3Zypw
Dial Jasmin    (2020-04-06 11:35:52)
INCLUDES indirect expenses (ex: books, supplies, living expenses) AS WELL AS directly billed expenses (ex: tuition, fees, room and board)</t>
        </r>
      </text>
    </comment>
    <comment ref="V2" authorId="0" shapeId="0" xr:uid="{00000000-0006-0000-0700-000003000000}">
      <text>
        <r>
          <rPr>
            <sz val="11"/>
            <color theme="1"/>
            <rFont val="Arial"/>
          </rPr>
          <t>======
ID#AAAAJS3ZypU
Dial Jasmin    (2020-04-06 11:35:52)
includes: book, supplies, and other (transportation, entertainment, laundry, etc.)</t>
        </r>
      </text>
    </comment>
    <comment ref="X2" authorId="0" shapeId="0" xr:uid="{00000000-0006-0000-0700-000005000000}">
      <text>
        <r>
          <rPr>
            <sz val="11"/>
            <color theme="1"/>
            <rFont val="Arial"/>
          </rPr>
          <t>======
ID#AAAAJS3ZyoU
Dial Jasmin    (2020-04-06 11:35:52)
Source: http://blog.collegegreenlight.com/blog/colleges-that-meet-100-of-student-financial-need/</t>
        </r>
      </text>
    </comment>
    <comment ref="AA2" authorId="0" shapeId="0" xr:uid="{00000000-0006-0000-0700-000007000000}">
      <text>
        <r>
          <rPr>
            <sz val="11"/>
            <color theme="1"/>
            <rFont val="Arial"/>
          </rPr>
          <t>======
ID#AAAAJS3Zyng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hgGG5UI8q8AX7UEAqLqcPDdVZfl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800-000007000000}">
      <text>
        <r>
          <rPr>
            <sz val="11"/>
            <color theme="1"/>
            <rFont val="Arial"/>
          </rPr>
          <t>======
ID#AAAAJS3Zynk
Sources    (2020-04-06 11:35:52)
Private Colleges (CARA):
https://drive.google.com/file/d/1UbgAJ-6B7kV8mmwtLme87EL_w3lKYIZA/view?usp=sharing
SUNY EOP Information: https://www.suny.edu/media/suny/content-assets/documents/summary-sheets/EOP_profile.pdf
CUNY Opportunity Programs: http://www2.cuny.edu/wp-content/uploads/sites/4/page-assets/admissions/undergraduate/downloads/Admission-Profile-2018-Freshman.pdf
ASAP Programs: http://www1.cuny.edu/sites/asap/contact/</t>
        </r>
      </text>
    </comment>
    <comment ref="J2" authorId="0" shapeId="0" xr:uid="{00000000-0006-0000-0800-000002000000}">
      <text>
        <r>
          <rPr>
            <sz val="11"/>
            <color theme="1"/>
            <rFont val="Arial"/>
          </rPr>
          <t>======
ID#AAAAJS3Zypk
Dial Jasmin    (2020-04-06 11:35:52)
CUNY College Transition Programs: http://www2.cuny.edu/academics/academic-programs/model-programs/cuny-college-transition-programs/
CUNY Start: http://www1.cuny.edu/sites/cunystart/program/cuny-start/
Math Start: http://www1.cuny.edu/sites/cunystart/program/math-start/
CLIP: http://www2.cuny.edu/academics/academic-programs/model-programs/cuny-college-transition-programs/cuny-language-immersion-program-clip/
Guttman Summer Bridge: http://guttman.cuny.edu/academics/academic-programs/first-year-experience/summer-bridge-program/</t>
        </r>
      </text>
    </comment>
    <comment ref="R2" authorId="0" shapeId="0" xr:uid="{00000000-0006-0000-0800-000006000000}">
      <text>
        <r>
          <rPr>
            <sz val="11"/>
            <color theme="1"/>
            <rFont val="Arial"/>
          </rPr>
          <t>======
ID#AAAAJS3Zyno
Dial Jasmin    (2020-04-06 11:35:52)
Includes: tuition, room and board (on or off campus), books and supplies, other</t>
        </r>
      </text>
    </comment>
    <comment ref="S2" authorId="0" shapeId="0" xr:uid="{00000000-0006-0000-0800-000003000000}">
      <text>
        <r>
          <rPr>
            <sz val="11"/>
            <color theme="1"/>
            <rFont val="Arial"/>
          </rPr>
          <t>======
ID#AAAAJS3ZypY
Dial Jasmin    (2020-04-06 11:35:52)
INCLUDES indirect expenses (ex: books, supplies, living expenses) AS WELL AS directly billed expenses (ex: tuition, fees, room and board)</t>
        </r>
      </text>
    </comment>
    <comment ref="V2" authorId="0" shapeId="0" xr:uid="{00000000-0006-0000-0800-000005000000}">
      <text>
        <r>
          <rPr>
            <sz val="11"/>
            <color theme="1"/>
            <rFont val="Arial"/>
          </rPr>
          <t>======
ID#AAAAJS3ZyoE
Dial Jasmin    (2020-04-06 11:35:52)
includes: book, supplies, and other (transportation, entertainment, laundry, etc.)</t>
        </r>
      </text>
    </comment>
    <comment ref="X2" authorId="0" shapeId="0" xr:uid="{00000000-0006-0000-0800-000001000000}">
      <text>
        <r>
          <rPr>
            <sz val="11"/>
            <color theme="1"/>
            <rFont val="Arial"/>
          </rPr>
          <t>======
ID#AAAAJS3Zyp0
Dial Jasmin    (2020-04-06 11:35:52)
Source: http://blog.collegegreenlight.com/blog/colleges-that-meet-100-of-student-financial-need/</t>
        </r>
      </text>
    </comment>
    <comment ref="AA2" authorId="0" shapeId="0" xr:uid="{00000000-0006-0000-0800-000004000000}">
      <text>
        <r>
          <rPr>
            <sz val="11"/>
            <color theme="1"/>
            <rFont val="Arial"/>
          </rPr>
          <t>======
ID#AAAAJS3ZyoQ
Dial Jasmin    (2020-04-06 11:35:52)
Provide institutional, need-based aid to undocumented students
Source: https://docs.google.com/spreadsheets/d/1vg2M_k9vwfiw26eNiGNt4zcbuPyQM_mjV7wBdgUZQYc/edit?usp=sharing</t>
        </r>
      </text>
    </comment>
  </commentList>
  <extLst>
    <ext xmlns:r="http://schemas.openxmlformats.org/officeDocument/2006/relationships" uri="GoogleSheetsCustomDataVersion1">
      <go:sheetsCustomData xmlns:go="http://customooxmlschemas.google.com/" r:id="rId1" roundtripDataSignature="AMtx7mj6TgtJCkImZBWqFPh8UbGWI1Njlw=="/>
    </ext>
  </extLst>
</comments>
</file>

<file path=xl/sharedStrings.xml><?xml version="1.0" encoding="utf-8"?>
<sst xmlns="http://schemas.openxmlformats.org/spreadsheetml/2006/main" count="31909" uniqueCount="1781">
  <si>
    <t>Category 1 colleges</t>
  </si>
  <si>
    <t>Admissions Information - SAT</t>
  </si>
  <si>
    <t>Student Success Supports</t>
  </si>
  <si>
    <t>Student Success Indicators</t>
  </si>
  <si>
    <t>Affordability</t>
  </si>
  <si>
    <t>College Name</t>
  </si>
  <si>
    <t>Private/Public/For Profit status</t>
  </si>
  <si>
    <t>State</t>
  </si>
  <si>
    <t>City</t>
  </si>
  <si>
    <t>Average SAT score of admitted students</t>
  </si>
  <si>
    <t>SAT/ACT required?</t>
  </si>
  <si>
    <t>NYS Opportunity Programs</t>
  </si>
  <si>
    <t>Opportunity Program Admissions Profile - SAT</t>
  </si>
  <si>
    <t>Opportunity Program Admissions Profile - GPA</t>
  </si>
  <si>
    <t>Graduation Rate</t>
  </si>
  <si>
    <t>Graduation Rate - Low Income Students</t>
  </si>
  <si>
    <t>Graduation Rate - White Students</t>
  </si>
  <si>
    <t>Graduation Rate - Black Students</t>
  </si>
  <si>
    <t>Graduation Rate - Hispanic Students</t>
  </si>
  <si>
    <t>Graduation Rate - Asian Students</t>
  </si>
  <si>
    <t>Total Cost of Attendance</t>
  </si>
  <si>
    <t xml:space="preserve"> Average Net Cost for Low-Income Students (Family Income up to $48,000)</t>
  </si>
  <si>
    <t>Average Net Cost (Family Income $48,000- $75,000)</t>
  </si>
  <si>
    <t>Average Net Cost (Family Income $75,000- $110,000)</t>
  </si>
  <si>
    <t>Indirect Expenses</t>
  </si>
  <si>
    <t>Average Direct Billed Cost for Low-Income Students (Family Income up to $48,000)</t>
  </si>
  <si>
    <t>Meet 100% Need</t>
  </si>
  <si>
    <t>% of students receiving a Pell Grant</t>
  </si>
  <si>
    <t>College Match Tool Summary</t>
  </si>
  <si>
    <t>% students of color on campus</t>
  </si>
  <si>
    <t>Undocumented-Friendly</t>
  </si>
  <si>
    <t>Total Enrollment of college</t>
  </si>
  <si>
    <t>Private</t>
  </si>
  <si>
    <t>MA</t>
  </si>
  <si>
    <t>Amherst</t>
  </si>
  <si>
    <t>Yes (required)</t>
  </si>
  <si>
    <t>Not reported</t>
  </si>
  <si>
    <t>Yes</t>
  </si>
  <si>
    <t>NY</t>
  </si>
  <si>
    <t>New York</t>
  </si>
  <si>
    <t>HEOP</t>
  </si>
  <si>
    <t>1010-1180</t>
  </si>
  <si>
    <t>91-above</t>
  </si>
  <si>
    <t>ME</t>
  </si>
  <si>
    <t>Lewiston</t>
  </si>
  <si>
    <t>No</t>
  </si>
  <si>
    <t xml:space="preserve">Purpose: This is a tool to show where students with a similar academic profile to this school's students enrolled in college. It is intended to identify good fit colleges for each student based on their academic profile.  Research shows that students who attend more selective four-year schools are more likely to graduate from college with less student debt.
</t>
  </si>
  <si>
    <t>VT</t>
  </si>
  <si>
    <t>Bennington</t>
  </si>
  <si>
    <t>Public</t>
  </si>
  <si>
    <t>Vestal</t>
  </si>
  <si>
    <t>EOP</t>
  </si>
  <si>
    <t>1050-1070</t>
  </si>
  <si>
    <t>86-90</t>
  </si>
  <si>
    <t>Chestnut Hill</t>
  </si>
  <si>
    <t>HS</t>
  </si>
  <si>
    <t>HST</t>
  </si>
  <si>
    <t>Brunswick</t>
  </si>
  <si>
    <t>YABC</t>
  </si>
  <si>
    <t>MS</t>
  </si>
  <si>
    <t>ELE</t>
  </si>
  <si>
    <t>EC</t>
  </si>
  <si>
    <t>Waltham</t>
  </si>
  <si>
    <t>RI</t>
  </si>
  <si>
    <t>Providence</t>
  </si>
  <si>
    <t>PA</t>
  </si>
  <si>
    <t>Bryn Mawr</t>
  </si>
  <si>
    <t>Lewisburg</t>
  </si>
  <si>
    <t>CA</t>
  </si>
  <si>
    <t>Pasadena</t>
  </si>
  <si>
    <t>Table of Contents</t>
  </si>
  <si>
    <t>Category 1 Colleges</t>
  </si>
  <si>
    <t>MN</t>
  </si>
  <si>
    <t>Northfield</t>
  </si>
  <si>
    <t>Pittsburgh</t>
  </si>
  <si>
    <t>OH</t>
  </si>
  <si>
    <t>Cleveland</t>
  </si>
  <si>
    <t>Claremont</t>
  </si>
  <si>
    <t>A table that allows you to view, filter and sort information about the most competitive colleges.</t>
  </si>
  <si>
    <t>Waterville</t>
  </si>
  <si>
    <t>Hamilton</t>
  </si>
  <si>
    <t>1120-1270</t>
  </si>
  <si>
    <t>90-94</t>
  </si>
  <si>
    <t>VA</t>
  </si>
  <si>
    <t>Williamsburg</t>
  </si>
  <si>
    <t>Category 2 Colleges</t>
  </si>
  <si>
    <t>Worcester</t>
  </si>
  <si>
    <t>CO</t>
  </si>
  <si>
    <t>Colorado Springs</t>
  </si>
  <si>
    <t>A table that allows you to view, filter and sort information about highly competitive colleges.</t>
  </si>
  <si>
    <t>Yes (recommended)</t>
  </si>
  <si>
    <t>1250-1390</t>
  </si>
  <si>
    <t>93-above</t>
  </si>
  <si>
    <t>Category 3 Colleges</t>
  </si>
  <si>
    <t>CT</t>
  </si>
  <si>
    <t>New London</t>
  </si>
  <si>
    <t>A table that allows you to view, filter and sort information about very competitive colleges.</t>
  </si>
  <si>
    <t>Ithaca</t>
  </si>
  <si>
    <t>1170-1260</t>
  </si>
  <si>
    <t>97-above</t>
  </si>
  <si>
    <t>Category 4 Colleges</t>
  </si>
  <si>
    <t>NH</t>
  </si>
  <si>
    <t>Hanover</t>
  </si>
  <si>
    <t>NC</t>
  </si>
  <si>
    <t>Davidson</t>
  </si>
  <si>
    <t>A table that allows you to view, filter and sort information about competitive colleges.</t>
  </si>
  <si>
    <t>Durham</t>
  </si>
  <si>
    <t>GA</t>
  </si>
  <si>
    <t>Atlanta</t>
  </si>
  <si>
    <t>Category 5 Colleges</t>
  </si>
  <si>
    <t>Needham</t>
  </si>
  <si>
    <t>A table that allows you to view, filter and sort information about less or non-competitive colleges.</t>
  </si>
  <si>
    <t>Lancaster</t>
  </si>
  <si>
    <t>DC</t>
  </si>
  <si>
    <t>Washington</t>
  </si>
  <si>
    <t>Yes (considered)</t>
  </si>
  <si>
    <t>Category 6 Colleges</t>
  </si>
  <si>
    <t>A table that allows you to view, filter and sort information about community colleges or two year colleges.</t>
  </si>
  <si>
    <t>Clinton</t>
  </si>
  <si>
    <t>1110-1220</t>
  </si>
  <si>
    <t>All Colleges</t>
  </si>
  <si>
    <t>Cambridge</t>
  </si>
  <si>
    <t>A table that allows you to view, filter and sort information about all colleges.</t>
  </si>
  <si>
    <t>Haverford</t>
  </si>
  <si>
    <t>MD</t>
  </si>
  <si>
    <t>Baltimore</t>
  </si>
  <si>
    <t>Gambier</t>
  </si>
  <si>
    <t>Frequently Asked Questions</t>
  </si>
  <si>
    <t>Easton</t>
  </si>
  <si>
    <t>What do the college selectivity levels mean?</t>
  </si>
  <si>
    <t>Bethlehem</t>
  </si>
  <si>
    <t>Saint Paul</t>
  </si>
  <si>
    <t>The college selectivity levels used in this report are a slightly adjusted version of the categories used by Barron's Profiles of American Colleges to define college selectivity.</t>
  </si>
  <si>
    <t>Middlebury</t>
  </si>
  <si>
    <t>1000-1280</t>
  </si>
  <si>
    <t>85-97</t>
  </si>
  <si>
    <t>Boston</t>
  </si>
  <si>
    <t>IL</t>
  </si>
  <si>
    <t>Evanston</t>
  </si>
  <si>
    <t>Oberlin</t>
  </si>
  <si>
    <t>Los Angeles</t>
  </si>
  <si>
    <t>NJ</t>
  </si>
  <si>
    <t>Princeton</t>
  </si>
  <si>
    <t>OR</t>
  </si>
  <si>
    <t>Portland</t>
  </si>
  <si>
    <t>Troy</t>
  </si>
  <si>
    <t>TX</t>
  </si>
  <si>
    <t>Houston</t>
  </si>
  <si>
    <t>IN</t>
  </si>
  <si>
    <t>Terre Haute</t>
  </si>
  <si>
    <t>Santa Clara</t>
  </si>
  <si>
    <t>Northampton</t>
  </si>
  <si>
    <t>Dallas</t>
  </si>
  <si>
    <t>Who can I contact if I have questions or requests for additional functionality?</t>
  </si>
  <si>
    <t>Stanford</t>
  </si>
  <si>
    <t>Swarthmore</t>
  </si>
  <si>
    <t>Email SchoolPerformance@schools.nyc.gov. We are always looking for suggestions for improving this tool to meet your needs.</t>
  </si>
  <si>
    <t>Medford</t>
  </si>
  <si>
    <t>LA</t>
  </si>
  <si>
    <t>New Orleans</t>
  </si>
  <si>
    <t>Berkeley</t>
  </si>
  <si>
    <t>Chicago</t>
  </si>
  <si>
    <t>FL</t>
  </si>
  <si>
    <t>Coral Gables</t>
  </si>
  <si>
    <t>MO</t>
  </si>
  <si>
    <t>Columbia</t>
  </si>
  <si>
    <t>Chapel Hill</t>
  </si>
  <si>
    <t>Notre Dame</t>
  </si>
  <si>
    <t>Philadelphia</t>
  </si>
  <si>
    <t>University of Richmond</t>
  </si>
  <si>
    <t>Rochester</t>
  </si>
  <si>
    <t>1000-1180</t>
  </si>
  <si>
    <t>88-98</t>
  </si>
  <si>
    <t>Charlottesville</t>
  </si>
  <si>
    <t>TN</t>
  </si>
  <si>
    <t>Nashville</t>
  </si>
  <si>
    <t>Poughkeepsie</t>
  </si>
  <si>
    <t>Villanova</t>
  </si>
  <si>
    <t>Winston-Salem</t>
  </si>
  <si>
    <t>Saint Louis</t>
  </si>
  <si>
    <t>Lexington</t>
  </si>
  <si>
    <t>Glen Cove</t>
  </si>
  <si>
    <t>Wellesley</t>
  </si>
  <si>
    <t>Middletown</t>
  </si>
  <si>
    <t>WA</t>
  </si>
  <si>
    <t>Walla Walla</t>
  </si>
  <si>
    <t>Williamstown</t>
  </si>
  <si>
    <t>New Haven</t>
  </si>
  <si>
    <t>Category 2 colleges</t>
  </si>
  <si>
    <t>Decatur</t>
  </si>
  <si>
    <t>Meadville</t>
  </si>
  <si>
    <t>Babson Park</t>
  </si>
  <si>
    <t>Annandale-On-Hudson</t>
  </si>
  <si>
    <t>990-1270</t>
  </si>
  <si>
    <t>87-95</t>
  </si>
  <si>
    <t>Waco</t>
  </si>
  <si>
    <t>WI</t>
  </si>
  <si>
    <t>Beloit</t>
  </si>
  <si>
    <t>Mount Berry</t>
  </si>
  <si>
    <t>UT</t>
  </si>
  <si>
    <t>Provo</t>
  </si>
  <si>
    <t>SEEK</t>
  </si>
  <si>
    <t>1100</t>
  </si>
  <si>
    <t>86.7</t>
  </si>
  <si>
    <t>San Luis Obispo</t>
  </si>
  <si>
    <t>KY</t>
  </si>
  <si>
    <t>Danville</t>
  </si>
  <si>
    <t>Memphis</t>
  </si>
  <si>
    <t>SC</t>
  </si>
  <si>
    <t>Clemson</t>
  </si>
  <si>
    <t>Golden</t>
  </si>
  <si>
    <t>IA</t>
  </si>
  <si>
    <t>Mount Vernon</t>
  </si>
  <si>
    <t>Granville</t>
  </si>
  <si>
    <t>Carlisle</t>
  </si>
  <si>
    <t>Elon</t>
  </si>
  <si>
    <t>Tallahassee</t>
  </si>
  <si>
    <t>Bronx</t>
  </si>
  <si>
    <t>920-1230</t>
  </si>
  <si>
    <t>83-98</t>
  </si>
  <si>
    <t>Greenville</t>
  </si>
  <si>
    <t>Gettysburg</t>
  </si>
  <si>
    <t>Spokane</t>
  </si>
  <si>
    <t>Grinnell</t>
  </si>
  <si>
    <t>Saint Peter</t>
  </si>
  <si>
    <t>Bloomington</t>
  </si>
  <si>
    <t>MI</t>
  </si>
  <si>
    <t>Kalamazoo</t>
  </si>
  <si>
    <t>Flint</t>
  </si>
  <si>
    <t>Appleton</t>
  </si>
  <si>
    <t>Oxford</t>
  </si>
  <si>
    <t>South Hadley</t>
  </si>
  <si>
    <t>Allentown</t>
  </si>
  <si>
    <t>Sarasota</t>
  </si>
  <si>
    <t>NM</t>
  </si>
  <si>
    <t>Socorro</t>
  </si>
  <si>
    <t>Raleigh</t>
  </si>
  <si>
    <t>Columbus</t>
  </si>
  <si>
    <t>Malibu</t>
  </si>
  <si>
    <t>West Lafayette</t>
  </si>
  <si>
    <t>Winter Park</t>
  </si>
  <si>
    <t>New Brunswick</t>
  </si>
  <si>
    <t>Syracuse</t>
  </si>
  <si>
    <t>1010-1090</t>
  </si>
  <si>
    <t>85-90</t>
  </si>
  <si>
    <t>Bronxville</t>
  </si>
  <si>
    <t>Saratoga Springs</t>
  </si>
  <si>
    <t>900-1150</t>
  </si>
  <si>
    <t>87-94</t>
  </si>
  <si>
    <t>Canton</t>
  </si>
  <si>
    <t>900-1250</t>
  </si>
  <si>
    <t>84.5-92</t>
  </si>
  <si>
    <t>Annapolis</t>
  </si>
  <si>
    <t>Santa Fe</t>
  </si>
  <si>
    <t>St. Mary's City</t>
  </si>
  <si>
    <t>Hoboken</t>
  </si>
  <si>
    <t>Stony Brook</t>
  </si>
  <si>
    <t>1070-1170</t>
  </si>
  <si>
    <t>86-92</t>
  </si>
  <si>
    <t>1010-1110</t>
  </si>
  <si>
    <t>84-97</t>
  </si>
  <si>
    <t>College Station</t>
  </si>
  <si>
    <t>Fort Worth</t>
  </si>
  <si>
    <t>Ewing</t>
  </si>
  <si>
    <t>Austin</t>
  </si>
  <si>
    <t>Richardson</t>
  </si>
  <si>
    <t>Sewanee</t>
  </si>
  <si>
    <t>Hartford</t>
  </si>
  <si>
    <t>San Antonio</t>
  </si>
  <si>
    <t>Kirksville</t>
  </si>
  <si>
    <t>Schenectady</t>
  </si>
  <si>
    <t>910-1160</t>
  </si>
  <si>
    <t>92-above</t>
  </si>
  <si>
    <t>Kings Point</t>
  </si>
  <si>
    <t>Davis</t>
  </si>
  <si>
    <t>Santa Barbara</t>
  </si>
  <si>
    <t>Storrs</t>
  </si>
  <si>
    <t>Gainesville</t>
  </si>
  <si>
    <t>Athens</t>
  </si>
  <si>
    <t>Champaign</t>
  </si>
  <si>
    <t>College Park</t>
  </si>
  <si>
    <t>Category 3 colleges</t>
  </si>
  <si>
    <t>Ann Arbor</t>
  </si>
  <si>
    <t>Minneapolis</t>
  </si>
  <si>
    <t>PR</t>
  </si>
  <si>
    <t>San Juan</t>
  </si>
  <si>
    <t>Tacoma</t>
  </si>
  <si>
    <t>Abilene</t>
  </si>
  <si>
    <t>San Diego</t>
  </si>
  <si>
    <t>Albion</t>
  </si>
  <si>
    <t>OK</t>
  </si>
  <si>
    <t>Tulsa</t>
  </si>
  <si>
    <t>Alfred</t>
  </si>
  <si>
    <t>810-1010</t>
  </si>
  <si>
    <t>72-80</t>
  </si>
  <si>
    <t>Madison</t>
  </si>
  <si>
    <t>Alma</t>
  </si>
  <si>
    <t>Blacksburg</t>
  </si>
  <si>
    <t>Boone</t>
  </si>
  <si>
    <t>Wheaton</t>
  </si>
  <si>
    <t>AL</t>
  </si>
  <si>
    <t>Auburn</t>
  </si>
  <si>
    <t>SD</t>
  </si>
  <si>
    <t>Sioux Falls</t>
  </si>
  <si>
    <t>Sherman</t>
  </si>
  <si>
    <t>Berea</t>
  </si>
  <si>
    <t>Louisville</t>
  </si>
  <si>
    <t>KS</t>
  </si>
  <si>
    <t>Atchison</t>
  </si>
  <si>
    <t>North Newton</t>
  </si>
  <si>
    <t>La Mirada</t>
  </si>
  <si>
    <t>Birmingham</t>
  </si>
  <si>
    <t>Peoria</t>
  </si>
  <si>
    <t>HI</t>
  </si>
  <si>
    <t>Laie</t>
  </si>
  <si>
    <t>Smithfield</t>
  </si>
  <si>
    <t>Indianapolis</t>
  </si>
  <si>
    <t>1060</t>
  </si>
  <si>
    <t>84.4</t>
  </si>
  <si>
    <t>1110</t>
  </si>
  <si>
    <t>86</t>
  </si>
  <si>
    <t>Grand Rapids</t>
  </si>
  <si>
    <t>Buffalo</t>
  </si>
  <si>
    <t>800-950</t>
  </si>
  <si>
    <t>81-92</t>
  </si>
  <si>
    <t>Cedarville</t>
  </si>
  <si>
    <t>Pella</t>
  </si>
  <si>
    <t>Burlington</t>
  </si>
  <si>
    <t>Orange</t>
  </si>
  <si>
    <t>Newport News</t>
  </si>
  <si>
    <t>Potsdam</t>
  </si>
  <si>
    <t>900-1080</t>
  </si>
  <si>
    <t>86-89</t>
  </si>
  <si>
    <t>Cedar Rapids</t>
  </si>
  <si>
    <t>Charleston</t>
  </si>
  <si>
    <t>Chicopee</t>
  </si>
  <si>
    <t>Saint Joseph</t>
  </si>
  <si>
    <t>Bar Harbor</t>
  </si>
  <si>
    <t>Lakewood</t>
  </si>
  <si>
    <t>Fort Collins</t>
  </si>
  <si>
    <t>Irvine</t>
  </si>
  <si>
    <t>NE</t>
  </si>
  <si>
    <t>Seward</t>
  </si>
  <si>
    <t>Salem</t>
  </si>
  <si>
    <t>Lookout Mountain</t>
  </si>
  <si>
    <t>Omaha</t>
  </si>
  <si>
    <t>Greencastle</t>
  </si>
  <si>
    <t>Crete</t>
  </si>
  <si>
    <t>Des Moines</t>
  </si>
  <si>
    <t>Springfield</t>
  </si>
  <si>
    <t>Richmond</t>
  </si>
  <si>
    <t>Harrisonburg</t>
  </si>
  <si>
    <t>Saint Petersburg</t>
  </si>
  <si>
    <t>Elizabethtown</t>
  </si>
  <si>
    <t>AZ</t>
  </si>
  <si>
    <t>Prescott</t>
  </si>
  <si>
    <t>Fairfield</t>
  </si>
  <si>
    <t>Saint Augustine</t>
  </si>
  <si>
    <t>Melbourne</t>
  </si>
  <si>
    <t>Miami</t>
  </si>
  <si>
    <t>Lakeland</t>
  </si>
  <si>
    <t>Fort Valley</t>
  </si>
  <si>
    <t>Steubenville</t>
  </si>
  <si>
    <t>Henderson</t>
  </si>
  <si>
    <t>Fairfax</t>
  </si>
  <si>
    <t>Milledgeville</t>
  </si>
  <si>
    <t>Wenham</t>
  </si>
  <si>
    <t>Goshen</t>
  </si>
  <si>
    <t>For Profit</t>
  </si>
  <si>
    <t>Phoenix</t>
  </si>
  <si>
    <t>Allendale</t>
  </si>
  <si>
    <t>AR</t>
  </si>
  <si>
    <t>Conway</t>
  </si>
  <si>
    <t>Hiram</t>
  </si>
  <si>
    <t>Geneva</t>
  </si>
  <si>
    <t>890-1030</t>
  </si>
  <si>
    <t>86-93</t>
  </si>
  <si>
    <t>Hempstead</t>
  </si>
  <si>
    <t>HEOP (NOAH)</t>
  </si>
  <si>
    <t>Roanoke</t>
  </si>
  <si>
    <t>Holland</t>
  </si>
  <si>
    <t>Houghton</t>
  </si>
  <si>
    <t>Jacksonville</t>
  </si>
  <si>
    <t>Normal</t>
  </si>
  <si>
    <t>860-990</t>
  </si>
  <si>
    <t>80-87</t>
  </si>
  <si>
    <t>Siloam Springs</t>
  </si>
  <si>
    <t>Huntingdon</t>
  </si>
  <si>
    <t>Manhattan</t>
  </si>
  <si>
    <t>Kennesaw</t>
  </si>
  <si>
    <t>Bristol</t>
  </si>
  <si>
    <t>Galesburg</t>
  </si>
  <si>
    <t>Riverside</t>
  </si>
  <si>
    <t>Lake Forest</t>
  </si>
  <si>
    <t>Southfield</t>
  </si>
  <si>
    <t>930-1080</t>
  </si>
  <si>
    <t>80-85</t>
  </si>
  <si>
    <t>Dubuque</t>
  </si>
  <si>
    <t>Baton Rouge</t>
  </si>
  <si>
    <t>Ruston</t>
  </si>
  <si>
    <t>Decorah</t>
  </si>
  <si>
    <t>Livonia</t>
  </si>
  <si>
    <t>Riverdale</t>
  </si>
  <si>
    <t>730-1060</t>
  </si>
  <si>
    <t>80-88</t>
  </si>
  <si>
    <t>Purchase</t>
  </si>
  <si>
    <t>HEOP (MAP)</t>
  </si>
  <si>
    <t>910-1100</t>
  </si>
  <si>
    <t>78-88</t>
  </si>
  <si>
    <t>Marlboro</t>
  </si>
  <si>
    <t>Milwaukee</t>
  </si>
  <si>
    <t>750-1010</t>
  </si>
  <si>
    <t>74-91</t>
  </si>
  <si>
    <t>Maryville</t>
  </si>
  <si>
    <t>Westminster</t>
  </si>
  <si>
    <t>Macon</t>
  </si>
  <si>
    <t>Mechanicsburg</t>
  </si>
  <si>
    <t>East Lansing</t>
  </si>
  <si>
    <t>Oakland</t>
  </si>
  <si>
    <t>Jackson</t>
  </si>
  <si>
    <t>Rolla</t>
  </si>
  <si>
    <t>MT</t>
  </si>
  <si>
    <t>Bozeman</t>
  </si>
  <si>
    <t>780-810</t>
  </si>
  <si>
    <t>77-84</t>
  </si>
  <si>
    <t>Newark</t>
  </si>
  <si>
    <t>Old Westbury</t>
  </si>
  <si>
    <t>820-850</t>
  </si>
  <si>
    <t>80-86</t>
  </si>
  <si>
    <t>Naperville</t>
  </si>
  <si>
    <t>Tigerville</t>
  </si>
  <si>
    <t>Tahlequah</t>
  </si>
  <si>
    <t>Marquette</t>
  </si>
  <si>
    <t>Fort Lauderdale</t>
  </si>
  <si>
    <t>Rochester Hills</t>
  </si>
  <si>
    <t>Ada</t>
  </si>
  <si>
    <t>Shawnee</t>
  </si>
  <si>
    <t>Edmond</t>
  </si>
  <si>
    <t>Oklahoma City</t>
  </si>
  <si>
    <t>Stillwater</t>
  </si>
  <si>
    <t>Arkadelphia</t>
  </si>
  <si>
    <t>Angwin</t>
  </si>
  <si>
    <t>University Park</t>
  </si>
  <si>
    <t>Lemont Furnace</t>
  </si>
  <si>
    <t>New Kensington</t>
  </si>
  <si>
    <t>Sharon</t>
  </si>
  <si>
    <t>Lehman</t>
  </si>
  <si>
    <t>Charlotte</t>
  </si>
  <si>
    <t>Hamden</t>
  </si>
  <si>
    <t>Lynchburg</t>
  </si>
  <si>
    <t>Nashua</t>
  </si>
  <si>
    <t>970-1120</t>
  </si>
  <si>
    <t>85-95</t>
  </si>
  <si>
    <t>Glassboro</t>
  </si>
  <si>
    <t>Brockport</t>
  </si>
  <si>
    <t>850-980</t>
  </si>
  <si>
    <t>83-87</t>
  </si>
  <si>
    <t>Geneseo</t>
  </si>
  <si>
    <t>960-1060</t>
  </si>
  <si>
    <t>Not Reported</t>
  </si>
  <si>
    <t>80-83</t>
  </si>
  <si>
    <t>Cortland</t>
  </si>
  <si>
    <t>970-1080</t>
  </si>
  <si>
    <t>Utica</t>
  </si>
  <si>
    <t>960-1110</t>
  </si>
  <si>
    <t>83-84</t>
  </si>
  <si>
    <t>Manchester</t>
  </si>
  <si>
    <t>Colchester</t>
  </si>
  <si>
    <t>De Pere</t>
  </si>
  <si>
    <t>Salisbury</t>
  </si>
  <si>
    <t>Newport</t>
  </si>
  <si>
    <t>Calexico</t>
  </si>
  <si>
    <t>Seattle</t>
  </si>
  <si>
    <t>Loudonville</t>
  </si>
  <si>
    <t>900-1000</t>
  </si>
  <si>
    <t>78-91</t>
  </si>
  <si>
    <t>NV</t>
  </si>
  <si>
    <t>Incline Village</t>
  </si>
  <si>
    <t>Indianola</t>
  </si>
  <si>
    <t>Aliso Viejo</t>
  </si>
  <si>
    <t>Rapid City</t>
  </si>
  <si>
    <t>Georgetown</t>
  </si>
  <si>
    <t>DeLand</t>
  </si>
  <si>
    <t>Galloway</t>
  </si>
  <si>
    <t>Selinsgrove</t>
  </si>
  <si>
    <t>Upland</t>
  </si>
  <si>
    <t>ID</t>
  </si>
  <si>
    <t>Caldwell</t>
  </si>
  <si>
    <t>Wooster</t>
  </si>
  <si>
    <t>HEOP (at Parsons/Eugene Lang)</t>
  </si>
  <si>
    <t>890-1060</t>
  </si>
  <si>
    <t>81-85</t>
  </si>
  <si>
    <t>Knoxville</t>
  </si>
  <si>
    <t>Towson</t>
  </si>
  <si>
    <t>Angola</t>
  </si>
  <si>
    <t>1040-1100</t>
  </si>
  <si>
    <t>87-91</t>
  </si>
  <si>
    <t>Huntsville</t>
  </si>
  <si>
    <t>Fayetteville</t>
  </si>
  <si>
    <t>La Jolla</t>
  </si>
  <si>
    <t>Santa Cruz</t>
  </si>
  <si>
    <t>Orlando</t>
  </si>
  <si>
    <t>Cincinnati</t>
  </si>
  <si>
    <t>Boulder</t>
  </si>
  <si>
    <t>Groton</t>
  </si>
  <si>
    <t>Irving</t>
  </si>
  <si>
    <t>Dayton</t>
  </si>
  <si>
    <t>DE</t>
  </si>
  <si>
    <t>Denver</t>
  </si>
  <si>
    <t>Evansville</t>
  </si>
  <si>
    <t>Honolulu</t>
  </si>
  <si>
    <t>Iowa City</t>
  </si>
  <si>
    <t>Fredericksburg</t>
  </si>
  <si>
    <t>Dearborn</t>
  </si>
  <si>
    <t>Morris</t>
  </si>
  <si>
    <t>Kansas City</t>
  </si>
  <si>
    <t>Lincoln</t>
  </si>
  <si>
    <t>Wilmington</t>
  </si>
  <si>
    <t>Asheville</t>
  </si>
  <si>
    <t>Norman</t>
  </si>
  <si>
    <t>Eugene</t>
  </si>
  <si>
    <t>Redlands</t>
  </si>
  <si>
    <t>San Francisco</t>
  </si>
  <si>
    <t>Chickasha</t>
  </si>
  <si>
    <t>Scranton</t>
  </si>
  <si>
    <t>Salt Lake City</t>
  </si>
  <si>
    <t>Eau Claire</t>
  </si>
  <si>
    <t>La Crosse</t>
  </si>
  <si>
    <t>Stockton</t>
  </si>
  <si>
    <t>Collegeville</t>
  </si>
  <si>
    <t>Valparaiso</t>
  </si>
  <si>
    <t>Costa Mesa</t>
  </si>
  <si>
    <t>Crawfordsville</t>
  </si>
  <si>
    <t>Staten Island</t>
  </si>
  <si>
    <t>Swannanoa</t>
  </si>
  <si>
    <t>Waverly</t>
  </si>
  <si>
    <t>Chestertown</t>
  </si>
  <si>
    <t>Aurora</t>
  </si>
  <si>
    <t>Bellingham</t>
  </si>
  <si>
    <t>Fulton</t>
  </si>
  <si>
    <t>Norton</t>
  </si>
  <si>
    <t>Liberty</t>
  </si>
  <si>
    <t>Spartanburg</t>
  </si>
  <si>
    <t>Category 4 colleges</t>
  </si>
  <si>
    <t>Alamosa</t>
  </si>
  <si>
    <t>Garden City</t>
  </si>
  <si>
    <t>Adrian</t>
  </si>
  <si>
    <t>Montgomery</t>
  </si>
  <si>
    <t>AK</t>
  </si>
  <si>
    <t>Anchorage</t>
  </si>
  <si>
    <t>Albany</t>
  </si>
  <si>
    <t>Reading</t>
  </si>
  <si>
    <t>Alcorn State</t>
  </si>
  <si>
    <t>Anderson</t>
  </si>
  <si>
    <t>Berrien Springs</t>
  </si>
  <si>
    <t>Glenside</t>
  </si>
  <si>
    <t>Mesa</t>
  </si>
  <si>
    <t>Scottsdale</t>
  </si>
  <si>
    <t>Tempe</t>
  </si>
  <si>
    <t>Glendale</t>
  </si>
  <si>
    <t>Jonesboro</t>
  </si>
  <si>
    <t>Russellville</t>
  </si>
  <si>
    <t>Savannah</t>
  </si>
  <si>
    <t>Ashland</t>
  </si>
  <si>
    <t>Clarksville</t>
  </si>
  <si>
    <t>Ave Maria</t>
  </si>
  <si>
    <t>Azusa</t>
  </si>
  <si>
    <t>Baldwin City</t>
  </si>
  <si>
    <t>Muncie</t>
  </si>
  <si>
    <t>Wilson</t>
  </si>
  <si>
    <t>Longmeadow</t>
  </si>
  <si>
    <t>Belmont</t>
  </si>
  <si>
    <t>Bemidji</t>
  </si>
  <si>
    <t>Lisle</t>
  </si>
  <si>
    <t>WV</t>
  </si>
  <si>
    <t>Bethany</t>
  </si>
  <si>
    <t>Mishawaka</t>
  </si>
  <si>
    <t>McKenzie</t>
  </si>
  <si>
    <t>Daytona Beach</t>
  </si>
  <si>
    <t>Carlinville</t>
  </si>
  <si>
    <t>Bloomfield</t>
  </si>
  <si>
    <t>Bluefield</t>
  </si>
  <si>
    <t>Bluffton</t>
  </si>
  <si>
    <t>Boise</t>
  </si>
  <si>
    <t>Bowie</t>
  </si>
  <si>
    <t>Bowling Green</t>
  </si>
  <si>
    <t>Owensboro</t>
  </si>
  <si>
    <t>Brevard</t>
  </si>
  <si>
    <t>Sioux City</t>
  </si>
  <si>
    <t>Bridgewater</t>
  </si>
  <si>
    <t>Rexburg</t>
  </si>
  <si>
    <t>Bryn Athyn</t>
  </si>
  <si>
    <t>Storm Lake</t>
  </si>
  <si>
    <t>Brooklyn</t>
  </si>
  <si>
    <t>1000</t>
  </si>
  <si>
    <t>80.4</t>
  </si>
  <si>
    <t>Queens</t>
  </si>
  <si>
    <t>1030</t>
  </si>
  <si>
    <t>83.6</t>
  </si>
  <si>
    <t>Langhorne</t>
  </si>
  <si>
    <t>Valencia</t>
  </si>
  <si>
    <t>Thousand Oaks</t>
  </si>
  <si>
    <t>Pomona</t>
  </si>
  <si>
    <t>Vallejo</t>
  </si>
  <si>
    <t>Camarillo</t>
  </si>
  <si>
    <t>Chico</t>
  </si>
  <si>
    <t>Hayward</t>
  </si>
  <si>
    <t>Fullerton</t>
  </si>
  <si>
    <t>Long Beach</t>
  </si>
  <si>
    <t>Sacramento</t>
  </si>
  <si>
    <t>San Bernardino</t>
  </si>
  <si>
    <t>Category 5 colleges</t>
  </si>
  <si>
    <t>San Marcos</t>
  </si>
  <si>
    <t>Turlock</t>
  </si>
  <si>
    <t>California</t>
  </si>
  <si>
    <t>Transitional Supports</t>
  </si>
  <si>
    <t>Buies Creek</t>
  </si>
  <si>
    <t>Campbellsville</t>
  </si>
  <si>
    <t>Laurel</t>
  </si>
  <si>
    <t>Helena</t>
  </si>
  <si>
    <t>San Angelo</t>
  </si>
  <si>
    <t>Waukesha</t>
  </si>
  <si>
    <t>Paxton</t>
  </si>
  <si>
    <t>Jefferson City</t>
  </si>
  <si>
    <t>Allen Park</t>
  </si>
  <si>
    <t>Kenosha</t>
  </si>
  <si>
    <t>Castleton</t>
  </si>
  <si>
    <t>Auburn Hills</t>
  </si>
  <si>
    <t>Cadillac</t>
  </si>
  <si>
    <t>Cazenovia</t>
  </si>
  <si>
    <t>670-820</t>
  </si>
  <si>
    <t>74-80</t>
  </si>
  <si>
    <t>Clinton Township</t>
  </si>
  <si>
    <t>Shreveport</t>
  </si>
  <si>
    <t>Muskegon</t>
  </si>
  <si>
    <t>McPherson</t>
  </si>
  <si>
    <t>Owosso</t>
  </si>
  <si>
    <t>Port Huron</t>
  </si>
  <si>
    <t>New Britain</t>
  </si>
  <si>
    <t>Mount Pleasant</t>
  </si>
  <si>
    <t>Bellevue</t>
  </si>
  <si>
    <t>Wilberforce</t>
  </si>
  <si>
    <t>Ellensburg</t>
  </si>
  <si>
    <t>Greensboro</t>
  </si>
  <si>
    <t>White Plains</t>
  </si>
  <si>
    <t>Woodland Park</t>
  </si>
  <si>
    <t>Lindsborg</t>
  </si>
  <si>
    <t>Orangeburg</t>
  </si>
  <si>
    <t>Spearfish</t>
  </si>
  <si>
    <t>Bloomsburg</t>
  </si>
  <si>
    <t>Clarion</t>
  </si>
  <si>
    <t>SEEK/ACE</t>
  </si>
  <si>
    <t>980</t>
  </si>
  <si>
    <t>78.9</t>
  </si>
  <si>
    <t>83.2</t>
  </si>
  <si>
    <t>SEEK/ASAP</t>
  </si>
  <si>
    <t>880</t>
  </si>
  <si>
    <t>71.9</t>
  </si>
  <si>
    <t>CUNY Start, Math Start</t>
  </si>
  <si>
    <t>San Jose</t>
  </si>
  <si>
    <t>900</t>
  </si>
  <si>
    <t>72.8</t>
  </si>
  <si>
    <t>Math Start, CLIP</t>
  </si>
  <si>
    <t>Jamaica</t>
  </si>
  <si>
    <t>75.9</t>
  </si>
  <si>
    <t>CLIP</t>
  </si>
  <si>
    <t>Hartsville</t>
  </si>
  <si>
    <t>Radnor</t>
  </si>
  <si>
    <t>Detroit</t>
  </si>
  <si>
    <t>Bakersfield</t>
  </si>
  <si>
    <t>Carson</t>
  </si>
  <si>
    <t>670-1190</t>
  </si>
  <si>
    <t>72-86</t>
  </si>
  <si>
    <t>Fresno</t>
  </si>
  <si>
    <t>Grand Junction</t>
  </si>
  <si>
    <t>Seaside</t>
  </si>
  <si>
    <t>Northridge</t>
  </si>
  <si>
    <t>Lawton</t>
  </si>
  <si>
    <t>Hackettstown</t>
  </si>
  <si>
    <t>Moorhead</t>
  </si>
  <si>
    <t>Summerdale</t>
  </si>
  <si>
    <t>River Forest</t>
  </si>
  <si>
    <t>Chadron</t>
  </si>
  <si>
    <t>Mequon</t>
  </si>
  <si>
    <t>Cheyney</t>
  </si>
  <si>
    <t>Billings</t>
  </si>
  <si>
    <t>Morrow</t>
  </si>
  <si>
    <t>Lebanon</t>
  </si>
  <si>
    <t>Morristown</t>
  </si>
  <si>
    <t>Milton</t>
  </si>
  <si>
    <t>880-970</t>
  </si>
  <si>
    <t>75-85</t>
  </si>
  <si>
    <t>Rutland</t>
  </si>
  <si>
    <t>750-890</t>
  </si>
  <si>
    <t>72-90</t>
  </si>
  <si>
    <t>920</t>
  </si>
  <si>
    <t>73.3</t>
  </si>
  <si>
    <t>CUNY Start, Math Start, CLIP</t>
  </si>
  <si>
    <t>Mitchell</t>
  </si>
  <si>
    <t>Elkins</t>
  </si>
  <si>
    <t>Center Valley</t>
  </si>
  <si>
    <t>Defiance</t>
  </si>
  <si>
    <t>Doylestown</t>
  </si>
  <si>
    <t>Dimondale</t>
  </si>
  <si>
    <t>Fenton</t>
  </si>
  <si>
    <t>San Rafael</t>
  </si>
  <si>
    <t>East Stroudsburg</t>
  </si>
  <si>
    <t>Johnson City</t>
  </si>
  <si>
    <t>Lansing</t>
  </si>
  <si>
    <t>Marshall</t>
  </si>
  <si>
    <t>Midland</t>
  </si>
  <si>
    <t>Traverse City</t>
  </si>
  <si>
    <t>Willimantic</t>
  </si>
  <si>
    <t>Warren</t>
  </si>
  <si>
    <t>Ypsilanti</t>
  </si>
  <si>
    <t>Miramar</t>
  </si>
  <si>
    <t>Quincy</t>
  </si>
  <si>
    <t>Ruidoso</t>
  </si>
  <si>
    <t>Portales</t>
  </si>
  <si>
    <t>Roswell</t>
  </si>
  <si>
    <t>La Grande</t>
  </si>
  <si>
    <t>North Brunswick</t>
  </si>
  <si>
    <t>Saint Davids</t>
  </si>
  <si>
    <t>Cheney</t>
  </si>
  <si>
    <t>Ft. Washington</t>
  </si>
  <si>
    <t>Elizabeth City</t>
  </si>
  <si>
    <t>Elmhurst</t>
  </si>
  <si>
    <t>Arlington</t>
  </si>
  <si>
    <t>Dover</t>
  </si>
  <si>
    <t>Elmira</t>
  </si>
  <si>
    <t>ND</t>
  </si>
  <si>
    <t>Dickinson</t>
  </si>
  <si>
    <t>Edinboro</t>
  </si>
  <si>
    <t>Franklin Springs</t>
  </si>
  <si>
    <t>Fairmont</t>
  </si>
  <si>
    <t>Ferrum</t>
  </si>
  <si>
    <t>Emory</t>
  </si>
  <si>
    <t>Miami Gardens</t>
  </si>
  <si>
    <t>Emporia</t>
  </si>
  <si>
    <t>Beverly</t>
  </si>
  <si>
    <t>Glenville</t>
  </si>
  <si>
    <t>Grambling</t>
  </si>
  <si>
    <t>Eureka</t>
  </si>
  <si>
    <t>Poultney</t>
  </si>
  <si>
    <t>Naples</t>
  </si>
  <si>
    <t>Modesto</t>
  </si>
  <si>
    <t>Teaneck</t>
  </si>
  <si>
    <t>Farmingdale</t>
  </si>
  <si>
    <t>950-1030</t>
  </si>
  <si>
    <t>79-82</t>
  </si>
  <si>
    <t>Bangor</t>
  </si>
  <si>
    <t>Indiana</t>
  </si>
  <si>
    <t>Lodi</t>
  </si>
  <si>
    <t>Gary</t>
  </si>
  <si>
    <t>Big Rapids</t>
  </si>
  <si>
    <t>South Bend</t>
  </si>
  <si>
    <t>New Albany</t>
  </si>
  <si>
    <t>Fitchburg</t>
  </si>
  <si>
    <t>Dix Hills</t>
  </si>
  <si>
    <t>Hawkins</t>
  </si>
  <si>
    <t>Boca Raton</t>
  </si>
  <si>
    <t>Frankfort</t>
  </si>
  <si>
    <t>Hollywood</t>
  </si>
  <si>
    <t>La Plume</t>
  </si>
  <si>
    <t>Temple Terrace</t>
  </si>
  <si>
    <t>Kutztown</t>
  </si>
  <si>
    <t>Fort Myers</t>
  </si>
  <si>
    <t>Hays</t>
  </si>
  <si>
    <t>Beaumont</t>
  </si>
  <si>
    <t>Durango</t>
  </si>
  <si>
    <t>Langston</t>
  </si>
  <si>
    <t>Framingham</t>
  </si>
  <si>
    <t>Florence</t>
  </si>
  <si>
    <t>Lincoln University</t>
  </si>
  <si>
    <t>Franklin</t>
  </si>
  <si>
    <t>Rindge</t>
  </si>
  <si>
    <t>Lock Haven</t>
  </si>
  <si>
    <t>Mansfield</t>
  </si>
  <si>
    <t>Wichita</t>
  </si>
  <si>
    <t>Mars Hill</t>
  </si>
  <si>
    <t>Mayville</t>
  </si>
  <si>
    <t>Frostburg</t>
  </si>
  <si>
    <t>Erie</t>
  </si>
  <si>
    <t>Boiling Springs</t>
  </si>
  <si>
    <t>Beaver Falls</t>
  </si>
  <si>
    <t>Itta Bena</t>
  </si>
  <si>
    <t>Newberg</t>
  </si>
  <si>
    <t>Sumter</t>
  </si>
  <si>
    <t>Statesboro</t>
  </si>
  <si>
    <t>Cresson</t>
  </si>
  <si>
    <t>Americus</t>
  </si>
  <si>
    <t>Newton</t>
  </si>
  <si>
    <t xml:space="preserve"> </t>
  </si>
  <si>
    <t>Plainfield</t>
  </si>
  <si>
    <t>Aston</t>
  </si>
  <si>
    <t>Henniker</t>
  </si>
  <si>
    <t>Las Vegas</t>
  </si>
  <si>
    <t>Newberry</t>
  </si>
  <si>
    <t>Dudley</t>
  </si>
  <si>
    <t>Winona Lake</t>
  </si>
  <si>
    <t>Norfolk</t>
  </si>
  <si>
    <t>Independence</t>
  </si>
  <si>
    <t>Lamoni</t>
  </si>
  <si>
    <t>Alva</t>
  </si>
  <si>
    <t>Concord</t>
  </si>
  <si>
    <t>Augusta</t>
  </si>
  <si>
    <t>Gwynedd Valley</t>
  </si>
  <si>
    <t>Hampden-Sydney</t>
  </si>
  <si>
    <t>Hampton</t>
  </si>
  <si>
    <t>Peru</t>
  </si>
  <si>
    <t>Little Rock</t>
  </si>
  <si>
    <t>Hannibal</t>
  </si>
  <si>
    <t>Prairie View</t>
  </si>
  <si>
    <t>Searcy</t>
  </si>
  <si>
    <t>Aberdeen</t>
  </si>
  <si>
    <t>Fort Wayne</t>
  </si>
  <si>
    <t>Oneonta</t>
  </si>
  <si>
    <t>Hastings</t>
  </si>
  <si>
    <t>Davenport</t>
  </si>
  <si>
    <t>Tiffin</t>
  </si>
  <si>
    <t>Hagerstown</t>
  </si>
  <si>
    <t>High Point</t>
  </si>
  <si>
    <t>Hamburg</t>
  </si>
  <si>
    <t>Hammond</t>
  </si>
  <si>
    <t>Frederick</t>
  </si>
  <si>
    <t>Weston</t>
  </si>
  <si>
    <t>Category 6 colleges</t>
  </si>
  <si>
    <t>Brownwood</t>
  </si>
  <si>
    <t>Arcata</t>
  </si>
  <si>
    <t>Loretto</t>
  </si>
  <si>
    <t>Huntington</t>
  </si>
  <si>
    <t>% Transferred and Graduated from 4-yr college</t>
  </si>
  <si>
    <t>Pocatello</t>
  </si>
  <si>
    <t>Portsmouth</t>
  </si>
  <si>
    <t>Immaculata</t>
  </si>
  <si>
    <t>Springdale</t>
  </si>
  <si>
    <t>Shippensburg</t>
  </si>
  <si>
    <t>Harlem</t>
  </si>
  <si>
    <t>Slippery Rock</t>
  </si>
  <si>
    <t>Tifton</t>
  </si>
  <si>
    <t>Queensbury</t>
  </si>
  <si>
    <t>Marion</t>
  </si>
  <si>
    <t>New Rochelle</t>
  </si>
  <si>
    <t>Ames</t>
  </si>
  <si>
    <t>Kettering</t>
  </si>
  <si>
    <t>Keene</t>
  </si>
  <si>
    <t>Soldotna</t>
  </si>
  <si>
    <t>Brooklyn Heights</t>
  </si>
  <si>
    <t>830-970</t>
  </si>
  <si>
    <t>73-80</t>
  </si>
  <si>
    <t>Alexandria</t>
  </si>
  <si>
    <t>Alpine</t>
  </si>
  <si>
    <t>Essington</t>
  </si>
  <si>
    <t>University Heights</t>
  </si>
  <si>
    <t>Hillsboro</t>
  </si>
  <si>
    <t>Santa Maria</t>
  </si>
  <si>
    <t>North Miami</t>
  </si>
  <si>
    <t>Cumberland</t>
  </si>
  <si>
    <t>Stephenville</t>
  </si>
  <si>
    <t>Iola</t>
  </si>
  <si>
    <t>Corpus Christi</t>
  </si>
  <si>
    <t>Alpena</t>
  </si>
  <si>
    <t>Kingsville</t>
  </si>
  <si>
    <t>Elgin</t>
  </si>
  <si>
    <t>Alvin</t>
  </si>
  <si>
    <t>Denton</t>
  </si>
  <si>
    <t>Amarillo</t>
  </si>
  <si>
    <t>Salina</t>
  </si>
  <si>
    <t>Hoffman Estates</t>
  </si>
  <si>
    <t>El Paso</t>
  </si>
  <si>
    <t>Union</t>
  </si>
  <si>
    <t>Draper</t>
  </si>
  <si>
    <t>Kent</t>
  </si>
  <si>
    <t>Keuka Park</t>
  </si>
  <si>
    <t>820-1100</t>
  </si>
  <si>
    <t>Wilkes-Barre</t>
  </si>
  <si>
    <t>Thomasville</t>
  </si>
  <si>
    <t>Brentwood</t>
  </si>
  <si>
    <t>Tougaloo</t>
  </si>
  <si>
    <t>St Joseph</t>
  </si>
  <si>
    <t>Unity</t>
  </si>
  <si>
    <t>Riverhead</t>
  </si>
  <si>
    <t>Akron</t>
  </si>
  <si>
    <t>Lagrange</t>
  </si>
  <si>
    <t>Monticello</t>
  </si>
  <si>
    <t>Painesville</t>
  </si>
  <si>
    <t>Bridgeport</t>
  </si>
  <si>
    <t>Waterbury</t>
  </si>
  <si>
    <t>Sault Ste Marie</t>
  </si>
  <si>
    <t>Youngstown</t>
  </si>
  <si>
    <t>Plymouth</t>
  </si>
  <si>
    <t>AS</t>
  </si>
  <si>
    <t>PagoPago</t>
  </si>
  <si>
    <t>Greenwood</t>
  </si>
  <si>
    <t>Fort Kent</t>
  </si>
  <si>
    <t>Donaldson</t>
  </si>
  <si>
    <t>Presque Isle</t>
  </si>
  <si>
    <t>Cuthbert</t>
  </si>
  <si>
    <t>Crookston</t>
  </si>
  <si>
    <t>Longview</t>
  </si>
  <si>
    <t>Reno</t>
  </si>
  <si>
    <t>Annville</t>
  </si>
  <si>
    <t>Arnold</t>
  </si>
  <si>
    <t>Pembroke</t>
  </si>
  <si>
    <t>Coon Rapids</t>
  </si>
  <si>
    <t>Pikeville</t>
  </si>
  <si>
    <t>Banner Elk</t>
  </si>
  <si>
    <t>Johnstown</t>
  </si>
  <si>
    <t>Hickory</t>
  </si>
  <si>
    <t>West Hartford</t>
  </si>
  <si>
    <t>Oshkosh</t>
  </si>
  <si>
    <t>Romeoville</t>
  </si>
  <si>
    <t>Erdenheim</t>
  </si>
  <si>
    <t>Littleton</t>
  </si>
  <si>
    <t>Gaffney</t>
  </si>
  <si>
    <t>Harrogate</t>
  </si>
  <si>
    <t>River Falls</t>
  </si>
  <si>
    <t>Saint Charles</t>
  </si>
  <si>
    <t>Eagan</t>
  </si>
  <si>
    <t>Belleville</t>
  </si>
  <si>
    <t>Fayette</t>
  </si>
  <si>
    <t>Virginia Beach</t>
  </si>
  <si>
    <t>McMinnville</t>
  </si>
  <si>
    <t>College Place</t>
  </si>
  <si>
    <t>Brookville</t>
  </si>
  <si>
    <t>Manati</t>
  </si>
  <si>
    <t>Farmville</t>
  </si>
  <si>
    <t>Topeka</t>
  </si>
  <si>
    <t>Mays Landing</t>
  </si>
  <si>
    <t>San Dimas</t>
  </si>
  <si>
    <t>Plainview</t>
  </si>
  <si>
    <t>Ogden</t>
  </si>
  <si>
    <t>Pineville</t>
  </si>
  <si>
    <t>Institute</t>
  </si>
  <si>
    <t>Sylvania</t>
  </si>
  <si>
    <t>Lubbock</t>
  </si>
  <si>
    <t>Williamsport</t>
  </si>
  <si>
    <t>Silver City</t>
  </si>
  <si>
    <t>Lyndonville</t>
  </si>
  <si>
    <t>Hattiesburg</t>
  </si>
  <si>
    <t>New Castle</t>
  </si>
  <si>
    <t>Great Barrington</t>
  </si>
  <si>
    <t>Barstow</t>
  </si>
  <si>
    <t>Burbank</t>
  </si>
  <si>
    <t>North Manchester</t>
  </si>
  <si>
    <t>Great Bend</t>
  </si>
  <si>
    <t>Fond Du Lac</t>
  </si>
  <si>
    <t>Escanaba</t>
  </si>
  <si>
    <t>Marietta</t>
  </si>
  <si>
    <t>Staunton</t>
  </si>
  <si>
    <t>North Adams</t>
  </si>
  <si>
    <t>Buzzards Bay</t>
  </si>
  <si>
    <t>St Clairsville</t>
  </si>
  <si>
    <t>Paramus</t>
  </si>
  <si>
    <t>Lake Charles</t>
  </si>
  <si>
    <t>Penngrove</t>
  </si>
  <si>
    <t>Atherton</t>
  </si>
  <si>
    <t>Dobbs Ferry</t>
  </si>
  <si>
    <t>Pittsfield</t>
  </si>
  <si>
    <t>Beverly Hills</t>
  </si>
  <si>
    <t>North Andover</t>
  </si>
  <si>
    <t>Jasper</t>
  </si>
  <si>
    <t>Moses Lake</t>
  </si>
  <si>
    <t>Olathe</t>
  </si>
  <si>
    <t>Murfreesboro</t>
  </si>
  <si>
    <t>Bismarck</t>
  </si>
  <si>
    <t>Fremont</t>
  </si>
  <si>
    <t>Moline</t>
  </si>
  <si>
    <t>Midway</t>
  </si>
  <si>
    <t>Wichita Falls</t>
  </si>
  <si>
    <t>Browning</t>
  </si>
  <si>
    <t>Millersville</t>
  </si>
  <si>
    <t>Dublin</t>
  </si>
  <si>
    <t>Brenham</t>
  </si>
  <si>
    <t>Pendleton</t>
  </si>
  <si>
    <t>Mankato</t>
  </si>
  <si>
    <t>Minot</t>
  </si>
  <si>
    <t>Weyers Cave</t>
  </si>
  <si>
    <t>Bossier City</t>
  </si>
  <si>
    <t>Huron</t>
  </si>
  <si>
    <t>Mississippi State</t>
  </si>
  <si>
    <t>Joplin</t>
  </si>
  <si>
    <t>South  Charleston</t>
  </si>
  <si>
    <t>Rockville Centre</t>
  </si>
  <si>
    <t>Monmouth</t>
  </si>
  <si>
    <t>Fall River</t>
  </si>
  <si>
    <t>West Long Branch</t>
  </si>
  <si>
    <t>Butte</t>
  </si>
  <si>
    <t>Montclair</t>
  </si>
  <si>
    <t>West Jordan</t>
  </si>
  <si>
    <t>Lincroft</t>
  </si>
  <si>
    <t>Farmers Branch</t>
  </si>
  <si>
    <t>Morehead</t>
  </si>
  <si>
    <t>Albuquerque</t>
  </si>
  <si>
    <t>Newburgh</t>
  </si>
  <si>
    <t>740-870</t>
  </si>
  <si>
    <t>84-87</t>
  </si>
  <si>
    <t>Bedford</t>
  </si>
  <si>
    <t>Findlay</t>
  </si>
  <si>
    <t>Emmitsburg</t>
  </si>
  <si>
    <t>Murray</t>
  </si>
  <si>
    <t>New Concord</t>
  </si>
  <si>
    <t>Brattleboro</t>
  </si>
  <si>
    <t>Merrillville</t>
  </si>
  <si>
    <t>Jersey City</t>
  </si>
  <si>
    <t>Las Cruces</t>
  </si>
  <si>
    <t>Brookline</t>
  </si>
  <si>
    <t>Niagara University</t>
  </si>
  <si>
    <t>920-1140</t>
  </si>
  <si>
    <t>79-87</t>
  </si>
  <si>
    <t>Thibodaux</t>
  </si>
  <si>
    <t>Rocky Mount</t>
  </si>
  <si>
    <t>Fargo</t>
  </si>
  <si>
    <t>Tucson</t>
  </si>
  <si>
    <t>Flagstaff</t>
  </si>
  <si>
    <t>Bolivia</t>
  </si>
  <si>
    <t>Dekalb</t>
  </si>
  <si>
    <t>Highland Heights</t>
  </si>
  <si>
    <t>Rogers</t>
  </si>
  <si>
    <t>Johnson</t>
  </si>
  <si>
    <t>Copley</t>
  </si>
  <si>
    <t>Nampa</t>
  </si>
  <si>
    <t>Kirkland</t>
  </si>
  <si>
    <t>Getzville</t>
  </si>
  <si>
    <t>Natchitoches</t>
  </si>
  <si>
    <t>Nyack</t>
  </si>
  <si>
    <t>630-880</t>
  </si>
  <si>
    <t>70-76</t>
  </si>
  <si>
    <t>Orchard Park</t>
  </si>
  <si>
    <t>Parma</t>
  </si>
  <si>
    <t>Delaware</t>
  </si>
  <si>
    <t>North Chesterfield</t>
  </si>
  <si>
    <t>Bartlesville</t>
  </si>
  <si>
    <t>Solon</t>
  </si>
  <si>
    <t>Olivet</t>
  </si>
  <si>
    <t>Bourbonnais</t>
  </si>
  <si>
    <t>Liverpool</t>
  </si>
  <si>
    <t>Klamath Falls</t>
  </si>
  <si>
    <t>Corvallis</t>
  </si>
  <si>
    <t>Wauwatosa</t>
  </si>
  <si>
    <t>Bend</t>
  </si>
  <si>
    <t>Newtown</t>
  </si>
  <si>
    <t>Westerville</t>
  </si>
  <si>
    <t>El Dorado</t>
  </si>
  <si>
    <t>Forest Grove</t>
  </si>
  <si>
    <t>Butler</t>
  </si>
  <si>
    <t>West Palm Beach</t>
  </si>
  <si>
    <t>Oroville</t>
  </si>
  <si>
    <t>Parkville</t>
  </si>
  <si>
    <t>Abington</t>
  </si>
  <si>
    <t>Humacao</t>
  </si>
  <si>
    <t>Altoona</t>
  </si>
  <si>
    <t>Mayaguez</t>
  </si>
  <si>
    <t>Monaca</t>
  </si>
  <si>
    <t>Media</t>
  </si>
  <si>
    <t>CD/ASAP</t>
  </si>
  <si>
    <t>McKeesport</t>
  </si>
  <si>
    <t>Hazleton</t>
  </si>
  <si>
    <t>Long Island City</t>
  </si>
  <si>
    <t>Mont Alto</t>
  </si>
  <si>
    <t>Bayside</t>
  </si>
  <si>
    <t>Schuylkill Haven</t>
  </si>
  <si>
    <t>Dunmore</t>
  </si>
  <si>
    <t>Aptos</t>
  </si>
  <si>
    <t>York</t>
  </si>
  <si>
    <t>Hudson</t>
  </si>
  <si>
    <t>Misenheimer</t>
  </si>
  <si>
    <t>Demorest</t>
  </si>
  <si>
    <t>Pittsburg</t>
  </si>
  <si>
    <t>Delray Beach</t>
  </si>
  <si>
    <t>Blackwood</t>
  </si>
  <si>
    <t>West Point</t>
  </si>
  <si>
    <t>Redwood City</t>
  </si>
  <si>
    <t>Fort Totten</t>
  </si>
  <si>
    <t>880-1110</t>
  </si>
  <si>
    <t>83-85</t>
  </si>
  <si>
    <t>West Barnstable</t>
  </si>
  <si>
    <t>Radford</t>
  </si>
  <si>
    <t>Sparks</t>
  </si>
  <si>
    <t>Mahwah</t>
  </si>
  <si>
    <t>Poteau</t>
  </si>
  <si>
    <t>Waleska</t>
  </si>
  <si>
    <t>Lawrenceville</t>
  </si>
  <si>
    <t>Ripon</t>
  </si>
  <si>
    <t>Bothell</t>
  </si>
  <si>
    <t>Moon Township</t>
  </si>
  <si>
    <t>WY</t>
  </si>
  <si>
    <t>Casper</t>
  </si>
  <si>
    <t>Rockford</t>
  </si>
  <si>
    <t>North East</t>
  </si>
  <si>
    <t>Alexander City</t>
  </si>
  <si>
    <t>Claremore</t>
  </si>
  <si>
    <t>Brainerd</t>
  </si>
  <si>
    <t>Rosemont</t>
  </si>
  <si>
    <t>Holly Springs</t>
  </si>
  <si>
    <t>Camden</t>
  </si>
  <si>
    <t>870-1000</t>
  </si>
  <si>
    <t>78-84</t>
  </si>
  <si>
    <t>Killeen</t>
  </si>
  <si>
    <t>770-950</t>
  </si>
  <si>
    <t>75-83</t>
  </si>
  <si>
    <t>Riverton</t>
  </si>
  <si>
    <t>Oswego</t>
  </si>
  <si>
    <t>900-990</t>
  </si>
  <si>
    <t>81-86</t>
  </si>
  <si>
    <t>Chesapeake</t>
  </si>
  <si>
    <t>Plattsburgh</t>
  </si>
  <si>
    <t>880-1000</t>
  </si>
  <si>
    <t>77-83</t>
  </si>
  <si>
    <t>Cobleskill</t>
  </si>
  <si>
    <t>840-950</t>
  </si>
  <si>
    <t>72-84</t>
  </si>
  <si>
    <t>White Bear Lake</t>
  </si>
  <si>
    <t>Throggs Neck</t>
  </si>
  <si>
    <t>980-1050</t>
  </si>
  <si>
    <t>83-91</t>
  </si>
  <si>
    <t>Norwalk</t>
  </si>
  <si>
    <t>900-980</t>
  </si>
  <si>
    <t>Ridgecrest</t>
  </si>
  <si>
    <t>980-1090</t>
  </si>
  <si>
    <t>83-89</t>
  </si>
  <si>
    <t>Fredonia</t>
  </si>
  <si>
    <t>870-980</t>
  </si>
  <si>
    <t>79-84</t>
  </si>
  <si>
    <t>Rancho Cucamonga</t>
  </si>
  <si>
    <t>Saint Martin</t>
  </si>
  <si>
    <t>University Center</t>
  </si>
  <si>
    <t>Phenix City</t>
  </si>
  <si>
    <t>Chattanooga</t>
  </si>
  <si>
    <t>Saint Cloud</t>
  </si>
  <si>
    <t>790-930</t>
  </si>
  <si>
    <t>Wye Mills</t>
  </si>
  <si>
    <t>Lame Deer</t>
  </si>
  <si>
    <t>Standish</t>
  </si>
  <si>
    <t>Marianna</t>
  </si>
  <si>
    <t>Saint Leo</t>
  </si>
  <si>
    <t>Mount Prospect</t>
  </si>
  <si>
    <t>Lacey</t>
  </si>
  <si>
    <t>Moraga</t>
  </si>
  <si>
    <t>Cisco</t>
  </si>
  <si>
    <t>Winona</t>
  </si>
  <si>
    <t>Glendora</t>
  </si>
  <si>
    <t>Altamonte Springs</t>
  </si>
  <si>
    <t>Latrobe</t>
  </si>
  <si>
    <t>Oregon City</t>
  </si>
  <si>
    <t>Clarendon</t>
  </si>
  <si>
    <t>Vancouver</t>
  </si>
  <si>
    <t>Rock Hill</t>
  </si>
  <si>
    <t>South Orange</t>
  </si>
  <si>
    <t>Concordia</t>
  </si>
  <si>
    <t>Greensburg</t>
  </si>
  <si>
    <t>Winchester</t>
  </si>
  <si>
    <t>Clarksdale</t>
  </si>
  <si>
    <t>Shepherdstown</t>
  </si>
  <si>
    <t>Bay Minette</t>
  </si>
  <si>
    <t>Rome</t>
  </si>
  <si>
    <t>Fountain Valley</t>
  </si>
  <si>
    <t>Sierra Vista</t>
  </si>
  <si>
    <t>Redding</t>
  </si>
  <si>
    <t>Yonkers</t>
  </si>
  <si>
    <t>Rohnert Park</t>
  </si>
  <si>
    <t>Brookings</t>
  </si>
  <si>
    <t>Cape Girardeau</t>
  </si>
  <si>
    <t>Coffeyville</t>
  </si>
  <si>
    <t>Durant</t>
  </si>
  <si>
    <t>Colby</t>
  </si>
  <si>
    <t>Collegedale</t>
  </si>
  <si>
    <t>Ocala</t>
  </si>
  <si>
    <t>Magnolia</t>
  </si>
  <si>
    <t>Carbondale</t>
  </si>
  <si>
    <t>Edwardsville</t>
  </si>
  <si>
    <t>Glen Ellyn</t>
  </si>
  <si>
    <t>Idaho Falls</t>
  </si>
  <si>
    <t>Kentfield</t>
  </si>
  <si>
    <t>Keshena</t>
  </si>
  <si>
    <t>Cedar City</t>
  </si>
  <si>
    <t>FM</t>
  </si>
  <si>
    <t>Pohnpei</t>
  </si>
  <si>
    <t>Twin Falls</t>
  </si>
  <si>
    <t>Buena Vista</t>
  </si>
  <si>
    <t>La Plata</t>
  </si>
  <si>
    <t>Central</t>
  </si>
  <si>
    <t>Bolivar</t>
  </si>
  <si>
    <t>Waxahachie</t>
  </si>
  <si>
    <t>Winfield</t>
  </si>
  <si>
    <t>Santa Clarita</t>
  </si>
  <si>
    <t>Weatherford</t>
  </si>
  <si>
    <t>Palm Desert</t>
  </si>
  <si>
    <t>Spring Arbor</t>
  </si>
  <si>
    <t>Texas City</t>
  </si>
  <si>
    <t>Mobile</t>
  </si>
  <si>
    <t>MH</t>
  </si>
  <si>
    <t>Majuro</t>
  </si>
  <si>
    <t>Okmulgee</t>
  </si>
  <si>
    <t>Saint Bonaventure</t>
  </si>
  <si>
    <t>750-1090</t>
  </si>
  <si>
    <t>74.5-89</t>
  </si>
  <si>
    <t>Visalia</t>
  </si>
  <si>
    <t>Weed</t>
  </si>
  <si>
    <t>Patchogue</t>
  </si>
  <si>
    <t>Sparkill</t>
  </si>
  <si>
    <t>750-800</t>
  </si>
  <si>
    <t>73-83</t>
  </si>
  <si>
    <t>New Paltz</t>
  </si>
  <si>
    <t>940-1060</t>
  </si>
  <si>
    <t>82-88</t>
  </si>
  <si>
    <t>Nacogdoches</t>
  </si>
  <si>
    <t>McKinney</t>
  </si>
  <si>
    <t>Sterling</t>
  </si>
  <si>
    <t>Stevenson</t>
  </si>
  <si>
    <t>Rangely</t>
  </si>
  <si>
    <t>Tuscaloosa</t>
  </si>
  <si>
    <t>Pasco</t>
  </si>
  <si>
    <t>Sweet Briar</t>
  </si>
  <si>
    <t>Caguas</t>
  </si>
  <si>
    <t>Talladega</t>
  </si>
  <si>
    <t>Yauco</t>
  </si>
  <si>
    <t>Sonora</t>
  </si>
  <si>
    <t>Cookeville</t>
  </si>
  <si>
    <t>The Dalles</t>
  </si>
  <si>
    <t>Commerce</t>
  </si>
  <si>
    <t>Seguin</t>
  </si>
  <si>
    <t>Duluth</t>
  </si>
  <si>
    <t>Olympia</t>
  </si>
  <si>
    <t>Warwick</t>
  </si>
  <si>
    <t>Montpelier</t>
  </si>
  <si>
    <t>Compton</t>
  </si>
  <si>
    <t>Selma</t>
  </si>
  <si>
    <t>Missoula</t>
  </si>
  <si>
    <t>Warner</t>
  </si>
  <si>
    <t>Tampa</t>
  </si>
  <si>
    <t>San Pablo</t>
  </si>
  <si>
    <t>Wesson</t>
  </si>
  <si>
    <t>Joshua Tree</t>
  </si>
  <si>
    <t>Martin</t>
  </si>
  <si>
    <t>Corning</t>
  </si>
  <si>
    <t>Tyler</t>
  </si>
  <si>
    <t>Odessa</t>
  </si>
  <si>
    <t>Nevada</t>
  </si>
  <si>
    <t>Wise</t>
  </si>
  <si>
    <t>Randolph</t>
  </si>
  <si>
    <t>Pensacola</t>
  </si>
  <si>
    <t>Arkansas City</t>
  </si>
  <si>
    <t>Yucaipa</t>
  </si>
  <si>
    <t>New Bern</t>
  </si>
  <si>
    <t>Trenton</t>
  </si>
  <si>
    <t>Neosho</t>
  </si>
  <si>
    <t>Crestview Hills</t>
  </si>
  <si>
    <t>Hyde Park</t>
  </si>
  <si>
    <t>Vineland</t>
  </si>
  <si>
    <t>Palos Heights</t>
  </si>
  <si>
    <t>El Cajon</t>
  </si>
  <si>
    <t>Deerfield</t>
  </si>
  <si>
    <t>Cypress</t>
  </si>
  <si>
    <t>Bottineau</t>
  </si>
  <si>
    <t>Dothan</t>
  </si>
  <si>
    <t>Toledo</t>
  </si>
  <si>
    <t>Glendive</t>
  </si>
  <si>
    <t>Greeneville</t>
  </si>
  <si>
    <t>Tuskegee</t>
  </si>
  <si>
    <t>Cupertino</t>
  </si>
  <si>
    <t>Barbourville</t>
  </si>
  <si>
    <t>Fairbanks</t>
  </si>
  <si>
    <t>Pine Bluff</t>
  </si>
  <si>
    <t>Fort Smith</t>
  </si>
  <si>
    <t>Merced</t>
  </si>
  <si>
    <t>Ankeny</t>
  </si>
  <si>
    <t>Warrensburg</t>
  </si>
  <si>
    <t>Pleasant Hill</t>
  </si>
  <si>
    <t>Tsaile</t>
  </si>
  <si>
    <t>Stamford</t>
  </si>
  <si>
    <t>Saint George</t>
  </si>
  <si>
    <t>Dodge City</t>
  </si>
  <si>
    <t>Hilo</t>
  </si>
  <si>
    <t>Moscow</t>
  </si>
  <si>
    <t>72-75</t>
  </si>
  <si>
    <t>Jamestown</t>
  </si>
  <si>
    <t>Dyersburg</t>
  </si>
  <si>
    <t>Lawrence</t>
  </si>
  <si>
    <t>La Verne</t>
  </si>
  <si>
    <t>San Sebastian</t>
  </si>
  <si>
    <t>Lafayette</t>
  </si>
  <si>
    <t>Monroe</t>
  </si>
  <si>
    <t>Swainsboro</t>
  </si>
  <si>
    <t>Orono</t>
  </si>
  <si>
    <t>Scooba</t>
  </si>
  <si>
    <t>Farmington</t>
  </si>
  <si>
    <t>Cocoa</t>
  </si>
  <si>
    <t>Machias</t>
  </si>
  <si>
    <t>Belton</t>
  </si>
  <si>
    <t>Princess Anne</t>
  </si>
  <si>
    <t>Adelphi</t>
  </si>
  <si>
    <t>Wilburton</t>
  </si>
  <si>
    <t>North Dartmouth</t>
  </si>
  <si>
    <t>Moorefield</t>
  </si>
  <si>
    <t>Torrington</t>
  </si>
  <si>
    <t>Lowell</t>
  </si>
  <si>
    <t>Mesquite</t>
  </si>
  <si>
    <t>Nutley</t>
  </si>
  <si>
    <t>Ramsey</t>
  </si>
  <si>
    <t>University</t>
  </si>
  <si>
    <t>Tarboro</t>
  </si>
  <si>
    <t>Piqua</t>
  </si>
  <si>
    <t>Torrance</t>
  </si>
  <si>
    <t>Montevallo</t>
  </si>
  <si>
    <t>Mount Olive</t>
  </si>
  <si>
    <t>Alliance</t>
  </si>
  <si>
    <t>Kearney</t>
  </si>
  <si>
    <t>Iowa Falls</t>
  </si>
  <si>
    <t>Enterprise</t>
  </si>
  <si>
    <t>Biddeford</t>
  </si>
  <si>
    <t>West Haven</t>
  </si>
  <si>
    <t>75-79</t>
  </si>
  <si>
    <t>Los Lunas</t>
  </si>
  <si>
    <t>Avondale</t>
  </si>
  <si>
    <t>Everett</t>
  </si>
  <si>
    <t>Grand Forks</t>
  </si>
  <si>
    <t>Dahlonega</t>
  </si>
  <si>
    <t>Greeley</t>
  </si>
  <si>
    <t>Norwood</t>
  </si>
  <si>
    <t>Cedar Falls</t>
  </si>
  <si>
    <t>78-82</t>
  </si>
  <si>
    <t>Bradford</t>
  </si>
  <si>
    <t>Canandaigua</t>
  </si>
  <si>
    <t>77-82</t>
  </si>
  <si>
    <t>Great Falls</t>
  </si>
  <si>
    <t>Kalispell</t>
  </si>
  <si>
    <t>Aguadilla</t>
  </si>
  <si>
    <t>Carolina</t>
  </si>
  <si>
    <t>Lake City</t>
  </si>
  <si>
    <t>Key West</t>
  </si>
  <si>
    <t>Hialeah</t>
  </si>
  <si>
    <t>Ponce</t>
  </si>
  <si>
    <t>Utuado</t>
  </si>
  <si>
    <t>Kingston</t>
  </si>
  <si>
    <t>Folsom</t>
  </si>
  <si>
    <t>Cloquet</t>
  </si>
  <si>
    <t>Leavenworth</t>
  </si>
  <si>
    <t>Los Altos Hills</t>
  </si>
  <si>
    <t>Aiken</t>
  </si>
  <si>
    <t>Poplar</t>
  </si>
  <si>
    <t>Centerville</t>
  </si>
  <si>
    <t>Vermillion</t>
  </si>
  <si>
    <t>Bedford Park</t>
  </si>
  <si>
    <t>St. Petersburg</t>
  </si>
  <si>
    <t>Cerritos</t>
  </si>
  <si>
    <t>Joliet</t>
  </si>
  <si>
    <t>65-82</t>
  </si>
  <si>
    <t>Phoenixville</t>
  </si>
  <si>
    <t>Livingston</t>
  </si>
  <si>
    <t>Galveston</t>
  </si>
  <si>
    <t>Carrollton</t>
  </si>
  <si>
    <t>McHenry</t>
  </si>
  <si>
    <t>Green Bay</t>
  </si>
  <si>
    <t>Batavia</t>
  </si>
  <si>
    <t>Platteville</t>
  </si>
  <si>
    <t>Stevens Point</t>
  </si>
  <si>
    <t>Menomonie</t>
  </si>
  <si>
    <t>Hanceville</t>
  </si>
  <si>
    <t>Superior</t>
  </si>
  <si>
    <t>Whitewater</t>
  </si>
  <si>
    <t>Laramie</t>
  </si>
  <si>
    <t>Centreville</t>
  </si>
  <si>
    <t>Ironwood</t>
  </si>
  <si>
    <t>Urbana</t>
  </si>
  <si>
    <t>Pepper Pike</t>
  </si>
  <si>
    <t>Myrtle Beach</t>
  </si>
  <si>
    <t>Logan</t>
  </si>
  <si>
    <t>Apopka</t>
  </si>
  <si>
    <t>Chandler</t>
  </si>
  <si>
    <t>730-1050</t>
  </si>
  <si>
    <t>76-86</t>
  </si>
  <si>
    <t>Valdosta</t>
  </si>
  <si>
    <t>Carlsbad</t>
  </si>
  <si>
    <t>Flushing</t>
  </si>
  <si>
    <t>700-900</t>
  </si>
  <si>
    <t>East Hartford</t>
  </si>
  <si>
    <t>Barnesville</t>
  </si>
  <si>
    <t>Wyoming</t>
  </si>
  <si>
    <t>Petersburg</t>
  </si>
  <si>
    <t>Lenexa</t>
  </si>
  <si>
    <t>Denmark</t>
  </si>
  <si>
    <t>Denison</t>
  </si>
  <si>
    <t>Forest City</t>
  </si>
  <si>
    <t>North Canton</t>
  </si>
  <si>
    <t>Lake Wales</t>
  </si>
  <si>
    <t>Takoma Park</t>
  </si>
  <si>
    <t>Greenfield</t>
  </si>
  <si>
    <t>Pullman</t>
  </si>
  <si>
    <t>Richland</t>
  </si>
  <si>
    <t>GU</t>
  </si>
  <si>
    <t>Mangilao</t>
  </si>
  <si>
    <t>Waynesburg</t>
  </si>
  <si>
    <t>Panama City</t>
  </si>
  <si>
    <t>Lilburn</t>
  </si>
  <si>
    <t>West Chester</t>
  </si>
  <si>
    <t>Bel Air</t>
  </si>
  <si>
    <t>Canyon</t>
  </si>
  <si>
    <t>Harrisburg</t>
  </si>
  <si>
    <t>Morgantown</t>
  </si>
  <si>
    <t>Grove City</t>
  </si>
  <si>
    <t>Beckley</t>
  </si>
  <si>
    <t>Buckhannon</t>
  </si>
  <si>
    <t>Cullowhee</t>
  </si>
  <si>
    <t>Morrisville</t>
  </si>
  <si>
    <t>Danbury</t>
  </si>
  <si>
    <t>Salinas</t>
  </si>
  <si>
    <t>Macomb</t>
  </si>
  <si>
    <t>Waterloo</t>
  </si>
  <si>
    <t>Gunnison</t>
  </si>
  <si>
    <t>Westfield</t>
  </si>
  <si>
    <t>Herkimer</t>
  </si>
  <si>
    <t>New Wilmington</t>
  </si>
  <si>
    <t>Wheeling</t>
  </si>
  <si>
    <t>Kenner</t>
  </si>
  <si>
    <t>Whittier</t>
  </si>
  <si>
    <t>St. Louis Park</t>
  </si>
  <si>
    <t>Chester</t>
  </si>
  <si>
    <t>Wayne</t>
  </si>
  <si>
    <t>Hesston</t>
  </si>
  <si>
    <t>Hibbing</t>
  </si>
  <si>
    <t>Oskaloosa</t>
  </si>
  <si>
    <t>Chambersburg</t>
  </si>
  <si>
    <t>Wingate</t>
  </si>
  <si>
    <t>Nelsonville</t>
  </si>
  <si>
    <t>Goodman</t>
  </si>
  <si>
    <t>Holyoke</t>
  </si>
  <si>
    <t>Celina</t>
  </si>
  <si>
    <t>Big Spring</t>
  </si>
  <si>
    <t>Levittown</t>
  </si>
  <si>
    <t>Hutchinson</t>
  </si>
  <si>
    <t>East Peoria</t>
  </si>
  <si>
    <t>Imperial</t>
  </si>
  <si>
    <t>Ottumwa</t>
  </si>
  <si>
    <t>Fort Pierce</t>
  </si>
  <si>
    <t>Guayama</t>
  </si>
  <si>
    <t>Newport Beach</t>
  </si>
  <si>
    <t>Inver Grove Heights</t>
  </si>
  <si>
    <t>Fort Dodge</t>
  </si>
  <si>
    <t>Estherville</t>
  </si>
  <si>
    <t>Council Bluffs</t>
  </si>
  <si>
    <t>Amityville</t>
  </si>
  <si>
    <t>Lima</t>
  </si>
  <si>
    <t>Kenansville</t>
  </si>
  <si>
    <t>Watertown</t>
  </si>
  <si>
    <t>Teterboro</t>
  </si>
  <si>
    <t>Carterville</t>
  </si>
  <si>
    <t>Tanner</t>
  </si>
  <si>
    <t>Overland Park</t>
  </si>
  <si>
    <t>Ellisville</t>
  </si>
  <si>
    <t>Centralia</t>
  </si>
  <si>
    <t>Battle Creek</t>
  </si>
  <si>
    <t>Ashtabula</t>
  </si>
  <si>
    <t>East Liverpool</t>
  </si>
  <si>
    <t>Burton</t>
  </si>
  <si>
    <t>New Philadelphia</t>
  </si>
  <si>
    <t>Kilgore</t>
  </si>
  <si>
    <t>Roscommon</t>
  </si>
  <si>
    <t>Malta</t>
  </si>
  <si>
    <t>Parsons</t>
  </si>
  <si>
    <t>Benton Harbor</t>
  </si>
  <si>
    <t>Devils Lake</t>
  </si>
  <si>
    <t>South Lake Tahoe</t>
  </si>
  <si>
    <t>Leesburg</t>
  </si>
  <si>
    <t>Kirtland</t>
  </si>
  <si>
    <t>Laconia</t>
  </si>
  <si>
    <t>Lamar</t>
  </si>
  <si>
    <t>Port Arthur</t>
  </si>
  <si>
    <t>Putney</t>
  </si>
  <si>
    <t>North Wales</t>
  </si>
  <si>
    <t>Cheyenne</t>
  </si>
  <si>
    <t>Laredo</t>
  </si>
  <si>
    <t>Livermore</t>
  </si>
  <si>
    <t>Susanville</t>
  </si>
  <si>
    <t>Cass Lake</t>
  </si>
  <si>
    <t>Pearl City</t>
  </si>
  <si>
    <t>Schnecksville</t>
  </si>
  <si>
    <t>Godfrey</t>
  </si>
  <si>
    <t>Cayey</t>
  </si>
  <si>
    <t>Southington</t>
  </si>
  <si>
    <t>Robinson</t>
  </si>
  <si>
    <t>Crow Agency</t>
  </si>
  <si>
    <t>Winnebago</t>
  </si>
  <si>
    <t>The Woodlands</t>
  </si>
  <si>
    <t>Elyria</t>
  </si>
  <si>
    <t>All colleges</t>
  </si>
  <si>
    <t>Selectivity Level of College</t>
  </si>
  <si>
    <t>Sylmar</t>
  </si>
  <si>
    <t>Van Nuys</t>
  </si>
  <si>
    <t>Woodland Hills</t>
  </si>
  <si>
    <t>Louisburg</t>
  </si>
  <si>
    <t>Eunice</t>
  </si>
  <si>
    <t>Andalusia</t>
  </si>
  <si>
    <t>Nanticoke</t>
  </si>
  <si>
    <t>Jenkintown</t>
  </si>
  <si>
    <t>This tab includes selected resources from our partners, however please note that it is “under construction” and we plan to continue curating and developing a comprehensive list of resources.</t>
  </si>
  <si>
    <t>Marshalltown</t>
  </si>
  <si>
    <t>Resources</t>
  </si>
  <si>
    <t>Williamston</t>
  </si>
  <si>
    <t>Wellesley Hills</t>
  </si>
  <si>
    <t>•College Access: Research and Action (CARA): Catalog of Programs</t>
  </si>
  <si>
    <t>Brockton</t>
  </si>
  <si>
    <t>Hazle Township</t>
  </si>
  <si>
    <t>•Urban Assembly:</t>
  </si>
  <si>
    <t>List of technical programs</t>
  </si>
  <si>
    <t>Dickson City</t>
  </si>
  <si>
    <t>List of CUNY Certificate and AAS Programs</t>
  </si>
  <si>
    <t xml:space="preserve">•SUNY EOC Centers: </t>
  </si>
  <si>
    <t>Pottsville</t>
  </si>
  <si>
    <t>EOC's provide academic programs leading to higher education, and vocational training programs leading to gainful employment and economic self-sufficiency</t>
  </si>
  <si>
    <t>Crystal Lake</t>
  </si>
  <si>
    <t>Ukiah</t>
  </si>
  <si>
    <t>West Windsor</t>
  </si>
  <si>
    <t xml:space="preserve">•Helping Students with Disabilities Transition from High School to College- a Transition Guidance Document
</t>
  </si>
  <si>
    <t xml:space="preserve">•ACCES VR: 
</t>
  </si>
  <si>
    <t>Meridian</t>
  </si>
  <si>
    <t xml:space="preserve">ACCES-VR assists individuals with disabilities to achieve and maintain employment and to support independent living through training, education, rehabilitation, and career development. A strong practice is to connect students with ACCES VR as a first step in the postsecondary planning process. 
</t>
  </si>
  <si>
    <t xml:space="preserve">•Office for People with Developmental Disabilities (OPWDD): </t>
  </si>
  <si>
    <t xml:space="preserve">OPWDD offers an array of services and supports to help people with developmental disabilities live in the home of their choice; find employment and other meaningful activities in which to participate; build relationships in the community, and experience health and wellness.  </t>
  </si>
  <si>
    <t>•CUNY Overview of Disability Services</t>
  </si>
  <si>
    <t>Information about campus specific programs</t>
  </si>
  <si>
    <t xml:space="preserve">Additional programs include: 
</t>
  </si>
  <si>
    <t xml:space="preserve">•LEADS: CUNY LEADS is an academic and career program for students with disabilities at the City University of New York. It is free of charge for all eligible candidates and available on all CUNY campuses. Learn more. 
</t>
  </si>
  <si>
    <t xml:space="preserve">•CUNY Unlimited: Leads to college credential and is available at BMCC, College of Staten Island, Hostos Community College, Kingsborough Community College, and Queens College
</t>
  </si>
  <si>
    <t>Miami Springs</t>
  </si>
  <si>
    <t>Harrison</t>
  </si>
  <si>
    <t>Jeffersonville</t>
  </si>
  <si>
    <t>North Platte</t>
  </si>
  <si>
    <t>Edison</t>
  </si>
  <si>
    <t>West Columbia</t>
  </si>
  <si>
    <t>Miles City</t>
  </si>
  <si>
    <t>Park Hills</t>
  </si>
  <si>
    <t>Fergus Falls</t>
  </si>
  <si>
    <t>Perkinston</t>
  </si>
  <si>
    <t>West Plains</t>
  </si>
  <si>
    <t>Statesville</t>
  </si>
  <si>
    <t>Moberly</t>
  </si>
  <si>
    <t>Kingman</t>
  </si>
  <si>
    <t>70-83</t>
  </si>
  <si>
    <t>Rio Grande</t>
  </si>
  <si>
    <t>Monterey</t>
  </si>
  <si>
    <t>Rockville</t>
  </si>
  <si>
    <t>Blue Bell</t>
  </si>
  <si>
    <t>Moorpark</t>
  </si>
  <si>
    <t>Palos Hills</t>
  </si>
  <si>
    <t>Moreno Valley</t>
  </si>
  <si>
    <t>Morrison</t>
  </si>
  <si>
    <t>Cicero</t>
  </si>
  <si>
    <t>Tullahoma</t>
  </si>
  <si>
    <t>Gardner</t>
  </si>
  <si>
    <t>Parkersburg</t>
  </si>
  <si>
    <t>Gresham</t>
  </si>
  <si>
    <t>Walnut</t>
  </si>
  <si>
    <t>San Jacinto</t>
  </si>
  <si>
    <t>Tishomingo</t>
  </si>
  <si>
    <t>Napa</t>
  </si>
  <si>
    <t>Brooklyn Center</t>
  </si>
  <si>
    <t>Burnsville</t>
  </si>
  <si>
    <t>Centennial</t>
  </si>
  <si>
    <t>Lee's Summit</t>
  </si>
  <si>
    <t>Roseville</t>
  </si>
  <si>
    <t>Hot Springs</t>
  </si>
  <si>
    <t>Corsicana</t>
  </si>
  <si>
    <t>Curtis</t>
  </si>
  <si>
    <t>Macy</t>
  </si>
  <si>
    <t>East Greenwich</t>
  </si>
  <si>
    <t>Hobbs</t>
  </si>
  <si>
    <t>Alamogordo</t>
  </si>
  <si>
    <t>Grants</t>
  </si>
  <si>
    <t>Beaver</t>
  </si>
  <si>
    <t>Syosset</t>
  </si>
  <si>
    <t>Sanborn</t>
  </si>
  <si>
    <t>68-70</t>
  </si>
  <si>
    <t>Norco</t>
  </si>
  <si>
    <t>Petoskey</t>
  </si>
  <si>
    <t>Saranac Lake</t>
  </si>
  <si>
    <t>Wahpeton</t>
  </si>
  <si>
    <t>Brooklyn Park</t>
  </si>
  <si>
    <t>Coeur d'Alene</t>
  </si>
  <si>
    <t>Mason City</t>
  </si>
  <si>
    <t>Danvers</t>
  </si>
  <si>
    <t>Bentonville</t>
  </si>
  <si>
    <t>Calmar</t>
  </si>
  <si>
    <t>Booneville</t>
  </si>
  <si>
    <t>Blountville</t>
  </si>
  <si>
    <t>Haverhill</t>
  </si>
  <si>
    <t>MP</t>
  </si>
  <si>
    <t>Saipan</t>
  </si>
  <si>
    <t>Espanola</t>
  </si>
  <si>
    <t>Tonkawa</t>
  </si>
  <si>
    <t>Annandale</t>
  </si>
  <si>
    <t>Sheridan</t>
  </si>
  <si>
    <t>Powell</t>
  </si>
  <si>
    <t>Niceville</t>
  </si>
  <si>
    <t>Sheldon</t>
  </si>
  <si>
    <t>Senatobia</t>
  </si>
  <si>
    <t>Port Hadlock</t>
  </si>
  <si>
    <t>Archbold</t>
  </si>
  <si>
    <t>Muscle Shoals</t>
  </si>
  <si>
    <t>Bridgeview</t>
  </si>
  <si>
    <t>Winsted</t>
  </si>
  <si>
    <t>New Town</t>
  </si>
  <si>
    <t>Bloomfield Hills</t>
  </si>
  <si>
    <t>Des Plaines</t>
  </si>
  <si>
    <t>Toms River</t>
  </si>
  <si>
    <t>Kyle</t>
  </si>
  <si>
    <t>Sandusky</t>
  </si>
  <si>
    <t>Chillicothe</t>
  </si>
  <si>
    <t>Saint Clairsville</t>
  </si>
  <si>
    <t>Ironton</t>
  </si>
  <si>
    <t>Zanesville</t>
  </si>
  <si>
    <t>Peekskill</t>
  </si>
  <si>
    <t>Olney</t>
  </si>
  <si>
    <t>Bremerton</t>
  </si>
  <si>
    <t>65-75</t>
  </si>
  <si>
    <t>Perrysburg</t>
  </si>
  <si>
    <t>Oxnard</t>
  </si>
  <si>
    <t>PW</t>
  </si>
  <si>
    <t>Koror</t>
  </si>
  <si>
    <t>Lake Worth</t>
  </si>
  <si>
    <t>Paris</t>
  </si>
  <si>
    <t>New Port Richey</t>
  </si>
  <si>
    <t>Paterson</t>
  </si>
  <si>
    <t>Poplarville</t>
  </si>
  <si>
    <t>Mount Braddock</t>
  </si>
  <si>
    <t>DuBois</t>
  </si>
  <si>
    <t>Oakdale</t>
  </si>
  <si>
    <t>Wyomissing</t>
  </si>
  <si>
    <t>Alhambra</t>
  </si>
  <si>
    <t>Ontario</t>
  </si>
  <si>
    <t>Forest Hills</t>
  </si>
  <si>
    <t>Winter Haven</t>
  </si>
  <si>
    <t>Porterville</t>
  </si>
  <si>
    <t>Keyser</t>
  </si>
  <si>
    <t>Largo</t>
  </si>
  <si>
    <t>Temecula</t>
  </si>
  <si>
    <t>Urbandale</t>
  </si>
  <si>
    <t>Danielson</t>
  </si>
  <si>
    <t>Monsey</t>
  </si>
  <si>
    <t>International Falls</t>
  </si>
  <si>
    <t>Asheboro</t>
  </si>
  <si>
    <t>Ranger</t>
  </si>
  <si>
    <t>Branchburg</t>
  </si>
  <si>
    <t>St. Cloud</t>
  </si>
  <si>
    <t>El Reno</t>
  </si>
  <si>
    <t>Reedley</t>
  </si>
  <si>
    <t>South Prince George</t>
  </si>
  <si>
    <t>Willmar</t>
  </si>
  <si>
    <t>Harriman</t>
  </si>
  <si>
    <t>Lumberton</t>
  </si>
  <si>
    <t>Wentworth</t>
  </si>
  <si>
    <t>Suffern</t>
  </si>
  <si>
    <t>Midwest City</t>
  </si>
  <si>
    <t>Irwin</t>
  </si>
  <si>
    <t>Mount Laurel</t>
  </si>
  <si>
    <t>Sewell</t>
  </si>
  <si>
    <t>Roxbury Crossing</t>
  </si>
  <si>
    <t>Binghamton</t>
  </si>
  <si>
    <t>74-79</t>
  </si>
  <si>
    <t>850-1000</t>
  </si>
  <si>
    <t>Delhi</t>
  </si>
  <si>
    <t>890-1070</t>
  </si>
  <si>
    <t>74-81</t>
  </si>
  <si>
    <t>820-970</t>
  </si>
  <si>
    <t>72-74</t>
  </si>
  <si>
    <t>Valhalla</t>
  </si>
  <si>
    <t>70-78</t>
  </si>
  <si>
    <t>Palatka</t>
  </si>
  <si>
    <t>Bridgeton</t>
  </si>
  <si>
    <t>Carneys Point</t>
  </si>
  <si>
    <t>Pablo</t>
  </si>
  <si>
    <t>Pinehurst</t>
  </si>
  <si>
    <t>Santa Ana</t>
  </si>
  <si>
    <t>Santa Monica</t>
  </si>
  <si>
    <t>Seminole</t>
  </si>
  <si>
    <t>Sanford</t>
  </si>
  <si>
    <t>N Little Rock</t>
  </si>
  <si>
    <t>Rocklin</t>
  </si>
  <si>
    <t>Mission</t>
  </si>
  <si>
    <t>Sisseton</t>
  </si>
  <si>
    <t>San Bruno</t>
  </si>
  <si>
    <t>Boaz</t>
  </si>
  <si>
    <t>Ephraim</t>
  </si>
  <si>
    <t>North Mankato</t>
  </si>
  <si>
    <t>Deerfield Beach</t>
  </si>
  <si>
    <t>Avon Park</t>
  </si>
  <si>
    <t>Douglas</t>
  </si>
  <si>
    <t>State College</t>
  </si>
  <si>
    <t>Levelland</t>
  </si>
  <si>
    <t>South Holland</t>
  </si>
  <si>
    <t>McAllen</t>
  </si>
  <si>
    <t>West Burlington</t>
  </si>
  <si>
    <t>South Portland</t>
  </si>
  <si>
    <t>Mount Gay</t>
  </si>
  <si>
    <t>Colonial Heights</t>
  </si>
  <si>
    <t>Summit</t>
  </si>
  <si>
    <t>Uvalde</t>
  </si>
  <si>
    <t>Cedar Bluff</t>
  </si>
  <si>
    <t>Terrell</t>
  </si>
  <si>
    <t>Chula Vista</t>
  </si>
  <si>
    <t>Sylva</t>
  </si>
  <si>
    <t>Creston</t>
  </si>
  <si>
    <t>Dowagiac</t>
  </si>
  <si>
    <t>Coos Bay</t>
  </si>
  <si>
    <t>Broomfield</t>
  </si>
  <si>
    <t>Cottleville</t>
  </si>
  <si>
    <t>Rego Park</t>
  </si>
  <si>
    <t>Clearwater</t>
  </si>
  <si>
    <t>Albemarle</t>
  </si>
  <si>
    <t>Bradenton</t>
  </si>
  <si>
    <t>Sedalia</t>
  </si>
  <si>
    <t>Linn</t>
  </si>
  <si>
    <t>Brecksville</t>
  </si>
  <si>
    <t>ASAP-like cohort model supports, but not income-specific</t>
  </si>
  <si>
    <t>Summer Bridge Program</t>
  </si>
  <si>
    <t>St. George</t>
  </si>
  <si>
    <t>Box Elder</t>
  </si>
  <si>
    <t>Selden</t>
  </si>
  <si>
    <t>Loch Sheldrake</t>
  </si>
  <si>
    <t>Dobson</t>
  </si>
  <si>
    <t>Taft</t>
  </si>
  <si>
    <t>Belleview</t>
  </si>
  <si>
    <t>Beaufort</t>
  </si>
  <si>
    <t>Temple</t>
  </si>
  <si>
    <t>Texarkana</t>
  </si>
  <si>
    <t>Brownsville</t>
  </si>
  <si>
    <t>Norwich</t>
  </si>
  <si>
    <t>Tillamook</t>
  </si>
  <si>
    <t>Sells</t>
  </si>
  <si>
    <t>Dryden</t>
  </si>
  <si>
    <t>Murphy</t>
  </si>
  <si>
    <t>Falls Creek</t>
  </si>
  <si>
    <t>Sunbury</t>
  </si>
  <si>
    <t>River Grove</t>
  </si>
  <si>
    <t>Stone Ridge</t>
  </si>
  <si>
    <t>76-81</t>
  </si>
  <si>
    <t>Royal Palm Beach</t>
  </si>
  <si>
    <t>Roseburg</t>
  </si>
  <si>
    <t>Cranford</t>
  </si>
  <si>
    <t>Exton</t>
  </si>
  <si>
    <t>Orrville</t>
  </si>
  <si>
    <t>Blue Ash</t>
  </si>
  <si>
    <t>Lauderhill</t>
  </si>
  <si>
    <t>Kahului</t>
  </si>
  <si>
    <t>Gallup</t>
  </si>
  <si>
    <t>Los Alamos</t>
  </si>
  <si>
    <t>Ranchos de Taos</t>
  </si>
  <si>
    <t>Titusville</t>
  </si>
  <si>
    <t>Warr Acres</t>
  </si>
  <si>
    <t>Sunset Hills</t>
  </si>
  <si>
    <t>St. Louis</t>
  </si>
  <si>
    <t>Ventura</t>
  </si>
  <si>
    <t>Ely</t>
  </si>
  <si>
    <t>Victorville</t>
  </si>
  <si>
    <t>Victoria</t>
  </si>
  <si>
    <t>Vincennes</t>
  </si>
  <si>
    <t>Gallatin</t>
  </si>
  <si>
    <t>Mount Carmel</t>
  </si>
  <si>
    <t>Sugar Grove</t>
  </si>
  <si>
    <t>Wenatchee</t>
  </si>
  <si>
    <t>Coalinga</t>
  </si>
  <si>
    <t>Lemoore</t>
  </si>
  <si>
    <t>Scottville</t>
  </si>
  <si>
    <t>Saratoga</t>
  </si>
  <si>
    <t>Scottsbluff</t>
  </si>
  <si>
    <t>Carson City</t>
  </si>
  <si>
    <t>Altus</t>
  </si>
  <si>
    <t>Morganton</t>
  </si>
  <si>
    <t>Snyder</t>
  </si>
  <si>
    <t>Rock Springs</t>
  </si>
  <si>
    <t>Youngwood</t>
  </si>
  <si>
    <t>Wharton</t>
  </si>
  <si>
    <t>Mahnomen</t>
  </si>
  <si>
    <t>Wilkesboro</t>
  </si>
  <si>
    <t>Williston</t>
  </si>
  <si>
    <t>Kaneohe</t>
  </si>
  <si>
    <t>Woodland</t>
  </si>
  <si>
    <t>Yakima</t>
  </si>
  <si>
    <t>South Fallsburg</t>
  </si>
  <si>
    <t>Wells</t>
  </si>
  <si>
    <t>Marysville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</si>
</sst>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
  </numFmts>
  <fonts count="21" x14ac:knownFonts="1">
    <font>
      <sz val="11"/>
      <color theme="1"/>
      <name val="Arial"/>
    </font>
    <font>
      <b/>
      <sz val="11"/>
      <color theme="1"/>
      <name val="Calibri"/>
    </font>
    <font>
      <sz val="11"/>
      <color theme="1"/>
      <name val="Calibri"/>
    </font>
    <font>
      <sz val="11"/>
      <name val="Arial"/>
    </font>
    <font>
      <b/>
      <sz val="14"/>
      <color theme="1"/>
      <name val="Calibri"/>
    </font>
    <font>
      <u/>
      <sz val="11"/>
      <color rgb="FF0000FF"/>
      <name val="Calibri"/>
    </font>
    <font>
      <sz val="11"/>
      <color theme="1"/>
      <name val="Calibri"/>
    </font>
    <font>
      <u/>
      <sz val="11"/>
      <color rgb="FF0000FF"/>
      <name val="Calibri"/>
    </font>
    <font>
      <i/>
      <sz val="11"/>
      <color theme="1"/>
      <name val="Calibri"/>
    </font>
    <font>
      <sz val="11"/>
      <color theme="10"/>
      <name val="Calibri"/>
    </font>
    <font>
      <u/>
      <sz val="11"/>
      <color rgb="FF0000FF"/>
      <name val="Calibri"/>
    </font>
    <font>
      <sz val="11"/>
      <color rgb="FF000000"/>
      <name val="Calibri"/>
    </font>
    <font>
      <u/>
      <sz val="11"/>
      <color rgb="FF0000FF"/>
      <name val="Calibri"/>
    </font>
    <font>
      <i/>
      <sz val="16"/>
      <color rgb="FF00B050"/>
      <name val="Calibri"/>
    </font>
    <font>
      <b/>
      <i/>
      <u/>
      <sz val="11"/>
      <color rgb="FF000000"/>
      <name val="Calibri"/>
    </font>
    <font>
      <i/>
      <sz val="11"/>
      <color rgb="FF000000"/>
      <name val="Calibri"/>
    </font>
    <font>
      <b/>
      <i/>
      <u/>
      <sz val="11"/>
      <color rgb="FF000000"/>
      <name val="Calibri"/>
    </font>
    <font>
      <u/>
      <sz val="11"/>
      <color rgb="FF0070C0"/>
      <name val="Arial"/>
    </font>
    <font>
      <u/>
      <sz val="11"/>
      <color rgb="FF0070C0"/>
      <name val="Arial"/>
    </font>
    <font>
      <u/>
      <sz val="11"/>
      <color theme="1"/>
      <name val="Arial"/>
    </font>
    <font>
      <b/>
      <i/>
      <sz val="11"/>
      <color theme="1"/>
      <name val="Calibri"/>
    </font>
  </fonts>
  <fills count="9">
    <fill>
      <patternFill patternType="none"/>
    </fill>
    <fill>
      <patternFill patternType="gray125"/>
    </fill>
    <fill>
      <patternFill patternType="solid">
        <fgColor rgb="FFBFBFBF"/>
        <bgColor rgb="FFBFBFBF"/>
      </patternFill>
    </fill>
    <fill>
      <patternFill patternType="solid">
        <fgColor rgb="FFE5DFEC"/>
        <bgColor rgb="FFE5DFEC"/>
      </patternFill>
    </fill>
    <fill>
      <patternFill patternType="solid">
        <fgColor rgb="FFDAEEF3"/>
        <bgColor rgb="FFDAEEF3"/>
      </patternFill>
    </fill>
    <fill>
      <patternFill patternType="solid">
        <fgColor rgb="FFFBD4B4"/>
        <bgColor rgb="FFFBD4B4"/>
      </patternFill>
    </fill>
    <fill>
      <patternFill patternType="solid">
        <fgColor rgb="FFD6E3BC"/>
        <bgColor rgb="FFD6E3BC"/>
      </patternFill>
    </fill>
    <fill>
      <patternFill patternType="solid">
        <fgColor theme="0"/>
        <bgColor theme="0"/>
      </patternFill>
    </fill>
    <fill>
      <patternFill patternType="solid">
        <fgColor theme="6"/>
        <bgColor theme="6"/>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s>
  <cellStyleXfs count="1">
    <xf numFmtId="0" fontId="0" fillId="0" borderId="0"/>
  </cellStyleXfs>
  <cellXfs count="72">
    <xf numFmtId="0" fontId="0" fillId="0" borderId="0" xfId="0" applyFont="1" applyAlignment="1"/>
    <xf numFmtId="0" fontId="1" fillId="2" borderId="1" xfId="0" applyFont="1" applyFill="1" applyBorder="1"/>
    <xf numFmtId="0" fontId="2" fillId="0" borderId="0" xfId="0" applyFont="1"/>
    <xf numFmtId="44" fontId="2" fillId="2" borderId="2" xfId="0" applyNumberFormat="1" applyFont="1" applyFill="1" applyBorder="1"/>
    <xf numFmtId="9" fontId="2" fillId="2" borderId="2" xfId="0" applyNumberFormat="1" applyFont="1" applyFill="1" applyBorder="1"/>
    <xf numFmtId="44" fontId="1" fillId="2" borderId="6" xfId="0" applyNumberFormat="1" applyFont="1" applyFill="1" applyBorder="1" applyAlignment="1">
      <alignment horizontal="center" vertical="center" wrapText="1"/>
    </xf>
    <xf numFmtId="44" fontId="1" fillId="3" borderId="6" xfId="0" applyNumberFormat="1" applyFont="1" applyFill="1" applyBorder="1" applyAlignment="1">
      <alignment horizontal="center" vertical="center" wrapText="1"/>
    </xf>
    <xf numFmtId="44" fontId="1" fillId="4" borderId="6" xfId="0" applyNumberFormat="1" applyFont="1" applyFill="1" applyBorder="1" applyAlignment="1">
      <alignment horizontal="center" vertical="center" wrapText="1"/>
    </xf>
    <xf numFmtId="9" fontId="1" fillId="5" borderId="6" xfId="0" applyNumberFormat="1" applyFont="1" applyFill="1" applyBorder="1" applyAlignment="1">
      <alignment horizontal="center" vertical="center" wrapText="1"/>
    </xf>
    <xf numFmtId="164" fontId="1" fillId="6" borderId="7" xfId="0" applyNumberFormat="1" applyFont="1" applyFill="1" applyBorder="1" applyAlignment="1">
      <alignment horizontal="center" vertical="center" wrapText="1"/>
    </xf>
    <xf numFmtId="0" fontId="2" fillId="7" borderId="8" xfId="0" applyFont="1" applyFill="1" applyBorder="1"/>
    <xf numFmtId="0" fontId="2" fillId="7" borderId="8" xfId="0" applyFont="1" applyFill="1" applyBorder="1" applyAlignment="1">
      <alignment vertical="top" wrapText="1"/>
    </xf>
    <xf numFmtId="164" fontId="1" fillId="8" borderId="7" xfId="0" applyNumberFormat="1" applyFont="1" applyFill="1" applyBorder="1" applyAlignment="1">
      <alignment horizontal="center" vertical="center" wrapText="1"/>
    </xf>
    <xf numFmtId="9" fontId="1" fillId="6" borderId="7" xfId="0" applyNumberFormat="1" applyFont="1" applyFill="1" applyBorder="1" applyAlignment="1">
      <alignment horizontal="center" vertical="center" wrapText="1"/>
    </xf>
    <xf numFmtId="9" fontId="1" fillId="2" borderId="7" xfId="0" applyNumberFormat="1" applyFont="1" applyFill="1" applyBorder="1" applyAlignment="1">
      <alignment horizontal="center" vertical="center" wrapText="1"/>
    </xf>
    <xf numFmtId="9" fontId="1" fillId="2" borderId="6" xfId="0" applyNumberFormat="1"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5" fillId="0" borderId="0" xfId="0" applyFont="1"/>
    <xf numFmtId="0" fontId="6" fillId="0" borderId="0" xfId="0" applyFont="1"/>
    <xf numFmtId="9" fontId="2" fillId="0" borderId="0" xfId="0" applyNumberFormat="1" applyFont="1"/>
    <xf numFmtId="164" fontId="2" fillId="0" borderId="0" xfId="0" applyNumberFormat="1" applyFont="1"/>
    <xf numFmtId="164" fontId="7" fillId="0" borderId="0" xfId="0" applyNumberFormat="1" applyFont="1" applyAlignment="1">
      <alignment horizontal="right"/>
    </xf>
    <xf numFmtId="164" fontId="2" fillId="0" borderId="0" xfId="0" applyNumberFormat="1" applyFont="1" applyAlignment="1">
      <alignment horizontal="right"/>
    </xf>
    <xf numFmtId="1" fontId="2" fillId="0" borderId="0" xfId="0" applyNumberFormat="1" applyFont="1"/>
    <xf numFmtId="0" fontId="8" fillId="7" borderId="8" xfId="0" applyFont="1" applyFill="1" applyBorder="1" applyAlignment="1">
      <alignment horizontal="center"/>
    </xf>
    <xf numFmtId="0" fontId="8" fillId="7" borderId="8" xfId="0" applyFont="1" applyFill="1" applyBorder="1" applyAlignment="1">
      <alignment horizontal="center" vertical="center" wrapText="1"/>
    </xf>
    <xf numFmtId="0" fontId="1" fillId="7" borderId="8" xfId="0" applyFont="1" applyFill="1" applyBorder="1"/>
    <xf numFmtId="0" fontId="4" fillId="7" borderId="8" xfId="0" quotePrefix="1" applyFont="1" applyFill="1" applyBorder="1"/>
    <xf numFmtId="0" fontId="9" fillId="0" borderId="0" xfId="0" applyFont="1"/>
    <xf numFmtId="0" fontId="9" fillId="7" borderId="8" xfId="0" applyFont="1" applyFill="1" applyBorder="1" applyAlignment="1">
      <alignment vertical="top"/>
    </xf>
    <xf numFmtId="0" fontId="2" fillId="7" borderId="8" xfId="0" applyFont="1" applyFill="1" applyBorder="1" applyAlignment="1">
      <alignment vertical="top"/>
    </xf>
    <xf numFmtId="0" fontId="4" fillId="7" borderId="8" xfId="0" applyFont="1" applyFill="1" applyBorder="1"/>
    <xf numFmtId="0" fontId="2" fillId="7" borderId="8" xfId="0" applyFont="1" applyFill="1" applyBorder="1" applyAlignment="1">
      <alignment horizontal="left" vertical="top" wrapText="1"/>
    </xf>
    <xf numFmtId="0" fontId="10" fillId="0" borderId="0" xfId="0" applyFont="1" applyAlignment="1">
      <alignment horizontal="right"/>
    </xf>
    <xf numFmtId="44" fontId="2" fillId="0" borderId="0" xfId="0" applyNumberFormat="1" applyFont="1"/>
    <xf numFmtId="164" fontId="11" fillId="0" borderId="0" xfId="0" applyNumberFormat="1" applyFont="1" applyAlignment="1">
      <alignment horizontal="right"/>
    </xf>
    <xf numFmtId="44" fontId="12" fillId="0" borderId="0" xfId="0" applyNumberFormat="1" applyFont="1"/>
    <xf numFmtId="0" fontId="11" fillId="0" borderId="0" xfId="0" applyFont="1"/>
    <xf numFmtId="0" fontId="11" fillId="0" borderId="0" xfId="0" applyFont="1" applyAlignment="1">
      <alignment horizontal="right"/>
    </xf>
    <xf numFmtId="9" fontId="1" fillId="5" borderId="20" xfId="0" applyNumberFormat="1" applyFont="1" applyFill="1" applyBorder="1"/>
    <xf numFmtId="9" fontId="1" fillId="5" borderId="7" xfId="0" applyNumberFormat="1" applyFont="1" applyFill="1" applyBorder="1" applyAlignment="1">
      <alignment horizontal="center" vertical="center" wrapText="1"/>
    </xf>
    <xf numFmtId="44" fontId="1" fillId="2" borderId="2" xfId="0" applyNumberFormat="1" applyFont="1" applyFill="1" applyBorder="1" applyAlignment="1">
      <alignment horizontal="center" vertical="center" wrapText="1"/>
    </xf>
    <xf numFmtId="0" fontId="15" fillId="0" borderId="0" xfId="0" applyFont="1" applyAlignment="1">
      <alignment vertical="top" wrapText="1"/>
    </xf>
    <xf numFmtId="0" fontId="16" fillId="0" borderId="0" xfId="0" applyFont="1" applyAlignment="1">
      <alignment vertical="top" wrapText="1"/>
    </xf>
    <xf numFmtId="0" fontId="17" fillId="0" borderId="0" xfId="0" applyFont="1"/>
    <xf numFmtId="0" fontId="18" fillId="0" borderId="0" xfId="0" applyFont="1" applyAlignment="1">
      <alignment vertical="top" wrapText="1"/>
    </xf>
    <xf numFmtId="0" fontId="19" fillId="0" borderId="0" xfId="0" applyFont="1"/>
    <xf numFmtId="0" fontId="20" fillId="0" borderId="0" xfId="0" applyFont="1"/>
    <xf numFmtId="0" fontId="2" fillId="7" borderId="9" xfId="0" applyFont="1" applyFill="1" applyBorder="1" applyAlignment="1">
      <alignment horizontal="left" vertical="top" wrapText="1"/>
    </xf>
    <xf numFmtId="0" fontId="3" fillId="0" borderId="11" xfId="0" applyFont="1" applyBorder="1"/>
    <xf numFmtId="0" fontId="2" fillId="7" borderId="9" xfId="0" applyFont="1" applyFill="1" applyBorder="1" applyAlignment="1">
      <alignment wrapText="1"/>
    </xf>
    <xf numFmtId="0" fontId="4" fillId="7" borderId="9" xfId="0" applyFont="1" applyFill="1" applyBorder="1" applyAlignment="1">
      <alignment horizontal="center" wrapText="1"/>
    </xf>
    <xf numFmtId="0" fontId="3" fillId="0" borderId="10" xfId="0" applyFont="1" applyBorder="1"/>
    <xf numFmtId="0" fontId="8" fillId="7" borderId="9" xfId="0" applyFont="1" applyFill="1" applyBorder="1" applyAlignment="1">
      <alignment horizontal="center"/>
    </xf>
    <xf numFmtId="0" fontId="2" fillId="7" borderId="12" xfId="0" applyFont="1" applyFill="1" applyBorder="1" applyAlignment="1">
      <alignment horizontal="left" vertical="top" wrapText="1"/>
    </xf>
    <xf numFmtId="0" fontId="3" fillId="0" borderId="13" xfId="0" applyFont="1" applyBorder="1"/>
    <xf numFmtId="0" fontId="3" fillId="0" borderId="14" xfId="0" applyFont="1" applyBorder="1"/>
    <xf numFmtId="0" fontId="3" fillId="0" borderId="15" xfId="0" applyFont="1" applyBorder="1"/>
    <xf numFmtId="0" fontId="0" fillId="0" borderId="0" xfId="0" applyFont="1" applyAlignment="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9" fontId="1" fillId="3" borderId="3" xfId="0" applyNumberFormat="1" applyFont="1" applyFill="1" applyBorder="1" applyAlignment="1">
      <alignment horizontal="center"/>
    </xf>
    <xf numFmtId="0" fontId="3" fillId="0" borderId="4" xfId="0" applyFont="1" applyBorder="1"/>
    <xf numFmtId="9" fontId="1" fillId="4" borderId="3" xfId="0" applyNumberFormat="1" applyFont="1" applyFill="1" applyBorder="1" applyAlignment="1">
      <alignment horizontal="center"/>
    </xf>
    <xf numFmtId="0" fontId="3" fillId="0" borderId="5" xfId="0" applyFont="1" applyBorder="1"/>
    <xf numFmtId="44" fontId="1" fillId="5" borderId="3" xfId="0" applyNumberFormat="1" applyFont="1" applyFill="1" applyBorder="1" applyAlignment="1">
      <alignment horizontal="center"/>
    </xf>
    <xf numFmtId="164" fontId="1" fillId="6" borderId="3" xfId="0" applyNumberFormat="1" applyFont="1" applyFill="1" applyBorder="1" applyAlignment="1">
      <alignment horizontal="center"/>
    </xf>
    <xf numFmtId="0" fontId="13" fillId="0" borderId="0" xfId="0" applyFont="1" applyAlignment="1">
      <alignment horizontal="left" vertical="top" wrapText="1"/>
    </xf>
    <xf numFmtId="0" fontId="14" fillId="0" borderId="0" xfId="0" applyFont="1" applyAlignment="1">
      <alignment horizontal="left" vertical="top" wrapText="1"/>
    </xf>
    <xf numFmtId="0" fontId="2"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33500" cy="809625"/>
    <xdr:pic>
      <xdr:nvPicPr>
        <xdr:cNvPr id="2" name="image1.png" descr="Pictur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28</xdr:row>
      <xdr:rowOff>0</xdr:rowOff>
    </xdr:from>
    <xdr:ext cx="5772150" cy="4419600"/>
    <xdr:pic>
      <xdr:nvPicPr>
        <xdr:cNvPr id="3" name="image3.png" descr="Pictur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95250</xdr:rowOff>
    </xdr:from>
    <xdr:ext cx="6867525" cy="61436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ocs.google.com/spreadsheets/d/1HVVZRU7OFhlixHt8_5Ctz0K5W7LJXgMGCrarypG7bN0/edit" TargetMode="External"/><Relationship Id="rId2" Type="http://schemas.openxmlformats.org/officeDocument/2006/relationships/hyperlink" Target="https://docs.google.com/spreadsheets/d/1wPy4RABbXrQNm3IM9hAbzPmMBCF4hZRIDNQNIDf-khY/edit" TargetMode="External"/><Relationship Id="rId1" Type="http://schemas.openxmlformats.org/officeDocument/2006/relationships/hyperlink" Target="https://drive.google.com/file/d/1gb5gE-nYtaJxr6HYtL8Wkr3HpvOOy8tp/view" TargetMode="External"/><Relationship Id="rId4" Type="http://schemas.openxmlformats.org/officeDocument/2006/relationships/hyperlink" Target="http://www.ucawd.suny.edu/eoc.php"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opwdd.ny.gov/" TargetMode="External"/><Relationship Id="rId7" Type="http://schemas.openxmlformats.org/officeDocument/2006/relationships/hyperlink" Target="http://www2.cuny.edu/current-students/student-affairs/student-services/disability/tpsid-initiative/" TargetMode="External"/><Relationship Id="rId2" Type="http://schemas.openxmlformats.org/officeDocument/2006/relationships/hyperlink" Target="http://www.acces.nysed.gov/vr" TargetMode="External"/><Relationship Id="rId1" Type="http://schemas.openxmlformats.org/officeDocument/2006/relationships/hyperlink" Target="http://gallery.mailchimp.com/164ccf4f94fa76018c7aaafed/files/TransitionGuidanceDocument_bjs_2_18_14.pdf" TargetMode="External"/><Relationship Id="rId6" Type="http://schemas.openxmlformats.org/officeDocument/2006/relationships/hyperlink" Target="https://www2.cuny.edu/current-students/student-affairs/student-services/disability/cuny-leads/" TargetMode="External"/><Relationship Id="rId5" Type="http://schemas.openxmlformats.org/officeDocument/2006/relationships/hyperlink" Target="https://www2.cuny.edu/current-students/student-affairs/student-services/disability/directory-to-services/" TargetMode="External"/><Relationship Id="rId4" Type="http://schemas.openxmlformats.org/officeDocument/2006/relationships/hyperlink" Target="https://www2.cuny.edu/current-students/student-affairs/student-services/disabilit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D9F0"/>
    <pageSetUpPr fitToPage="1"/>
  </sheetPr>
  <dimension ref="A1:Z1000"/>
  <sheetViews>
    <sheetView topLeftCell="C1" workbookViewId="0"/>
  </sheetViews>
  <sheetFormatPr baseColWidth="10" defaultColWidth="12.6640625" defaultRowHeight="15" customHeight="1" x14ac:dyDescent="0.15"/>
  <cols>
    <col min="1" max="3" width="1.1640625" customWidth="1"/>
    <col min="4" max="4" width="3" customWidth="1"/>
    <col min="5" max="5" width="27.83203125" customWidth="1"/>
    <col min="6" max="6" width="52.5" customWidth="1"/>
    <col min="7" max="7" width="4.5" customWidth="1"/>
    <col min="8" max="11" width="7.6640625" customWidth="1"/>
    <col min="12" max="18" width="7.6640625" hidden="1" customWidth="1"/>
    <col min="19" max="26" width="7.6640625" customWidth="1"/>
  </cols>
  <sheetData>
    <row r="1" spans="1:26" x14ac:dyDescent="0.2">
      <c r="A1" s="10"/>
      <c r="B1" s="10"/>
      <c r="C1" s="10"/>
      <c r="D1" s="10"/>
      <c r="E1" s="10"/>
      <c r="F1" s="11"/>
      <c r="G1" s="10"/>
      <c r="H1" s="10"/>
      <c r="I1" s="10"/>
      <c r="J1" s="10"/>
      <c r="K1" s="10"/>
      <c r="L1" s="10"/>
      <c r="M1" s="10"/>
      <c r="N1" s="10"/>
      <c r="O1" s="10"/>
      <c r="P1" s="10"/>
      <c r="Q1" s="10"/>
      <c r="R1" s="10"/>
      <c r="S1" s="10"/>
      <c r="T1" s="10"/>
      <c r="U1" s="10"/>
      <c r="V1" s="10"/>
      <c r="W1" s="10"/>
      <c r="X1" s="10"/>
      <c r="Y1" s="10"/>
      <c r="Z1" s="10"/>
    </row>
    <row r="2" spans="1:26" x14ac:dyDescent="0.2">
      <c r="A2" s="10"/>
      <c r="B2" s="10"/>
      <c r="C2" s="10"/>
      <c r="D2" s="10"/>
      <c r="E2" s="10"/>
      <c r="F2" s="11"/>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1"/>
      <c r="G3" s="10"/>
      <c r="H3" s="10"/>
      <c r="I3" s="10"/>
      <c r="J3" s="10"/>
      <c r="K3" s="10"/>
      <c r="L3" s="10"/>
      <c r="M3" s="10"/>
      <c r="N3" s="10"/>
      <c r="O3" s="10"/>
      <c r="P3" s="10"/>
      <c r="Q3" s="10"/>
      <c r="R3" s="10"/>
      <c r="S3" s="10"/>
      <c r="T3" s="10"/>
      <c r="U3" s="10"/>
      <c r="V3" s="10"/>
      <c r="W3" s="10"/>
      <c r="X3" s="10"/>
      <c r="Y3" s="10"/>
      <c r="Z3" s="10"/>
    </row>
    <row r="4" spans="1:26" ht="50.25" customHeight="1" x14ac:dyDescent="0.25">
      <c r="A4" s="10"/>
      <c r="B4" s="10"/>
      <c r="C4" s="51" t="s">
        <v>28</v>
      </c>
      <c r="D4" s="52"/>
      <c r="E4" s="52"/>
      <c r="F4" s="49"/>
      <c r="G4" s="10"/>
      <c r="H4" s="10"/>
      <c r="I4" s="10"/>
      <c r="J4" s="10"/>
      <c r="K4" s="10"/>
      <c r="L4" s="10"/>
      <c r="M4" s="10"/>
      <c r="N4" s="10"/>
      <c r="O4" s="10"/>
      <c r="P4" s="10"/>
      <c r="Q4" s="10"/>
      <c r="R4" s="10"/>
      <c r="S4" s="10"/>
      <c r="T4" s="10"/>
      <c r="U4" s="10"/>
      <c r="V4" s="10"/>
      <c r="W4" s="10"/>
      <c r="X4" s="10"/>
      <c r="Y4" s="10"/>
      <c r="Z4" s="10"/>
    </row>
    <row r="5" spans="1:26" ht="18.75" customHeight="1" x14ac:dyDescent="0.2">
      <c r="A5" s="10"/>
      <c r="B5" s="53"/>
      <c r="C5" s="52"/>
      <c r="D5" s="52"/>
      <c r="E5" s="52"/>
      <c r="F5" s="49"/>
      <c r="G5" s="10"/>
      <c r="H5" s="10"/>
      <c r="I5" s="10"/>
      <c r="J5" s="10"/>
      <c r="K5" s="10"/>
      <c r="L5" s="10"/>
      <c r="M5" s="10"/>
      <c r="N5" s="10"/>
      <c r="O5" s="10"/>
      <c r="P5" s="10"/>
      <c r="Q5" s="10"/>
      <c r="R5" s="10"/>
      <c r="S5" s="10"/>
      <c r="T5" s="10"/>
      <c r="U5" s="10"/>
      <c r="V5" s="10"/>
      <c r="W5" s="10"/>
      <c r="X5" s="10"/>
      <c r="Y5" s="10"/>
      <c r="Z5" s="10"/>
    </row>
    <row r="6" spans="1:26" ht="18.75" customHeight="1" x14ac:dyDescent="0.2">
      <c r="A6" s="10"/>
      <c r="B6" s="24"/>
      <c r="C6" s="24"/>
      <c r="D6" s="54" t="s">
        <v>46</v>
      </c>
      <c r="E6" s="55"/>
      <c r="F6" s="56"/>
      <c r="G6" s="10"/>
      <c r="H6" s="10"/>
      <c r="I6" s="10"/>
      <c r="J6" s="10"/>
      <c r="K6" s="10"/>
      <c r="L6" s="10"/>
      <c r="M6" s="10"/>
      <c r="N6" s="10"/>
      <c r="O6" s="10"/>
      <c r="P6" s="10"/>
      <c r="Q6" s="10"/>
      <c r="R6" s="10"/>
      <c r="S6" s="10"/>
      <c r="T6" s="10"/>
      <c r="U6" s="10"/>
      <c r="V6" s="10"/>
      <c r="W6" s="10"/>
      <c r="X6" s="10"/>
      <c r="Y6" s="10"/>
      <c r="Z6" s="10"/>
    </row>
    <row r="7" spans="1:26" ht="18" customHeight="1" x14ac:dyDescent="0.2">
      <c r="A7" s="10"/>
      <c r="B7" s="10"/>
      <c r="C7" s="25"/>
      <c r="D7" s="57"/>
      <c r="E7" s="58"/>
      <c r="F7" s="59"/>
      <c r="G7" s="10"/>
      <c r="H7" s="10"/>
      <c r="I7" s="10"/>
      <c r="J7" s="10"/>
      <c r="K7" s="10"/>
      <c r="L7" s="10"/>
      <c r="M7" s="10" t="s">
        <v>55</v>
      </c>
      <c r="N7" s="10" t="s">
        <v>56</v>
      </c>
      <c r="O7" s="10" t="s">
        <v>58</v>
      </c>
      <c r="P7" s="10" t="s">
        <v>59</v>
      </c>
      <c r="Q7" s="10" t="s">
        <v>60</v>
      </c>
      <c r="R7" s="10" t="s">
        <v>61</v>
      </c>
      <c r="S7" s="10"/>
      <c r="T7" s="10"/>
      <c r="U7" s="10"/>
      <c r="V7" s="10"/>
      <c r="W7" s="10"/>
      <c r="X7" s="10"/>
      <c r="Y7" s="10"/>
      <c r="Z7" s="10"/>
    </row>
    <row r="8" spans="1:26" ht="26.25" customHeight="1" x14ac:dyDescent="0.2">
      <c r="A8" s="10"/>
      <c r="B8" s="10"/>
      <c r="C8" s="25"/>
      <c r="D8" s="60"/>
      <c r="E8" s="61"/>
      <c r="F8" s="62"/>
      <c r="G8" s="10"/>
      <c r="H8" s="10"/>
      <c r="I8" s="10"/>
      <c r="J8" s="10"/>
      <c r="K8" s="10"/>
      <c r="L8" s="10"/>
      <c r="M8" s="10">
        <v>0</v>
      </c>
      <c r="N8" s="10">
        <v>0</v>
      </c>
      <c r="O8" s="10">
        <v>0</v>
      </c>
      <c r="P8" s="10">
        <v>0</v>
      </c>
      <c r="Q8" s="10">
        <v>0</v>
      </c>
      <c r="R8" s="10">
        <v>0</v>
      </c>
      <c r="S8" s="10"/>
      <c r="T8" s="10"/>
      <c r="U8" s="10"/>
      <c r="V8" s="10"/>
      <c r="W8" s="10"/>
      <c r="X8" s="10"/>
      <c r="Y8" s="10"/>
      <c r="Z8" s="10"/>
    </row>
    <row r="9" spans="1:26" ht="18.75" customHeight="1" x14ac:dyDescent="0.2">
      <c r="A9" s="10"/>
      <c r="B9" s="10"/>
      <c r="C9" s="25"/>
      <c r="D9" s="10"/>
      <c r="E9" s="10"/>
      <c r="F9" s="11"/>
      <c r="G9" s="10"/>
      <c r="H9" s="10"/>
      <c r="I9" s="10"/>
      <c r="J9" s="10"/>
      <c r="K9" s="10"/>
      <c r="L9" s="10"/>
      <c r="M9" s="10"/>
      <c r="N9" s="10"/>
      <c r="O9" s="10"/>
      <c r="P9" s="10"/>
      <c r="Q9" s="10"/>
      <c r="R9" s="10"/>
      <c r="S9" s="10"/>
      <c r="T9" s="10"/>
      <c r="U9" s="10"/>
      <c r="V9" s="10"/>
      <c r="W9" s="10"/>
      <c r="X9" s="10"/>
      <c r="Y9" s="10"/>
      <c r="Z9" s="10"/>
    </row>
    <row r="10" spans="1:26" ht="19.5" customHeight="1" x14ac:dyDescent="0.25">
      <c r="A10" s="10"/>
      <c r="B10" s="10"/>
      <c r="C10" s="26"/>
      <c r="D10" s="27" t="s">
        <v>70</v>
      </c>
      <c r="E10" s="10"/>
      <c r="F10" s="11"/>
      <c r="G10" s="10"/>
      <c r="H10" s="10"/>
      <c r="I10" s="10"/>
      <c r="J10" s="10"/>
      <c r="K10" s="10"/>
      <c r="L10" s="10"/>
      <c r="M10" s="10">
        <v>0</v>
      </c>
      <c r="N10" s="10">
        <v>0</v>
      </c>
      <c r="O10" s="10">
        <v>0</v>
      </c>
      <c r="P10" s="10">
        <v>0</v>
      </c>
      <c r="Q10" s="10">
        <v>0</v>
      </c>
      <c r="R10" s="10">
        <v>0</v>
      </c>
      <c r="S10" s="10"/>
      <c r="T10" s="10"/>
      <c r="U10" s="10"/>
      <c r="V10" s="10"/>
      <c r="W10" s="10"/>
      <c r="X10" s="10"/>
      <c r="Y10" s="10"/>
      <c r="Z10" s="10"/>
    </row>
    <row r="11" spans="1:26" ht="18.75" customHeight="1" x14ac:dyDescent="0.2">
      <c r="A11" s="10"/>
      <c r="B11" s="10"/>
      <c r="C11" s="10"/>
      <c r="D11" s="10"/>
      <c r="E11" s="28" t="s">
        <v>71</v>
      </c>
      <c r="F11" s="29"/>
      <c r="G11" s="10"/>
      <c r="H11" s="10"/>
      <c r="I11" s="10"/>
      <c r="J11" s="10"/>
      <c r="K11" s="10"/>
      <c r="L11" s="10"/>
      <c r="M11" s="10">
        <v>0</v>
      </c>
      <c r="N11" s="10">
        <v>0</v>
      </c>
      <c r="O11" s="10">
        <v>0</v>
      </c>
      <c r="P11" s="10">
        <v>0</v>
      </c>
      <c r="Q11" s="10">
        <v>0</v>
      </c>
      <c r="R11" s="10">
        <v>0</v>
      </c>
      <c r="S11" s="10"/>
      <c r="T11" s="10"/>
      <c r="U11" s="10"/>
      <c r="V11" s="10"/>
      <c r="W11" s="10"/>
      <c r="X11" s="10"/>
      <c r="Y11" s="10"/>
      <c r="Z11" s="10"/>
    </row>
    <row r="12" spans="1:26" x14ac:dyDescent="0.2">
      <c r="A12" s="10"/>
      <c r="B12" s="10"/>
      <c r="C12" s="10"/>
      <c r="D12" s="26"/>
      <c r="E12" s="48" t="s">
        <v>78</v>
      </c>
      <c r="F12" s="49"/>
      <c r="G12" s="10"/>
      <c r="H12" s="10"/>
      <c r="I12" s="10"/>
      <c r="J12" s="10"/>
      <c r="K12" s="10"/>
      <c r="L12" s="10"/>
      <c r="M12" s="10">
        <v>0</v>
      </c>
      <c r="N12" s="10">
        <v>0</v>
      </c>
      <c r="O12" s="10">
        <v>0</v>
      </c>
      <c r="P12" s="10">
        <v>0</v>
      </c>
      <c r="Q12" s="10">
        <v>0</v>
      </c>
      <c r="R12" s="10">
        <v>0</v>
      </c>
      <c r="S12" s="10"/>
      <c r="T12" s="10"/>
      <c r="U12" s="10"/>
      <c r="V12" s="10"/>
      <c r="W12" s="10"/>
      <c r="X12" s="10"/>
      <c r="Y12" s="10"/>
      <c r="Z12" s="10"/>
    </row>
    <row r="13" spans="1:26" ht="12.75" customHeight="1" x14ac:dyDescent="0.2">
      <c r="A13" s="10"/>
      <c r="B13" s="10"/>
      <c r="C13" s="10"/>
      <c r="D13" s="10"/>
      <c r="E13" s="28" t="s">
        <v>85</v>
      </c>
      <c r="F13" s="29"/>
      <c r="G13" s="10"/>
      <c r="H13" s="10"/>
      <c r="I13" s="10"/>
      <c r="J13" s="10"/>
      <c r="K13" s="10"/>
      <c r="L13" s="10"/>
      <c r="M13" s="10">
        <v>0</v>
      </c>
      <c r="N13" s="10">
        <v>0</v>
      </c>
      <c r="O13" s="10">
        <v>0</v>
      </c>
      <c r="P13" s="10">
        <v>0</v>
      </c>
      <c r="Q13" s="10">
        <v>0</v>
      </c>
      <c r="R13" s="10">
        <v>0</v>
      </c>
      <c r="S13" s="10"/>
      <c r="T13" s="10"/>
      <c r="U13" s="10"/>
      <c r="V13" s="10"/>
      <c r="W13" s="10"/>
      <c r="X13" s="10"/>
      <c r="Y13" s="10"/>
      <c r="Z13" s="10"/>
    </row>
    <row r="14" spans="1:26" x14ac:dyDescent="0.2">
      <c r="A14" s="10"/>
      <c r="B14" s="10"/>
      <c r="C14" s="10"/>
      <c r="D14" s="26"/>
      <c r="E14" s="48" t="s">
        <v>89</v>
      </c>
      <c r="F14" s="49"/>
      <c r="G14" s="10"/>
      <c r="H14" s="10"/>
      <c r="I14" s="10"/>
      <c r="J14" s="10"/>
      <c r="K14" s="10"/>
      <c r="L14" s="10"/>
      <c r="M14" s="10">
        <v>0</v>
      </c>
      <c r="N14" s="10">
        <v>0</v>
      </c>
      <c r="O14" s="10">
        <v>0</v>
      </c>
      <c r="P14" s="10">
        <v>0</v>
      </c>
      <c r="Q14" s="10">
        <v>0</v>
      </c>
      <c r="R14" s="10">
        <v>0</v>
      </c>
      <c r="S14" s="10"/>
      <c r="T14" s="10"/>
      <c r="U14" s="10"/>
      <c r="V14" s="10"/>
      <c r="W14" s="10"/>
      <c r="X14" s="10"/>
      <c r="Y14" s="10"/>
      <c r="Z14" s="10"/>
    </row>
    <row r="15" spans="1:26" ht="15" customHeight="1" x14ac:dyDescent="0.2">
      <c r="A15" s="10"/>
      <c r="B15" s="10"/>
      <c r="C15" s="10"/>
      <c r="D15" s="10"/>
      <c r="E15" s="28" t="s">
        <v>93</v>
      </c>
      <c r="F15" s="29"/>
      <c r="G15" s="10"/>
      <c r="H15" s="10"/>
      <c r="I15" s="10"/>
      <c r="J15" s="10"/>
      <c r="K15" s="10"/>
      <c r="L15" s="10"/>
      <c r="M15" s="10">
        <v>0</v>
      </c>
      <c r="N15" s="10">
        <v>0</v>
      </c>
      <c r="O15" s="10">
        <v>0</v>
      </c>
      <c r="P15" s="10">
        <v>0</v>
      </c>
      <c r="Q15" s="10">
        <v>0</v>
      </c>
      <c r="R15" s="10">
        <v>0</v>
      </c>
      <c r="S15" s="10"/>
      <c r="T15" s="10"/>
      <c r="U15" s="10"/>
      <c r="V15" s="10"/>
      <c r="W15" s="10"/>
      <c r="X15" s="10"/>
      <c r="Y15" s="10"/>
      <c r="Z15" s="10"/>
    </row>
    <row r="16" spans="1:26" x14ac:dyDescent="0.2">
      <c r="A16" s="10"/>
      <c r="B16" s="10"/>
      <c r="C16" s="10"/>
      <c r="D16" s="10"/>
      <c r="E16" s="48" t="s">
        <v>96</v>
      </c>
      <c r="F16" s="49"/>
      <c r="G16" s="10"/>
      <c r="H16" s="10"/>
      <c r="I16" s="10"/>
      <c r="J16" s="10"/>
      <c r="K16" s="10"/>
      <c r="L16" s="10"/>
      <c r="M16" s="10"/>
      <c r="N16" s="10"/>
      <c r="O16" s="10"/>
      <c r="P16" s="10"/>
      <c r="Q16" s="10"/>
      <c r="R16" s="10"/>
      <c r="S16" s="10"/>
      <c r="T16" s="10"/>
      <c r="U16" s="10"/>
      <c r="V16" s="10"/>
      <c r="W16" s="10"/>
      <c r="X16" s="10"/>
      <c r="Y16" s="10"/>
      <c r="Z16" s="10"/>
    </row>
    <row r="17" spans="1:26" ht="15" customHeight="1" x14ac:dyDescent="0.2">
      <c r="A17" s="10"/>
      <c r="B17" s="10"/>
      <c r="C17" s="10"/>
      <c r="D17" s="10"/>
      <c r="E17" s="28" t="s">
        <v>100</v>
      </c>
      <c r="F17" s="29"/>
      <c r="G17" s="10"/>
      <c r="H17" s="10"/>
      <c r="I17" s="10"/>
      <c r="J17" s="10"/>
      <c r="K17" s="10"/>
      <c r="L17" s="10"/>
      <c r="M17" s="10"/>
      <c r="N17" s="10"/>
      <c r="O17" s="10"/>
      <c r="P17" s="10"/>
      <c r="Q17" s="10"/>
      <c r="R17" s="10"/>
      <c r="S17" s="10"/>
      <c r="T17" s="10"/>
      <c r="U17" s="10"/>
      <c r="V17" s="10"/>
      <c r="W17" s="10"/>
      <c r="X17" s="10"/>
      <c r="Y17" s="10"/>
      <c r="Z17" s="10"/>
    </row>
    <row r="18" spans="1:26" x14ac:dyDescent="0.2">
      <c r="A18" s="10"/>
      <c r="B18" s="10"/>
      <c r="C18" s="10"/>
      <c r="D18" s="10"/>
      <c r="E18" s="48" t="s">
        <v>105</v>
      </c>
      <c r="F18" s="49"/>
      <c r="G18" s="10"/>
      <c r="H18" s="10"/>
      <c r="I18" s="10"/>
      <c r="J18" s="10"/>
      <c r="K18" s="10"/>
      <c r="L18" s="10"/>
      <c r="M18" s="10"/>
      <c r="N18" s="10"/>
      <c r="O18" s="10"/>
      <c r="P18" s="10"/>
      <c r="Q18" s="10"/>
      <c r="R18" s="10"/>
      <c r="S18" s="10"/>
      <c r="T18" s="10"/>
      <c r="U18" s="10"/>
      <c r="V18" s="10"/>
      <c r="W18" s="10"/>
      <c r="X18" s="10"/>
      <c r="Y18" s="10"/>
      <c r="Z18" s="10"/>
    </row>
    <row r="19" spans="1:26" ht="15" customHeight="1" x14ac:dyDescent="0.2">
      <c r="A19" s="10"/>
      <c r="B19" s="10"/>
      <c r="C19" s="10"/>
      <c r="D19" s="10"/>
      <c r="E19" s="28" t="s">
        <v>109</v>
      </c>
      <c r="F19" s="29"/>
      <c r="G19" s="10"/>
      <c r="H19" s="10"/>
      <c r="I19" s="10"/>
      <c r="J19" s="10"/>
      <c r="K19" s="10"/>
      <c r="L19" s="10"/>
      <c r="M19" s="10"/>
      <c r="N19" s="10"/>
      <c r="O19" s="10"/>
      <c r="P19" s="10"/>
      <c r="Q19" s="10"/>
      <c r="R19" s="10"/>
      <c r="S19" s="10"/>
      <c r="T19" s="10"/>
      <c r="U19" s="10"/>
      <c r="V19" s="10"/>
      <c r="W19" s="10"/>
      <c r="X19" s="10"/>
      <c r="Y19" s="10"/>
      <c r="Z19" s="10"/>
    </row>
    <row r="20" spans="1:26" x14ac:dyDescent="0.2">
      <c r="A20" s="10"/>
      <c r="B20" s="10"/>
      <c r="C20" s="10"/>
      <c r="D20" s="10"/>
      <c r="E20" s="48" t="s">
        <v>111</v>
      </c>
      <c r="F20" s="49"/>
      <c r="G20" s="10"/>
      <c r="H20" s="10"/>
      <c r="I20" s="10"/>
      <c r="J20" s="10"/>
      <c r="K20" s="10"/>
      <c r="L20" s="10"/>
      <c r="M20" s="10"/>
      <c r="N20" s="10"/>
      <c r="O20" s="10"/>
      <c r="P20" s="10"/>
      <c r="Q20" s="10"/>
      <c r="R20" s="10"/>
      <c r="S20" s="10"/>
      <c r="T20" s="10"/>
      <c r="U20" s="10"/>
      <c r="V20" s="10"/>
      <c r="W20" s="10"/>
      <c r="X20" s="10"/>
      <c r="Y20" s="10"/>
      <c r="Z20" s="10"/>
    </row>
    <row r="21" spans="1:26" ht="15" customHeight="1" x14ac:dyDescent="0.2">
      <c r="A21" s="10"/>
      <c r="B21" s="10"/>
      <c r="C21" s="10"/>
      <c r="D21" s="10"/>
      <c r="E21" s="28" t="s">
        <v>116</v>
      </c>
      <c r="F21" s="29"/>
      <c r="G21" s="10"/>
      <c r="H21" s="10"/>
      <c r="I21" s="10"/>
      <c r="J21" s="10"/>
      <c r="K21" s="10"/>
      <c r="L21" s="10"/>
      <c r="M21" s="10">
        <v>0</v>
      </c>
      <c r="N21" s="10">
        <v>0</v>
      </c>
      <c r="O21" s="10">
        <v>0</v>
      </c>
      <c r="P21" s="10">
        <v>0</v>
      </c>
      <c r="Q21" s="10">
        <v>0</v>
      </c>
      <c r="R21" s="10">
        <v>0</v>
      </c>
      <c r="S21" s="10"/>
      <c r="T21" s="10"/>
      <c r="U21" s="10"/>
      <c r="V21" s="10"/>
      <c r="W21" s="10"/>
      <c r="X21" s="10"/>
      <c r="Y21" s="10"/>
      <c r="Z21" s="10"/>
    </row>
    <row r="22" spans="1:26" ht="15.75" customHeight="1" x14ac:dyDescent="0.2">
      <c r="A22" s="10"/>
      <c r="B22" s="10"/>
      <c r="C22" s="10"/>
      <c r="D22" s="10"/>
      <c r="E22" s="48" t="s">
        <v>117</v>
      </c>
      <c r="F22" s="49"/>
      <c r="G22" s="10"/>
      <c r="H22" s="10"/>
      <c r="I22" s="10"/>
      <c r="J22" s="10"/>
      <c r="K22" s="10"/>
      <c r="L22" s="10"/>
      <c r="M22" s="10"/>
      <c r="N22" s="10"/>
      <c r="O22" s="10"/>
      <c r="P22" s="10"/>
      <c r="Q22" s="10"/>
      <c r="R22" s="10"/>
      <c r="S22" s="10"/>
      <c r="T22" s="10"/>
      <c r="U22" s="10"/>
      <c r="V22" s="10"/>
      <c r="W22" s="10"/>
      <c r="X22" s="10"/>
      <c r="Y22" s="10"/>
      <c r="Z22" s="10"/>
    </row>
    <row r="23" spans="1:26" ht="15" customHeight="1" x14ac:dyDescent="0.2">
      <c r="A23" s="10"/>
      <c r="B23" s="10"/>
      <c r="C23" s="10"/>
      <c r="D23" s="10"/>
      <c r="E23" s="28" t="s">
        <v>120</v>
      </c>
      <c r="F23" s="29"/>
      <c r="G23" s="10"/>
      <c r="H23" s="10"/>
      <c r="I23" s="10"/>
      <c r="J23" s="10"/>
      <c r="K23" s="10"/>
      <c r="L23" s="10"/>
      <c r="M23" s="10"/>
      <c r="N23" s="10"/>
      <c r="O23" s="10"/>
      <c r="P23" s="10"/>
      <c r="Q23" s="10"/>
      <c r="R23" s="10"/>
      <c r="S23" s="10"/>
      <c r="T23" s="10"/>
      <c r="U23" s="10"/>
      <c r="V23" s="10"/>
      <c r="W23" s="10"/>
      <c r="X23" s="10"/>
      <c r="Y23" s="10"/>
      <c r="Z23" s="10"/>
    </row>
    <row r="24" spans="1:26" ht="15.75" customHeight="1" x14ac:dyDescent="0.2">
      <c r="A24" s="10"/>
      <c r="B24" s="10"/>
      <c r="C24" s="10"/>
      <c r="D24" s="10"/>
      <c r="E24" s="48" t="s">
        <v>122</v>
      </c>
      <c r="F24" s="49"/>
      <c r="G24" s="10"/>
      <c r="H24" s="10"/>
      <c r="I24" s="10"/>
      <c r="J24" s="10"/>
      <c r="K24" s="10"/>
      <c r="L24" s="10"/>
      <c r="M24" s="10"/>
      <c r="N24" s="10"/>
      <c r="O24" s="10"/>
      <c r="P24" s="10"/>
      <c r="Q24" s="10"/>
      <c r="R24" s="10"/>
      <c r="S24" s="10"/>
      <c r="T24" s="10"/>
      <c r="U24" s="10"/>
      <c r="V24" s="10"/>
      <c r="W24" s="10"/>
      <c r="X24" s="10"/>
      <c r="Y24" s="10"/>
      <c r="Z24" s="10"/>
    </row>
    <row r="25" spans="1:26" ht="15.75" customHeight="1" x14ac:dyDescent="0.2">
      <c r="A25" s="10"/>
      <c r="B25" s="10"/>
      <c r="C25" s="10"/>
      <c r="D25" s="10"/>
      <c r="E25" s="10"/>
      <c r="F25" s="11"/>
      <c r="G25" s="10"/>
      <c r="H25" s="10"/>
      <c r="I25" s="10"/>
      <c r="J25" s="10"/>
      <c r="K25" s="10"/>
      <c r="L25" s="10"/>
      <c r="M25" s="10"/>
      <c r="N25" s="10"/>
      <c r="O25" s="10"/>
      <c r="P25" s="10"/>
      <c r="Q25" s="10"/>
      <c r="R25" s="10"/>
      <c r="S25" s="10"/>
      <c r="T25" s="10"/>
      <c r="U25" s="10"/>
      <c r="V25" s="10"/>
      <c r="W25" s="10"/>
      <c r="X25" s="10"/>
      <c r="Y25" s="10"/>
      <c r="Z25" s="10"/>
    </row>
    <row r="26" spans="1:26" ht="15.75" customHeight="1" x14ac:dyDescent="0.25">
      <c r="A26" s="10"/>
      <c r="B26" s="10"/>
      <c r="C26" s="10"/>
      <c r="D26" s="27" t="s">
        <v>127</v>
      </c>
      <c r="E26" s="10"/>
      <c r="F26" s="29"/>
      <c r="G26" s="10"/>
      <c r="H26" s="10"/>
      <c r="I26" s="10"/>
      <c r="J26" s="10"/>
      <c r="K26" s="10"/>
      <c r="L26" s="10"/>
      <c r="M26" s="10"/>
      <c r="N26" s="10"/>
      <c r="O26" s="10"/>
      <c r="P26" s="10"/>
      <c r="Q26" s="10"/>
      <c r="R26" s="10"/>
      <c r="S26" s="10"/>
      <c r="T26" s="10"/>
      <c r="U26" s="10"/>
      <c r="V26" s="10"/>
      <c r="W26" s="10"/>
      <c r="X26" s="10"/>
      <c r="Y26" s="10"/>
      <c r="Z26" s="10"/>
    </row>
    <row r="27" spans="1:26" ht="15.75" customHeight="1" x14ac:dyDescent="0.2">
      <c r="A27" s="10"/>
      <c r="B27" s="10"/>
      <c r="C27" s="10"/>
      <c r="D27" s="26" t="s">
        <v>129</v>
      </c>
      <c r="E27" s="10"/>
      <c r="F27" s="11"/>
      <c r="G27" s="10"/>
      <c r="H27" s="10"/>
      <c r="I27" s="10"/>
      <c r="J27" s="10"/>
      <c r="K27" s="10"/>
      <c r="L27" s="10"/>
      <c r="M27" s="10"/>
      <c r="N27" s="10"/>
      <c r="O27" s="10"/>
      <c r="P27" s="10"/>
      <c r="Q27" s="10"/>
      <c r="R27" s="10"/>
      <c r="S27" s="10"/>
      <c r="T27" s="10"/>
      <c r="U27" s="10"/>
      <c r="V27" s="10"/>
      <c r="W27" s="10"/>
      <c r="X27" s="10"/>
      <c r="Y27" s="10"/>
      <c r="Z27" s="10"/>
    </row>
    <row r="28" spans="1:26" ht="30.75" customHeight="1" x14ac:dyDescent="0.2">
      <c r="A28" s="10"/>
      <c r="B28" s="10"/>
      <c r="C28" s="10"/>
      <c r="D28" s="10"/>
      <c r="E28" s="48" t="s">
        <v>132</v>
      </c>
      <c r="F28" s="49"/>
      <c r="G28" s="10"/>
      <c r="H28" s="10"/>
      <c r="I28" s="10"/>
      <c r="J28" s="10"/>
      <c r="K28" s="10"/>
      <c r="L28" s="10"/>
      <c r="M28" s="10"/>
      <c r="N28" s="10"/>
      <c r="O28" s="10"/>
      <c r="P28" s="10"/>
      <c r="Q28" s="10"/>
      <c r="R28" s="10"/>
      <c r="S28" s="10"/>
      <c r="T28" s="10"/>
      <c r="U28" s="10"/>
      <c r="V28" s="10"/>
      <c r="W28" s="10"/>
      <c r="X28" s="10"/>
      <c r="Y28" s="10"/>
      <c r="Z28" s="10"/>
    </row>
    <row r="29" spans="1:26" ht="18.75" customHeight="1" x14ac:dyDescent="0.2">
      <c r="A29" s="10"/>
      <c r="B29" s="10"/>
      <c r="C29" s="10"/>
      <c r="D29" s="10"/>
      <c r="E29" s="10"/>
      <c r="F29" s="30"/>
      <c r="G29" s="10"/>
      <c r="H29" s="10"/>
      <c r="I29" s="10"/>
      <c r="J29" s="10"/>
      <c r="K29" s="10"/>
      <c r="L29" s="10"/>
      <c r="M29" s="10">
        <v>0</v>
      </c>
      <c r="N29" s="10">
        <v>0</v>
      </c>
      <c r="O29" s="10">
        <v>0</v>
      </c>
      <c r="P29" s="10">
        <v>0</v>
      </c>
      <c r="Q29" s="10">
        <v>0</v>
      </c>
      <c r="R29" s="10">
        <v>0</v>
      </c>
      <c r="S29" s="10"/>
      <c r="T29" s="10"/>
      <c r="U29" s="10"/>
      <c r="V29" s="10"/>
      <c r="W29" s="10"/>
      <c r="X29" s="10"/>
      <c r="Y29" s="10"/>
      <c r="Z29" s="10"/>
    </row>
    <row r="30" spans="1:26" ht="15.75" customHeight="1" x14ac:dyDescent="0.2">
      <c r="A30" s="10"/>
      <c r="B30" s="10"/>
      <c r="C30" s="10"/>
      <c r="D30" s="10"/>
      <c r="E30" s="10"/>
      <c r="F30" s="30"/>
      <c r="G30" s="10"/>
      <c r="H30" s="10"/>
      <c r="I30" s="10"/>
      <c r="J30" s="10"/>
      <c r="K30" s="10"/>
      <c r="L30" s="10"/>
      <c r="M30" s="10"/>
      <c r="N30" s="10"/>
      <c r="O30" s="10"/>
      <c r="P30" s="10"/>
      <c r="Q30" s="10"/>
      <c r="R30" s="10"/>
      <c r="S30" s="10"/>
      <c r="T30" s="10"/>
      <c r="U30" s="10"/>
      <c r="V30" s="10"/>
      <c r="W30" s="10"/>
      <c r="X30" s="10"/>
      <c r="Y30" s="10"/>
      <c r="Z30" s="10"/>
    </row>
    <row r="31" spans="1:26" ht="33.75" customHeight="1" x14ac:dyDescent="0.25">
      <c r="A31" s="10"/>
      <c r="B31" s="10"/>
      <c r="C31" s="10"/>
      <c r="D31" s="31"/>
      <c r="E31" s="10"/>
      <c r="F31" s="11"/>
      <c r="G31" s="10"/>
      <c r="H31" s="10"/>
      <c r="I31" s="10"/>
      <c r="J31" s="10"/>
      <c r="K31" s="10"/>
      <c r="L31" s="10"/>
      <c r="M31" s="10"/>
      <c r="N31" s="10"/>
      <c r="O31" s="10"/>
      <c r="P31" s="10"/>
      <c r="Q31" s="10"/>
      <c r="R31" s="10"/>
      <c r="S31" s="10"/>
      <c r="T31" s="10"/>
      <c r="U31" s="10"/>
      <c r="V31" s="10"/>
      <c r="W31" s="10"/>
      <c r="X31" s="10"/>
      <c r="Y31" s="10"/>
      <c r="Z31" s="10"/>
    </row>
    <row r="32" spans="1:26" ht="58.5" customHeight="1" x14ac:dyDescent="0.25">
      <c r="A32" s="10"/>
      <c r="B32" s="10"/>
      <c r="C32" s="10"/>
      <c r="D32" s="31"/>
      <c r="E32" s="32"/>
      <c r="F32" s="32"/>
      <c r="G32" s="10"/>
      <c r="H32" s="10"/>
      <c r="I32" s="10"/>
      <c r="J32" s="10"/>
      <c r="K32" s="10"/>
      <c r="L32" s="10"/>
      <c r="M32" s="10"/>
      <c r="N32" s="10"/>
      <c r="O32" s="10"/>
      <c r="P32" s="10"/>
      <c r="Q32" s="10"/>
      <c r="R32" s="10"/>
      <c r="S32" s="10"/>
      <c r="T32" s="10"/>
      <c r="U32" s="10"/>
      <c r="V32" s="10"/>
      <c r="W32" s="10"/>
      <c r="X32" s="10"/>
      <c r="Y32" s="10"/>
      <c r="Z32" s="10"/>
    </row>
    <row r="33" spans="1:26" ht="58.5" customHeight="1" x14ac:dyDescent="0.25">
      <c r="A33" s="10"/>
      <c r="B33" s="10"/>
      <c r="C33" s="10"/>
      <c r="D33" s="31"/>
      <c r="E33" s="32"/>
      <c r="F33" s="32"/>
      <c r="G33" s="10"/>
      <c r="H33" s="10"/>
      <c r="I33" s="10"/>
      <c r="J33" s="10"/>
      <c r="K33" s="10"/>
      <c r="L33" s="10"/>
      <c r="M33" s="10"/>
      <c r="N33" s="10"/>
      <c r="O33" s="10"/>
      <c r="P33" s="10"/>
      <c r="Q33" s="10"/>
      <c r="R33" s="10"/>
      <c r="S33" s="10"/>
      <c r="T33" s="10"/>
      <c r="U33" s="10"/>
      <c r="V33" s="10"/>
      <c r="W33" s="10"/>
      <c r="X33" s="10"/>
      <c r="Y33" s="10"/>
      <c r="Z33" s="10"/>
    </row>
    <row r="34" spans="1:26" ht="58.5" customHeight="1" x14ac:dyDescent="0.25">
      <c r="A34" s="10"/>
      <c r="B34" s="10"/>
      <c r="C34" s="10"/>
      <c r="D34" s="31"/>
      <c r="E34" s="32"/>
      <c r="F34" s="32"/>
      <c r="G34" s="10"/>
      <c r="H34" s="10"/>
      <c r="I34" s="10"/>
      <c r="J34" s="10"/>
      <c r="K34" s="10"/>
      <c r="L34" s="10"/>
      <c r="M34" s="10"/>
      <c r="N34" s="10"/>
      <c r="O34" s="10"/>
      <c r="P34" s="10"/>
      <c r="Q34" s="10"/>
      <c r="R34" s="10"/>
      <c r="S34" s="10"/>
      <c r="T34" s="10"/>
      <c r="U34" s="10"/>
      <c r="V34" s="10"/>
      <c r="W34" s="10"/>
      <c r="X34" s="10"/>
      <c r="Y34" s="10"/>
      <c r="Z34" s="10"/>
    </row>
    <row r="35" spans="1:26" ht="58.5" customHeight="1" x14ac:dyDescent="0.25">
      <c r="A35" s="10"/>
      <c r="B35" s="10"/>
      <c r="C35" s="10"/>
      <c r="D35" s="31"/>
      <c r="E35" s="32"/>
      <c r="F35" s="32"/>
      <c r="G35" s="10"/>
      <c r="H35" s="10"/>
      <c r="I35" s="10"/>
      <c r="J35" s="10"/>
      <c r="K35" s="10"/>
      <c r="L35" s="10"/>
      <c r="M35" s="10"/>
      <c r="N35" s="10"/>
      <c r="O35" s="10"/>
      <c r="P35" s="10"/>
      <c r="Q35" s="10"/>
      <c r="R35" s="10"/>
      <c r="S35" s="10"/>
      <c r="T35" s="10"/>
      <c r="U35" s="10"/>
      <c r="V35" s="10"/>
      <c r="W35" s="10"/>
      <c r="X35" s="10"/>
      <c r="Y35" s="10"/>
      <c r="Z35" s="10"/>
    </row>
    <row r="36" spans="1:26" ht="58.5" customHeight="1" x14ac:dyDescent="0.25">
      <c r="A36" s="10"/>
      <c r="B36" s="10"/>
      <c r="C36" s="10"/>
      <c r="D36" s="31"/>
      <c r="E36" s="32"/>
      <c r="F36" s="32"/>
      <c r="G36" s="10"/>
      <c r="H36" s="10"/>
      <c r="I36" s="10"/>
      <c r="J36" s="10"/>
      <c r="K36" s="10"/>
      <c r="L36" s="10"/>
      <c r="M36" s="10"/>
      <c r="N36" s="10"/>
      <c r="O36" s="10"/>
      <c r="P36" s="10"/>
      <c r="Q36" s="10"/>
      <c r="R36" s="10"/>
      <c r="S36" s="10"/>
      <c r="T36" s="10"/>
      <c r="U36" s="10"/>
      <c r="V36" s="10"/>
      <c r="W36" s="10"/>
      <c r="X36" s="10"/>
      <c r="Y36" s="10"/>
      <c r="Z36" s="10"/>
    </row>
    <row r="37" spans="1:26" ht="18.75" customHeight="1" x14ac:dyDescent="0.25">
      <c r="A37" s="10"/>
      <c r="B37" s="10"/>
      <c r="C37" s="10"/>
      <c r="D37" s="31"/>
      <c r="E37" s="10"/>
      <c r="F37" s="30"/>
      <c r="G37" s="10"/>
      <c r="H37" s="10"/>
      <c r="I37" s="10"/>
      <c r="J37" s="10"/>
      <c r="K37" s="10"/>
      <c r="L37" s="10"/>
      <c r="M37" s="10"/>
      <c r="N37" s="10"/>
      <c r="O37" s="10"/>
      <c r="P37" s="10"/>
      <c r="Q37" s="10"/>
      <c r="R37" s="10"/>
      <c r="S37" s="10"/>
      <c r="T37" s="10"/>
      <c r="U37" s="10"/>
      <c r="V37" s="10"/>
      <c r="W37" s="10"/>
      <c r="X37" s="10"/>
      <c r="Y37" s="10"/>
      <c r="Z37" s="10"/>
    </row>
    <row r="38" spans="1:26" ht="18.75" customHeight="1" x14ac:dyDescent="0.2">
      <c r="A38" s="10"/>
      <c r="B38" s="10"/>
      <c r="C38" s="10"/>
      <c r="D38" s="26" t="s">
        <v>153</v>
      </c>
      <c r="E38" s="10"/>
      <c r="F38" s="30"/>
      <c r="G38" s="10"/>
      <c r="H38" s="10"/>
      <c r="I38" s="10"/>
      <c r="J38" s="10"/>
      <c r="K38" s="10"/>
      <c r="L38" s="10"/>
      <c r="M38" s="10"/>
      <c r="N38" s="10"/>
      <c r="O38" s="10"/>
      <c r="P38" s="10"/>
      <c r="Q38" s="10"/>
      <c r="R38" s="10"/>
      <c r="S38" s="10"/>
      <c r="T38" s="10"/>
      <c r="U38" s="10"/>
      <c r="V38" s="10"/>
      <c r="W38" s="10"/>
      <c r="X38" s="10"/>
      <c r="Y38" s="10"/>
      <c r="Z38" s="10"/>
    </row>
    <row r="39" spans="1:26" ht="31.5" customHeight="1" x14ac:dyDescent="0.2">
      <c r="A39" s="10"/>
      <c r="B39" s="10"/>
      <c r="C39" s="10"/>
      <c r="D39" s="10"/>
      <c r="E39" s="50" t="s">
        <v>156</v>
      </c>
      <c r="F39" s="49"/>
      <c r="G39" s="10"/>
      <c r="H39" s="10"/>
      <c r="I39" s="10"/>
      <c r="J39" s="10"/>
      <c r="K39" s="10"/>
      <c r="L39" s="10"/>
      <c r="M39" s="10"/>
      <c r="N39" s="10"/>
      <c r="O39" s="10"/>
      <c r="P39" s="10"/>
      <c r="Q39" s="10"/>
      <c r="R39" s="10"/>
      <c r="S39" s="10"/>
      <c r="T39" s="10"/>
      <c r="U39" s="10"/>
      <c r="V39" s="10"/>
      <c r="W39" s="10"/>
      <c r="X39" s="10"/>
      <c r="Y39" s="10"/>
      <c r="Z39" s="10"/>
    </row>
    <row r="40" spans="1:26" ht="12" customHeight="1" x14ac:dyDescent="0.2">
      <c r="A40" s="10"/>
      <c r="B40" s="10"/>
      <c r="C40" s="10"/>
      <c r="D40" s="10"/>
      <c r="E40" s="10"/>
      <c r="F40" s="11"/>
      <c r="G40" s="10"/>
      <c r="H40" s="10"/>
      <c r="I40" s="10"/>
      <c r="J40" s="10"/>
      <c r="K40" s="10"/>
      <c r="L40" s="10"/>
      <c r="M40" s="10">
        <v>0</v>
      </c>
      <c r="N40" s="10">
        <v>0</v>
      </c>
      <c r="O40" s="10">
        <v>0</v>
      </c>
      <c r="P40" s="10">
        <v>0</v>
      </c>
      <c r="Q40" s="10">
        <v>0</v>
      </c>
      <c r="R40" s="10">
        <v>0</v>
      </c>
      <c r="S40" s="10"/>
      <c r="T40" s="10"/>
      <c r="U40" s="10"/>
      <c r="V40" s="10"/>
      <c r="W40" s="10"/>
      <c r="X40" s="10"/>
      <c r="Y40" s="10"/>
      <c r="Z40" s="10"/>
    </row>
    <row r="41" spans="1:26" ht="15.75" customHeight="1" x14ac:dyDescent="0.2">
      <c r="A41" s="10"/>
      <c r="B41" s="10"/>
      <c r="C41" s="10"/>
      <c r="D41" s="10"/>
      <c r="E41" s="10"/>
      <c r="F41" s="11"/>
      <c r="G41" s="10"/>
      <c r="H41" s="10"/>
      <c r="I41" s="10"/>
      <c r="J41" s="10"/>
      <c r="K41" s="10"/>
      <c r="L41" s="10"/>
      <c r="M41" s="10">
        <v>0</v>
      </c>
      <c r="N41" s="10">
        <v>0</v>
      </c>
      <c r="O41" s="10">
        <v>0</v>
      </c>
      <c r="P41" s="10">
        <v>0</v>
      </c>
      <c r="Q41" s="10">
        <v>0</v>
      </c>
      <c r="R41" s="10">
        <v>0</v>
      </c>
      <c r="S41" s="10"/>
      <c r="T41" s="10"/>
      <c r="U41" s="10"/>
      <c r="V41" s="10"/>
      <c r="W41" s="10"/>
      <c r="X41" s="10"/>
      <c r="Y41" s="10"/>
      <c r="Z41" s="10"/>
    </row>
    <row r="42" spans="1:26" ht="15.75" customHeight="1" x14ac:dyDescent="0.2">
      <c r="A42" s="10"/>
      <c r="B42" s="10"/>
      <c r="C42" s="10"/>
      <c r="D42" s="10"/>
      <c r="E42" s="10"/>
      <c r="F42" s="11"/>
      <c r="G42" s="10"/>
      <c r="H42" s="10"/>
      <c r="I42" s="10"/>
      <c r="J42" s="10"/>
      <c r="K42" s="10"/>
      <c r="L42" s="10"/>
      <c r="M42" s="10"/>
      <c r="N42" s="10"/>
      <c r="O42" s="10"/>
      <c r="P42" s="10"/>
      <c r="Q42" s="10"/>
      <c r="R42" s="10"/>
      <c r="S42" s="10"/>
      <c r="T42" s="10"/>
      <c r="U42" s="10"/>
      <c r="V42" s="10"/>
      <c r="W42" s="10"/>
      <c r="X42" s="10"/>
      <c r="Y42" s="10"/>
      <c r="Z42" s="10"/>
    </row>
    <row r="43" spans="1:26" ht="28.5" customHeight="1" x14ac:dyDescent="0.2">
      <c r="A43" s="10"/>
      <c r="B43" s="10"/>
      <c r="C43" s="10"/>
      <c r="D43" s="10"/>
      <c r="E43" s="10"/>
      <c r="F43" s="11"/>
      <c r="G43" s="10"/>
      <c r="H43" s="10"/>
      <c r="I43" s="10"/>
      <c r="J43" s="10"/>
      <c r="K43" s="10"/>
      <c r="L43" s="10"/>
      <c r="M43" s="10"/>
      <c r="N43" s="10"/>
      <c r="O43" s="10"/>
      <c r="P43" s="10"/>
      <c r="Q43" s="10"/>
      <c r="R43" s="10"/>
      <c r="S43" s="10"/>
      <c r="T43" s="10"/>
      <c r="U43" s="10"/>
      <c r="V43" s="10"/>
      <c r="W43" s="10"/>
      <c r="X43" s="10"/>
      <c r="Y43" s="10"/>
      <c r="Z43" s="10"/>
    </row>
    <row r="44" spans="1:26" ht="15.75" customHeight="1" x14ac:dyDescent="0.2">
      <c r="A44" s="10"/>
      <c r="B44" s="10"/>
      <c r="C44" s="10"/>
      <c r="D44" s="10"/>
      <c r="E44" s="10"/>
      <c r="F44" s="11"/>
      <c r="G44" s="10"/>
      <c r="H44" s="10"/>
      <c r="I44" s="10"/>
      <c r="J44" s="10"/>
      <c r="K44" s="10"/>
      <c r="L44" s="10"/>
      <c r="M44" s="10"/>
      <c r="N44" s="10"/>
      <c r="O44" s="10"/>
      <c r="P44" s="10"/>
      <c r="Q44" s="10"/>
      <c r="R44" s="10"/>
      <c r="S44" s="10"/>
      <c r="T44" s="10"/>
      <c r="U44" s="10"/>
      <c r="V44" s="10"/>
      <c r="W44" s="10"/>
      <c r="X44" s="10"/>
      <c r="Y44" s="10"/>
      <c r="Z44" s="10"/>
    </row>
    <row r="45" spans="1:26" ht="15.75" customHeight="1" x14ac:dyDescent="0.2">
      <c r="A45" s="10"/>
      <c r="B45" s="10"/>
      <c r="C45" s="10"/>
      <c r="D45" s="10"/>
      <c r="E45" s="10"/>
      <c r="F45" s="11"/>
      <c r="G45" s="10"/>
      <c r="H45" s="10"/>
      <c r="I45" s="10"/>
      <c r="J45" s="10"/>
      <c r="K45" s="10"/>
      <c r="L45" s="10"/>
      <c r="M45" s="10"/>
      <c r="N45" s="10"/>
      <c r="O45" s="10"/>
      <c r="P45" s="10"/>
      <c r="Q45" s="10"/>
      <c r="R45" s="10"/>
      <c r="S45" s="10"/>
      <c r="T45" s="10"/>
      <c r="U45" s="10"/>
      <c r="V45" s="10"/>
      <c r="W45" s="10"/>
      <c r="X45" s="10"/>
      <c r="Y45" s="10"/>
      <c r="Z45" s="10"/>
    </row>
    <row r="46" spans="1:26" ht="15.75" customHeight="1" x14ac:dyDescent="0.2">
      <c r="A46" s="10"/>
      <c r="B46" s="10"/>
      <c r="C46" s="10"/>
      <c r="D46" s="10"/>
      <c r="E46" s="10"/>
      <c r="F46" s="11"/>
      <c r="G46" s="10"/>
      <c r="H46" s="10"/>
      <c r="I46" s="10"/>
      <c r="J46" s="10"/>
      <c r="K46" s="10"/>
      <c r="L46" s="10"/>
      <c r="M46" s="10"/>
      <c r="N46" s="10"/>
      <c r="O46" s="10"/>
      <c r="P46" s="10"/>
      <c r="Q46" s="10"/>
      <c r="R46" s="10"/>
      <c r="S46" s="10"/>
      <c r="T46" s="10"/>
      <c r="U46" s="10"/>
      <c r="V46" s="10"/>
      <c r="W46" s="10"/>
      <c r="X46" s="10"/>
      <c r="Y46" s="10"/>
      <c r="Z46" s="10"/>
    </row>
    <row r="47" spans="1:26" ht="15.75" customHeight="1" x14ac:dyDescent="0.2">
      <c r="A47" s="10"/>
      <c r="B47" s="10"/>
      <c r="C47" s="10"/>
      <c r="D47" s="10"/>
      <c r="E47" s="10"/>
      <c r="F47" s="11"/>
      <c r="G47" s="10"/>
      <c r="H47" s="10"/>
      <c r="I47" s="10"/>
      <c r="J47" s="10"/>
      <c r="K47" s="10"/>
      <c r="L47" s="10"/>
      <c r="M47" s="10"/>
      <c r="N47" s="10"/>
      <c r="O47" s="10"/>
      <c r="P47" s="10"/>
      <c r="Q47" s="10"/>
      <c r="R47" s="10"/>
      <c r="S47" s="10"/>
      <c r="T47" s="10"/>
      <c r="U47" s="10"/>
      <c r="V47" s="10"/>
      <c r="W47" s="10"/>
      <c r="X47" s="10"/>
      <c r="Y47" s="10"/>
      <c r="Z47" s="10"/>
    </row>
    <row r="48" spans="1:26" ht="15.75" customHeight="1" x14ac:dyDescent="0.2">
      <c r="A48" s="10"/>
      <c r="B48" s="10"/>
      <c r="C48" s="10"/>
      <c r="D48" s="10"/>
      <c r="E48" s="10"/>
      <c r="F48" s="11"/>
      <c r="G48" s="10"/>
      <c r="H48" s="10"/>
      <c r="I48" s="10"/>
      <c r="J48" s="10"/>
      <c r="K48" s="10"/>
      <c r="L48" s="10"/>
      <c r="M48" s="10"/>
      <c r="N48" s="10"/>
      <c r="O48" s="10"/>
      <c r="P48" s="10"/>
      <c r="Q48" s="10"/>
      <c r="R48" s="10"/>
      <c r="S48" s="10"/>
      <c r="T48" s="10"/>
      <c r="U48" s="10"/>
      <c r="V48" s="10"/>
      <c r="W48" s="10"/>
      <c r="X48" s="10"/>
      <c r="Y48" s="10"/>
      <c r="Z48" s="10"/>
    </row>
    <row r="49" spans="1:26" ht="15.75" customHeight="1" x14ac:dyDescent="0.2">
      <c r="A49" s="10"/>
      <c r="B49" s="10"/>
      <c r="C49" s="10"/>
      <c r="D49" s="10"/>
      <c r="E49" s="10"/>
      <c r="F49" s="11"/>
      <c r="G49" s="10"/>
      <c r="H49" s="10"/>
      <c r="I49" s="10"/>
      <c r="J49" s="10"/>
      <c r="K49" s="10"/>
      <c r="L49" s="10"/>
      <c r="M49" s="10"/>
      <c r="N49" s="10"/>
      <c r="O49" s="10"/>
      <c r="P49" s="10"/>
      <c r="Q49" s="10"/>
      <c r="R49" s="10"/>
      <c r="S49" s="10"/>
      <c r="T49" s="10"/>
      <c r="U49" s="10"/>
      <c r="V49" s="10"/>
      <c r="W49" s="10"/>
      <c r="X49" s="10"/>
      <c r="Y49" s="10"/>
      <c r="Z49" s="10"/>
    </row>
    <row r="50" spans="1:26" ht="15.75" customHeight="1" x14ac:dyDescent="0.2">
      <c r="A50" s="10"/>
      <c r="B50" s="10"/>
      <c r="C50" s="10"/>
      <c r="D50" s="10"/>
      <c r="E50" s="10"/>
      <c r="F50" s="11"/>
      <c r="G50" s="10"/>
      <c r="H50" s="10"/>
      <c r="I50" s="10"/>
      <c r="J50" s="10"/>
      <c r="K50" s="10"/>
      <c r="L50" s="10"/>
      <c r="M50" s="10"/>
      <c r="N50" s="10"/>
      <c r="O50" s="10"/>
      <c r="P50" s="10"/>
      <c r="Q50" s="10"/>
      <c r="R50" s="10"/>
      <c r="S50" s="10"/>
      <c r="T50" s="10"/>
      <c r="U50" s="10"/>
      <c r="V50" s="10"/>
      <c r="W50" s="10"/>
      <c r="X50" s="10"/>
      <c r="Y50" s="10"/>
      <c r="Z50" s="10"/>
    </row>
    <row r="51" spans="1:26" ht="15.75" customHeight="1" x14ac:dyDescent="0.2">
      <c r="A51" s="10"/>
      <c r="B51" s="10"/>
      <c r="C51" s="10"/>
      <c r="D51" s="10"/>
      <c r="E51" s="10"/>
      <c r="F51" s="11"/>
      <c r="G51" s="10"/>
      <c r="H51" s="10"/>
      <c r="I51" s="10"/>
      <c r="J51" s="10"/>
      <c r="K51" s="10"/>
      <c r="L51" s="10"/>
      <c r="M51" s="10"/>
      <c r="N51" s="10"/>
      <c r="O51" s="10"/>
      <c r="P51" s="10"/>
      <c r="Q51" s="10"/>
      <c r="R51" s="10"/>
      <c r="S51" s="10"/>
      <c r="T51" s="10"/>
      <c r="U51" s="10"/>
      <c r="V51" s="10"/>
      <c r="W51" s="10"/>
      <c r="X51" s="10"/>
      <c r="Y51" s="10"/>
      <c r="Z51" s="10"/>
    </row>
    <row r="52" spans="1:26" ht="15.75" customHeight="1" x14ac:dyDescent="0.2">
      <c r="A52" s="10"/>
      <c r="B52" s="10"/>
      <c r="C52" s="10"/>
      <c r="D52" s="10"/>
      <c r="E52" s="10"/>
      <c r="F52" s="11"/>
      <c r="G52" s="10"/>
      <c r="H52" s="10"/>
      <c r="I52" s="10"/>
      <c r="J52" s="10"/>
      <c r="K52" s="10"/>
      <c r="L52" s="10"/>
      <c r="M52" s="10"/>
      <c r="N52" s="10"/>
      <c r="O52" s="10"/>
      <c r="P52" s="10"/>
      <c r="Q52" s="10"/>
      <c r="R52" s="10"/>
      <c r="S52" s="10"/>
      <c r="T52" s="10"/>
      <c r="U52" s="10"/>
      <c r="V52" s="10"/>
      <c r="W52" s="10"/>
      <c r="X52" s="10"/>
      <c r="Y52" s="10"/>
      <c r="Z52" s="10"/>
    </row>
    <row r="53" spans="1:26" ht="15.75" customHeight="1" x14ac:dyDescent="0.2">
      <c r="A53" s="10"/>
      <c r="B53" s="10"/>
      <c r="C53" s="10"/>
      <c r="D53" s="10"/>
      <c r="E53" s="10"/>
      <c r="F53" s="11"/>
      <c r="G53" s="10"/>
      <c r="H53" s="10"/>
      <c r="I53" s="10"/>
      <c r="J53" s="10"/>
      <c r="K53" s="10"/>
      <c r="L53" s="10"/>
      <c r="M53" s="10"/>
      <c r="N53" s="10"/>
      <c r="O53" s="10"/>
      <c r="P53" s="10"/>
      <c r="Q53" s="10"/>
      <c r="R53" s="10"/>
      <c r="S53" s="10"/>
      <c r="T53" s="10"/>
      <c r="U53" s="10"/>
      <c r="V53" s="10"/>
      <c r="W53" s="10"/>
      <c r="X53" s="10"/>
      <c r="Y53" s="10"/>
      <c r="Z53" s="10"/>
    </row>
    <row r="54" spans="1:26" ht="15.75" customHeight="1" x14ac:dyDescent="0.2">
      <c r="A54" s="10"/>
      <c r="B54" s="10"/>
      <c r="C54" s="10"/>
      <c r="D54" s="10"/>
      <c r="E54" s="10"/>
      <c r="F54" s="11"/>
      <c r="G54" s="10"/>
      <c r="H54" s="10"/>
      <c r="I54" s="10"/>
      <c r="J54" s="10"/>
      <c r="K54" s="10"/>
      <c r="L54" s="10"/>
      <c r="M54" s="10"/>
      <c r="N54" s="10"/>
      <c r="O54" s="10"/>
      <c r="P54" s="10"/>
      <c r="Q54" s="10"/>
      <c r="R54" s="10"/>
      <c r="S54" s="10"/>
      <c r="T54" s="10"/>
      <c r="U54" s="10"/>
      <c r="V54" s="10"/>
      <c r="W54" s="10"/>
      <c r="X54" s="10"/>
      <c r="Y54" s="10"/>
      <c r="Z54" s="10"/>
    </row>
    <row r="55" spans="1:26" ht="15.75" customHeight="1" x14ac:dyDescent="0.2">
      <c r="A55" s="10"/>
      <c r="B55" s="10"/>
      <c r="C55" s="10"/>
      <c r="D55" s="10"/>
      <c r="E55" s="10"/>
      <c r="F55" s="11"/>
      <c r="G55" s="10"/>
      <c r="H55" s="10"/>
      <c r="I55" s="10"/>
      <c r="J55" s="10"/>
      <c r="K55" s="10"/>
      <c r="L55" s="10"/>
      <c r="M55" s="10"/>
      <c r="N55" s="10"/>
      <c r="O55" s="10"/>
      <c r="P55" s="10"/>
      <c r="Q55" s="10"/>
      <c r="R55" s="10"/>
      <c r="S55" s="10"/>
      <c r="T55" s="10"/>
      <c r="U55" s="10"/>
      <c r="V55" s="10"/>
      <c r="W55" s="10"/>
      <c r="X55" s="10"/>
      <c r="Y55" s="10"/>
      <c r="Z55" s="10"/>
    </row>
    <row r="56" spans="1:26" ht="15.75" customHeight="1" x14ac:dyDescent="0.2">
      <c r="A56" s="10"/>
      <c r="B56" s="10"/>
      <c r="C56" s="10"/>
      <c r="D56" s="10"/>
      <c r="E56" s="10"/>
      <c r="F56" s="11"/>
      <c r="G56" s="10"/>
      <c r="H56" s="10"/>
      <c r="I56" s="10"/>
      <c r="J56" s="10"/>
      <c r="K56" s="10"/>
      <c r="L56" s="10"/>
      <c r="M56" s="10"/>
      <c r="N56" s="10"/>
      <c r="O56" s="10"/>
      <c r="P56" s="10"/>
      <c r="Q56" s="10"/>
      <c r="R56" s="10"/>
      <c r="S56" s="10"/>
      <c r="T56" s="10"/>
      <c r="U56" s="10"/>
      <c r="V56" s="10"/>
      <c r="W56" s="10"/>
      <c r="X56" s="10"/>
      <c r="Y56" s="10"/>
      <c r="Z56" s="10"/>
    </row>
    <row r="57" spans="1:26" ht="15.75" customHeight="1" x14ac:dyDescent="0.2">
      <c r="A57" s="10"/>
      <c r="B57" s="10"/>
      <c r="C57" s="10"/>
      <c r="D57" s="10"/>
      <c r="E57" s="10"/>
      <c r="F57" s="11"/>
      <c r="G57" s="10"/>
      <c r="H57" s="10"/>
      <c r="I57" s="10"/>
      <c r="J57" s="10"/>
      <c r="K57" s="10"/>
      <c r="L57" s="10"/>
      <c r="M57" s="10"/>
      <c r="N57" s="10"/>
      <c r="O57" s="10"/>
      <c r="P57" s="10"/>
      <c r="Q57" s="10"/>
      <c r="R57" s="10"/>
      <c r="S57" s="10"/>
      <c r="T57" s="10"/>
      <c r="U57" s="10"/>
      <c r="V57" s="10"/>
      <c r="W57" s="10"/>
      <c r="X57" s="10"/>
      <c r="Y57" s="10"/>
      <c r="Z57" s="10"/>
    </row>
    <row r="58" spans="1:26" ht="15.75" customHeight="1" x14ac:dyDescent="0.2">
      <c r="A58" s="10"/>
      <c r="B58" s="10"/>
      <c r="C58" s="10"/>
      <c r="D58" s="10"/>
      <c r="E58" s="10"/>
      <c r="F58" s="11"/>
      <c r="G58" s="10"/>
      <c r="H58" s="10"/>
      <c r="I58" s="10"/>
      <c r="J58" s="10"/>
      <c r="K58" s="10"/>
      <c r="L58" s="10"/>
      <c r="M58" s="10"/>
      <c r="N58" s="10"/>
      <c r="O58" s="10"/>
      <c r="P58" s="10"/>
      <c r="Q58" s="10"/>
      <c r="R58" s="10"/>
      <c r="S58" s="10"/>
      <c r="T58" s="10"/>
      <c r="U58" s="10"/>
      <c r="V58" s="10"/>
      <c r="W58" s="10"/>
      <c r="X58" s="10"/>
      <c r="Y58" s="10"/>
      <c r="Z58" s="10"/>
    </row>
    <row r="59" spans="1:26" ht="15.75" customHeight="1" x14ac:dyDescent="0.2">
      <c r="A59" s="10"/>
      <c r="B59" s="10"/>
      <c r="C59" s="10"/>
      <c r="D59" s="10"/>
      <c r="E59" s="10"/>
      <c r="F59" s="11"/>
      <c r="G59" s="10"/>
      <c r="H59" s="10"/>
      <c r="I59" s="10"/>
      <c r="J59" s="10"/>
      <c r="K59" s="10"/>
      <c r="L59" s="10"/>
      <c r="M59" s="10"/>
      <c r="N59" s="10"/>
      <c r="O59" s="10"/>
      <c r="P59" s="10"/>
      <c r="Q59" s="10"/>
      <c r="R59" s="10"/>
      <c r="S59" s="10"/>
      <c r="T59" s="10"/>
      <c r="U59" s="10"/>
      <c r="V59" s="10"/>
      <c r="W59" s="10"/>
      <c r="X59" s="10"/>
      <c r="Y59" s="10"/>
      <c r="Z59" s="10"/>
    </row>
    <row r="60" spans="1:26" ht="15.75" customHeight="1" x14ac:dyDescent="0.2">
      <c r="A60" s="10"/>
      <c r="B60" s="10"/>
      <c r="C60" s="10"/>
      <c r="D60" s="10"/>
      <c r="E60" s="10"/>
      <c r="F60" s="11"/>
      <c r="G60" s="10"/>
      <c r="H60" s="10"/>
      <c r="I60" s="10"/>
      <c r="J60" s="10"/>
      <c r="K60" s="10"/>
      <c r="L60" s="10"/>
      <c r="M60" s="10"/>
      <c r="N60" s="10"/>
      <c r="O60" s="10"/>
      <c r="P60" s="10"/>
      <c r="Q60" s="10"/>
      <c r="R60" s="10"/>
      <c r="S60" s="10"/>
      <c r="T60" s="10"/>
      <c r="U60" s="10"/>
      <c r="V60" s="10"/>
      <c r="W60" s="10"/>
      <c r="X60" s="10"/>
      <c r="Y60" s="10"/>
      <c r="Z60" s="10"/>
    </row>
    <row r="61" spans="1:26" ht="15.75" customHeight="1" x14ac:dyDescent="0.2">
      <c r="A61" s="10"/>
      <c r="B61" s="10"/>
      <c r="C61" s="10"/>
      <c r="D61" s="10"/>
      <c r="E61" s="10"/>
      <c r="F61" s="11"/>
      <c r="G61" s="10"/>
      <c r="H61" s="10"/>
      <c r="I61" s="10"/>
      <c r="J61" s="10"/>
      <c r="K61" s="10"/>
      <c r="L61" s="10"/>
      <c r="M61" s="10"/>
      <c r="N61" s="10"/>
      <c r="O61" s="10"/>
      <c r="P61" s="10"/>
      <c r="Q61" s="10"/>
      <c r="R61" s="10"/>
      <c r="S61" s="10"/>
      <c r="T61" s="10"/>
      <c r="U61" s="10"/>
      <c r="V61" s="10"/>
      <c r="W61" s="10"/>
      <c r="X61" s="10"/>
      <c r="Y61" s="10"/>
      <c r="Z61" s="10"/>
    </row>
    <row r="62" spans="1:26" ht="15.75" customHeight="1" x14ac:dyDescent="0.2">
      <c r="A62" s="10"/>
      <c r="B62" s="10"/>
      <c r="C62" s="10"/>
      <c r="D62" s="10"/>
      <c r="E62" s="10"/>
      <c r="F62" s="11"/>
      <c r="G62" s="10"/>
      <c r="H62" s="10"/>
      <c r="I62" s="10"/>
      <c r="J62" s="10"/>
      <c r="K62" s="10"/>
      <c r="L62" s="10"/>
      <c r="M62" s="10"/>
      <c r="N62" s="10"/>
      <c r="O62" s="10"/>
      <c r="P62" s="10"/>
      <c r="Q62" s="10"/>
      <c r="R62" s="10"/>
      <c r="S62" s="10"/>
      <c r="T62" s="10"/>
      <c r="U62" s="10"/>
      <c r="V62" s="10"/>
      <c r="W62" s="10"/>
      <c r="X62" s="10"/>
      <c r="Y62" s="10"/>
      <c r="Z62" s="10"/>
    </row>
    <row r="63" spans="1:26" ht="15.75" customHeight="1" x14ac:dyDescent="0.2">
      <c r="A63" s="10"/>
      <c r="B63" s="10"/>
      <c r="C63" s="10"/>
      <c r="D63" s="10"/>
      <c r="E63" s="10"/>
      <c r="F63" s="11"/>
      <c r="G63" s="10"/>
      <c r="H63" s="10"/>
      <c r="I63" s="10"/>
      <c r="J63" s="10"/>
      <c r="K63" s="10"/>
      <c r="L63" s="10"/>
      <c r="M63" s="10"/>
      <c r="N63" s="10"/>
      <c r="O63" s="10"/>
      <c r="P63" s="10"/>
      <c r="Q63" s="10"/>
      <c r="R63" s="10"/>
      <c r="S63" s="10"/>
      <c r="T63" s="10"/>
      <c r="U63" s="10"/>
      <c r="V63" s="10"/>
      <c r="W63" s="10"/>
      <c r="X63" s="10"/>
      <c r="Y63" s="10"/>
      <c r="Z63" s="10"/>
    </row>
    <row r="64" spans="1:26" ht="15.75" customHeight="1" x14ac:dyDescent="0.2">
      <c r="A64" s="10"/>
      <c r="B64" s="10"/>
      <c r="C64" s="10"/>
      <c r="D64" s="10"/>
      <c r="E64" s="10"/>
      <c r="F64" s="11"/>
      <c r="G64" s="10"/>
      <c r="H64" s="10"/>
      <c r="I64" s="10"/>
      <c r="J64" s="10"/>
      <c r="K64" s="10"/>
      <c r="L64" s="10"/>
      <c r="M64" s="10"/>
      <c r="N64" s="10"/>
      <c r="O64" s="10"/>
      <c r="P64" s="10"/>
      <c r="Q64" s="10"/>
      <c r="R64" s="10"/>
      <c r="S64" s="10"/>
      <c r="T64" s="10"/>
      <c r="U64" s="10"/>
      <c r="V64" s="10"/>
      <c r="W64" s="10"/>
      <c r="X64" s="10"/>
      <c r="Y64" s="10"/>
      <c r="Z64" s="10"/>
    </row>
    <row r="65" spans="1:26" ht="15.75" customHeight="1" x14ac:dyDescent="0.2">
      <c r="A65" s="10"/>
      <c r="B65" s="10"/>
      <c r="C65" s="10"/>
      <c r="D65" s="10"/>
      <c r="E65" s="10"/>
      <c r="F65" s="11"/>
      <c r="G65" s="10"/>
      <c r="H65" s="10"/>
      <c r="I65" s="10"/>
      <c r="J65" s="10"/>
      <c r="K65" s="10"/>
      <c r="L65" s="10"/>
      <c r="M65" s="10"/>
      <c r="N65" s="10"/>
      <c r="O65" s="10"/>
      <c r="P65" s="10"/>
      <c r="Q65" s="10"/>
      <c r="R65" s="10"/>
      <c r="S65" s="10"/>
      <c r="T65" s="10"/>
      <c r="U65" s="10"/>
      <c r="V65" s="10"/>
      <c r="W65" s="10"/>
      <c r="X65" s="10"/>
      <c r="Y65" s="10"/>
      <c r="Z65" s="10"/>
    </row>
    <row r="66" spans="1:26" ht="15.75" customHeight="1" x14ac:dyDescent="0.2">
      <c r="A66" s="10"/>
      <c r="B66" s="10"/>
      <c r="C66" s="10"/>
      <c r="D66" s="10"/>
      <c r="E66" s="10"/>
      <c r="F66" s="11"/>
      <c r="G66" s="10"/>
      <c r="H66" s="10"/>
      <c r="I66" s="10"/>
      <c r="J66" s="10"/>
      <c r="K66" s="10"/>
      <c r="L66" s="10"/>
      <c r="M66" s="10"/>
      <c r="N66" s="10"/>
      <c r="O66" s="10"/>
      <c r="P66" s="10"/>
      <c r="Q66" s="10"/>
      <c r="R66" s="10"/>
      <c r="S66" s="10"/>
      <c r="T66" s="10"/>
      <c r="U66" s="10"/>
      <c r="V66" s="10"/>
      <c r="W66" s="10"/>
      <c r="X66" s="10"/>
      <c r="Y66" s="10"/>
      <c r="Z66" s="10"/>
    </row>
    <row r="67" spans="1:26" ht="15.75" customHeight="1" x14ac:dyDescent="0.2">
      <c r="A67" s="10"/>
      <c r="B67" s="10"/>
      <c r="C67" s="10"/>
      <c r="D67" s="10"/>
      <c r="E67" s="10"/>
      <c r="F67" s="11"/>
      <c r="G67" s="10"/>
      <c r="H67" s="10"/>
      <c r="I67" s="10"/>
      <c r="J67" s="10"/>
      <c r="K67" s="10"/>
      <c r="L67" s="10"/>
      <c r="M67" s="10"/>
      <c r="N67" s="10"/>
      <c r="O67" s="10"/>
      <c r="P67" s="10"/>
      <c r="Q67" s="10"/>
      <c r="R67" s="10"/>
      <c r="S67" s="10"/>
      <c r="T67" s="10"/>
      <c r="U67" s="10"/>
      <c r="V67" s="10"/>
      <c r="W67" s="10"/>
      <c r="X67" s="10"/>
      <c r="Y67" s="10"/>
      <c r="Z67" s="10"/>
    </row>
    <row r="68" spans="1:26" ht="15.75" customHeight="1" x14ac:dyDescent="0.2">
      <c r="A68" s="10"/>
      <c r="B68" s="10"/>
      <c r="C68" s="10"/>
      <c r="D68" s="10"/>
      <c r="E68" s="10"/>
      <c r="F68" s="11"/>
      <c r="G68" s="10"/>
      <c r="H68" s="10"/>
      <c r="I68" s="10"/>
      <c r="J68" s="10"/>
      <c r="K68" s="10"/>
      <c r="L68" s="10"/>
      <c r="M68" s="10"/>
      <c r="N68" s="10"/>
      <c r="O68" s="10"/>
      <c r="P68" s="10"/>
      <c r="Q68" s="10"/>
      <c r="R68" s="10"/>
      <c r="S68" s="10"/>
      <c r="T68" s="10"/>
      <c r="U68" s="10"/>
      <c r="V68" s="10"/>
      <c r="W68" s="10"/>
      <c r="X68" s="10"/>
      <c r="Y68" s="10"/>
      <c r="Z68" s="10"/>
    </row>
    <row r="69" spans="1:26" ht="15.75" customHeight="1" x14ac:dyDescent="0.2">
      <c r="A69" s="10"/>
      <c r="B69" s="10"/>
      <c r="C69" s="10"/>
      <c r="D69" s="10"/>
      <c r="E69" s="10"/>
      <c r="F69" s="11"/>
      <c r="G69" s="10"/>
      <c r="H69" s="10"/>
      <c r="I69" s="10"/>
      <c r="J69" s="10"/>
      <c r="K69" s="10"/>
      <c r="L69" s="10"/>
      <c r="M69" s="10"/>
      <c r="N69" s="10"/>
      <c r="O69" s="10"/>
      <c r="P69" s="10"/>
      <c r="Q69" s="10"/>
      <c r="R69" s="10"/>
      <c r="S69" s="10"/>
      <c r="T69" s="10"/>
      <c r="U69" s="10"/>
      <c r="V69" s="10"/>
      <c r="W69" s="10"/>
      <c r="X69" s="10"/>
      <c r="Y69" s="10"/>
      <c r="Z69" s="10"/>
    </row>
    <row r="70" spans="1:26" ht="15.75" customHeight="1" x14ac:dyDescent="0.2">
      <c r="A70" s="10"/>
      <c r="B70" s="10"/>
      <c r="C70" s="10"/>
      <c r="D70" s="10"/>
      <c r="E70" s="10"/>
      <c r="F70" s="11"/>
      <c r="G70" s="10"/>
      <c r="H70" s="10"/>
      <c r="I70" s="10"/>
      <c r="J70" s="10"/>
      <c r="K70" s="10"/>
      <c r="L70" s="10"/>
      <c r="M70" s="10"/>
      <c r="N70" s="10"/>
      <c r="O70" s="10"/>
      <c r="P70" s="10"/>
      <c r="Q70" s="10"/>
      <c r="R70" s="10"/>
      <c r="S70" s="10"/>
      <c r="T70" s="10"/>
      <c r="U70" s="10"/>
      <c r="V70" s="10"/>
      <c r="W70" s="10"/>
      <c r="X70" s="10"/>
      <c r="Y70" s="10"/>
      <c r="Z70" s="10"/>
    </row>
    <row r="71" spans="1:26" ht="15.75" customHeight="1" x14ac:dyDescent="0.2">
      <c r="A71" s="10"/>
      <c r="B71" s="10"/>
      <c r="C71" s="10"/>
      <c r="D71" s="10"/>
      <c r="E71" s="10"/>
      <c r="F71" s="11"/>
      <c r="G71" s="10"/>
      <c r="H71" s="10"/>
      <c r="I71" s="10"/>
      <c r="J71" s="10"/>
      <c r="K71" s="10"/>
      <c r="L71" s="10"/>
      <c r="M71" s="10"/>
      <c r="N71" s="10"/>
      <c r="O71" s="10"/>
      <c r="P71" s="10"/>
      <c r="Q71" s="10"/>
      <c r="R71" s="10"/>
      <c r="S71" s="10"/>
      <c r="T71" s="10"/>
      <c r="U71" s="10"/>
      <c r="V71" s="10"/>
      <c r="W71" s="10"/>
      <c r="X71" s="10"/>
      <c r="Y71" s="10"/>
      <c r="Z71" s="10"/>
    </row>
    <row r="72" spans="1:26" ht="15.75" customHeight="1" x14ac:dyDescent="0.2">
      <c r="A72" s="10"/>
      <c r="B72" s="10"/>
      <c r="C72" s="10"/>
      <c r="D72" s="10"/>
      <c r="E72" s="10"/>
      <c r="F72" s="11"/>
      <c r="G72" s="10"/>
      <c r="H72" s="10"/>
      <c r="I72" s="10"/>
      <c r="J72" s="10"/>
      <c r="K72" s="10"/>
      <c r="L72" s="10"/>
      <c r="M72" s="10"/>
      <c r="N72" s="10"/>
      <c r="O72" s="10"/>
      <c r="P72" s="10"/>
      <c r="Q72" s="10"/>
      <c r="R72" s="10"/>
      <c r="S72" s="10"/>
      <c r="T72" s="10"/>
      <c r="U72" s="10"/>
      <c r="V72" s="10"/>
      <c r="W72" s="10"/>
      <c r="X72" s="10"/>
      <c r="Y72" s="10"/>
      <c r="Z72" s="10"/>
    </row>
    <row r="73" spans="1:26" ht="15.75" customHeight="1" x14ac:dyDescent="0.2">
      <c r="A73" s="10"/>
      <c r="B73" s="10"/>
      <c r="C73" s="10"/>
      <c r="D73" s="10"/>
      <c r="E73" s="10"/>
      <c r="F73" s="11"/>
      <c r="G73" s="10"/>
      <c r="H73" s="10"/>
      <c r="I73" s="10"/>
      <c r="J73" s="10"/>
      <c r="K73" s="10"/>
      <c r="L73" s="10"/>
      <c r="M73" s="10"/>
      <c r="N73" s="10"/>
      <c r="O73" s="10"/>
      <c r="P73" s="10"/>
      <c r="Q73" s="10"/>
      <c r="R73" s="10"/>
      <c r="S73" s="10"/>
      <c r="T73" s="10"/>
      <c r="U73" s="10"/>
      <c r="V73" s="10"/>
      <c r="W73" s="10"/>
      <c r="X73" s="10"/>
      <c r="Y73" s="10"/>
      <c r="Z73" s="10"/>
    </row>
    <row r="74" spans="1:26" ht="15.75" customHeight="1" x14ac:dyDescent="0.2">
      <c r="A74" s="10"/>
      <c r="B74" s="10"/>
      <c r="C74" s="10"/>
      <c r="D74" s="10"/>
      <c r="E74" s="10"/>
      <c r="F74" s="11"/>
      <c r="G74" s="10"/>
      <c r="H74" s="10"/>
      <c r="I74" s="10"/>
      <c r="J74" s="10"/>
      <c r="K74" s="10"/>
      <c r="L74" s="10"/>
      <c r="M74" s="10"/>
      <c r="N74" s="10"/>
      <c r="O74" s="10"/>
      <c r="P74" s="10"/>
      <c r="Q74" s="10"/>
      <c r="R74" s="10"/>
      <c r="S74" s="10"/>
      <c r="T74" s="10"/>
      <c r="U74" s="10"/>
      <c r="V74" s="10"/>
      <c r="W74" s="10"/>
      <c r="X74" s="10"/>
      <c r="Y74" s="10"/>
      <c r="Z74" s="10"/>
    </row>
    <row r="75" spans="1:26" ht="15.75" customHeight="1" x14ac:dyDescent="0.2">
      <c r="A75" s="10"/>
      <c r="B75" s="10"/>
      <c r="C75" s="10"/>
      <c r="D75" s="10"/>
      <c r="E75" s="10"/>
      <c r="F75" s="11"/>
      <c r="G75" s="10"/>
      <c r="H75" s="10"/>
      <c r="I75" s="10"/>
      <c r="J75" s="10"/>
      <c r="K75" s="10"/>
      <c r="L75" s="10"/>
      <c r="M75" s="10"/>
      <c r="N75" s="10"/>
      <c r="O75" s="10"/>
      <c r="P75" s="10"/>
      <c r="Q75" s="10"/>
      <c r="R75" s="10"/>
      <c r="S75" s="10"/>
      <c r="T75" s="10"/>
      <c r="U75" s="10"/>
      <c r="V75" s="10"/>
      <c r="W75" s="10"/>
      <c r="X75" s="10"/>
      <c r="Y75" s="10"/>
      <c r="Z75" s="10"/>
    </row>
    <row r="76" spans="1:26" ht="15.75" customHeight="1" x14ac:dyDescent="0.2">
      <c r="A76" s="10"/>
      <c r="B76" s="10"/>
      <c r="C76" s="10"/>
      <c r="D76" s="10"/>
      <c r="E76" s="10"/>
      <c r="F76" s="11"/>
      <c r="G76" s="10"/>
      <c r="H76" s="10"/>
      <c r="I76" s="10"/>
      <c r="J76" s="10"/>
      <c r="K76" s="10"/>
      <c r="L76" s="10"/>
      <c r="M76" s="10"/>
      <c r="N76" s="10"/>
      <c r="O76" s="10"/>
      <c r="P76" s="10"/>
      <c r="Q76" s="10"/>
      <c r="R76" s="10"/>
      <c r="S76" s="10"/>
      <c r="T76" s="10"/>
      <c r="U76" s="10"/>
      <c r="V76" s="10"/>
      <c r="W76" s="10"/>
      <c r="X76" s="10"/>
      <c r="Y76" s="10"/>
      <c r="Z76" s="10"/>
    </row>
    <row r="77" spans="1:26" ht="15.75" customHeight="1" x14ac:dyDescent="0.2">
      <c r="A77" s="10"/>
      <c r="B77" s="10"/>
      <c r="C77" s="10"/>
      <c r="D77" s="10"/>
      <c r="E77" s="10"/>
      <c r="F77" s="11"/>
      <c r="G77" s="10"/>
      <c r="H77" s="10"/>
      <c r="I77" s="10"/>
      <c r="J77" s="10"/>
      <c r="K77" s="10"/>
      <c r="L77" s="10"/>
      <c r="M77" s="10"/>
      <c r="N77" s="10"/>
      <c r="O77" s="10"/>
      <c r="P77" s="10"/>
      <c r="Q77" s="10"/>
      <c r="R77" s="10"/>
      <c r="S77" s="10"/>
      <c r="T77" s="10"/>
      <c r="U77" s="10"/>
      <c r="V77" s="10"/>
      <c r="W77" s="10"/>
      <c r="X77" s="10"/>
      <c r="Y77" s="10"/>
      <c r="Z77" s="10"/>
    </row>
    <row r="78" spans="1:26" ht="15.75" customHeight="1" x14ac:dyDescent="0.2">
      <c r="A78" s="10"/>
      <c r="B78" s="10"/>
      <c r="C78" s="10"/>
      <c r="D78" s="10"/>
      <c r="E78" s="10"/>
      <c r="F78" s="11"/>
      <c r="G78" s="10"/>
      <c r="H78" s="10"/>
      <c r="I78" s="10"/>
      <c r="J78" s="10"/>
      <c r="K78" s="10"/>
      <c r="L78" s="10"/>
      <c r="M78" s="10"/>
      <c r="N78" s="10"/>
      <c r="O78" s="10"/>
      <c r="P78" s="10"/>
      <c r="Q78" s="10"/>
      <c r="R78" s="10"/>
      <c r="S78" s="10"/>
      <c r="T78" s="10"/>
      <c r="U78" s="10"/>
      <c r="V78" s="10"/>
      <c r="W78" s="10"/>
      <c r="X78" s="10"/>
      <c r="Y78" s="10"/>
      <c r="Z78" s="10"/>
    </row>
    <row r="79" spans="1:26" ht="15.75" customHeight="1" x14ac:dyDescent="0.2">
      <c r="A79" s="10"/>
      <c r="B79" s="10"/>
      <c r="C79" s="10"/>
      <c r="D79" s="10"/>
      <c r="E79" s="10"/>
      <c r="F79" s="11"/>
      <c r="G79" s="10"/>
      <c r="H79" s="10"/>
      <c r="I79" s="10"/>
      <c r="J79" s="10"/>
      <c r="K79" s="10"/>
      <c r="L79" s="10"/>
      <c r="M79" s="10"/>
      <c r="N79" s="10"/>
      <c r="O79" s="10"/>
      <c r="P79" s="10"/>
      <c r="Q79" s="10"/>
      <c r="R79" s="10"/>
      <c r="S79" s="10"/>
      <c r="T79" s="10"/>
      <c r="U79" s="10"/>
      <c r="V79" s="10"/>
      <c r="W79" s="10"/>
      <c r="X79" s="10"/>
      <c r="Y79" s="10"/>
      <c r="Z79" s="10"/>
    </row>
    <row r="80" spans="1:26" ht="15.75" customHeight="1" x14ac:dyDescent="0.2">
      <c r="A80" s="10"/>
      <c r="B80" s="10"/>
      <c r="C80" s="10"/>
      <c r="D80" s="10"/>
      <c r="E80" s="10"/>
      <c r="F80" s="11"/>
      <c r="G80" s="10"/>
      <c r="H80" s="10"/>
      <c r="I80" s="10"/>
      <c r="J80" s="10"/>
      <c r="K80" s="10"/>
      <c r="L80" s="10"/>
      <c r="M80" s="10"/>
      <c r="N80" s="10"/>
      <c r="O80" s="10"/>
      <c r="P80" s="10"/>
      <c r="Q80" s="10"/>
      <c r="R80" s="10"/>
      <c r="S80" s="10"/>
      <c r="T80" s="10"/>
      <c r="U80" s="10"/>
      <c r="V80" s="10"/>
      <c r="W80" s="10"/>
      <c r="X80" s="10"/>
      <c r="Y80" s="10"/>
      <c r="Z80" s="10"/>
    </row>
    <row r="81" spans="1:26" ht="15.75" customHeight="1" x14ac:dyDescent="0.2">
      <c r="A81" s="10"/>
      <c r="B81" s="10"/>
      <c r="C81" s="10"/>
      <c r="D81" s="10"/>
      <c r="E81" s="10"/>
      <c r="F81" s="11"/>
      <c r="G81" s="10"/>
      <c r="H81" s="10"/>
      <c r="I81" s="10"/>
      <c r="J81" s="10"/>
      <c r="K81" s="10"/>
      <c r="L81" s="10"/>
      <c r="M81" s="10"/>
      <c r="N81" s="10"/>
      <c r="O81" s="10"/>
      <c r="P81" s="10"/>
      <c r="Q81" s="10"/>
      <c r="R81" s="10"/>
      <c r="S81" s="10"/>
      <c r="T81" s="10"/>
      <c r="U81" s="10"/>
      <c r="V81" s="10"/>
      <c r="W81" s="10"/>
      <c r="X81" s="10"/>
      <c r="Y81" s="10"/>
      <c r="Z81" s="10"/>
    </row>
    <row r="82" spans="1:26" ht="15.75" customHeight="1" x14ac:dyDescent="0.2">
      <c r="A82" s="10"/>
      <c r="B82" s="10"/>
      <c r="C82" s="10"/>
      <c r="D82" s="10"/>
      <c r="E82" s="10"/>
      <c r="F82" s="11"/>
      <c r="G82" s="10"/>
      <c r="H82" s="10"/>
      <c r="I82" s="10"/>
      <c r="J82" s="10"/>
      <c r="K82" s="10"/>
      <c r="L82" s="10"/>
      <c r="M82" s="10"/>
      <c r="N82" s="10"/>
      <c r="O82" s="10"/>
      <c r="P82" s="10"/>
      <c r="Q82" s="10"/>
      <c r="R82" s="10"/>
      <c r="S82" s="10"/>
      <c r="T82" s="10"/>
      <c r="U82" s="10"/>
      <c r="V82" s="10"/>
      <c r="W82" s="10"/>
      <c r="X82" s="10"/>
      <c r="Y82" s="10"/>
      <c r="Z82" s="10"/>
    </row>
    <row r="83" spans="1:26" ht="15.75" customHeight="1" x14ac:dyDescent="0.2">
      <c r="A83" s="10"/>
      <c r="B83" s="10"/>
      <c r="C83" s="10"/>
      <c r="D83" s="10"/>
      <c r="E83" s="10"/>
      <c r="F83" s="11"/>
      <c r="G83" s="10"/>
      <c r="H83" s="10"/>
      <c r="I83" s="10"/>
      <c r="J83" s="10"/>
      <c r="K83" s="10"/>
      <c r="L83" s="10"/>
      <c r="M83" s="10"/>
      <c r="N83" s="10"/>
      <c r="O83" s="10"/>
      <c r="P83" s="10"/>
      <c r="Q83" s="10"/>
      <c r="R83" s="10"/>
      <c r="S83" s="10"/>
      <c r="T83" s="10"/>
      <c r="U83" s="10"/>
      <c r="V83" s="10"/>
      <c r="W83" s="10"/>
      <c r="X83" s="10"/>
      <c r="Y83" s="10"/>
      <c r="Z83" s="10"/>
    </row>
    <row r="84" spans="1:26" ht="15.75" customHeight="1" x14ac:dyDescent="0.2">
      <c r="A84" s="10"/>
      <c r="B84" s="10"/>
      <c r="C84" s="10"/>
      <c r="D84" s="10"/>
      <c r="E84" s="10"/>
      <c r="F84" s="11"/>
      <c r="G84" s="10"/>
      <c r="H84" s="10"/>
      <c r="I84" s="10"/>
      <c r="J84" s="10"/>
      <c r="K84" s="10"/>
      <c r="L84" s="10"/>
      <c r="M84" s="10"/>
      <c r="N84" s="10"/>
      <c r="O84" s="10"/>
      <c r="P84" s="10"/>
      <c r="Q84" s="10"/>
      <c r="R84" s="10"/>
      <c r="S84" s="10"/>
      <c r="T84" s="10"/>
      <c r="U84" s="10"/>
      <c r="V84" s="10"/>
      <c r="W84" s="10"/>
      <c r="X84" s="10"/>
      <c r="Y84" s="10"/>
      <c r="Z84" s="10"/>
    </row>
    <row r="85" spans="1:26" ht="15.75" customHeight="1" x14ac:dyDescent="0.2">
      <c r="A85" s="10"/>
      <c r="B85" s="10"/>
      <c r="C85" s="10"/>
      <c r="D85" s="10"/>
      <c r="E85" s="10"/>
      <c r="F85" s="11"/>
      <c r="G85" s="10"/>
      <c r="H85" s="10"/>
      <c r="I85" s="10"/>
      <c r="J85" s="10"/>
      <c r="K85" s="10"/>
      <c r="L85" s="10"/>
      <c r="M85" s="10"/>
      <c r="N85" s="10"/>
      <c r="O85" s="10"/>
      <c r="P85" s="10"/>
      <c r="Q85" s="10"/>
      <c r="R85" s="10"/>
      <c r="S85" s="10"/>
      <c r="T85" s="10"/>
      <c r="U85" s="10"/>
      <c r="V85" s="10"/>
      <c r="W85" s="10"/>
      <c r="X85" s="10"/>
      <c r="Y85" s="10"/>
      <c r="Z85" s="10"/>
    </row>
    <row r="86" spans="1:26" ht="15.75" customHeight="1" x14ac:dyDescent="0.2">
      <c r="A86" s="10"/>
      <c r="B86" s="10"/>
      <c r="C86" s="10"/>
      <c r="D86" s="10"/>
      <c r="E86" s="10"/>
      <c r="F86" s="11"/>
      <c r="G86" s="10"/>
      <c r="H86" s="10"/>
      <c r="I86" s="10"/>
      <c r="J86" s="10"/>
      <c r="K86" s="10"/>
      <c r="L86" s="10"/>
      <c r="M86" s="10"/>
      <c r="N86" s="10"/>
      <c r="O86" s="10"/>
      <c r="P86" s="10"/>
      <c r="Q86" s="10"/>
      <c r="R86" s="10"/>
      <c r="S86" s="10"/>
      <c r="T86" s="10"/>
      <c r="U86" s="10"/>
      <c r="V86" s="10"/>
      <c r="W86" s="10"/>
      <c r="X86" s="10"/>
      <c r="Y86" s="10"/>
      <c r="Z86" s="10"/>
    </row>
    <row r="87" spans="1:26" ht="15.75" customHeight="1" x14ac:dyDescent="0.2">
      <c r="A87" s="10"/>
      <c r="B87" s="10"/>
      <c r="C87" s="10"/>
      <c r="D87" s="10"/>
      <c r="E87" s="10"/>
      <c r="F87" s="11"/>
      <c r="G87" s="10"/>
      <c r="H87" s="10"/>
      <c r="I87" s="10"/>
      <c r="J87" s="10"/>
      <c r="K87" s="10"/>
      <c r="L87" s="10"/>
      <c r="M87" s="10"/>
      <c r="N87" s="10"/>
      <c r="O87" s="10"/>
      <c r="P87" s="10"/>
      <c r="Q87" s="10"/>
      <c r="R87" s="10"/>
      <c r="S87" s="10"/>
      <c r="T87" s="10"/>
      <c r="U87" s="10"/>
      <c r="V87" s="10"/>
      <c r="W87" s="10"/>
      <c r="X87" s="10"/>
      <c r="Y87" s="10"/>
      <c r="Z87" s="10"/>
    </row>
    <row r="88" spans="1:26" ht="15.75" customHeight="1" x14ac:dyDescent="0.2">
      <c r="A88" s="10"/>
      <c r="B88" s="10"/>
      <c r="C88" s="10"/>
      <c r="D88" s="10"/>
      <c r="E88" s="10"/>
      <c r="F88" s="11"/>
      <c r="G88" s="10"/>
      <c r="H88" s="10"/>
      <c r="I88" s="10"/>
      <c r="J88" s="10"/>
      <c r="K88" s="10"/>
      <c r="L88" s="10"/>
      <c r="M88" s="10"/>
      <c r="N88" s="10"/>
      <c r="O88" s="10"/>
      <c r="P88" s="10"/>
      <c r="Q88" s="10"/>
      <c r="R88" s="10"/>
      <c r="S88" s="10"/>
      <c r="T88" s="10"/>
      <c r="U88" s="10"/>
      <c r="V88" s="10"/>
      <c r="W88" s="10"/>
      <c r="X88" s="10"/>
      <c r="Y88" s="10"/>
      <c r="Z88" s="10"/>
    </row>
    <row r="89" spans="1:26" ht="15.75" customHeight="1" x14ac:dyDescent="0.2">
      <c r="A89" s="10"/>
      <c r="B89" s="10"/>
      <c r="C89" s="10"/>
      <c r="D89" s="10"/>
      <c r="E89" s="10"/>
      <c r="F89" s="11"/>
      <c r="G89" s="10"/>
      <c r="H89" s="10"/>
      <c r="I89" s="10"/>
      <c r="J89" s="10"/>
      <c r="K89" s="10"/>
      <c r="L89" s="10"/>
      <c r="M89" s="10"/>
      <c r="N89" s="10"/>
      <c r="O89" s="10"/>
      <c r="P89" s="10"/>
      <c r="Q89" s="10"/>
      <c r="R89" s="10"/>
      <c r="S89" s="10"/>
      <c r="T89" s="10"/>
      <c r="U89" s="10"/>
      <c r="V89" s="10"/>
      <c r="W89" s="10"/>
      <c r="X89" s="10"/>
      <c r="Y89" s="10"/>
      <c r="Z89" s="10"/>
    </row>
    <row r="90" spans="1:26" ht="15.75" customHeight="1" x14ac:dyDescent="0.2">
      <c r="A90" s="10"/>
      <c r="B90" s="10"/>
      <c r="C90" s="10"/>
      <c r="D90" s="10"/>
      <c r="E90" s="10"/>
      <c r="F90" s="11"/>
      <c r="G90" s="10"/>
      <c r="H90" s="10"/>
      <c r="I90" s="10"/>
      <c r="J90" s="10"/>
      <c r="K90" s="10"/>
      <c r="L90" s="10"/>
      <c r="M90" s="10"/>
      <c r="N90" s="10"/>
      <c r="O90" s="10"/>
      <c r="P90" s="10"/>
      <c r="Q90" s="10"/>
      <c r="R90" s="10"/>
      <c r="S90" s="10"/>
      <c r="T90" s="10"/>
      <c r="U90" s="10"/>
      <c r="V90" s="10"/>
      <c r="W90" s="10"/>
      <c r="X90" s="10"/>
      <c r="Y90" s="10"/>
      <c r="Z90" s="10"/>
    </row>
    <row r="91" spans="1:26" ht="15.75" customHeight="1" x14ac:dyDescent="0.2">
      <c r="A91" s="10"/>
      <c r="B91" s="10"/>
      <c r="C91" s="10"/>
      <c r="D91" s="10"/>
      <c r="E91" s="10"/>
      <c r="F91" s="11"/>
      <c r="G91" s="10"/>
      <c r="H91" s="10"/>
      <c r="I91" s="10"/>
      <c r="J91" s="10"/>
      <c r="K91" s="10"/>
      <c r="L91" s="10"/>
      <c r="M91" s="10"/>
      <c r="N91" s="10"/>
      <c r="O91" s="10"/>
      <c r="P91" s="10"/>
      <c r="Q91" s="10"/>
      <c r="R91" s="10"/>
      <c r="S91" s="10"/>
      <c r="T91" s="10"/>
      <c r="U91" s="10"/>
      <c r="V91" s="10"/>
      <c r="W91" s="10"/>
      <c r="X91" s="10"/>
      <c r="Y91" s="10"/>
      <c r="Z91" s="10"/>
    </row>
    <row r="92" spans="1:26" ht="15.75" customHeight="1" x14ac:dyDescent="0.2">
      <c r="A92" s="10"/>
      <c r="B92" s="10"/>
      <c r="C92" s="10"/>
      <c r="D92" s="10"/>
      <c r="E92" s="10"/>
      <c r="F92" s="11"/>
      <c r="G92" s="10"/>
      <c r="H92" s="10"/>
      <c r="I92" s="10"/>
      <c r="J92" s="10"/>
      <c r="K92" s="10"/>
      <c r="L92" s="10"/>
      <c r="M92" s="10"/>
      <c r="N92" s="10"/>
      <c r="O92" s="10"/>
      <c r="P92" s="10"/>
      <c r="Q92" s="10"/>
      <c r="R92" s="10"/>
      <c r="S92" s="10"/>
      <c r="T92" s="10"/>
      <c r="U92" s="10"/>
      <c r="V92" s="10"/>
      <c r="W92" s="10"/>
      <c r="X92" s="10"/>
      <c r="Y92" s="10"/>
      <c r="Z92" s="10"/>
    </row>
    <row r="93" spans="1:26" ht="15.75" customHeight="1" x14ac:dyDescent="0.2">
      <c r="A93" s="10"/>
      <c r="B93" s="10"/>
      <c r="C93" s="10"/>
      <c r="D93" s="10"/>
      <c r="E93" s="10"/>
      <c r="F93" s="11"/>
      <c r="G93" s="10"/>
      <c r="H93" s="10"/>
      <c r="I93" s="10"/>
      <c r="J93" s="10"/>
      <c r="K93" s="10"/>
      <c r="L93" s="10"/>
      <c r="M93" s="10"/>
      <c r="N93" s="10"/>
      <c r="O93" s="10"/>
      <c r="P93" s="10"/>
      <c r="Q93" s="10"/>
      <c r="R93" s="10"/>
      <c r="S93" s="10"/>
      <c r="T93" s="10"/>
      <c r="U93" s="10"/>
      <c r="V93" s="10"/>
      <c r="W93" s="10"/>
      <c r="X93" s="10"/>
      <c r="Y93" s="10"/>
      <c r="Z93" s="10"/>
    </row>
    <row r="94" spans="1:26" ht="15.75" customHeight="1" x14ac:dyDescent="0.2">
      <c r="A94" s="10"/>
      <c r="B94" s="10"/>
      <c r="C94" s="10"/>
      <c r="D94" s="10"/>
      <c r="E94" s="10"/>
      <c r="F94" s="11"/>
      <c r="G94" s="10"/>
      <c r="H94" s="10"/>
      <c r="I94" s="10"/>
      <c r="J94" s="10"/>
      <c r="K94" s="10"/>
      <c r="L94" s="10"/>
      <c r="M94" s="10"/>
      <c r="N94" s="10"/>
      <c r="O94" s="10"/>
      <c r="P94" s="10"/>
      <c r="Q94" s="10"/>
      <c r="R94" s="10"/>
      <c r="S94" s="10"/>
      <c r="T94" s="10"/>
      <c r="U94" s="10"/>
      <c r="V94" s="10"/>
      <c r="W94" s="10"/>
      <c r="X94" s="10"/>
      <c r="Y94" s="10"/>
      <c r="Z94" s="10"/>
    </row>
    <row r="95" spans="1:26" ht="15.75" customHeight="1" x14ac:dyDescent="0.2">
      <c r="A95" s="10"/>
      <c r="B95" s="10"/>
      <c r="C95" s="10"/>
      <c r="D95" s="10"/>
      <c r="E95" s="10"/>
      <c r="F95" s="11"/>
      <c r="G95" s="10"/>
      <c r="H95" s="10"/>
      <c r="I95" s="10"/>
      <c r="J95" s="10"/>
      <c r="K95" s="10"/>
      <c r="L95" s="10"/>
      <c r="M95" s="10"/>
      <c r="N95" s="10"/>
      <c r="O95" s="10"/>
      <c r="P95" s="10"/>
      <c r="Q95" s="10"/>
      <c r="R95" s="10"/>
      <c r="S95" s="10"/>
      <c r="T95" s="10"/>
      <c r="U95" s="10"/>
      <c r="V95" s="10"/>
      <c r="W95" s="10"/>
      <c r="X95" s="10"/>
      <c r="Y95" s="10"/>
      <c r="Z95" s="10"/>
    </row>
    <row r="96" spans="1:26" ht="15.75" customHeight="1" x14ac:dyDescent="0.2">
      <c r="A96" s="10"/>
      <c r="B96" s="10"/>
      <c r="C96" s="10"/>
      <c r="D96" s="10"/>
      <c r="E96" s="10"/>
      <c r="F96" s="11"/>
      <c r="G96" s="10"/>
      <c r="H96" s="10"/>
      <c r="I96" s="10"/>
      <c r="J96" s="10"/>
      <c r="K96" s="10"/>
      <c r="L96" s="10"/>
      <c r="M96" s="10"/>
      <c r="N96" s="10"/>
      <c r="O96" s="10"/>
      <c r="P96" s="10"/>
      <c r="Q96" s="10"/>
      <c r="R96" s="10"/>
      <c r="S96" s="10"/>
      <c r="T96" s="10"/>
      <c r="U96" s="10"/>
      <c r="V96" s="10"/>
      <c r="W96" s="10"/>
      <c r="X96" s="10"/>
      <c r="Y96" s="10"/>
      <c r="Z96" s="10"/>
    </row>
    <row r="97" spans="1:26" ht="15.75" customHeight="1" x14ac:dyDescent="0.2">
      <c r="A97" s="10"/>
      <c r="B97" s="10"/>
      <c r="C97" s="10"/>
      <c r="D97" s="10"/>
      <c r="E97" s="10"/>
      <c r="F97" s="11"/>
      <c r="G97" s="10"/>
      <c r="H97" s="10"/>
      <c r="I97" s="10"/>
      <c r="J97" s="10"/>
      <c r="K97" s="10"/>
      <c r="L97" s="10"/>
      <c r="M97" s="10"/>
      <c r="N97" s="10"/>
      <c r="O97" s="10"/>
      <c r="P97" s="10"/>
      <c r="Q97" s="10"/>
      <c r="R97" s="10"/>
      <c r="S97" s="10"/>
      <c r="T97" s="10"/>
      <c r="U97" s="10"/>
      <c r="V97" s="10"/>
      <c r="W97" s="10"/>
      <c r="X97" s="10"/>
      <c r="Y97" s="10"/>
      <c r="Z97" s="10"/>
    </row>
    <row r="98" spans="1:26" ht="15.75" customHeight="1" x14ac:dyDescent="0.2">
      <c r="A98" s="10"/>
      <c r="B98" s="10"/>
      <c r="C98" s="10"/>
      <c r="D98" s="10"/>
      <c r="E98" s="10"/>
      <c r="F98" s="11"/>
      <c r="G98" s="10"/>
      <c r="H98" s="10"/>
      <c r="I98" s="10"/>
      <c r="J98" s="10"/>
      <c r="K98" s="10"/>
      <c r="L98" s="10"/>
      <c r="M98" s="10"/>
      <c r="N98" s="10"/>
      <c r="O98" s="10"/>
      <c r="P98" s="10"/>
      <c r="Q98" s="10"/>
      <c r="R98" s="10"/>
      <c r="S98" s="10"/>
      <c r="T98" s="10"/>
      <c r="U98" s="10"/>
      <c r="V98" s="10"/>
      <c r="W98" s="10"/>
      <c r="X98" s="10"/>
      <c r="Y98" s="10"/>
      <c r="Z98" s="10"/>
    </row>
    <row r="99" spans="1:26" ht="15.75" customHeight="1" x14ac:dyDescent="0.2">
      <c r="A99" s="10"/>
      <c r="B99" s="10"/>
      <c r="C99" s="10"/>
      <c r="D99" s="10"/>
      <c r="E99" s="10"/>
      <c r="F99" s="11"/>
      <c r="G99" s="10"/>
      <c r="H99" s="10"/>
      <c r="I99" s="10"/>
      <c r="J99" s="10"/>
      <c r="K99" s="10"/>
      <c r="L99" s="10"/>
      <c r="M99" s="10"/>
      <c r="N99" s="10"/>
      <c r="O99" s="10"/>
      <c r="P99" s="10"/>
      <c r="Q99" s="10"/>
      <c r="R99" s="10"/>
      <c r="S99" s="10"/>
      <c r="T99" s="10"/>
      <c r="U99" s="10"/>
      <c r="V99" s="10"/>
      <c r="W99" s="10"/>
      <c r="X99" s="10"/>
      <c r="Y99" s="10"/>
      <c r="Z99" s="10"/>
    </row>
    <row r="100" spans="1:26" ht="15.75" customHeight="1" x14ac:dyDescent="0.2">
      <c r="A100" s="10"/>
      <c r="B100" s="10"/>
      <c r="C100" s="10"/>
      <c r="D100" s="10"/>
      <c r="E100" s="10"/>
      <c r="F100" s="11"/>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2">
      <c r="A101" s="10"/>
      <c r="B101" s="10"/>
      <c r="C101" s="10"/>
      <c r="D101" s="10"/>
      <c r="E101" s="10"/>
      <c r="F101" s="11"/>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2">
      <c r="A102" s="10"/>
      <c r="B102" s="10"/>
      <c r="C102" s="10"/>
      <c r="D102" s="10"/>
      <c r="E102" s="10"/>
      <c r="F102" s="11"/>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2">
      <c r="A103" s="10"/>
      <c r="B103" s="10"/>
      <c r="C103" s="10"/>
      <c r="D103" s="10"/>
      <c r="E103" s="10"/>
      <c r="F103" s="11"/>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2">
      <c r="A104" s="10"/>
      <c r="B104" s="10"/>
      <c r="C104" s="10"/>
      <c r="D104" s="10"/>
      <c r="E104" s="10"/>
      <c r="F104" s="11"/>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2">
      <c r="A105" s="10"/>
      <c r="B105" s="10"/>
      <c r="C105" s="10"/>
      <c r="D105" s="10"/>
      <c r="E105" s="10"/>
      <c r="F105" s="11"/>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2">
      <c r="A106" s="10"/>
      <c r="B106" s="10"/>
      <c r="C106" s="10"/>
      <c r="D106" s="10"/>
      <c r="E106" s="10"/>
      <c r="F106" s="11"/>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2">
      <c r="A107" s="10"/>
      <c r="B107" s="10"/>
      <c r="C107" s="10"/>
      <c r="D107" s="10"/>
      <c r="E107" s="10"/>
      <c r="F107" s="11"/>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2">
      <c r="A108" s="10"/>
      <c r="B108" s="10"/>
      <c r="C108" s="10"/>
      <c r="D108" s="10"/>
      <c r="E108" s="10"/>
      <c r="F108" s="11"/>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2">
      <c r="A109" s="10"/>
      <c r="B109" s="10"/>
      <c r="C109" s="10"/>
      <c r="D109" s="10"/>
      <c r="E109" s="10"/>
      <c r="F109" s="11"/>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2">
      <c r="A110" s="10"/>
      <c r="B110" s="10"/>
      <c r="C110" s="10"/>
      <c r="D110" s="10"/>
      <c r="E110" s="10"/>
      <c r="F110" s="11"/>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2">
      <c r="A111" s="10"/>
      <c r="B111" s="10"/>
      <c r="C111" s="10"/>
      <c r="D111" s="10"/>
      <c r="E111" s="10"/>
      <c r="F111" s="11"/>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2">
      <c r="A112" s="10"/>
      <c r="B112" s="10"/>
      <c r="C112" s="10"/>
      <c r="D112" s="10"/>
      <c r="E112" s="10"/>
      <c r="F112" s="11"/>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2">
      <c r="A113" s="10"/>
      <c r="B113" s="10"/>
      <c r="C113" s="10"/>
      <c r="D113" s="10"/>
      <c r="E113" s="10"/>
      <c r="F113" s="11"/>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2">
      <c r="A114" s="10"/>
      <c r="B114" s="10"/>
      <c r="C114" s="10"/>
      <c r="D114" s="10"/>
      <c r="E114" s="10"/>
      <c r="F114" s="11"/>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2">
      <c r="A115" s="10"/>
      <c r="B115" s="10"/>
      <c r="C115" s="10"/>
      <c r="D115" s="10"/>
      <c r="E115" s="10"/>
      <c r="F115" s="11"/>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2">
      <c r="A116" s="10"/>
      <c r="B116" s="10"/>
      <c r="C116" s="10"/>
      <c r="D116" s="10"/>
      <c r="E116" s="10"/>
      <c r="F116" s="11"/>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2">
      <c r="A117" s="10"/>
      <c r="B117" s="10"/>
      <c r="C117" s="10"/>
      <c r="D117" s="10"/>
      <c r="E117" s="10"/>
      <c r="F117" s="11"/>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2">
      <c r="A118" s="10"/>
      <c r="B118" s="10"/>
      <c r="C118" s="10"/>
      <c r="D118" s="10"/>
      <c r="E118" s="10"/>
      <c r="F118" s="11"/>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2">
      <c r="A119" s="10"/>
      <c r="B119" s="10"/>
      <c r="C119" s="10"/>
      <c r="D119" s="10"/>
      <c r="E119" s="10"/>
      <c r="F119" s="11"/>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
      <c r="A120" s="10"/>
      <c r="B120" s="10"/>
      <c r="C120" s="10"/>
      <c r="D120" s="10"/>
      <c r="E120" s="10"/>
      <c r="F120" s="11"/>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
      <c r="A121" s="10"/>
      <c r="B121" s="10"/>
      <c r="C121" s="10"/>
      <c r="D121" s="10"/>
      <c r="E121" s="10"/>
      <c r="F121" s="11"/>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
      <c r="A122" s="10"/>
      <c r="B122" s="10"/>
      <c r="C122" s="10"/>
      <c r="D122" s="10"/>
      <c r="E122" s="10"/>
      <c r="F122" s="11"/>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
      <c r="A123" s="10"/>
      <c r="B123" s="10"/>
      <c r="C123" s="10"/>
      <c r="D123" s="10"/>
      <c r="E123" s="10"/>
      <c r="F123" s="11"/>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
      <c r="A124" s="10"/>
      <c r="B124" s="10"/>
      <c r="C124" s="10"/>
      <c r="D124" s="10"/>
      <c r="E124" s="10"/>
      <c r="F124" s="11"/>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
      <c r="A125" s="10"/>
      <c r="B125" s="10"/>
      <c r="C125" s="10"/>
      <c r="D125" s="10"/>
      <c r="E125" s="10"/>
      <c r="F125" s="11"/>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
      <c r="A126" s="10"/>
      <c r="B126" s="10"/>
      <c r="C126" s="10"/>
      <c r="D126" s="10"/>
      <c r="E126" s="10"/>
      <c r="F126" s="11"/>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
      <c r="A127" s="10"/>
      <c r="B127" s="10"/>
      <c r="C127" s="10"/>
      <c r="D127" s="10"/>
      <c r="E127" s="10"/>
      <c r="F127" s="11"/>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
      <c r="A128" s="10"/>
      <c r="B128" s="10"/>
      <c r="C128" s="10"/>
      <c r="D128" s="10"/>
      <c r="E128" s="10"/>
      <c r="F128" s="11"/>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
      <c r="A129" s="10"/>
      <c r="B129" s="10"/>
      <c r="C129" s="10"/>
      <c r="D129" s="10"/>
      <c r="E129" s="10"/>
      <c r="F129" s="11"/>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
      <c r="A130" s="10"/>
      <c r="B130" s="10"/>
      <c r="C130" s="10"/>
      <c r="D130" s="10"/>
      <c r="E130" s="10"/>
      <c r="F130" s="11"/>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
      <c r="A131" s="10"/>
      <c r="B131" s="10"/>
      <c r="C131" s="10"/>
      <c r="D131" s="10"/>
      <c r="E131" s="10"/>
      <c r="F131" s="11"/>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
      <c r="A132" s="10"/>
      <c r="B132" s="10"/>
      <c r="C132" s="10"/>
      <c r="D132" s="10"/>
      <c r="E132" s="10"/>
      <c r="F132" s="11"/>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
      <c r="A133" s="10"/>
      <c r="B133" s="10"/>
      <c r="C133" s="10"/>
      <c r="D133" s="10"/>
      <c r="E133" s="10"/>
      <c r="F133" s="11"/>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
      <c r="A134" s="10"/>
      <c r="B134" s="10"/>
      <c r="C134" s="10"/>
      <c r="D134" s="10"/>
      <c r="E134" s="10"/>
      <c r="F134" s="11"/>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
      <c r="A135" s="10"/>
      <c r="B135" s="10"/>
      <c r="C135" s="10"/>
      <c r="D135" s="10"/>
      <c r="E135" s="10"/>
      <c r="F135" s="11"/>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
      <c r="A136" s="10"/>
      <c r="B136" s="10"/>
      <c r="C136" s="10"/>
      <c r="D136" s="10"/>
      <c r="E136" s="10"/>
      <c r="F136" s="11"/>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
      <c r="A137" s="10"/>
      <c r="B137" s="10"/>
      <c r="C137" s="10"/>
      <c r="D137" s="10"/>
      <c r="E137" s="10"/>
      <c r="F137" s="11"/>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
      <c r="A138" s="10"/>
      <c r="B138" s="10"/>
      <c r="C138" s="10"/>
      <c r="D138" s="10"/>
      <c r="E138" s="10"/>
      <c r="F138" s="11"/>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
      <c r="A139" s="10"/>
      <c r="B139" s="10"/>
      <c r="C139" s="10"/>
      <c r="D139" s="10"/>
      <c r="E139" s="10"/>
      <c r="F139" s="11"/>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
      <c r="A140" s="10"/>
      <c r="B140" s="10"/>
      <c r="C140" s="10"/>
      <c r="D140" s="10"/>
      <c r="E140" s="10"/>
      <c r="F140" s="11"/>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
      <c r="A141" s="10"/>
      <c r="B141" s="10"/>
      <c r="C141" s="10"/>
      <c r="D141" s="10"/>
      <c r="E141" s="10"/>
      <c r="F141" s="11"/>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
      <c r="A142" s="10"/>
      <c r="B142" s="10"/>
      <c r="C142" s="10"/>
      <c r="D142" s="10"/>
      <c r="E142" s="10"/>
      <c r="F142" s="11"/>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
      <c r="A143" s="10"/>
      <c r="B143" s="10"/>
      <c r="C143" s="10"/>
      <c r="D143" s="10"/>
      <c r="E143" s="10"/>
      <c r="F143" s="11"/>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
      <c r="A144" s="10"/>
      <c r="B144" s="10"/>
      <c r="C144" s="10"/>
      <c r="D144" s="10"/>
      <c r="E144" s="10"/>
      <c r="F144" s="11"/>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
      <c r="A145" s="10"/>
      <c r="B145" s="10"/>
      <c r="C145" s="10"/>
      <c r="D145" s="10"/>
      <c r="E145" s="10"/>
      <c r="F145" s="11"/>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
      <c r="A146" s="10"/>
      <c r="B146" s="10"/>
      <c r="C146" s="10"/>
      <c r="D146" s="10"/>
      <c r="E146" s="10"/>
      <c r="F146" s="11"/>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
      <c r="A147" s="10"/>
      <c r="B147" s="10"/>
      <c r="C147" s="10"/>
      <c r="D147" s="10"/>
      <c r="E147" s="10"/>
      <c r="F147" s="11"/>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
      <c r="A148" s="10"/>
      <c r="B148" s="10"/>
      <c r="C148" s="10"/>
      <c r="D148" s="10"/>
      <c r="E148" s="10"/>
      <c r="F148" s="11"/>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
      <c r="A149" s="10"/>
      <c r="B149" s="10"/>
      <c r="C149" s="10"/>
      <c r="D149" s="10"/>
      <c r="E149" s="10"/>
      <c r="F149" s="11"/>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
      <c r="A150" s="10"/>
      <c r="B150" s="10"/>
      <c r="C150" s="10"/>
      <c r="D150" s="10"/>
      <c r="E150" s="10"/>
      <c r="F150" s="11"/>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
      <c r="A151" s="10"/>
      <c r="B151" s="10"/>
      <c r="C151" s="10"/>
      <c r="D151" s="10"/>
      <c r="E151" s="10"/>
      <c r="F151" s="11"/>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
      <c r="A152" s="10"/>
      <c r="B152" s="10"/>
      <c r="C152" s="10"/>
      <c r="D152" s="10"/>
      <c r="E152" s="10"/>
      <c r="F152" s="11"/>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
      <c r="A153" s="10"/>
      <c r="B153" s="10"/>
      <c r="C153" s="10"/>
      <c r="D153" s="10"/>
      <c r="E153" s="10"/>
      <c r="F153" s="11"/>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
      <c r="A154" s="10"/>
      <c r="B154" s="10"/>
      <c r="C154" s="10"/>
      <c r="D154" s="10"/>
      <c r="E154" s="10"/>
      <c r="F154" s="11"/>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
      <c r="A155" s="10"/>
      <c r="B155" s="10"/>
      <c r="C155" s="10"/>
      <c r="D155" s="10"/>
      <c r="E155" s="10"/>
      <c r="F155" s="11"/>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
      <c r="A156" s="10"/>
      <c r="B156" s="10"/>
      <c r="C156" s="10"/>
      <c r="D156" s="10"/>
      <c r="E156" s="10"/>
      <c r="F156" s="11"/>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
      <c r="A157" s="10"/>
      <c r="B157" s="10"/>
      <c r="C157" s="10"/>
      <c r="D157" s="10"/>
      <c r="E157" s="10"/>
      <c r="F157" s="11"/>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
      <c r="A158" s="10"/>
      <c r="B158" s="10"/>
      <c r="C158" s="10"/>
      <c r="D158" s="10"/>
      <c r="E158" s="10"/>
      <c r="F158" s="11"/>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
      <c r="A159" s="10"/>
      <c r="B159" s="10"/>
      <c r="C159" s="10"/>
      <c r="D159" s="10"/>
      <c r="E159" s="10"/>
      <c r="F159" s="11"/>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
      <c r="A160" s="10"/>
      <c r="B160" s="10"/>
      <c r="C160" s="10"/>
      <c r="D160" s="10"/>
      <c r="E160" s="10"/>
      <c r="F160" s="11"/>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
      <c r="A161" s="10"/>
      <c r="B161" s="10"/>
      <c r="C161" s="10"/>
      <c r="D161" s="10"/>
      <c r="E161" s="10"/>
      <c r="F161" s="11"/>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
      <c r="A162" s="10"/>
      <c r="B162" s="10"/>
      <c r="C162" s="10"/>
      <c r="D162" s="10"/>
      <c r="E162" s="10"/>
      <c r="F162" s="11"/>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
      <c r="A163" s="10"/>
      <c r="B163" s="10"/>
      <c r="C163" s="10"/>
      <c r="D163" s="10"/>
      <c r="E163" s="10"/>
      <c r="F163" s="11"/>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
      <c r="A164" s="10"/>
      <c r="B164" s="10"/>
      <c r="C164" s="10"/>
      <c r="D164" s="10"/>
      <c r="E164" s="10"/>
      <c r="F164" s="11"/>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
      <c r="A165" s="10"/>
      <c r="B165" s="10"/>
      <c r="C165" s="10"/>
      <c r="D165" s="10"/>
      <c r="E165" s="10"/>
      <c r="F165" s="11"/>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
      <c r="A166" s="10"/>
      <c r="B166" s="10"/>
      <c r="C166" s="10"/>
      <c r="D166" s="10"/>
      <c r="E166" s="10"/>
      <c r="F166" s="11"/>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
      <c r="A167" s="10"/>
      <c r="B167" s="10"/>
      <c r="C167" s="10"/>
      <c r="D167" s="10"/>
      <c r="E167" s="10"/>
      <c r="F167" s="11"/>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
      <c r="A168" s="10"/>
      <c r="B168" s="10"/>
      <c r="C168" s="10"/>
      <c r="D168" s="10"/>
      <c r="E168" s="10"/>
      <c r="F168" s="11"/>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
      <c r="A169" s="10"/>
      <c r="B169" s="10"/>
      <c r="C169" s="10"/>
      <c r="D169" s="10"/>
      <c r="E169" s="10"/>
      <c r="F169" s="11"/>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
      <c r="A170" s="10"/>
      <c r="B170" s="10"/>
      <c r="C170" s="10"/>
      <c r="D170" s="10"/>
      <c r="E170" s="10"/>
      <c r="F170" s="11"/>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
      <c r="A171" s="10"/>
      <c r="B171" s="10"/>
      <c r="C171" s="10"/>
      <c r="D171" s="10"/>
      <c r="E171" s="10"/>
      <c r="F171" s="11"/>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
      <c r="A172" s="10"/>
      <c r="B172" s="10"/>
      <c r="C172" s="10"/>
      <c r="D172" s="10"/>
      <c r="E172" s="10"/>
      <c r="F172" s="11"/>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
      <c r="A173" s="10"/>
      <c r="B173" s="10"/>
      <c r="C173" s="10"/>
      <c r="D173" s="10"/>
      <c r="E173" s="10"/>
      <c r="F173" s="11"/>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
      <c r="A174" s="10"/>
      <c r="B174" s="10"/>
      <c r="C174" s="10"/>
      <c r="D174" s="10"/>
      <c r="E174" s="10"/>
      <c r="F174" s="11"/>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
      <c r="A175" s="10"/>
      <c r="B175" s="10"/>
      <c r="C175" s="10"/>
      <c r="D175" s="10"/>
      <c r="E175" s="10"/>
      <c r="F175" s="11"/>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
      <c r="A176" s="10"/>
      <c r="B176" s="10"/>
      <c r="C176" s="10"/>
      <c r="D176" s="10"/>
      <c r="E176" s="10"/>
      <c r="F176" s="11"/>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
      <c r="A177" s="10"/>
      <c r="B177" s="10"/>
      <c r="C177" s="10"/>
      <c r="D177" s="10"/>
      <c r="E177" s="10"/>
      <c r="F177" s="11"/>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
      <c r="A178" s="10"/>
      <c r="B178" s="10"/>
      <c r="C178" s="10"/>
      <c r="D178" s="10"/>
      <c r="E178" s="10"/>
      <c r="F178" s="11"/>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
      <c r="A179" s="10"/>
      <c r="B179" s="10"/>
      <c r="C179" s="10"/>
      <c r="D179" s="10"/>
      <c r="E179" s="10"/>
      <c r="F179" s="11"/>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
      <c r="A180" s="10"/>
      <c r="B180" s="10"/>
      <c r="C180" s="10"/>
      <c r="D180" s="10"/>
      <c r="E180" s="10"/>
      <c r="F180" s="11"/>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
      <c r="A181" s="10"/>
      <c r="B181" s="10"/>
      <c r="C181" s="10"/>
      <c r="D181" s="10"/>
      <c r="E181" s="10"/>
      <c r="F181" s="11"/>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
      <c r="A182" s="10"/>
      <c r="B182" s="10"/>
      <c r="C182" s="10"/>
      <c r="D182" s="10"/>
      <c r="E182" s="10"/>
      <c r="F182" s="11"/>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
      <c r="A183" s="10"/>
      <c r="B183" s="10"/>
      <c r="C183" s="10"/>
      <c r="D183" s="10"/>
      <c r="E183" s="10"/>
      <c r="F183" s="11"/>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
      <c r="A184" s="10"/>
      <c r="B184" s="10"/>
      <c r="C184" s="10"/>
      <c r="D184" s="10"/>
      <c r="E184" s="10"/>
      <c r="F184" s="11"/>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
      <c r="A185" s="10"/>
      <c r="B185" s="10"/>
      <c r="C185" s="10"/>
      <c r="D185" s="10"/>
      <c r="E185" s="10"/>
      <c r="F185" s="11"/>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
      <c r="A186" s="10"/>
      <c r="B186" s="10"/>
      <c r="C186" s="10"/>
      <c r="D186" s="10"/>
      <c r="E186" s="10"/>
      <c r="F186" s="11"/>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
      <c r="A187" s="10"/>
      <c r="B187" s="10"/>
      <c r="C187" s="10"/>
      <c r="D187" s="10"/>
      <c r="E187" s="10"/>
      <c r="F187" s="11"/>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
      <c r="A188" s="10"/>
      <c r="B188" s="10"/>
      <c r="C188" s="10"/>
      <c r="D188" s="10"/>
      <c r="E188" s="10"/>
      <c r="F188" s="11"/>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
      <c r="A189" s="10"/>
      <c r="B189" s="10"/>
      <c r="C189" s="10"/>
      <c r="D189" s="10"/>
      <c r="E189" s="10"/>
      <c r="F189" s="11"/>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
      <c r="A190" s="10"/>
      <c r="B190" s="10"/>
      <c r="C190" s="10"/>
      <c r="D190" s="10"/>
      <c r="E190" s="10"/>
      <c r="F190" s="11"/>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
      <c r="A191" s="10"/>
      <c r="B191" s="10"/>
      <c r="C191" s="10"/>
      <c r="D191" s="10"/>
      <c r="E191" s="10"/>
      <c r="F191" s="11"/>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
      <c r="A192" s="10"/>
      <c r="B192" s="10"/>
      <c r="C192" s="10"/>
      <c r="D192" s="10"/>
      <c r="E192" s="10"/>
      <c r="F192" s="11"/>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
      <c r="A193" s="10"/>
      <c r="B193" s="10"/>
      <c r="C193" s="10"/>
      <c r="D193" s="10"/>
      <c r="E193" s="10"/>
      <c r="F193" s="11"/>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
      <c r="A194" s="10"/>
      <c r="B194" s="10"/>
      <c r="C194" s="10"/>
      <c r="D194" s="10"/>
      <c r="E194" s="10"/>
      <c r="F194" s="11"/>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
      <c r="A195" s="10"/>
      <c r="B195" s="10"/>
      <c r="C195" s="10"/>
      <c r="D195" s="10"/>
      <c r="E195" s="10"/>
      <c r="F195" s="11"/>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
      <c r="A196" s="10"/>
      <c r="B196" s="10"/>
      <c r="C196" s="10"/>
      <c r="D196" s="10"/>
      <c r="E196" s="10"/>
      <c r="F196" s="11"/>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
      <c r="A197" s="10"/>
      <c r="B197" s="10"/>
      <c r="C197" s="10"/>
      <c r="D197" s="10"/>
      <c r="E197" s="10"/>
      <c r="F197" s="11"/>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
      <c r="A198" s="10"/>
      <c r="B198" s="10"/>
      <c r="C198" s="10"/>
      <c r="D198" s="10"/>
      <c r="E198" s="10"/>
      <c r="F198" s="11"/>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
      <c r="A199" s="10"/>
      <c r="B199" s="10"/>
      <c r="C199" s="10"/>
      <c r="D199" s="10"/>
      <c r="E199" s="10"/>
      <c r="F199" s="11"/>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
      <c r="A200" s="10"/>
      <c r="B200" s="10"/>
      <c r="C200" s="10"/>
      <c r="D200" s="10"/>
      <c r="E200" s="10"/>
      <c r="F200" s="11"/>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
      <c r="A201" s="10"/>
      <c r="B201" s="10"/>
      <c r="C201" s="10"/>
      <c r="D201" s="10"/>
      <c r="E201" s="10"/>
      <c r="F201" s="11"/>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
      <c r="A202" s="10"/>
      <c r="B202" s="10"/>
      <c r="C202" s="10"/>
      <c r="D202" s="10"/>
      <c r="E202" s="10"/>
      <c r="F202" s="11"/>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
      <c r="A203" s="10"/>
      <c r="B203" s="10"/>
      <c r="C203" s="10"/>
      <c r="D203" s="10"/>
      <c r="E203" s="10"/>
      <c r="F203" s="11"/>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
      <c r="A204" s="10"/>
      <c r="B204" s="10"/>
      <c r="C204" s="10"/>
      <c r="D204" s="10"/>
      <c r="E204" s="10"/>
      <c r="F204" s="11"/>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
      <c r="A205" s="10"/>
      <c r="B205" s="10"/>
      <c r="C205" s="10"/>
      <c r="D205" s="10"/>
      <c r="E205" s="10"/>
      <c r="F205" s="11"/>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
      <c r="A206" s="10"/>
      <c r="B206" s="10"/>
      <c r="C206" s="10"/>
      <c r="D206" s="10"/>
      <c r="E206" s="10"/>
      <c r="F206" s="11"/>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
      <c r="A207" s="10"/>
      <c r="B207" s="10"/>
      <c r="C207" s="10"/>
      <c r="D207" s="10"/>
      <c r="E207" s="10"/>
      <c r="F207" s="11"/>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
      <c r="A208" s="10"/>
      <c r="B208" s="10"/>
      <c r="C208" s="10"/>
      <c r="D208" s="10"/>
      <c r="E208" s="10"/>
      <c r="F208" s="11"/>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
      <c r="A209" s="10"/>
      <c r="B209" s="10"/>
      <c r="C209" s="10"/>
      <c r="D209" s="10"/>
      <c r="E209" s="10"/>
      <c r="F209" s="11"/>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
      <c r="A210" s="10"/>
      <c r="B210" s="10"/>
      <c r="C210" s="10"/>
      <c r="D210" s="10"/>
      <c r="E210" s="10"/>
      <c r="F210" s="11"/>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
      <c r="A211" s="10"/>
      <c r="B211" s="10"/>
      <c r="C211" s="10"/>
      <c r="D211" s="10"/>
      <c r="E211" s="10"/>
      <c r="F211" s="11"/>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
      <c r="A212" s="10"/>
      <c r="B212" s="10"/>
      <c r="C212" s="10"/>
      <c r="D212" s="10"/>
      <c r="E212" s="10"/>
      <c r="F212" s="11"/>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
      <c r="A213" s="10"/>
      <c r="B213" s="10"/>
      <c r="C213" s="10"/>
      <c r="D213" s="10"/>
      <c r="E213" s="10"/>
      <c r="F213" s="11"/>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
      <c r="A214" s="10"/>
      <c r="B214" s="10"/>
      <c r="C214" s="10"/>
      <c r="D214" s="10"/>
      <c r="E214" s="10"/>
      <c r="F214" s="11"/>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
      <c r="A215" s="10"/>
      <c r="B215" s="10"/>
      <c r="C215" s="10"/>
      <c r="D215" s="10"/>
      <c r="E215" s="10"/>
      <c r="F215" s="11"/>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
      <c r="A216" s="10"/>
      <c r="B216" s="10"/>
      <c r="C216" s="10"/>
      <c r="D216" s="10"/>
      <c r="E216" s="10"/>
      <c r="F216" s="11"/>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
      <c r="A217" s="10"/>
      <c r="B217" s="10"/>
      <c r="C217" s="10"/>
      <c r="D217" s="10"/>
      <c r="E217" s="10"/>
      <c r="F217" s="11"/>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
      <c r="A218" s="10"/>
      <c r="B218" s="10"/>
      <c r="C218" s="10"/>
      <c r="D218" s="10"/>
      <c r="E218" s="10"/>
      <c r="F218" s="11"/>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
      <c r="A219" s="10"/>
      <c r="B219" s="10"/>
      <c r="C219" s="10"/>
      <c r="D219" s="10"/>
      <c r="E219" s="10"/>
      <c r="F219" s="11"/>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
      <c r="A220" s="10"/>
      <c r="B220" s="10"/>
      <c r="C220" s="10"/>
      <c r="D220" s="10"/>
      <c r="E220" s="10"/>
      <c r="F220" s="11"/>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
      <c r="A221" s="10"/>
      <c r="B221" s="10"/>
      <c r="C221" s="10"/>
      <c r="D221" s="10"/>
      <c r="E221" s="10"/>
      <c r="F221" s="11"/>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
      <c r="A222" s="10"/>
      <c r="B222" s="10"/>
      <c r="C222" s="10"/>
      <c r="D222" s="10"/>
      <c r="E222" s="10"/>
      <c r="F222" s="11"/>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
      <c r="A223" s="10"/>
      <c r="B223" s="10"/>
      <c r="C223" s="10"/>
      <c r="D223" s="10"/>
      <c r="E223" s="10"/>
      <c r="F223" s="11"/>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
      <c r="A224" s="10"/>
      <c r="B224" s="10"/>
      <c r="C224" s="10"/>
      <c r="D224" s="10"/>
      <c r="E224" s="10"/>
      <c r="F224" s="11"/>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
      <c r="A225" s="10"/>
      <c r="B225" s="10"/>
      <c r="C225" s="10"/>
      <c r="D225" s="10"/>
      <c r="E225" s="10"/>
      <c r="F225" s="11"/>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
      <c r="A226" s="10"/>
      <c r="B226" s="10"/>
      <c r="C226" s="10"/>
      <c r="D226" s="10"/>
      <c r="E226" s="10"/>
      <c r="F226" s="11"/>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
      <c r="A227" s="10"/>
      <c r="B227" s="10"/>
      <c r="C227" s="10"/>
      <c r="D227" s="10"/>
      <c r="E227" s="10"/>
      <c r="F227" s="11"/>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
      <c r="A228" s="10"/>
      <c r="B228" s="10"/>
      <c r="C228" s="10"/>
      <c r="D228" s="10"/>
      <c r="E228" s="10"/>
      <c r="F228" s="11"/>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
      <c r="A229" s="10"/>
      <c r="B229" s="10"/>
      <c r="C229" s="10"/>
      <c r="D229" s="10"/>
      <c r="E229" s="10"/>
      <c r="F229" s="11"/>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
      <c r="A230" s="10"/>
      <c r="B230" s="10"/>
      <c r="C230" s="10"/>
      <c r="D230" s="10"/>
      <c r="E230" s="10"/>
      <c r="F230" s="11"/>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
      <c r="A231" s="10"/>
      <c r="B231" s="10"/>
      <c r="C231" s="10"/>
      <c r="D231" s="10"/>
      <c r="E231" s="10"/>
      <c r="F231" s="11"/>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
      <c r="A232" s="10"/>
      <c r="B232" s="10"/>
      <c r="C232" s="10"/>
      <c r="D232" s="10"/>
      <c r="E232" s="10"/>
      <c r="F232" s="11"/>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
      <c r="A233" s="10"/>
      <c r="B233" s="10"/>
      <c r="C233" s="10"/>
      <c r="D233" s="10"/>
      <c r="E233" s="10"/>
      <c r="F233" s="11"/>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
      <c r="A234" s="10"/>
      <c r="B234" s="10"/>
      <c r="C234" s="10"/>
      <c r="D234" s="10"/>
      <c r="E234" s="10"/>
      <c r="F234" s="11"/>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
      <c r="A235" s="10"/>
      <c r="B235" s="10"/>
      <c r="C235" s="10"/>
      <c r="D235" s="10"/>
      <c r="E235" s="10"/>
      <c r="F235" s="11"/>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
      <c r="A236" s="10"/>
      <c r="B236" s="10"/>
      <c r="C236" s="10"/>
      <c r="D236" s="10"/>
      <c r="E236" s="10"/>
      <c r="F236" s="11"/>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
      <c r="A237" s="10"/>
      <c r="B237" s="10"/>
      <c r="C237" s="10"/>
      <c r="D237" s="10"/>
      <c r="E237" s="10"/>
      <c r="F237" s="11"/>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
      <c r="A238" s="10"/>
      <c r="B238" s="10"/>
      <c r="C238" s="10"/>
      <c r="D238" s="10"/>
      <c r="E238" s="10"/>
      <c r="F238" s="11"/>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
      <c r="A239" s="10"/>
      <c r="B239" s="10"/>
      <c r="C239" s="10"/>
      <c r="D239" s="10"/>
      <c r="E239" s="10"/>
      <c r="F239" s="11"/>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
      <c r="A240" s="10"/>
      <c r="B240" s="10"/>
      <c r="C240" s="10"/>
      <c r="D240" s="10"/>
      <c r="E240" s="10"/>
      <c r="F240" s="11"/>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
      <c r="A241" s="10"/>
      <c r="B241" s="10"/>
      <c r="C241" s="10"/>
      <c r="D241" s="10"/>
      <c r="E241" s="10"/>
      <c r="F241" s="11"/>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
      <c r="A242" s="10"/>
      <c r="B242" s="10"/>
      <c r="C242" s="10"/>
      <c r="D242" s="10"/>
      <c r="E242" s="10"/>
      <c r="F242" s="11"/>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
      <c r="A243" s="10"/>
      <c r="B243" s="10"/>
      <c r="C243" s="10"/>
      <c r="D243" s="10"/>
      <c r="E243" s="10"/>
      <c r="F243" s="11"/>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
      <c r="A244" s="10"/>
      <c r="B244" s="10"/>
      <c r="C244" s="10"/>
      <c r="D244" s="10"/>
      <c r="E244" s="10"/>
      <c r="F244" s="11"/>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
      <c r="A245" s="10"/>
      <c r="B245" s="10"/>
      <c r="C245" s="10"/>
      <c r="D245" s="10"/>
      <c r="E245" s="10"/>
      <c r="F245" s="11"/>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
      <c r="A246" s="10"/>
      <c r="B246" s="10"/>
      <c r="C246" s="10"/>
      <c r="D246" s="10"/>
      <c r="E246" s="10"/>
      <c r="F246" s="11"/>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
      <c r="A247" s="10"/>
      <c r="B247" s="10"/>
      <c r="C247" s="10"/>
      <c r="D247" s="10"/>
      <c r="E247" s="10"/>
      <c r="F247" s="11"/>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
      <c r="A248" s="10"/>
      <c r="B248" s="10"/>
      <c r="C248" s="10"/>
      <c r="D248" s="10"/>
      <c r="E248" s="10"/>
      <c r="F248" s="11"/>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
      <c r="A249" s="10"/>
      <c r="B249" s="10"/>
      <c r="C249" s="10"/>
      <c r="D249" s="10"/>
      <c r="E249" s="10"/>
      <c r="F249" s="11"/>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
      <c r="A250" s="10"/>
      <c r="B250" s="10"/>
      <c r="C250" s="10"/>
      <c r="D250" s="10"/>
      <c r="E250" s="10"/>
      <c r="F250" s="11"/>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
      <c r="A251" s="10"/>
      <c r="B251" s="10"/>
      <c r="C251" s="10"/>
      <c r="D251" s="10"/>
      <c r="E251" s="10"/>
      <c r="F251" s="11"/>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
      <c r="A252" s="10"/>
      <c r="B252" s="10"/>
      <c r="C252" s="10"/>
      <c r="D252" s="10"/>
      <c r="E252" s="10"/>
      <c r="F252" s="11"/>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
      <c r="A253" s="10"/>
      <c r="B253" s="10"/>
      <c r="C253" s="10"/>
      <c r="D253" s="10"/>
      <c r="E253" s="10"/>
      <c r="F253" s="11"/>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
      <c r="A254" s="10"/>
      <c r="B254" s="10"/>
      <c r="C254" s="10"/>
      <c r="D254" s="10"/>
      <c r="E254" s="10"/>
      <c r="F254" s="11"/>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
      <c r="A255" s="10"/>
      <c r="B255" s="10"/>
      <c r="C255" s="10"/>
      <c r="D255" s="10"/>
      <c r="E255" s="10"/>
      <c r="F255" s="11"/>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
      <c r="A256" s="10"/>
      <c r="B256" s="10"/>
      <c r="C256" s="10"/>
      <c r="D256" s="10"/>
      <c r="E256" s="10"/>
      <c r="F256" s="11"/>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
      <c r="A257" s="10"/>
      <c r="B257" s="10"/>
      <c r="C257" s="10"/>
      <c r="D257" s="10"/>
      <c r="E257" s="10"/>
      <c r="F257" s="11"/>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
      <c r="A258" s="10"/>
      <c r="B258" s="10"/>
      <c r="C258" s="10"/>
      <c r="D258" s="10"/>
      <c r="E258" s="10"/>
      <c r="F258" s="11"/>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
      <c r="A259" s="10"/>
      <c r="B259" s="10"/>
      <c r="C259" s="10"/>
      <c r="D259" s="10"/>
      <c r="E259" s="10"/>
      <c r="F259" s="11"/>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
      <c r="A260" s="10"/>
      <c r="B260" s="10"/>
      <c r="C260" s="10"/>
      <c r="D260" s="10"/>
      <c r="E260" s="10"/>
      <c r="F260" s="11"/>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
      <c r="A261" s="10"/>
      <c r="B261" s="10"/>
      <c r="C261" s="10"/>
      <c r="D261" s="10"/>
      <c r="E261" s="10"/>
      <c r="F261" s="11"/>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
      <c r="A262" s="10"/>
      <c r="B262" s="10"/>
      <c r="C262" s="10"/>
      <c r="D262" s="10"/>
      <c r="E262" s="10"/>
      <c r="F262" s="11"/>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
      <c r="A263" s="10"/>
      <c r="B263" s="10"/>
      <c r="C263" s="10"/>
      <c r="D263" s="10"/>
      <c r="E263" s="10"/>
      <c r="F263" s="11"/>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
      <c r="A264" s="10"/>
      <c r="B264" s="10"/>
      <c r="C264" s="10"/>
      <c r="D264" s="10"/>
      <c r="E264" s="10"/>
      <c r="F264" s="11"/>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
      <c r="A265" s="10"/>
      <c r="B265" s="10"/>
      <c r="C265" s="10"/>
      <c r="D265" s="10"/>
      <c r="E265" s="10"/>
      <c r="F265" s="11"/>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
      <c r="A266" s="10"/>
      <c r="B266" s="10"/>
      <c r="C266" s="10"/>
      <c r="D266" s="10"/>
      <c r="E266" s="10"/>
      <c r="F266" s="11"/>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
      <c r="A267" s="10"/>
      <c r="B267" s="10"/>
      <c r="C267" s="10"/>
      <c r="D267" s="10"/>
      <c r="E267" s="10"/>
      <c r="F267" s="11"/>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
      <c r="A268" s="10"/>
      <c r="B268" s="10"/>
      <c r="C268" s="10"/>
      <c r="D268" s="10"/>
      <c r="E268" s="10"/>
      <c r="F268" s="11"/>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
      <c r="A269" s="10"/>
      <c r="B269" s="10"/>
      <c r="C269" s="10"/>
      <c r="D269" s="10"/>
      <c r="E269" s="10"/>
      <c r="F269" s="11"/>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
      <c r="A270" s="10"/>
      <c r="B270" s="10"/>
      <c r="C270" s="10"/>
      <c r="D270" s="10"/>
      <c r="E270" s="10"/>
      <c r="F270" s="11"/>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
      <c r="A271" s="10"/>
      <c r="B271" s="10"/>
      <c r="C271" s="10"/>
      <c r="D271" s="10"/>
      <c r="E271" s="10"/>
      <c r="F271" s="11"/>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
      <c r="A272" s="10"/>
      <c r="B272" s="10"/>
      <c r="C272" s="10"/>
      <c r="D272" s="10"/>
      <c r="E272" s="10"/>
      <c r="F272" s="11"/>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
      <c r="A273" s="10"/>
      <c r="B273" s="10"/>
      <c r="C273" s="10"/>
      <c r="D273" s="10"/>
      <c r="E273" s="10"/>
      <c r="F273" s="11"/>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
      <c r="A274" s="10"/>
      <c r="B274" s="10"/>
      <c r="C274" s="10"/>
      <c r="D274" s="10"/>
      <c r="E274" s="10"/>
      <c r="F274" s="11"/>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
      <c r="A275" s="10"/>
      <c r="B275" s="10"/>
      <c r="C275" s="10"/>
      <c r="D275" s="10"/>
      <c r="E275" s="10"/>
      <c r="F275" s="11"/>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
      <c r="A276" s="10"/>
      <c r="B276" s="10"/>
      <c r="C276" s="10"/>
      <c r="D276" s="10"/>
      <c r="E276" s="10"/>
      <c r="F276" s="11"/>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
      <c r="A277" s="10"/>
      <c r="B277" s="10"/>
      <c r="C277" s="10"/>
      <c r="D277" s="10"/>
      <c r="E277" s="10"/>
      <c r="F277" s="11"/>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
      <c r="A278" s="10"/>
      <c r="B278" s="10"/>
      <c r="C278" s="10"/>
      <c r="D278" s="10"/>
      <c r="E278" s="10"/>
      <c r="F278" s="11"/>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
      <c r="A279" s="10"/>
      <c r="B279" s="10"/>
      <c r="C279" s="10"/>
      <c r="D279" s="10"/>
      <c r="E279" s="10"/>
      <c r="F279" s="11"/>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
      <c r="A280" s="10"/>
      <c r="B280" s="10"/>
      <c r="C280" s="10"/>
      <c r="D280" s="10"/>
      <c r="E280" s="10"/>
      <c r="F280" s="11"/>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
      <c r="A281" s="10"/>
      <c r="B281" s="10"/>
      <c r="C281" s="10"/>
      <c r="D281" s="10"/>
      <c r="E281" s="10"/>
      <c r="F281" s="11"/>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
      <c r="A282" s="10"/>
      <c r="B282" s="10"/>
      <c r="C282" s="10"/>
      <c r="D282" s="10"/>
      <c r="E282" s="10"/>
      <c r="F282" s="11"/>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
      <c r="A283" s="10"/>
      <c r="B283" s="10"/>
      <c r="C283" s="10"/>
      <c r="D283" s="10"/>
      <c r="E283" s="10"/>
      <c r="F283" s="11"/>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
      <c r="A284" s="10"/>
      <c r="B284" s="10"/>
      <c r="C284" s="10"/>
      <c r="D284" s="10"/>
      <c r="E284" s="10"/>
      <c r="F284" s="11"/>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
      <c r="A285" s="10"/>
      <c r="B285" s="10"/>
      <c r="C285" s="10"/>
      <c r="D285" s="10"/>
      <c r="E285" s="10"/>
      <c r="F285" s="11"/>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
      <c r="A286" s="10"/>
      <c r="B286" s="10"/>
      <c r="C286" s="10"/>
      <c r="D286" s="10"/>
      <c r="E286" s="10"/>
      <c r="F286" s="11"/>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
      <c r="A287" s="10"/>
      <c r="B287" s="10"/>
      <c r="C287" s="10"/>
      <c r="D287" s="10"/>
      <c r="E287" s="10"/>
      <c r="F287" s="11"/>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
      <c r="A288" s="10"/>
      <c r="B288" s="10"/>
      <c r="C288" s="10"/>
      <c r="D288" s="10"/>
      <c r="E288" s="10"/>
      <c r="F288" s="11"/>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
      <c r="A289" s="10"/>
      <c r="B289" s="10"/>
      <c r="C289" s="10"/>
      <c r="D289" s="10"/>
      <c r="E289" s="10"/>
      <c r="F289" s="11"/>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
      <c r="A290" s="10"/>
      <c r="B290" s="10"/>
      <c r="C290" s="10"/>
      <c r="D290" s="10"/>
      <c r="E290" s="10"/>
      <c r="F290" s="11"/>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
      <c r="A291" s="10"/>
      <c r="B291" s="10"/>
      <c r="C291" s="10"/>
      <c r="D291" s="10"/>
      <c r="E291" s="10"/>
      <c r="F291" s="11"/>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
      <c r="A292" s="10"/>
      <c r="B292" s="10"/>
      <c r="C292" s="10"/>
      <c r="D292" s="10"/>
      <c r="E292" s="10"/>
      <c r="F292" s="11"/>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
      <c r="A293" s="10"/>
      <c r="B293" s="10"/>
      <c r="C293" s="10"/>
      <c r="D293" s="10"/>
      <c r="E293" s="10"/>
      <c r="F293" s="11"/>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
      <c r="A294" s="10"/>
      <c r="B294" s="10"/>
      <c r="C294" s="10"/>
      <c r="D294" s="10"/>
      <c r="E294" s="10"/>
      <c r="F294" s="11"/>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
      <c r="A295" s="10"/>
      <c r="B295" s="10"/>
      <c r="C295" s="10"/>
      <c r="D295" s="10"/>
      <c r="E295" s="10"/>
      <c r="F295" s="11"/>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
      <c r="A296" s="10"/>
      <c r="B296" s="10"/>
      <c r="C296" s="10"/>
      <c r="D296" s="10"/>
      <c r="E296" s="10"/>
      <c r="F296" s="11"/>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
      <c r="A297" s="10"/>
      <c r="B297" s="10"/>
      <c r="C297" s="10"/>
      <c r="D297" s="10"/>
      <c r="E297" s="10"/>
      <c r="F297" s="11"/>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
      <c r="A298" s="10"/>
      <c r="B298" s="10"/>
      <c r="C298" s="10"/>
      <c r="D298" s="10"/>
      <c r="E298" s="10"/>
      <c r="F298" s="11"/>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
      <c r="A299" s="10"/>
      <c r="B299" s="10"/>
      <c r="C299" s="10"/>
      <c r="D299" s="10"/>
      <c r="E299" s="10"/>
      <c r="F299" s="11"/>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
      <c r="A300" s="10"/>
      <c r="B300" s="10"/>
      <c r="C300" s="10"/>
      <c r="D300" s="10"/>
      <c r="E300" s="10"/>
      <c r="F300" s="11"/>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
      <c r="A301" s="10"/>
      <c r="B301" s="10"/>
      <c r="C301" s="10"/>
      <c r="D301" s="10"/>
      <c r="E301" s="10"/>
      <c r="F301" s="11"/>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
      <c r="A302" s="10"/>
      <c r="B302" s="10"/>
      <c r="C302" s="10"/>
      <c r="D302" s="10"/>
      <c r="E302" s="10"/>
      <c r="F302" s="11"/>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
      <c r="A303" s="10"/>
      <c r="B303" s="10"/>
      <c r="C303" s="10"/>
      <c r="D303" s="10"/>
      <c r="E303" s="10"/>
      <c r="F303" s="11"/>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
      <c r="A304" s="10"/>
      <c r="B304" s="10"/>
      <c r="C304" s="10"/>
      <c r="D304" s="10"/>
      <c r="E304" s="10"/>
      <c r="F304" s="11"/>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
      <c r="A305" s="10"/>
      <c r="B305" s="10"/>
      <c r="C305" s="10"/>
      <c r="D305" s="10"/>
      <c r="E305" s="10"/>
      <c r="F305" s="11"/>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
      <c r="A306" s="10"/>
      <c r="B306" s="10"/>
      <c r="C306" s="10"/>
      <c r="D306" s="10"/>
      <c r="E306" s="10"/>
      <c r="F306" s="11"/>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
      <c r="A307" s="10"/>
      <c r="B307" s="10"/>
      <c r="C307" s="10"/>
      <c r="D307" s="10"/>
      <c r="E307" s="10"/>
      <c r="F307" s="11"/>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
      <c r="A308" s="10"/>
      <c r="B308" s="10"/>
      <c r="C308" s="10"/>
      <c r="D308" s="10"/>
      <c r="E308" s="10"/>
      <c r="F308" s="11"/>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
      <c r="A309" s="10"/>
      <c r="B309" s="10"/>
      <c r="C309" s="10"/>
      <c r="D309" s="10"/>
      <c r="E309" s="10"/>
      <c r="F309" s="11"/>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
      <c r="A310" s="10"/>
      <c r="B310" s="10"/>
      <c r="C310" s="10"/>
      <c r="D310" s="10"/>
      <c r="E310" s="10"/>
      <c r="F310" s="11"/>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
      <c r="A311" s="10"/>
      <c r="B311" s="10"/>
      <c r="C311" s="10"/>
      <c r="D311" s="10"/>
      <c r="E311" s="10"/>
      <c r="F311" s="11"/>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
      <c r="A312" s="10"/>
      <c r="B312" s="10"/>
      <c r="C312" s="10"/>
      <c r="D312" s="10"/>
      <c r="E312" s="10"/>
      <c r="F312" s="11"/>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
      <c r="A313" s="10"/>
      <c r="B313" s="10"/>
      <c r="C313" s="10"/>
      <c r="D313" s="10"/>
      <c r="E313" s="10"/>
      <c r="F313" s="11"/>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
      <c r="A314" s="10"/>
      <c r="B314" s="10"/>
      <c r="C314" s="10"/>
      <c r="D314" s="10"/>
      <c r="E314" s="10"/>
      <c r="F314" s="11"/>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
      <c r="A315" s="10"/>
      <c r="B315" s="10"/>
      <c r="C315" s="10"/>
      <c r="D315" s="10"/>
      <c r="E315" s="10"/>
      <c r="F315" s="11"/>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
      <c r="A316" s="10"/>
      <c r="B316" s="10"/>
      <c r="C316" s="10"/>
      <c r="D316" s="10"/>
      <c r="E316" s="10"/>
      <c r="F316" s="11"/>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
      <c r="A317" s="10"/>
      <c r="B317" s="10"/>
      <c r="C317" s="10"/>
      <c r="D317" s="10"/>
      <c r="E317" s="10"/>
      <c r="F317" s="11"/>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
      <c r="A318" s="10"/>
      <c r="B318" s="10"/>
      <c r="C318" s="10"/>
      <c r="D318" s="10"/>
      <c r="E318" s="10"/>
      <c r="F318" s="11"/>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
      <c r="A319" s="10"/>
      <c r="B319" s="10"/>
      <c r="C319" s="10"/>
      <c r="D319" s="10"/>
      <c r="E319" s="10"/>
      <c r="F319" s="11"/>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
      <c r="A320" s="10"/>
      <c r="B320" s="10"/>
      <c r="C320" s="10"/>
      <c r="D320" s="10"/>
      <c r="E320" s="10"/>
      <c r="F320" s="11"/>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
      <c r="A321" s="10"/>
      <c r="B321" s="10"/>
      <c r="C321" s="10"/>
      <c r="D321" s="10"/>
      <c r="E321" s="10"/>
      <c r="F321" s="11"/>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
      <c r="A322" s="10"/>
      <c r="B322" s="10"/>
      <c r="C322" s="10"/>
      <c r="D322" s="10"/>
      <c r="E322" s="10"/>
      <c r="F322" s="11"/>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
      <c r="A323" s="10"/>
      <c r="B323" s="10"/>
      <c r="C323" s="10"/>
      <c r="D323" s="10"/>
      <c r="E323" s="10"/>
      <c r="F323" s="11"/>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
      <c r="A324" s="10"/>
      <c r="B324" s="10"/>
      <c r="C324" s="10"/>
      <c r="D324" s="10"/>
      <c r="E324" s="10"/>
      <c r="F324" s="11"/>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
      <c r="A325" s="10"/>
      <c r="B325" s="10"/>
      <c r="C325" s="10"/>
      <c r="D325" s="10"/>
      <c r="E325" s="10"/>
      <c r="F325" s="11"/>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
      <c r="A326" s="10"/>
      <c r="B326" s="10"/>
      <c r="C326" s="10"/>
      <c r="D326" s="10"/>
      <c r="E326" s="10"/>
      <c r="F326" s="11"/>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
      <c r="A327" s="10"/>
      <c r="B327" s="10"/>
      <c r="C327" s="10"/>
      <c r="D327" s="10"/>
      <c r="E327" s="10"/>
      <c r="F327" s="11"/>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
      <c r="A328" s="10"/>
      <c r="B328" s="10"/>
      <c r="C328" s="10"/>
      <c r="D328" s="10"/>
      <c r="E328" s="10"/>
      <c r="F328" s="11"/>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
      <c r="A329" s="10"/>
      <c r="B329" s="10"/>
      <c r="C329" s="10"/>
      <c r="D329" s="10"/>
      <c r="E329" s="10"/>
      <c r="F329" s="11"/>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
      <c r="A330" s="10"/>
      <c r="B330" s="10"/>
      <c r="C330" s="10"/>
      <c r="D330" s="10"/>
      <c r="E330" s="10"/>
      <c r="F330" s="11"/>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
      <c r="A331" s="10"/>
      <c r="B331" s="10"/>
      <c r="C331" s="10"/>
      <c r="D331" s="10"/>
      <c r="E331" s="10"/>
      <c r="F331" s="11"/>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
      <c r="A332" s="10"/>
      <c r="B332" s="10"/>
      <c r="C332" s="10"/>
      <c r="D332" s="10"/>
      <c r="E332" s="10"/>
      <c r="F332" s="11"/>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
      <c r="A333" s="10"/>
      <c r="B333" s="10"/>
      <c r="C333" s="10"/>
      <c r="D333" s="10"/>
      <c r="E333" s="10"/>
      <c r="F333" s="11"/>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
      <c r="A334" s="10"/>
      <c r="B334" s="10"/>
      <c r="C334" s="10"/>
      <c r="D334" s="10"/>
      <c r="E334" s="10"/>
      <c r="F334" s="11"/>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
      <c r="A335" s="10"/>
      <c r="B335" s="10"/>
      <c r="C335" s="10"/>
      <c r="D335" s="10"/>
      <c r="E335" s="10"/>
      <c r="F335" s="11"/>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
      <c r="A336" s="10"/>
      <c r="B336" s="10"/>
      <c r="C336" s="10"/>
      <c r="D336" s="10"/>
      <c r="E336" s="10"/>
      <c r="F336" s="11"/>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
      <c r="A337" s="10"/>
      <c r="B337" s="10"/>
      <c r="C337" s="10"/>
      <c r="D337" s="10"/>
      <c r="E337" s="10"/>
      <c r="F337" s="11"/>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
      <c r="A338" s="10"/>
      <c r="B338" s="10"/>
      <c r="C338" s="10"/>
      <c r="D338" s="10"/>
      <c r="E338" s="10"/>
      <c r="F338" s="11"/>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
      <c r="A339" s="10"/>
      <c r="B339" s="10"/>
      <c r="C339" s="10"/>
      <c r="D339" s="10"/>
      <c r="E339" s="10"/>
      <c r="F339" s="11"/>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
      <c r="A340" s="10"/>
      <c r="B340" s="10"/>
      <c r="C340" s="10"/>
      <c r="D340" s="10"/>
      <c r="E340" s="10"/>
      <c r="F340" s="11"/>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
      <c r="A341" s="10"/>
      <c r="B341" s="10"/>
      <c r="C341" s="10"/>
      <c r="D341" s="10"/>
      <c r="E341" s="10"/>
      <c r="F341" s="11"/>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
      <c r="A342" s="10"/>
      <c r="B342" s="10"/>
      <c r="C342" s="10"/>
      <c r="D342" s="10"/>
      <c r="E342" s="10"/>
      <c r="F342" s="11"/>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
      <c r="A343" s="10"/>
      <c r="B343" s="10"/>
      <c r="C343" s="10"/>
      <c r="D343" s="10"/>
      <c r="E343" s="10"/>
      <c r="F343" s="11"/>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
      <c r="A344" s="10"/>
      <c r="B344" s="10"/>
      <c r="C344" s="10"/>
      <c r="D344" s="10"/>
      <c r="E344" s="10"/>
      <c r="F344" s="11"/>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
      <c r="A345" s="10"/>
      <c r="B345" s="10"/>
      <c r="C345" s="10"/>
      <c r="D345" s="10"/>
      <c r="E345" s="10"/>
      <c r="F345" s="11"/>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
      <c r="A346" s="10"/>
      <c r="B346" s="10"/>
      <c r="C346" s="10"/>
      <c r="D346" s="10"/>
      <c r="E346" s="10"/>
      <c r="F346" s="11"/>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
      <c r="A347" s="10"/>
      <c r="B347" s="10"/>
      <c r="C347" s="10"/>
      <c r="D347" s="10"/>
      <c r="E347" s="10"/>
      <c r="F347" s="11"/>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
      <c r="A348" s="10"/>
      <c r="B348" s="10"/>
      <c r="C348" s="10"/>
      <c r="D348" s="10"/>
      <c r="E348" s="10"/>
      <c r="F348" s="11"/>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
      <c r="A349" s="10"/>
      <c r="B349" s="10"/>
      <c r="C349" s="10"/>
      <c r="D349" s="10"/>
      <c r="E349" s="10"/>
      <c r="F349" s="11"/>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
      <c r="A350" s="10"/>
      <c r="B350" s="10"/>
      <c r="C350" s="10"/>
      <c r="D350" s="10"/>
      <c r="E350" s="10"/>
      <c r="F350" s="11"/>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
      <c r="A351" s="10"/>
      <c r="B351" s="10"/>
      <c r="C351" s="10"/>
      <c r="D351" s="10"/>
      <c r="E351" s="10"/>
      <c r="F351" s="11"/>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
      <c r="A352" s="10"/>
      <c r="B352" s="10"/>
      <c r="C352" s="10"/>
      <c r="D352" s="10"/>
      <c r="E352" s="10"/>
      <c r="F352" s="11"/>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
      <c r="A353" s="10"/>
      <c r="B353" s="10"/>
      <c r="C353" s="10"/>
      <c r="D353" s="10"/>
      <c r="E353" s="10"/>
      <c r="F353" s="11"/>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
      <c r="A354" s="10"/>
      <c r="B354" s="10"/>
      <c r="C354" s="10"/>
      <c r="D354" s="10"/>
      <c r="E354" s="10"/>
      <c r="F354" s="11"/>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
      <c r="A355" s="10"/>
      <c r="B355" s="10"/>
      <c r="C355" s="10"/>
      <c r="D355" s="10"/>
      <c r="E355" s="10"/>
      <c r="F355" s="11"/>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
      <c r="A356" s="10"/>
      <c r="B356" s="10"/>
      <c r="C356" s="10"/>
      <c r="D356" s="10"/>
      <c r="E356" s="10"/>
      <c r="F356" s="11"/>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
      <c r="A357" s="10"/>
      <c r="B357" s="10"/>
      <c r="C357" s="10"/>
      <c r="D357" s="10"/>
      <c r="E357" s="10"/>
      <c r="F357" s="11"/>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
      <c r="A358" s="10"/>
      <c r="B358" s="10"/>
      <c r="C358" s="10"/>
      <c r="D358" s="10"/>
      <c r="E358" s="10"/>
      <c r="F358" s="11"/>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
      <c r="A359" s="10"/>
      <c r="B359" s="10"/>
      <c r="C359" s="10"/>
      <c r="D359" s="10"/>
      <c r="E359" s="10"/>
      <c r="F359" s="11"/>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
      <c r="A360" s="10"/>
      <c r="B360" s="10"/>
      <c r="C360" s="10"/>
      <c r="D360" s="10"/>
      <c r="E360" s="10"/>
      <c r="F360" s="11"/>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
      <c r="A361" s="10"/>
      <c r="B361" s="10"/>
      <c r="C361" s="10"/>
      <c r="D361" s="10"/>
      <c r="E361" s="10"/>
      <c r="F361" s="11"/>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
      <c r="A362" s="10"/>
      <c r="B362" s="10"/>
      <c r="C362" s="10"/>
      <c r="D362" s="10"/>
      <c r="E362" s="10"/>
      <c r="F362" s="11"/>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
      <c r="A363" s="10"/>
      <c r="B363" s="10"/>
      <c r="C363" s="10"/>
      <c r="D363" s="10"/>
      <c r="E363" s="10"/>
      <c r="F363" s="11"/>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
      <c r="A364" s="10"/>
      <c r="B364" s="10"/>
      <c r="C364" s="10"/>
      <c r="D364" s="10"/>
      <c r="E364" s="10"/>
      <c r="F364" s="11"/>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
      <c r="A365" s="10"/>
      <c r="B365" s="10"/>
      <c r="C365" s="10"/>
      <c r="D365" s="10"/>
      <c r="E365" s="10"/>
      <c r="F365" s="11"/>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
      <c r="A366" s="10"/>
      <c r="B366" s="10"/>
      <c r="C366" s="10"/>
      <c r="D366" s="10"/>
      <c r="E366" s="10"/>
      <c r="F366" s="11"/>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
      <c r="A367" s="10"/>
      <c r="B367" s="10"/>
      <c r="C367" s="10"/>
      <c r="D367" s="10"/>
      <c r="E367" s="10"/>
      <c r="F367" s="11"/>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
      <c r="A368" s="10"/>
      <c r="B368" s="10"/>
      <c r="C368" s="10"/>
      <c r="D368" s="10"/>
      <c r="E368" s="10"/>
      <c r="F368" s="11"/>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
      <c r="A369" s="10"/>
      <c r="B369" s="10"/>
      <c r="C369" s="10"/>
      <c r="D369" s="10"/>
      <c r="E369" s="10"/>
      <c r="F369" s="11"/>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
      <c r="A370" s="10"/>
      <c r="B370" s="10"/>
      <c r="C370" s="10"/>
      <c r="D370" s="10"/>
      <c r="E370" s="10"/>
      <c r="F370" s="11"/>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
      <c r="A371" s="10"/>
      <c r="B371" s="10"/>
      <c r="C371" s="10"/>
      <c r="D371" s="10"/>
      <c r="E371" s="10"/>
      <c r="F371" s="11"/>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
      <c r="A372" s="10"/>
      <c r="B372" s="10"/>
      <c r="C372" s="10"/>
      <c r="D372" s="10"/>
      <c r="E372" s="10"/>
      <c r="F372" s="11"/>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
      <c r="A373" s="10"/>
      <c r="B373" s="10"/>
      <c r="C373" s="10"/>
      <c r="D373" s="10"/>
      <c r="E373" s="10"/>
      <c r="F373" s="11"/>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
      <c r="A374" s="10"/>
      <c r="B374" s="10"/>
      <c r="C374" s="10"/>
      <c r="D374" s="10"/>
      <c r="E374" s="10"/>
      <c r="F374" s="11"/>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
      <c r="A375" s="10"/>
      <c r="B375" s="10"/>
      <c r="C375" s="10"/>
      <c r="D375" s="10"/>
      <c r="E375" s="10"/>
      <c r="F375" s="11"/>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
      <c r="A376" s="10"/>
      <c r="B376" s="10"/>
      <c r="C376" s="10"/>
      <c r="D376" s="10"/>
      <c r="E376" s="10"/>
      <c r="F376" s="11"/>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
      <c r="A377" s="10"/>
      <c r="B377" s="10"/>
      <c r="C377" s="10"/>
      <c r="D377" s="10"/>
      <c r="E377" s="10"/>
      <c r="F377" s="11"/>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
      <c r="A378" s="10"/>
      <c r="B378" s="10"/>
      <c r="C378" s="10"/>
      <c r="D378" s="10"/>
      <c r="E378" s="10"/>
      <c r="F378" s="11"/>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
      <c r="A379" s="10"/>
      <c r="B379" s="10"/>
      <c r="C379" s="10"/>
      <c r="D379" s="10"/>
      <c r="E379" s="10"/>
      <c r="F379" s="11"/>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
      <c r="A380" s="10"/>
      <c r="B380" s="10"/>
      <c r="C380" s="10"/>
      <c r="D380" s="10"/>
      <c r="E380" s="10"/>
      <c r="F380" s="11"/>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
      <c r="A381" s="10"/>
      <c r="B381" s="10"/>
      <c r="C381" s="10"/>
      <c r="D381" s="10"/>
      <c r="E381" s="10"/>
      <c r="F381" s="11"/>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
      <c r="A382" s="10"/>
      <c r="B382" s="10"/>
      <c r="C382" s="10"/>
      <c r="D382" s="10"/>
      <c r="E382" s="10"/>
      <c r="F382" s="11"/>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
      <c r="A383" s="10"/>
      <c r="B383" s="10"/>
      <c r="C383" s="10"/>
      <c r="D383" s="10"/>
      <c r="E383" s="10"/>
      <c r="F383" s="11"/>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
      <c r="A384" s="10"/>
      <c r="B384" s="10"/>
      <c r="C384" s="10"/>
      <c r="D384" s="10"/>
      <c r="E384" s="10"/>
      <c r="F384" s="11"/>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
      <c r="A385" s="10"/>
      <c r="B385" s="10"/>
      <c r="C385" s="10"/>
      <c r="D385" s="10"/>
      <c r="E385" s="10"/>
      <c r="F385" s="11"/>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
      <c r="A386" s="10"/>
      <c r="B386" s="10"/>
      <c r="C386" s="10"/>
      <c r="D386" s="10"/>
      <c r="E386" s="10"/>
      <c r="F386" s="11"/>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
      <c r="A387" s="10"/>
      <c r="B387" s="10"/>
      <c r="C387" s="10"/>
      <c r="D387" s="10"/>
      <c r="E387" s="10"/>
      <c r="F387" s="11"/>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
      <c r="A388" s="10"/>
      <c r="B388" s="10"/>
      <c r="C388" s="10"/>
      <c r="D388" s="10"/>
      <c r="E388" s="10"/>
      <c r="F388" s="11"/>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
      <c r="A389" s="10"/>
      <c r="B389" s="10"/>
      <c r="C389" s="10"/>
      <c r="D389" s="10"/>
      <c r="E389" s="10"/>
      <c r="F389" s="11"/>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
      <c r="A390" s="10"/>
      <c r="B390" s="10"/>
      <c r="C390" s="10"/>
      <c r="D390" s="10"/>
      <c r="E390" s="10"/>
      <c r="F390" s="11"/>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
      <c r="A391" s="10"/>
      <c r="B391" s="10"/>
      <c r="C391" s="10"/>
      <c r="D391" s="10"/>
      <c r="E391" s="10"/>
      <c r="F391" s="11"/>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
      <c r="A392" s="10"/>
      <c r="B392" s="10"/>
      <c r="C392" s="10"/>
      <c r="D392" s="10"/>
      <c r="E392" s="10"/>
      <c r="F392" s="11"/>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
      <c r="A393" s="10"/>
      <c r="B393" s="10"/>
      <c r="C393" s="10"/>
      <c r="D393" s="10"/>
      <c r="E393" s="10"/>
      <c r="F393" s="11"/>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
      <c r="A394" s="10"/>
      <c r="B394" s="10"/>
      <c r="C394" s="10"/>
      <c r="D394" s="10"/>
      <c r="E394" s="10"/>
      <c r="F394" s="11"/>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
      <c r="A395" s="10"/>
      <c r="B395" s="10"/>
      <c r="C395" s="10"/>
      <c r="D395" s="10"/>
      <c r="E395" s="10"/>
      <c r="F395" s="11"/>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
      <c r="A396" s="10"/>
      <c r="B396" s="10"/>
      <c r="C396" s="10"/>
      <c r="D396" s="10"/>
      <c r="E396" s="10"/>
      <c r="F396" s="11"/>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
      <c r="A397" s="10"/>
      <c r="B397" s="10"/>
      <c r="C397" s="10"/>
      <c r="D397" s="10"/>
      <c r="E397" s="10"/>
      <c r="F397" s="11"/>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
      <c r="A398" s="10"/>
      <c r="B398" s="10"/>
      <c r="C398" s="10"/>
      <c r="D398" s="10"/>
      <c r="E398" s="10"/>
      <c r="F398" s="11"/>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
      <c r="A399" s="10"/>
      <c r="B399" s="10"/>
      <c r="C399" s="10"/>
      <c r="D399" s="10"/>
      <c r="E399" s="10"/>
      <c r="F399" s="11"/>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
      <c r="A400" s="10"/>
      <c r="B400" s="10"/>
      <c r="C400" s="10"/>
      <c r="D400" s="10"/>
      <c r="E400" s="10"/>
      <c r="F400" s="11"/>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
      <c r="A401" s="10"/>
      <c r="B401" s="10"/>
      <c r="C401" s="10"/>
      <c r="D401" s="10"/>
      <c r="E401" s="10"/>
      <c r="F401" s="11"/>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
      <c r="A402" s="10"/>
      <c r="B402" s="10"/>
      <c r="C402" s="10"/>
      <c r="D402" s="10"/>
      <c r="E402" s="10"/>
      <c r="F402" s="11"/>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
      <c r="A403" s="10"/>
      <c r="B403" s="10"/>
      <c r="C403" s="10"/>
      <c r="D403" s="10"/>
      <c r="E403" s="10"/>
      <c r="F403" s="11"/>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
      <c r="A404" s="10"/>
      <c r="B404" s="10"/>
      <c r="C404" s="10"/>
      <c r="D404" s="10"/>
      <c r="E404" s="10"/>
      <c r="F404" s="11"/>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
      <c r="A405" s="10"/>
      <c r="B405" s="10"/>
      <c r="C405" s="10"/>
      <c r="D405" s="10"/>
      <c r="E405" s="10"/>
      <c r="F405" s="11"/>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
      <c r="A406" s="10"/>
      <c r="B406" s="10"/>
      <c r="C406" s="10"/>
      <c r="D406" s="10"/>
      <c r="E406" s="10"/>
      <c r="F406" s="11"/>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
      <c r="A407" s="10"/>
      <c r="B407" s="10"/>
      <c r="C407" s="10"/>
      <c r="D407" s="10"/>
      <c r="E407" s="10"/>
      <c r="F407" s="11"/>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
      <c r="A408" s="10"/>
      <c r="B408" s="10"/>
      <c r="C408" s="10"/>
      <c r="D408" s="10"/>
      <c r="E408" s="10"/>
      <c r="F408" s="11"/>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
      <c r="A409" s="10"/>
      <c r="B409" s="10"/>
      <c r="C409" s="10"/>
      <c r="D409" s="10"/>
      <c r="E409" s="10"/>
      <c r="F409" s="11"/>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
      <c r="A410" s="10"/>
      <c r="B410" s="10"/>
      <c r="C410" s="10"/>
      <c r="D410" s="10"/>
      <c r="E410" s="10"/>
      <c r="F410" s="11"/>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
      <c r="A411" s="10"/>
      <c r="B411" s="10"/>
      <c r="C411" s="10"/>
      <c r="D411" s="10"/>
      <c r="E411" s="10"/>
      <c r="F411" s="11"/>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
      <c r="A412" s="10"/>
      <c r="B412" s="10"/>
      <c r="C412" s="10"/>
      <c r="D412" s="10"/>
      <c r="E412" s="10"/>
      <c r="F412" s="11"/>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
      <c r="A413" s="10"/>
      <c r="B413" s="10"/>
      <c r="C413" s="10"/>
      <c r="D413" s="10"/>
      <c r="E413" s="10"/>
      <c r="F413" s="11"/>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
      <c r="A414" s="10"/>
      <c r="B414" s="10"/>
      <c r="C414" s="10"/>
      <c r="D414" s="10"/>
      <c r="E414" s="10"/>
      <c r="F414" s="11"/>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
      <c r="A415" s="10"/>
      <c r="B415" s="10"/>
      <c r="C415" s="10"/>
      <c r="D415" s="10"/>
      <c r="E415" s="10"/>
      <c r="F415" s="11"/>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
      <c r="A416" s="10"/>
      <c r="B416" s="10"/>
      <c r="C416" s="10"/>
      <c r="D416" s="10"/>
      <c r="E416" s="10"/>
      <c r="F416" s="11"/>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
      <c r="A417" s="10"/>
      <c r="B417" s="10"/>
      <c r="C417" s="10"/>
      <c r="D417" s="10"/>
      <c r="E417" s="10"/>
      <c r="F417" s="11"/>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
      <c r="A418" s="10"/>
      <c r="B418" s="10"/>
      <c r="C418" s="10"/>
      <c r="D418" s="10"/>
      <c r="E418" s="10"/>
      <c r="F418" s="11"/>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
      <c r="A419" s="10"/>
      <c r="B419" s="10"/>
      <c r="C419" s="10"/>
      <c r="D419" s="10"/>
      <c r="E419" s="10"/>
      <c r="F419" s="11"/>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
      <c r="A420" s="10"/>
      <c r="B420" s="10"/>
      <c r="C420" s="10"/>
      <c r="D420" s="10"/>
      <c r="E420" s="10"/>
      <c r="F420" s="11"/>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
      <c r="A421" s="10"/>
      <c r="B421" s="10"/>
      <c r="C421" s="10"/>
      <c r="D421" s="10"/>
      <c r="E421" s="10"/>
      <c r="F421" s="11"/>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
      <c r="A422" s="10"/>
      <c r="B422" s="10"/>
      <c r="C422" s="10"/>
      <c r="D422" s="10"/>
      <c r="E422" s="10"/>
      <c r="F422" s="11"/>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
      <c r="A423" s="10"/>
      <c r="B423" s="10"/>
      <c r="C423" s="10"/>
      <c r="D423" s="10"/>
      <c r="E423" s="10"/>
      <c r="F423" s="11"/>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
      <c r="A424" s="10"/>
      <c r="B424" s="10"/>
      <c r="C424" s="10"/>
      <c r="D424" s="10"/>
      <c r="E424" s="10"/>
      <c r="F424" s="11"/>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
      <c r="A425" s="10"/>
      <c r="B425" s="10"/>
      <c r="C425" s="10"/>
      <c r="D425" s="10"/>
      <c r="E425" s="10"/>
      <c r="F425" s="11"/>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
      <c r="A426" s="10"/>
      <c r="B426" s="10"/>
      <c r="C426" s="10"/>
      <c r="D426" s="10"/>
      <c r="E426" s="10"/>
      <c r="F426" s="11"/>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
      <c r="A427" s="10"/>
      <c r="B427" s="10"/>
      <c r="C427" s="10"/>
      <c r="D427" s="10"/>
      <c r="E427" s="10"/>
      <c r="F427" s="11"/>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
      <c r="A428" s="10"/>
      <c r="B428" s="10"/>
      <c r="C428" s="10"/>
      <c r="D428" s="10"/>
      <c r="E428" s="10"/>
      <c r="F428" s="11"/>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
      <c r="A429" s="10"/>
      <c r="B429" s="10"/>
      <c r="C429" s="10"/>
      <c r="D429" s="10"/>
      <c r="E429" s="10"/>
      <c r="F429" s="11"/>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
      <c r="A430" s="10"/>
      <c r="B430" s="10"/>
      <c r="C430" s="10"/>
      <c r="D430" s="10"/>
      <c r="E430" s="10"/>
      <c r="F430" s="11"/>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
      <c r="A431" s="10"/>
      <c r="B431" s="10"/>
      <c r="C431" s="10"/>
      <c r="D431" s="10"/>
      <c r="E431" s="10"/>
      <c r="F431" s="11"/>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
      <c r="A432" s="10"/>
      <c r="B432" s="10"/>
      <c r="C432" s="10"/>
      <c r="D432" s="10"/>
      <c r="E432" s="10"/>
      <c r="F432" s="11"/>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
      <c r="A433" s="10"/>
      <c r="B433" s="10"/>
      <c r="C433" s="10"/>
      <c r="D433" s="10"/>
      <c r="E433" s="10"/>
      <c r="F433" s="11"/>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
      <c r="A434" s="10"/>
      <c r="B434" s="10"/>
      <c r="C434" s="10"/>
      <c r="D434" s="10"/>
      <c r="E434" s="10"/>
      <c r="F434" s="11"/>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
      <c r="A435" s="10"/>
      <c r="B435" s="10"/>
      <c r="C435" s="10"/>
      <c r="D435" s="10"/>
      <c r="E435" s="10"/>
      <c r="F435" s="11"/>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
      <c r="A436" s="10"/>
      <c r="B436" s="10"/>
      <c r="C436" s="10"/>
      <c r="D436" s="10"/>
      <c r="E436" s="10"/>
      <c r="F436" s="11"/>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
      <c r="A437" s="10"/>
      <c r="B437" s="10"/>
      <c r="C437" s="10"/>
      <c r="D437" s="10"/>
      <c r="E437" s="10"/>
      <c r="F437" s="11"/>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
      <c r="A438" s="10"/>
      <c r="B438" s="10"/>
      <c r="C438" s="10"/>
      <c r="D438" s="10"/>
      <c r="E438" s="10"/>
      <c r="F438" s="11"/>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
      <c r="A439" s="10"/>
      <c r="B439" s="10"/>
      <c r="C439" s="10"/>
      <c r="D439" s="10"/>
      <c r="E439" s="10"/>
      <c r="F439" s="11"/>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
      <c r="A440" s="10"/>
      <c r="B440" s="10"/>
      <c r="C440" s="10"/>
      <c r="D440" s="10"/>
      <c r="E440" s="10"/>
      <c r="F440" s="11"/>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
      <c r="A441" s="10"/>
      <c r="B441" s="10"/>
      <c r="C441" s="10"/>
      <c r="D441" s="10"/>
      <c r="E441" s="10"/>
      <c r="F441" s="11"/>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
      <c r="A442" s="10"/>
      <c r="B442" s="10"/>
      <c r="C442" s="10"/>
      <c r="D442" s="10"/>
      <c r="E442" s="10"/>
      <c r="F442" s="11"/>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
      <c r="A443" s="10"/>
      <c r="B443" s="10"/>
      <c r="C443" s="10"/>
      <c r="D443" s="10"/>
      <c r="E443" s="10"/>
      <c r="F443" s="11"/>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
      <c r="A444" s="10"/>
      <c r="B444" s="10"/>
      <c r="C444" s="10"/>
      <c r="D444" s="10"/>
      <c r="E444" s="10"/>
      <c r="F444" s="11"/>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
      <c r="A445" s="10"/>
      <c r="B445" s="10"/>
      <c r="C445" s="10"/>
      <c r="D445" s="10"/>
      <c r="E445" s="10"/>
      <c r="F445" s="11"/>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
      <c r="A446" s="10"/>
      <c r="B446" s="10"/>
      <c r="C446" s="10"/>
      <c r="D446" s="10"/>
      <c r="E446" s="10"/>
      <c r="F446" s="11"/>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
      <c r="A447" s="10"/>
      <c r="B447" s="10"/>
      <c r="C447" s="10"/>
      <c r="D447" s="10"/>
      <c r="E447" s="10"/>
      <c r="F447" s="11"/>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
      <c r="A448" s="10"/>
      <c r="B448" s="10"/>
      <c r="C448" s="10"/>
      <c r="D448" s="10"/>
      <c r="E448" s="10"/>
      <c r="F448" s="11"/>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
      <c r="A449" s="10"/>
      <c r="B449" s="10"/>
      <c r="C449" s="10"/>
      <c r="D449" s="10"/>
      <c r="E449" s="10"/>
      <c r="F449" s="11"/>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
      <c r="A450" s="10"/>
      <c r="B450" s="10"/>
      <c r="C450" s="10"/>
      <c r="D450" s="10"/>
      <c r="E450" s="10"/>
      <c r="F450" s="11"/>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
      <c r="A451" s="10"/>
      <c r="B451" s="10"/>
      <c r="C451" s="10"/>
      <c r="D451" s="10"/>
      <c r="E451" s="10"/>
      <c r="F451" s="11"/>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
      <c r="A452" s="10"/>
      <c r="B452" s="10"/>
      <c r="C452" s="10"/>
      <c r="D452" s="10"/>
      <c r="E452" s="10"/>
      <c r="F452" s="11"/>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
      <c r="A453" s="10"/>
      <c r="B453" s="10"/>
      <c r="C453" s="10"/>
      <c r="D453" s="10"/>
      <c r="E453" s="10"/>
      <c r="F453" s="11"/>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
      <c r="A454" s="10"/>
      <c r="B454" s="10"/>
      <c r="C454" s="10"/>
      <c r="D454" s="10"/>
      <c r="E454" s="10"/>
      <c r="F454" s="11"/>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
      <c r="A455" s="10"/>
      <c r="B455" s="10"/>
      <c r="C455" s="10"/>
      <c r="D455" s="10"/>
      <c r="E455" s="10"/>
      <c r="F455" s="11"/>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
      <c r="A456" s="10"/>
      <c r="B456" s="10"/>
      <c r="C456" s="10"/>
      <c r="D456" s="10"/>
      <c r="E456" s="10"/>
      <c r="F456" s="11"/>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
      <c r="A457" s="10"/>
      <c r="B457" s="10"/>
      <c r="C457" s="10"/>
      <c r="D457" s="10"/>
      <c r="E457" s="10"/>
      <c r="F457" s="11"/>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
      <c r="A458" s="10"/>
      <c r="B458" s="10"/>
      <c r="C458" s="10"/>
      <c r="D458" s="10"/>
      <c r="E458" s="10"/>
      <c r="F458" s="11"/>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
      <c r="A459" s="10"/>
      <c r="B459" s="10"/>
      <c r="C459" s="10"/>
      <c r="D459" s="10"/>
      <c r="E459" s="10"/>
      <c r="F459" s="11"/>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
      <c r="A460" s="10"/>
      <c r="B460" s="10"/>
      <c r="C460" s="10"/>
      <c r="D460" s="10"/>
      <c r="E460" s="10"/>
      <c r="F460" s="11"/>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
      <c r="A461" s="10"/>
      <c r="B461" s="10"/>
      <c r="C461" s="10"/>
      <c r="D461" s="10"/>
      <c r="E461" s="10"/>
      <c r="F461" s="11"/>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
      <c r="A462" s="10"/>
      <c r="B462" s="10"/>
      <c r="C462" s="10"/>
      <c r="D462" s="10"/>
      <c r="E462" s="10"/>
      <c r="F462" s="11"/>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
      <c r="A463" s="10"/>
      <c r="B463" s="10"/>
      <c r="C463" s="10"/>
      <c r="D463" s="10"/>
      <c r="E463" s="10"/>
      <c r="F463" s="11"/>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
      <c r="A464" s="10"/>
      <c r="B464" s="10"/>
      <c r="C464" s="10"/>
      <c r="D464" s="10"/>
      <c r="E464" s="10"/>
      <c r="F464" s="11"/>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
      <c r="A465" s="10"/>
      <c r="B465" s="10"/>
      <c r="C465" s="10"/>
      <c r="D465" s="10"/>
      <c r="E465" s="10"/>
      <c r="F465" s="11"/>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
      <c r="A466" s="10"/>
      <c r="B466" s="10"/>
      <c r="C466" s="10"/>
      <c r="D466" s="10"/>
      <c r="E466" s="10"/>
      <c r="F466" s="11"/>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
      <c r="A467" s="10"/>
      <c r="B467" s="10"/>
      <c r="C467" s="10"/>
      <c r="D467" s="10"/>
      <c r="E467" s="10"/>
      <c r="F467" s="11"/>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
      <c r="A468" s="10"/>
      <c r="B468" s="10"/>
      <c r="C468" s="10"/>
      <c r="D468" s="10"/>
      <c r="E468" s="10"/>
      <c r="F468" s="11"/>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
      <c r="A469" s="10"/>
      <c r="B469" s="10"/>
      <c r="C469" s="10"/>
      <c r="D469" s="10"/>
      <c r="E469" s="10"/>
      <c r="F469" s="11"/>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
      <c r="A470" s="10"/>
      <c r="B470" s="10"/>
      <c r="C470" s="10"/>
      <c r="D470" s="10"/>
      <c r="E470" s="10"/>
      <c r="F470" s="11"/>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
      <c r="A471" s="10"/>
      <c r="B471" s="10"/>
      <c r="C471" s="10"/>
      <c r="D471" s="10"/>
      <c r="E471" s="10"/>
      <c r="F471" s="11"/>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
      <c r="A472" s="10"/>
      <c r="B472" s="10"/>
      <c r="C472" s="10"/>
      <c r="D472" s="10"/>
      <c r="E472" s="10"/>
      <c r="F472" s="11"/>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
      <c r="A473" s="10"/>
      <c r="B473" s="10"/>
      <c r="C473" s="10"/>
      <c r="D473" s="10"/>
      <c r="E473" s="10"/>
      <c r="F473" s="11"/>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
      <c r="A474" s="10"/>
      <c r="B474" s="10"/>
      <c r="C474" s="10"/>
      <c r="D474" s="10"/>
      <c r="E474" s="10"/>
      <c r="F474" s="11"/>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
      <c r="A475" s="10"/>
      <c r="B475" s="10"/>
      <c r="C475" s="10"/>
      <c r="D475" s="10"/>
      <c r="E475" s="10"/>
      <c r="F475" s="11"/>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
      <c r="A476" s="10"/>
      <c r="B476" s="10"/>
      <c r="C476" s="10"/>
      <c r="D476" s="10"/>
      <c r="E476" s="10"/>
      <c r="F476" s="11"/>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
      <c r="A477" s="10"/>
      <c r="B477" s="10"/>
      <c r="C477" s="10"/>
      <c r="D477" s="10"/>
      <c r="E477" s="10"/>
      <c r="F477" s="11"/>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
      <c r="A478" s="10"/>
      <c r="B478" s="10"/>
      <c r="C478" s="10"/>
      <c r="D478" s="10"/>
      <c r="E478" s="10"/>
      <c r="F478" s="11"/>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
      <c r="A479" s="10"/>
      <c r="B479" s="10"/>
      <c r="C479" s="10"/>
      <c r="D479" s="10"/>
      <c r="E479" s="10"/>
      <c r="F479" s="11"/>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
      <c r="A480" s="10"/>
      <c r="B480" s="10"/>
      <c r="C480" s="10"/>
      <c r="D480" s="10"/>
      <c r="E480" s="10"/>
      <c r="F480" s="11"/>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
      <c r="A481" s="10"/>
      <c r="B481" s="10"/>
      <c r="C481" s="10"/>
      <c r="D481" s="10"/>
      <c r="E481" s="10"/>
      <c r="F481" s="11"/>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
      <c r="A482" s="10"/>
      <c r="B482" s="10"/>
      <c r="C482" s="10"/>
      <c r="D482" s="10"/>
      <c r="E482" s="10"/>
      <c r="F482" s="11"/>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
      <c r="A483" s="10"/>
      <c r="B483" s="10"/>
      <c r="C483" s="10"/>
      <c r="D483" s="10"/>
      <c r="E483" s="10"/>
      <c r="F483" s="11"/>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
      <c r="A484" s="10"/>
      <c r="B484" s="10"/>
      <c r="C484" s="10"/>
      <c r="D484" s="10"/>
      <c r="E484" s="10"/>
      <c r="F484" s="11"/>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
      <c r="A485" s="10"/>
      <c r="B485" s="10"/>
      <c r="C485" s="10"/>
      <c r="D485" s="10"/>
      <c r="E485" s="10"/>
      <c r="F485" s="11"/>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
      <c r="A486" s="10"/>
      <c r="B486" s="10"/>
      <c r="C486" s="10"/>
      <c r="D486" s="10"/>
      <c r="E486" s="10"/>
      <c r="F486" s="11"/>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
      <c r="A487" s="10"/>
      <c r="B487" s="10"/>
      <c r="C487" s="10"/>
      <c r="D487" s="10"/>
      <c r="E487" s="10"/>
      <c r="F487" s="11"/>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
      <c r="A488" s="10"/>
      <c r="B488" s="10"/>
      <c r="C488" s="10"/>
      <c r="D488" s="10"/>
      <c r="E488" s="10"/>
      <c r="F488" s="11"/>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
      <c r="A489" s="10"/>
      <c r="B489" s="10"/>
      <c r="C489" s="10"/>
      <c r="D489" s="10"/>
      <c r="E489" s="10"/>
      <c r="F489" s="11"/>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
      <c r="A490" s="10"/>
      <c r="B490" s="10"/>
      <c r="C490" s="10"/>
      <c r="D490" s="10"/>
      <c r="E490" s="10"/>
      <c r="F490" s="11"/>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
      <c r="A491" s="10"/>
      <c r="B491" s="10"/>
      <c r="C491" s="10"/>
      <c r="D491" s="10"/>
      <c r="E491" s="10"/>
      <c r="F491" s="11"/>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
      <c r="A492" s="10"/>
      <c r="B492" s="10"/>
      <c r="C492" s="10"/>
      <c r="D492" s="10"/>
      <c r="E492" s="10"/>
      <c r="F492" s="11"/>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
      <c r="A493" s="10"/>
      <c r="B493" s="10"/>
      <c r="C493" s="10"/>
      <c r="D493" s="10"/>
      <c r="E493" s="10"/>
      <c r="F493" s="11"/>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
      <c r="A494" s="10"/>
      <c r="B494" s="10"/>
      <c r="C494" s="10"/>
      <c r="D494" s="10"/>
      <c r="E494" s="10"/>
      <c r="F494" s="11"/>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
      <c r="A495" s="10"/>
      <c r="B495" s="10"/>
      <c r="C495" s="10"/>
      <c r="D495" s="10"/>
      <c r="E495" s="10"/>
      <c r="F495" s="11"/>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
      <c r="A496" s="10"/>
      <c r="B496" s="10"/>
      <c r="C496" s="10"/>
      <c r="D496" s="10"/>
      <c r="E496" s="10"/>
      <c r="F496" s="11"/>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
      <c r="A497" s="10"/>
      <c r="B497" s="10"/>
      <c r="C497" s="10"/>
      <c r="D497" s="10"/>
      <c r="E497" s="10"/>
      <c r="F497" s="11"/>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
      <c r="A498" s="10"/>
      <c r="B498" s="10"/>
      <c r="C498" s="10"/>
      <c r="D498" s="10"/>
      <c r="E498" s="10"/>
      <c r="F498" s="11"/>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
      <c r="A499" s="10"/>
      <c r="B499" s="10"/>
      <c r="C499" s="10"/>
      <c r="D499" s="10"/>
      <c r="E499" s="10"/>
      <c r="F499" s="11"/>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
      <c r="A500" s="10"/>
      <c r="B500" s="10"/>
      <c r="C500" s="10"/>
      <c r="D500" s="10"/>
      <c r="E500" s="10"/>
      <c r="F500" s="11"/>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
      <c r="A501" s="10"/>
      <c r="B501" s="10"/>
      <c r="C501" s="10"/>
      <c r="D501" s="10"/>
      <c r="E501" s="10"/>
      <c r="F501" s="11"/>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
      <c r="A502" s="10"/>
      <c r="B502" s="10"/>
      <c r="C502" s="10"/>
      <c r="D502" s="10"/>
      <c r="E502" s="10"/>
      <c r="F502" s="11"/>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
      <c r="A503" s="10"/>
      <c r="B503" s="10"/>
      <c r="C503" s="10"/>
      <c r="D503" s="10"/>
      <c r="E503" s="10"/>
      <c r="F503" s="11"/>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
      <c r="A504" s="10"/>
      <c r="B504" s="10"/>
      <c r="C504" s="10"/>
      <c r="D504" s="10"/>
      <c r="E504" s="10"/>
      <c r="F504" s="11"/>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
      <c r="A505" s="10"/>
      <c r="B505" s="10"/>
      <c r="C505" s="10"/>
      <c r="D505" s="10"/>
      <c r="E505" s="10"/>
      <c r="F505" s="11"/>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
      <c r="A506" s="10"/>
      <c r="B506" s="10"/>
      <c r="C506" s="10"/>
      <c r="D506" s="10"/>
      <c r="E506" s="10"/>
      <c r="F506" s="11"/>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
      <c r="A507" s="10"/>
      <c r="B507" s="10"/>
      <c r="C507" s="10"/>
      <c r="D507" s="10"/>
      <c r="E507" s="10"/>
      <c r="F507" s="11"/>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
      <c r="A508" s="10"/>
      <c r="B508" s="10"/>
      <c r="C508" s="10"/>
      <c r="D508" s="10"/>
      <c r="E508" s="10"/>
      <c r="F508" s="11"/>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
      <c r="A509" s="10"/>
      <c r="B509" s="10"/>
      <c r="C509" s="10"/>
      <c r="D509" s="10"/>
      <c r="E509" s="10"/>
      <c r="F509" s="11"/>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
      <c r="A510" s="10"/>
      <c r="B510" s="10"/>
      <c r="C510" s="10"/>
      <c r="D510" s="10"/>
      <c r="E510" s="10"/>
      <c r="F510" s="11"/>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
      <c r="A511" s="10"/>
      <c r="B511" s="10"/>
      <c r="C511" s="10"/>
      <c r="D511" s="10"/>
      <c r="E511" s="10"/>
      <c r="F511" s="11"/>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
      <c r="A512" s="10"/>
      <c r="B512" s="10"/>
      <c r="C512" s="10"/>
      <c r="D512" s="10"/>
      <c r="E512" s="10"/>
      <c r="F512" s="11"/>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
      <c r="A513" s="10"/>
      <c r="B513" s="10"/>
      <c r="C513" s="10"/>
      <c r="D513" s="10"/>
      <c r="E513" s="10"/>
      <c r="F513" s="11"/>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
      <c r="A514" s="10"/>
      <c r="B514" s="10"/>
      <c r="C514" s="10"/>
      <c r="D514" s="10"/>
      <c r="E514" s="10"/>
      <c r="F514" s="11"/>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
      <c r="A515" s="10"/>
      <c r="B515" s="10"/>
      <c r="C515" s="10"/>
      <c r="D515" s="10"/>
      <c r="E515" s="10"/>
      <c r="F515" s="11"/>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
      <c r="A516" s="10"/>
      <c r="B516" s="10"/>
      <c r="C516" s="10"/>
      <c r="D516" s="10"/>
      <c r="E516" s="10"/>
      <c r="F516" s="11"/>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
      <c r="A517" s="10"/>
      <c r="B517" s="10"/>
      <c r="C517" s="10"/>
      <c r="D517" s="10"/>
      <c r="E517" s="10"/>
      <c r="F517" s="11"/>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
      <c r="A518" s="10"/>
      <c r="B518" s="10"/>
      <c r="C518" s="10"/>
      <c r="D518" s="10"/>
      <c r="E518" s="10"/>
      <c r="F518" s="11"/>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
      <c r="A519" s="10"/>
      <c r="B519" s="10"/>
      <c r="C519" s="10"/>
      <c r="D519" s="10"/>
      <c r="E519" s="10"/>
      <c r="F519" s="11"/>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
      <c r="A520" s="10"/>
      <c r="B520" s="10"/>
      <c r="C520" s="10"/>
      <c r="D520" s="10"/>
      <c r="E520" s="10"/>
      <c r="F520" s="11"/>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
      <c r="A521" s="10"/>
      <c r="B521" s="10"/>
      <c r="C521" s="10"/>
      <c r="D521" s="10"/>
      <c r="E521" s="10"/>
      <c r="F521" s="11"/>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
      <c r="A522" s="10"/>
      <c r="B522" s="10"/>
      <c r="C522" s="10"/>
      <c r="D522" s="10"/>
      <c r="E522" s="10"/>
      <c r="F522" s="11"/>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
      <c r="A523" s="10"/>
      <c r="B523" s="10"/>
      <c r="C523" s="10"/>
      <c r="D523" s="10"/>
      <c r="E523" s="10"/>
      <c r="F523" s="11"/>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
      <c r="A524" s="10"/>
      <c r="B524" s="10"/>
      <c r="C524" s="10"/>
      <c r="D524" s="10"/>
      <c r="E524" s="10"/>
      <c r="F524" s="11"/>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
      <c r="A525" s="10"/>
      <c r="B525" s="10"/>
      <c r="C525" s="10"/>
      <c r="D525" s="10"/>
      <c r="E525" s="10"/>
      <c r="F525" s="11"/>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
      <c r="A526" s="10"/>
      <c r="B526" s="10"/>
      <c r="C526" s="10"/>
      <c r="D526" s="10"/>
      <c r="E526" s="10"/>
      <c r="F526" s="11"/>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
      <c r="A527" s="10"/>
      <c r="B527" s="10"/>
      <c r="C527" s="10"/>
      <c r="D527" s="10"/>
      <c r="E527" s="10"/>
      <c r="F527" s="11"/>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
      <c r="A528" s="10"/>
      <c r="B528" s="10"/>
      <c r="C528" s="10"/>
      <c r="D528" s="10"/>
      <c r="E528" s="10"/>
      <c r="F528" s="11"/>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
      <c r="A529" s="10"/>
      <c r="B529" s="10"/>
      <c r="C529" s="10"/>
      <c r="D529" s="10"/>
      <c r="E529" s="10"/>
      <c r="F529" s="11"/>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
      <c r="A530" s="10"/>
      <c r="B530" s="10"/>
      <c r="C530" s="10"/>
      <c r="D530" s="10"/>
      <c r="E530" s="10"/>
      <c r="F530" s="11"/>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
      <c r="A531" s="10"/>
      <c r="B531" s="10"/>
      <c r="C531" s="10"/>
      <c r="D531" s="10"/>
      <c r="E531" s="10"/>
      <c r="F531" s="11"/>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
      <c r="A532" s="10"/>
      <c r="B532" s="10"/>
      <c r="C532" s="10"/>
      <c r="D532" s="10"/>
      <c r="E532" s="10"/>
      <c r="F532" s="11"/>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
      <c r="A533" s="10"/>
      <c r="B533" s="10"/>
      <c r="C533" s="10"/>
      <c r="D533" s="10"/>
      <c r="E533" s="10"/>
      <c r="F533" s="11"/>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
      <c r="A534" s="10"/>
      <c r="B534" s="10"/>
      <c r="C534" s="10"/>
      <c r="D534" s="10"/>
      <c r="E534" s="10"/>
      <c r="F534" s="11"/>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
      <c r="A535" s="10"/>
      <c r="B535" s="10"/>
      <c r="C535" s="10"/>
      <c r="D535" s="10"/>
      <c r="E535" s="10"/>
      <c r="F535" s="11"/>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
      <c r="A536" s="10"/>
      <c r="B536" s="10"/>
      <c r="C536" s="10"/>
      <c r="D536" s="10"/>
      <c r="E536" s="10"/>
      <c r="F536" s="11"/>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
      <c r="A537" s="10"/>
      <c r="B537" s="10"/>
      <c r="C537" s="10"/>
      <c r="D537" s="10"/>
      <c r="E537" s="10"/>
      <c r="F537" s="11"/>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
      <c r="A538" s="10"/>
      <c r="B538" s="10"/>
      <c r="C538" s="10"/>
      <c r="D538" s="10"/>
      <c r="E538" s="10"/>
      <c r="F538" s="11"/>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
      <c r="A539" s="10"/>
      <c r="B539" s="10"/>
      <c r="C539" s="10"/>
      <c r="D539" s="10"/>
      <c r="E539" s="10"/>
      <c r="F539" s="11"/>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
      <c r="A540" s="10"/>
      <c r="B540" s="10"/>
      <c r="C540" s="10"/>
      <c r="D540" s="10"/>
      <c r="E540" s="10"/>
      <c r="F540" s="11"/>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
      <c r="A541" s="10"/>
      <c r="B541" s="10"/>
      <c r="C541" s="10"/>
      <c r="D541" s="10"/>
      <c r="E541" s="10"/>
      <c r="F541" s="11"/>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
      <c r="A542" s="10"/>
      <c r="B542" s="10"/>
      <c r="C542" s="10"/>
      <c r="D542" s="10"/>
      <c r="E542" s="10"/>
      <c r="F542" s="11"/>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
      <c r="A543" s="10"/>
      <c r="B543" s="10"/>
      <c r="C543" s="10"/>
      <c r="D543" s="10"/>
      <c r="E543" s="10"/>
      <c r="F543" s="11"/>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
      <c r="A544" s="10"/>
      <c r="B544" s="10"/>
      <c r="C544" s="10"/>
      <c r="D544" s="10"/>
      <c r="E544" s="10"/>
      <c r="F544" s="11"/>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
      <c r="A545" s="10"/>
      <c r="B545" s="10"/>
      <c r="C545" s="10"/>
      <c r="D545" s="10"/>
      <c r="E545" s="10"/>
      <c r="F545" s="11"/>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
      <c r="A546" s="10"/>
      <c r="B546" s="10"/>
      <c r="C546" s="10"/>
      <c r="D546" s="10"/>
      <c r="E546" s="10"/>
      <c r="F546" s="11"/>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
      <c r="A547" s="10"/>
      <c r="B547" s="10"/>
      <c r="C547" s="10"/>
      <c r="D547" s="10"/>
      <c r="E547" s="10"/>
      <c r="F547" s="11"/>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
      <c r="A548" s="10"/>
      <c r="B548" s="10"/>
      <c r="C548" s="10"/>
      <c r="D548" s="10"/>
      <c r="E548" s="10"/>
      <c r="F548" s="11"/>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
      <c r="A549" s="10"/>
      <c r="B549" s="10"/>
      <c r="C549" s="10"/>
      <c r="D549" s="10"/>
      <c r="E549" s="10"/>
      <c r="F549" s="11"/>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
      <c r="A550" s="10"/>
      <c r="B550" s="10"/>
      <c r="C550" s="10"/>
      <c r="D550" s="10"/>
      <c r="E550" s="10"/>
      <c r="F550" s="11"/>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
      <c r="A551" s="10"/>
      <c r="B551" s="10"/>
      <c r="C551" s="10"/>
      <c r="D551" s="10"/>
      <c r="E551" s="10"/>
      <c r="F551" s="11"/>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
      <c r="A552" s="10"/>
      <c r="B552" s="10"/>
      <c r="C552" s="10"/>
      <c r="D552" s="10"/>
      <c r="E552" s="10"/>
      <c r="F552" s="11"/>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
      <c r="A553" s="10"/>
      <c r="B553" s="10"/>
      <c r="C553" s="10"/>
      <c r="D553" s="10"/>
      <c r="E553" s="10"/>
      <c r="F553" s="11"/>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
      <c r="A554" s="10"/>
      <c r="B554" s="10"/>
      <c r="C554" s="10"/>
      <c r="D554" s="10"/>
      <c r="E554" s="10"/>
      <c r="F554" s="11"/>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
      <c r="A555" s="10"/>
      <c r="B555" s="10"/>
      <c r="C555" s="10"/>
      <c r="D555" s="10"/>
      <c r="E555" s="10"/>
      <c r="F555" s="11"/>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
      <c r="A556" s="10"/>
      <c r="B556" s="10"/>
      <c r="C556" s="10"/>
      <c r="D556" s="10"/>
      <c r="E556" s="10"/>
      <c r="F556" s="11"/>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
      <c r="A557" s="10"/>
      <c r="B557" s="10"/>
      <c r="C557" s="10"/>
      <c r="D557" s="10"/>
      <c r="E557" s="10"/>
      <c r="F557" s="11"/>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
      <c r="A558" s="10"/>
      <c r="B558" s="10"/>
      <c r="C558" s="10"/>
      <c r="D558" s="10"/>
      <c r="E558" s="10"/>
      <c r="F558" s="11"/>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
      <c r="A559" s="10"/>
      <c r="B559" s="10"/>
      <c r="C559" s="10"/>
      <c r="D559" s="10"/>
      <c r="E559" s="10"/>
      <c r="F559" s="11"/>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
      <c r="A560" s="10"/>
      <c r="B560" s="10"/>
      <c r="C560" s="10"/>
      <c r="D560" s="10"/>
      <c r="E560" s="10"/>
      <c r="F560" s="11"/>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
      <c r="A561" s="10"/>
      <c r="B561" s="10"/>
      <c r="C561" s="10"/>
      <c r="D561" s="10"/>
      <c r="E561" s="10"/>
      <c r="F561" s="11"/>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
      <c r="A562" s="10"/>
      <c r="B562" s="10"/>
      <c r="C562" s="10"/>
      <c r="D562" s="10"/>
      <c r="E562" s="10"/>
      <c r="F562" s="11"/>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
      <c r="A563" s="10"/>
      <c r="B563" s="10"/>
      <c r="C563" s="10"/>
      <c r="D563" s="10"/>
      <c r="E563" s="10"/>
      <c r="F563" s="11"/>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
      <c r="A564" s="10"/>
      <c r="B564" s="10"/>
      <c r="C564" s="10"/>
      <c r="D564" s="10"/>
      <c r="E564" s="10"/>
      <c r="F564" s="11"/>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
      <c r="A565" s="10"/>
      <c r="B565" s="10"/>
      <c r="C565" s="10"/>
      <c r="D565" s="10"/>
      <c r="E565" s="10"/>
      <c r="F565" s="11"/>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
      <c r="A566" s="10"/>
      <c r="B566" s="10"/>
      <c r="C566" s="10"/>
      <c r="D566" s="10"/>
      <c r="E566" s="10"/>
      <c r="F566" s="11"/>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
      <c r="A567" s="10"/>
      <c r="B567" s="10"/>
      <c r="C567" s="10"/>
      <c r="D567" s="10"/>
      <c r="E567" s="10"/>
      <c r="F567" s="11"/>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
      <c r="A568" s="10"/>
      <c r="B568" s="10"/>
      <c r="C568" s="10"/>
      <c r="D568" s="10"/>
      <c r="E568" s="10"/>
      <c r="F568" s="11"/>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
      <c r="A569" s="10"/>
      <c r="B569" s="10"/>
      <c r="C569" s="10"/>
      <c r="D569" s="10"/>
      <c r="E569" s="10"/>
      <c r="F569" s="11"/>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
      <c r="A570" s="10"/>
      <c r="B570" s="10"/>
      <c r="C570" s="10"/>
      <c r="D570" s="10"/>
      <c r="E570" s="10"/>
      <c r="F570" s="11"/>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
      <c r="A571" s="10"/>
      <c r="B571" s="10"/>
      <c r="C571" s="10"/>
      <c r="D571" s="10"/>
      <c r="E571" s="10"/>
      <c r="F571" s="11"/>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
      <c r="A572" s="10"/>
      <c r="B572" s="10"/>
      <c r="C572" s="10"/>
      <c r="D572" s="10"/>
      <c r="E572" s="10"/>
      <c r="F572" s="11"/>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
      <c r="A573" s="10"/>
      <c r="B573" s="10"/>
      <c r="C573" s="10"/>
      <c r="D573" s="10"/>
      <c r="E573" s="10"/>
      <c r="F573" s="11"/>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
      <c r="A574" s="10"/>
      <c r="B574" s="10"/>
      <c r="C574" s="10"/>
      <c r="D574" s="10"/>
      <c r="E574" s="10"/>
      <c r="F574" s="11"/>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
      <c r="A575" s="10"/>
      <c r="B575" s="10"/>
      <c r="C575" s="10"/>
      <c r="D575" s="10"/>
      <c r="E575" s="10"/>
      <c r="F575" s="11"/>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
      <c r="A576" s="10"/>
      <c r="B576" s="10"/>
      <c r="C576" s="10"/>
      <c r="D576" s="10"/>
      <c r="E576" s="10"/>
      <c r="F576" s="11"/>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
      <c r="A577" s="10"/>
      <c r="B577" s="10"/>
      <c r="C577" s="10"/>
      <c r="D577" s="10"/>
      <c r="E577" s="10"/>
      <c r="F577" s="11"/>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
      <c r="A578" s="10"/>
      <c r="B578" s="10"/>
      <c r="C578" s="10"/>
      <c r="D578" s="10"/>
      <c r="E578" s="10"/>
      <c r="F578" s="11"/>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
      <c r="A579" s="10"/>
      <c r="B579" s="10"/>
      <c r="C579" s="10"/>
      <c r="D579" s="10"/>
      <c r="E579" s="10"/>
      <c r="F579" s="11"/>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
      <c r="A580" s="10"/>
      <c r="B580" s="10"/>
      <c r="C580" s="10"/>
      <c r="D580" s="10"/>
      <c r="E580" s="10"/>
      <c r="F580" s="11"/>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
      <c r="A581" s="10"/>
      <c r="B581" s="10"/>
      <c r="C581" s="10"/>
      <c r="D581" s="10"/>
      <c r="E581" s="10"/>
      <c r="F581" s="11"/>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
      <c r="A582" s="10"/>
      <c r="B582" s="10"/>
      <c r="C582" s="10"/>
      <c r="D582" s="10"/>
      <c r="E582" s="10"/>
      <c r="F582" s="11"/>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
      <c r="A583" s="10"/>
      <c r="B583" s="10"/>
      <c r="C583" s="10"/>
      <c r="D583" s="10"/>
      <c r="E583" s="10"/>
      <c r="F583" s="11"/>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
      <c r="A584" s="10"/>
      <c r="B584" s="10"/>
      <c r="C584" s="10"/>
      <c r="D584" s="10"/>
      <c r="E584" s="10"/>
      <c r="F584" s="11"/>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
      <c r="A585" s="10"/>
      <c r="B585" s="10"/>
      <c r="C585" s="10"/>
      <c r="D585" s="10"/>
      <c r="E585" s="10"/>
      <c r="F585" s="11"/>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
      <c r="A586" s="10"/>
      <c r="B586" s="10"/>
      <c r="C586" s="10"/>
      <c r="D586" s="10"/>
      <c r="E586" s="10"/>
      <c r="F586" s="11"/>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
      <c r="A587" s="10"/>
      <c r="B587" s="10"/>
      <c r="C587" s="10"/>
      <c r="D587" s="10"/>
      <c r="E587" s="10"/>
      <c r="F587" s="11"/>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
      <c r="A588" s="10"/>
      <c r="B588" s="10"/>
      <c r="C588" s="10"/>
      <c r="D588" s="10"/>
      <c r="E588" s="10"/>
      <c r="F588" s="11"/>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
      <c r="A589" s="10"/>
      <c r="B589" s="10"/>
      <c r="C589" s="10"/>
      <c r="D589" s="10"/>
      <c r="E589" s="10"/>
      <c r="F589" s="11"/>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
      <c r="A590" s="10"/>
      <c r="B590" s="10"/>
      <c r="C590" s="10"/>
      <c r="D590" s="10"/>
      <c r="E590" s="10"/>
      <c r="F590" s="11"/>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
      <c r="A591" s="10"/>
      <c r="B591" s="10"/>
      <c r="C591" s="10"/>
      <c r="D591" s="10"/>
      <c r="E591" s="10"/>
      <c r="F591" s="11"/>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
      <c r="A592" s="10"/>
      <c r="B592" s="10"/>
      <c r="C592" s="10"/>
      <c r="D592" s="10"/>
      <c r="E592" s="10"/>
      <c r="F592" s="11"/>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
      <c r="A593" s="10"/>
      <c r="B593" s="10"/>
      <c r="C593" s="10"/>
      <c r="D593" s="10"/>
      <c r="E593" s="10"/>
      <c r="F593" s="11"/>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
      <c r="A594" s="10"/>
      <c r="B594" s="10"/>
      <c r="C594" s="10"/>
      <c r="D594" s="10"/>
      <c r="E594" s="10"/>
      <c r="F594" s="11"/>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
      <c r="A595" s="10"/>
      <c r="B595" s="10"/>
      <c r="C595" s="10"/>
      <c r="D595" s="10"/>
      <c r="E595" s="10"/>
      <c r="F595" s="11"/>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
      <c r="A596" s="10"/>
      <c r="B596" s="10"/>
      <c r="C596" s="10"/>
      <c r="D596" s="10"/>
      <c r="E596" s="10"/>
      <c r="F596" s="11"/>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
      <c r="A597" s="10"/>
      <c r="B597" s="10"/>
      <c r="C597" s="10"/>
      <c r="D597" s="10"/>
      <c r="E597" s="10"/>
      <c r="F597" s="11"/>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
      <c r="A598" s="10"/>
      <c r="B598" s="10"/>
      <c r="C598" s="10"/>
      <c r="D598" s="10"/>
      <c r="E598" s="10"/>
      <c r="F598" s="11"/>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
      <c r="A599" s="10"/>
      <c r="B599" s="10"/>
      <c r="C599" s="10"/>
      <c r="D599" s="10"/>
      <c r="E599" s="10"/>
      <c r="F599" s="11"/>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
      <c r="A600" s="10"/>
      <c r="B600" s="10"/>
      <c r="C600" s="10"/>
      <c r="D600" s="10"/>
      <c r="E600" s="10"/>
      <c r="F600" s="11"/>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
      <c r="A601" s="10"/>
      <c r="B601" s="10"/>
      <c r="C601" s="10"/>
      <c r="D601" s="10"/>
      <c r="E601" s="10"/>
      <c r="F601" s="11"/>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
      <c r="A602" s="10"/>
      <c r="B602" s="10"/>
      <c r="C602" s="10"/>
      <c r="D602" s="10"/>
      <c r="E602" s="10"/>
      <c r="F602" s="11"/>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
      <c r="A603" s="10"/>
      <c r="B603" s="10"/>
      <c r="C603" s="10"/>
      <c r="D603" s="10"/>
      <c r="E603" s="10"/>
      <c r="F603" s="11"/>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
      <c r="A604" s="10"/>
      <c r="B604" s="10"/>
      <c r="C604" s="10"/>
      <c r="D604" s="10"/>
      <c r="E604" s="10"/>
      <c r="F604" s="11"/>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
      <c r="A605" s="10"/>
      <c r="B605" s="10"/>
      <c r="C605" s="10"/>
      <c r="D605" s="10"/>
      <c r="E605" s="10"/>
      <c r="F605" s="11"/>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
      <c r="A606" s="10"/>
      <c r="B606" s="10"/>
      <c r="C606" s="10"/>
      <c r="D606" s="10"/>
      <c r="E606" s="10"/>
      <c r="F606" s="11"/>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
      <c r="A607" s="10"/>
      <c r="B607" s="10"/>
      <c r="C607" s="10"/>
      <c r="D607" s="10"/>
      <c r="E607" s="10"/>
      <c r="F607" s="11"/>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
      <c r="A608" s="10"/>
      <c r="B608" s="10"/>
      <c r="C608" s="10"/>
      <c r="D608" s="10"/>
      <c r="E608" s="10"/>
      <c r="F608" s="11"/>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
      <c r="A609" s="10"/>
      <c r="B609" s="10"/>
      <c r="C609" s="10"/>
      <c r="D609" s="10"/>
      <c r="E609" s="10"/>
      <c r="F609" s="11"/>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
      <c r="A610" s="10"/>
      <c r="B610" s="10"/>
      <c r="C610" s="10"/>
      <c r="D610" s="10"/>
      <c r="E610" s="10"/>
      <c r="F610" s="11"/>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
      <c r="A611" s="10"/>
      <c r="B611" s="10"/>
      <c r="C611" s="10"/>
      <c r="D611" s="10"/>
      <c r="E611" s="10"/>
      <c r="F611" s="11"/>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
      <c r="A612" s="10"/>
      <c r="B612" s="10"/>
      <c r="C612" s="10"/>
      <c r="D612" s="10"/>
      <c r="E612" s="10"/>
      <c r="F612" s="11"/>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
      <c r="A613" s="10"/>
      <c r="B613" s="10"/>
      <c r="C613" s="10"/>
      <c r="D613" s="10"/>
      <c r="E613" s="10"/>
      <c r="F613" s="11"/>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
      <c r="A614" s="10"/>
      <c r="B614" s="10"/>
      <c r="C614" s="10"/>
      <c r="D614" s="10"/>
      <c r="E614" s="10"/>
      <c r="F614" s="11"/>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
      <c r="A615" s="10"/>
      <c r="B615" s="10"/>
      <c r="C615" s="10"/>
      <c r="D615" s="10"/>
      <c r="E615" s="10"/>
      <c r="F615" s="11"/>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
      <c r="A616" s="10"/>
      <c r="B616" s="10"/>
      <c r="C616" s="10"/>
      <c r="D616" s="10"/>
      <c r="E616" s="10"/>
      <c r="F616" s="11"/>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
      <c r="A617" s="10"/>
      <c r="B617" s="10"/>
      <c r="C617" s="10"/>
      <c r="D617" s="10"/>
      <c r="E617" s="10"/>
      <c r="F617" s="11"/>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
      <c r="A618" s="10"/>
      <c r="B618" s="10"/>
      <c r="C618" s="10"/>
      <c r="D618" s="10"/>
      <c r="E618" s="10"/>
      <c r="F618" s="11"/>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
      <c r="A619" s="10"/>
      <c r="B619" s="10"/>
      <c r="C619" s="10"/>
      <c r="D619" s="10"/>
      <c r="E619" s="10"/>
      <c r="F619" s="11"/>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
      <c r="A620" s="10"/>
      <c r="B620" s="10"/>
      <c r="C620" s="10"/>
      <c r="D620" s="10"/>
      <c r="E620" s="10"/>
      <c r="F620" s="11"/>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
      <c r="A621" s="10"/>
      <c r="B621" s="10"/>
      <c r="C621" s="10"/>
      <c r="D621" s="10"/>
      <c r="E621" s="10"/>
      <c r="F621" s="11"/>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
      <c r="A622" s="10"/>
      <c r="B622" s="10"/>
      <c r="C622" s="10"/>
      <c r="D622" s="10"/>
      <c r="E622" s="10"/>
      <c r="F622" s="11"/>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
      <c r="A623" s="10"/>
      <c r="B623" s="10"/>
      <c r="C623" s="10"/>
      <c r="D623" s="10"/>
      <c r="E623" s="10"/>
      <c r="F623" s="11"/>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
      <c r="A624" s="10"/>
      <c r="B624" s="10"/>
      <c r="C624" s="10"/>
      <c r="D624" s="10"/>
      <c r="E624" s="10"/>
      <c r="F624" s="11"/>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
      <c r="A625" s="10"/>
      <c r="B625" s="10"/>
      <c r="C625" s="10"/>
      <c r="D625" s="10"/>
      <c r="E625" s="10"/>
      <c r="F625" s="11"/>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
      <c r="A626" s="10"/>
      <c r="B626" s="10"/>
      <c r="C626" s="10"/>
      <c r="D626" s="10"/>
      <c r="E626" s="10"/>
      <c r="F626" s="11"/>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
      <c r="A627" s="10"/>
      <c r="B627" s="10"/>
      <c r="C627" s="10"/>
      <c r="D627" s="10"/>
      <c r="E627" s="10"/>
      <c r="F627" s="11"/>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
      <c r="A628" s="10"/>
      <c r="B628" s="10"/>
      <c r="C628" s="10"/>
      <c r="D628" s="10"/>
      <c r="E628" s="10"/>
      <c r="F628" s="11"/>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
      <c r="A629" s="10"/>
      <c r="B629" s="10"/>
      <c r="C629" s="10"/>
      <c r="D629" s="10"/>
      <c r="E629" s="10"/>
      <c r="F629" s="11"/>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
      <c r="A630" s="10"/>
      <c r="B630" s="10"/>
      <c r="C630" s="10"/>
      <c r="D630" s="10"/>
      <c r="E630" s="10"/>
      <c r="F630" s="11"/>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
      <c r="A631" s="10"/>
      <c r="B631" s="10"/>
      <c r="C631" s="10"/>
      <c r="D631" s="10"/>
      <c r="E631" s="10"/>
      <c r="F631" s="11"/>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
      <c r="A632" s="10"/>
      <c r="B632" s="10"/>
      <c r="C632" s="10"/>
      <c r="D632" s="10"/>
      <c r="E632" s="10"/>
      <c r="F632" s="11"/>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
      <c r="A633" s="10"/>
      <c r="B633" s="10"/>
      <c r="C633" s="10"/>
      <c r="D633" s="10"/>
      <c r="E633" s="10"/>
      <c r="F633" s="11"/>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
      <c r="A634" s="10"/>
      <c r="B634" s="10"/>
      <c r="C634" s="10"/>
      <c r="D634" s="10"/>
      <c r="E634" s="10"/>
      <c r="F634" s="11"/>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
      <c r="A635" s="10"/>
      <c r="B635" s="10"/>
      <c r="C635" s="10"/>
      <c r="D635" s="10"/>
      <c r="E635" s="10"/>
      <c r="F635" s="11"/>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
      <c r="A636" s="10"/>
      <c r="B636" s="10"/>
      <c r="C636" s="10"/>
      <c r="D636" s="10"/>
      <c r="E636" s="10"/>
      <c r="F636" s="11"/>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
      <c r="A637" s="10"/>
      <c r="B637" s="10"/>
      <c r="C637" s="10"/>
      <c r="D637" s="10"/>
      <c r="E637" s="10"/>
      <c r="F637" s="11"/>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
      <c r="A638" s="10"/>
      <c r="B638" s="10"/>
      <c r="C638" s="10"/>
      <c r="D638" s="10"/>
      <c r="E638" s="10"/>
      <c r="F638" s="11"/>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
      <c r="A639" s="10"/>
      <c r="B639" s="10"/>
      <c r="C639" s="10"/>
      <c r="D639" s="10"/>
      <c r="E639" s="10"/>
      <c r="F639" s="11"/>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
      <c r="A640" s="10"/>
      <c r="B640" s="10"/>
      <c r="C640" s="10"/>
      <c r="D640" s="10"/>
      <c r="E640" s="10"/>
      <c r="F640" s="11"/>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
      <c r="A641" s="10"/>
      <c r="B641" s="10"/>
      <c r="C641" s="10"/>
      <c r="D641" s="10"/>
      <c r="E641" s="10"/>
      <c r="F641" s="11"/>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
      <c r="A642" s="10"/>
      <c r="B642" s="10"/>
      <c r="C642" s="10"/>
      <c r="D642" s="10"/>
      <c r="E642" s="10"/>
      <c r="F642" s="11"/>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
      <c r="A643" s="10"/>
      <c r="B643" s="10"/>
      <c r="C643" s="10"/>
      <c r="D643" s="10"/>
      <c r="E643" s="10"/>
      <c r="F643" s="11"/>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
      <c r="A644" s="10"/>
      <c r="B644" s="10"/>
      <c r="C644" s="10"/>
      <c r="D644" s="10"/>
      <c r="E644" s="10"/>
      <c r="F644" s="11"/>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
      <c r="A645" s="10"/>
      <c r="B645" s="10"/>
      <c r="C645" s="10"/>
      <c r="D645" s="10"/>
      <c r="E645" s="10"/>
      <c r="F645" s="11"/>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
      <c r="A646" s="10"/>
      <c r="B646" s="10"/>
      <c r="C646" s="10"/>
      <c r="D646" s="10"/>
      <c r="E646" s="10"/>
      <c r="F646" s="11"/>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
      <c r="A647" s="10"/>
      <c r="B647" s="10"/>
      <c r="C647" s="10"/>
      <c r="D647" s="10"/>
      <c r="E647" s="10"/>
      <c r="F647" s="11"/>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
      <c r="A648" s="10"/>
      <c r="B648" s="10"/>
      <c r="C648" s="10"/>
      <c r="D648" s="10"/>
      <c r="E648" s="10"/>
      <c r="F648" s="11"/>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
      <c r="A649" s="10"/>
      <c r="B649" s="10"/>
      <c r="C649" s="10"/>
      <c r="D649" s="10"/>
      <c r="E649" s="10"/>
      <c r="F649" s="11"/>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
      <c r="A650" s="10"/>
      <c r="B650" s="10"/>
      <c r="C650" s="10"/>
      <c r="D650" s="10"/>
      <c r="E650" s="10"/>
      <c r="F650" s="11"/>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
      <c r="A651" s="10"/>
      <c r="B651" s="10"/>
      <c r="C651" s="10"/>
      <c r="D651" s="10"/>
      <c r="E651" s="10"/>
      <c r="F651" s="11"/>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
      <c r="A652" s="10"/>
      <c r="B652" s="10"/>
      <c r="C652" s="10"/>
      <c r="D652" s="10"/>
      <c r="E652" s="10"/>
      <c r="F652" s="11"/>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
      <c r="A653" s="10"/>
      <c r="B653" s="10"/>
      <c r="C653" s="10"/>
      <c r="D653" s="10"/>
      <c r="E653" s="10"/>
      <c r="F653" s="11"/>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
      <c r="A654" s="10"/>
      <c r="B654" s="10"/>
      <c r="C654" s="10"/>
      <c r="D654" s="10"/>
      <c r="E654" s="10"/>
      <c r="F654" s="11"/>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
      <c r="A655" s="10"/>
      <c r="B655" s="10"/>
      <c r="C655" s="10"/>
      <c r="D655" s="10"/>
      <c r="E655" s="10"/>
      <c r="F655" s="11"/>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
      <c r="A656" s="10"/>
      <c r="B656" s="10"/>
      <c r="C656" s="10"/>
      <c r="D656" s="10"/>
      <c r="E656" s="10"/>
      <c r="F656" s="11"/>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
      <c r="A657" s="10"/>
      <c r="B657" s="10"/>
      <c r="C657" s="10"/>
      <c r="D657" s="10"/>
      <c r="E657" s="10"/>
      <c r="F657" s="11"/>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
      <c r="A658" s="10"/>
      <c r="B658" s="10"/>
      <c r="C658" s="10"/>
      <c r="D658" s="10"/>
      <c r="E658" s="10"/>
      <c r="F658" s="11"/>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
      <c r="A659" s="10"/>
      <c r="B659" s="10"/>
      <c r="C659" s="10"/>
      <c r="D659" s="10"/>
      <c r="E659" s="10"/>
      <c r="F659" s="11"/>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
      <c r="A660" s="10"/>
      <c r="B660" s="10"/>
      <c r="C660" s="10"/>
      <c r="D660" s="10"/>
      <c r="E660" s="10"/>
      <c r="F660" s="11"/>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
      <c r="A661" s="10"/>
      <c r="B661" s="10"/>
      <c r="C661" s="10"/>
      <c r="D661" s="10"/>
      <c r="E661" s="10"/>
      <c r="F661" s="11"/>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
      <c r="A662" s="10"/>
      <c r="B662" s="10"/>
      <c r="C662" s="10"/>
      <c r="D662" s="10"/>
      <c r="E662" s="10"/>
      <c r="F662" s="11"/>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
      <c r="A663" s="10"/>
      <c r="B663" s="10"/>
      <c r="C663" s="10"/>
      <c r="D663" s="10"/>
      <c r="E663" s="10"/>
      <c r="F663" s="11"/>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
      <c r="A664" s="10"/>
      <c r="B664" s="10"/>
      <c r="C664" s="10"/>
      <c r="D664" s="10"/>
      <c r="E664" s="10"/>
      <c r="F664" s="11"/>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
      <c r="A665" s="10"/>
      <c r="B665" s="10"/>
      <c r="C665" s="10"/>
      <c r="D665" s="10"/>
      <c r="E665" s="10"/>
      <c r="F665" s="11"/>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
      <c r="A666" s="10"/>
      <c r="B666" s="10"/>
      <c r="C666" s="10"/>
      <c r="D666" s="10"/>
      <c r="E666" s="10"/>
      <c r="F666" s="11"/>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
      <c r="A667" s="10"/>
      <c r="B667" s="10"/>
      <c r="C667" s="10"/>
      <c r="D667" s="10"/>
      <c r="E667" s="10"/>
      <c r="F667" s="11"/>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
      <c r="A668" s="10"/>
      <c r="B668" s="10"/>
      <c r="C668" s="10"/>
      <c r="D668" s="10"/>
      <c r="E668" s="10"/>
      <c r="F668" s="11"/>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
      <c r="A669" s="10"/>
      <c r="B669" s="10"/>
      <c r="C669" s="10"/>
      <c r="D669" s="10"/>
      <c r="E669" s="10"/>
      <c r="F669" s="11"/>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
      <c r="A670" s="10"/>
      <c r="B670" s="10"/>
      <c r="C670" s="10"/>
      <c r="D670" s="10"/>
      <c r="E670" s="10"/>
      <c r="F670" s="11"/>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
      <c r="A671" s="10"/>
      <c r="B671" s="10"/>
      <c r="C671" s="10"/>
      <c r="D671" s="10"/>
      <c r="E671" s="10"/>
      <c r="F671" s="11"/>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
      <c r="A672" s="10"/>
      <c r="B672" s="10"/>
      <c r="C672" s="10"/>
      <c r="D672" s="10"/>
      <c r="E672" s="10"/>
      <c r="F672" s="11"/>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
      <c r="A673" s="10"/>
      <c r="B673" s="10"/>
      <c r="C673" s="10"/>
      <c r="D673" s="10"/>
      <c r="E673" s="10"/>
      <c r="F673" s="11"/>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
      <c r="A674" s="10"/>
      <c r="B674" s="10"/>
      <c r="C674" s="10"/>
      <c r="D674" s="10"/>
      <c r="E674" s="10"/>
      <c r="F674" s="11"/>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
      <c r="A675" s="10"/>
      <c r="B675" s="10"/>
      <c r="C675" s="10"/>
      <c r="D675" s="10"/>
      <c r="E675" s="10"/>
      <c r="F675" s="11"/>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
      <c r="A676" s="10"/>
      <c r="B676" s="10"/>
      <c r="C676" s="10"/>
      <c r="D676" s="10"/>
      <c r="E676" s="10"/>
      <c r="F676" s="11"/>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
      <c r="A677" s="10"/>
      <c r="B677" s="10"/>
      <c r="C677" s="10"/>
      <c r="D677" s="10"/>
      <c r="E677" s="10"/>
      <c r="F677" s="11"/>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
      <c r="A678" s="10"/>
      <c r="B678" s="10"/>
      <c r="C678" s="10"/>
      <c r="D678" s="10"/>
      <c r="E678" s="10"/>
      <c r="F678" s="11"/>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
      <c r="A679" s="10"/>
      <c r="B679" s="10"/>
      <c r="C679" s="10"/>
      <c r="D679" s="10"/>
      <c r="E679" s="10"/>
      <c r="F679" s="11"/>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
      <c r="A680" s="10"/>
      <c r="B680" s="10"/>
      <c r="C680" s="10"/>
      <c r="D680" s="10"/>
      <c r="E680" s="10"/>
      <c r="F680" s="11"/>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
      <c r="A681" s="10"/>
      <c r="B681" s="10"/>
      <c r="C681" s="10"/>
      <c r="D681" s="10"/>
      <c r="E681" s="10"/>
      <c r="F681" s="11"/>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
      <c r="A682" s="10"/>
      <c r="B682" s="10"/>
      <c r="C682" s="10"/>
      <c r="D682" s="10"/>
      <c r="E682" s="10"/>
      <c r="F682" s="11"/>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
      <c r="A683" s="10"/>
      <c r="B683" s="10"/>
      <c r="C683" s="10"/>
      <c r="D683" s="10"/>
      <c r="E683" s="10"/>
      <c r="F683" s="11"/>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
      <c r="A684" s="10"/>
      <c r="B684" s="10"/>
      <c r="C684" s="10"/>
      <c r="D684" s="10"/>
      <c r="E684" s="10"/>
      <c r="F684" s="11"/>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
      <c r="A685" s="10"/>
      <c r="B685" s="10"/>
      <c r="C685" s="10"/>
      <c r="D685" s="10"/>
      <c r="E685" s="10"/>
      <c r="F685" s="11"/>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
      <c r="A686" s="10"/>
      <c r="B686" s="10"/>
      <c r="C686" s="10"/>
      <c r="D686" s="10"/>
      <c r="E686" s="10"/>
      <c r="F686" s="11"/>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
      <c r="A687" s="10"/>
      <c r="B687" s="10"/>
      <c r="C687" s="10"/>
      <c r="D687" s="10"/>
      <c r="E687" s="10"/>
      <c r="F687" s="11"/>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
      <c r="A688" s="10"/>
      <c r="B688" s="10"/>
      <c r="C688" s="10"/>
      <c r="D688" s="10"/>
      <c r="E688" s="10"/>
      <c r="F688" s="11"/>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
      <c r="A689" s="10"/>
      <c r="B689" s="10"/>
      <c r="C689" s="10"/>
      <c r="D689" s="10"/>
      <c r="E689" s="10"/>
      <c r="F689" s="11"/>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
      <c r="A690" s="10"/>
      <c r="B690" s="10"/>
      <c r="C690" s="10"/>
      <c r="D690" s="10"/>
      <c r="E690" s="10"/>
      <c r="F690" s="11"/>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
      <c r="A691" s="10"/>
      <c r="B691" s="10"/>
      <c r="C691" s="10"/>
      <c r="D691" s="10"/>
      <c r="E691" s="10"/>
      <c r="F691" s="11"/>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
      <c r="A692" s="10"/>
      <c r="B692" s="10"/>
      <c r="C692" s="10"/>
      <c r="D692" s="10"/>
      <c r="E692" s="10"/>
      <c r="F692" s="11"/>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
      <c r="A693" s="10"/>
      <c r="B693" s="10"/>
      <c r="C693" s="10"/>
      <c r="D693" s="10"/>
      <c r="E693" s="10"/>
      <c r="F693" s="11"/>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
      <c r="A694" s="10"/>
      <c r="B694" s="10"/>
      <c r="C694" s="10"/>
      <c r="D694" s="10"/>
      <c r="E694" s="10"/>
      <c r="F694" s="11"/>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
      <c r="A695" s="10"/>
      <c r="B695" s="10"/>
      <c r="C695" s="10"/>
      <c r="D695" s="10"/>
      <c r="E695" s="10"/>
      <c r="F695" s="11"/>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
      <c r="A696" s="10"/>
      <c r="B696" s="10"/>
      <c r="C696" s="10"/>
      <c r="D696" s="10"/>
      <c r="E696" s="10"/>
      <c r="F696" s="11"/>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
      <c r="A697" s="10"/>
      <c r="B697" s="10"/>
      <c r="C697" s="10"/>
      <c r="D697" s="10"/>
      <c r="E697" s="10"/>
      <c r="F697" s="11"/>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
      <c r="A698" s="10"/>
      <c r="B698" s="10"/>
      <c r="C698" s="10"/>
      <c r="D698" s="10"/>
      <c r="E698" s="10"/>
      <c r="F698" s="11"/>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
      <c r="A699" s="10"/>
      <c r="B699" s="10"/>
      <c r="C699" s="10"/>
      <c r="D699" s="10"/>
      <c r="E699" s="10"/>
      <c r="F699" s="11"/>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
      <c r="A700" s="10"/>
      <c r="B700" s="10"/>
      <c r="C700" s="10"/>
      <c r="D700" s="10"/>
      <c r="E700" s="10"/>
      <c r="F700" s="11"/>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
      <c r="A701" s="10"/>
      <c r="B701" s="10"/>
      <c r="C701" s="10"/>
      <c r="D701" s="10"/>
      <c r="E701" s="10"/>
      <c r="F701" s="11"/>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
      <c r="A702" s="10"/>
      <c r="B702" s="10"/>
      <c r="C702" s="10"/>
      <c r="D702" s="10"/>
      <c r="E702" s="10"/>
      <c r="F702" s="11"/>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
      <c r="A703" s="10"/>
      <c r="B703" s="10"/>
      <c r="C703" s="10"/>
      <c r="D703" s="10"/>
      <c r="E703" s="10"/>
      <c r="F703" s="11"/>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
      <c r="A704" s="10"/>
      <c r="B704" s="10"/>
      <c r="C704" s="10"/>
      <c r="D704" s="10"/>
      <c r="E704" s="10"/>
      <c r="F704" s="11"/>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
      <c r="A705" s="10"/>
      <c r="B705" s="10"/>
      <c r="C705" s="10"/>
      <c r="D705" s="10"/>
      <c r="E705" s="10"/>
      <c r="F705" s="11"/>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
      <c r="A706" s="10"/>
      <c r="B706" s="10"/>
      <c r="C706" s="10"/>
      <c r="D706" s="10"/>
      <c r="E706" s="10"/>
      <c r="F706" s="11"/>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
      <c r="A707" s="10"/>
      <c r="B707" s="10"/>
      <c r="C707" s="10"/>
      <c r="D707" s="10"/>
      <c r="E707" s="10"/>
      <c r="F707" s="11"/>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
      <c r="A708" s="10"/>
      <c r="B708" s="10"/>
      <c r="C708" s="10"/>
      <c r="D708" s="10"/>
      <c r="E708" s="10"/>
      <c r="F708" s="11"/>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
      <c r="A709" s="10"/>
      <c r="B709" s="10"/>
      <c r="C709" s="10"/>
      <c r="D709" s="10"/>
      <c r="E709" s="10"/>
      <c r="F709" s="11"/>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
      <c r="A710" s="10"/>
      <c r="B710" s="10"/>
      <c r="C710" s="10"/>
      <c r="D710" s="10"/>
      <c r="E710" s="10"/>
      <c r="F710" s="11"/>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
      <c r="A711" s="10"/>
      <c r="B711" s="10"/>
      <c r="C711" s="10"/>
      <c r="D711" s="10"/>
      <c r="E711" s="10"/>
      <c r="F711" s="11"/>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
      <c r="A712" s="10"/>
      <c r="B712" s="10"/>
      <c r="C712" s="10"/>
      <c r="D712" s="10"/>
      <c r="E712" s="10"/>
      <c r="F712" s="11"/>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
      <c r="A713" s="10"/>
      <c r="B713" s="10"/>
      <c r="C713" s="10"/>
      <c r="D713" s="10"/>
      <c r="E713" s="10"/>
      <c r="F713" s="11"/>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
      <c r="A714" s="10"/>
      <c r="B714" s="10"/>
      <c r="C714" s="10"/>
      <c r="D714" s="10"/>
      <c r="E714" s="10"/>
      <c r="F714" s="11"/>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
      <c r="A715" s="10"/>
      <c r="B715" s="10"/>
      <c r="C715" s="10"/>
      <c r="D715" s="10"/>
      <c r="E715" s="10"/>
      <c r="F715" s="11"/>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
      <c r="A716" s="10"/>
      <c r="B716" s="10"/>
      <c r="C716" s="10"/>
      <c r="D716" s="10"/>
      <c r="E716" s="10"/>
      <c r="F716" s="11"/>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
      <c r="A717" s="10"/>
      <c r="B717" s="10"/>
      <c r="C717" s="10"/>
      <c r="D717" s="10"/>
      <c r="E717" s="10"/>
      <c r="F717" s="11"/>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
      <c r="A718" s="10"/>
      <c r="B718" s="10"/>
      <c r="C718" s="10"/>
      <c r="D718" s="10"/>
      <c r="E718" s="10"/>
      <c r="F718" s="11"/>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
      <c r="A719" s="10"/>
      <c r="B719" s="10"/>
      <c r="C719" s="10"/>
      <c r="D719" s="10"/>
      <c r="E719" s="10"/>
      <c r="F719" s="11"/>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
      <c r="A720" s="10"/>
      <c r="B720" s="10"/>
      <c r="C720" s="10"/>
      <c r="D720" s="10"/>
      <c r="E720" s="10"/>
      <c r="F720" s="11"/>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
      <c r="A721" s="10"/>
      <c r="B721" s="10"/>
      <c r="C721" s="10"/>
      <c r="D721" s="10"/>
      <c r="E721" s="10"/>
      <c r="F721" s="11"/>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
      <c r="A722" s="10"/>
      <c r="B722" s="10"/>
      <c r="C722" s="10"/>
      <c r="D722" s="10"/>
      <c r="E722" s="10"/>
      <c r="F722" s="11"/>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
      <c r="A723" s="10"/>
      <c r="B723" s="10"/>
      <c r="C723" s="10"/>
      <c r="D723" s="10"/>
      <c r="E723" s="10"/>
      <c r="F723" s="11"/>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
      <c r="A724" s="10"/>
      <c r="B724" s="10"/>
      <c r="C724" s="10"/>
      <c r="D724" s="10"/>
      <c r="E724" s="10"/>
      <c r="F724" s="11"/>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
      <c r="A725" s="10"/>
      <c r="B725" s="10"/>
      <c r="C725" s="10"/>
      <c r="D725" s="10"/>
      <c r="E725" s="10"/>
      <c r="F725" s="11"/>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
      <c r="A726" s="10"/>
      <c r="B726" s="10"/>
      <c r="C726" s="10"/>
      <c r="D726" s="10"/>
      <c r="E726" s="10"/>
      <c r="F726" s="11"/>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
      <c r="A727" s="10"/>
      <c r="B727" s="10"/>
      <c r="C727" s="10"/>
      <c r="D727" s="10"/>
      <c r="E727" s="10"/>
      <c r="F727" s="11"/>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
      <c r="A728" s="10"/>
      <c r="B728" s="10"/>
      <c r="C728" s="10"/>
      <c r="D728" s="10"/>
      <c r="E728" s="10"/>
      <c r="F728" s="11"/>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
      <c r="A729" s="10"/>
      <c r="B729" s="10"/>
      <c r="C729" s="10"/>
      <c r="D729" s="10"/>
      <c r="E729" s="10"/>
      <c r="F729" s="11"/>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
      <c r="A730" s="10"/>
      <c r="B730" s="10"/>
      <c r="C730" s="10"/>
      <c r="D730" s="10"/>
      <c r="E730" s="10"/>
      <c r="F730" s="11"/>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
      <c r="A731" s="10"/>
      <c r="B731" s="10"/>
      <c r="C731" s="10"/>
      <c r="D731" s="10"/>
      <c r="E731" s="10"/>
      <c r="F731" s="11"/>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
      <c r="A732" s="10"/>
      <c r="B732" s="10"/>
      <c r="C732" s="10"/>
      <c r="D732" s="10"/>
      <c r="E732" s="10"/>
      <c r="F732" s="11"/>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
      <c r="A733" s="10"/>
      <c r="B733" s="10"/>
      <c r="C733" s="10"/>
      <c r="D733" s="10"/>
      <c r="E733" s="10"/>
      <c r="F733" s="11"/>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
      <c r="A734" s="10"/>
      <c r="B734" s="10"/>
      <c r="C734" s="10"/>
      <c r="D734" s="10"/>
      <c r="E734" s="10"/>
      <c r="F734" s="11"/>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
      <c r="A735" s="10"/>
      <c r="B735" s="10"/>
      <c r="C735" s="10"/>
      <c r="D735" s="10"/>
      <c r="E735" s="10"/>
      <c r="F735" s="11"/>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
      <c r="A736" s="10"/>
      <c r="B736" s="10"/>
      <c r="C736" s="10"/>
      <c r="D736" s="10"/>
      <c r="E736" s="10"/>
      <c r="F736" s="11"/>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
      <c r="A737" s="10"/>
      <c r="B737" s="10"/>
      <c r="C737" s="10"/>
      <c r="D737" s="10"/>
      <c r="E737" s="10"/>
      <c r="F737" s="11"/>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
      <c r="A738" s="10"/>
      <c r="B738" s="10"/>
      <c r="C738" s="10"/>
      <c r="D738" s="10"/>
      <c r="E738" s="10"/>
      <c r="F738" s="11"/>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
      <c r="A739" s="10"/>
      <c r="B739" s="10"/>
      <c r="C739" s="10"/>
      <c r="D739" s="10"/>
      <c r="E739" s="10"/>
      <c r="F739" s="11"/>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
      <c r="A740" s="10"/>
      <c r="B740" s="10"/>
      <c r="C740" s="10"/>
      <c r="D740" s="10"/>
      <c r="E740" s="10"/>
      <c r="F740" s="11"/>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
      <c r="A741" s="10"/>
      <c r="B741" s="10"/>
      <c r="C741" s="10"/>
      <c r="D741" s="10"/>
      <c r="E741" s="10"/>
      <c r="F741" s="11"/>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
      <c r="A742" s="10"/>
      <c r="B742" s="10"/>
      <c r="C742" s="10"/>
      <c r="D742" s="10"/>
      <c r="E742" s="10"/>
      <c r="F742" s="11"/>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
      <c r="A743" s="10"/>
      <c r="B743" s="10"/>
      <c r="C743" s="10"/>
      <c r="D743" s="10"/>
      <c r="E743" s="10"/>
      <c r="F743" s="11"/>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
      <c r="A744" s="10"/>
      <c r="B744" s="10"/>
      <c r="C744" s="10"/>
      <c r="D744" s="10"/>
      <c r="E744" s="10"/>
      <c r="F744" s="11"/>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
      <c r="A745" s="10"/>
      <c r="B745" s="10"/>
      <c r="C745" s="10"/>
      <c r="D745" s="10"/>
      <c r="E745" s="10"/>
      <c r="F745" s="11"/>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
      <c r="A746" s="10"/>
      <c r="B746" s="10"/>
      <c r="C746" s="10"/>
      <c r="D746" s="10"/>
      <c r="E746" s="10"/>
      <c r="F746" s="11"/>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
      <c r="A747" s="10"/>
      <c r="B747" s="10"/>
      <c r="C747" s="10"/>
      <c r="D747" s="10"/>
      <c r="E747" s="10"/>
      <c r="F747" s="11"/>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
      <c r="A748" s="10"/>
      <c r="B748" s="10"/>
      <c r="C748" s="10"/>
      <c r="D748" s="10"/>
      <c r="E748" s="10"/>
      <c r="F748" s="11"/>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
      <c r="A749" s="10"/>
      <c r="B749" s="10"/>
      <c r="C749" s="10"/>
      <c r="D749" s="10"/>
      <c r="E749" s="10"/>
      <c r="F749" s="11"/>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
      <c r="A750" s="10"/>
      <c r="B750" s="10"/>
      <c r="C750" s="10"/>
      <c r="D750" s="10"/>
      <c r="E750" s="10"/>
      <c r="F750" s="11"/>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
      <c r="A751" s="10"/>
      <c r="B751" s="10"/>
      <c r="C751" s="10"/>
      <c r="D751" s="10"/>
      <c r="E751" s="10"/>
      <c r="F751" s="11"/>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
      <c r="A752" s="10"/>
      <c r="B752" s="10"/>
      <c r="C752" s="10"/>
      <c r="D752" s="10"/>
      <c r="E752" s="10"/>
      <c r="F752" s="11"/>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
      <c r="A753" s="10"/>
      <c r="B753" s="10"/>
      <c r="C753" s="10"/>
      <c r="D753" s="10"/>
      <c r="E753" s="10"/>
      <c r="F753" s="11"/>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
      <c r="A754" s="10"/>
      <c r="B754" s="10"/>
      <c r="C754" s="10"/>
      <c r="D754" s="10"/>
      <c r="E754" s="10"/>
      <c r="F754" s="11"/>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
      <c r="A755" s="10"/>
      <c r="B755" s="10"/>
      <c r="C755" s="10"/>
      <c r="D755" s="10"/>
      <c r="E755" s="10"/>
      <c r="F755" s="11"/>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
      <c r="A756" s="10"/>
      <c r="B756" s="10"/>
      <c r="C756" s="10"/>
      <c r="D756" s="10"/>
      <c r="E756" s="10"/>
      <c r="F756" s="11"/>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
      <c r="A757" s="10"/>
      <c r="B757" s="10"/>
      <c r="C757" s="10"/>
      <c r="D757" s="10"/>
      <c r="E757" s="10"/>
      <c r="F757" s="11"/>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
      <c r="A758" s="10"/>
      <c r="B758" s="10"/>
      <c r="C758" s="10"/>
      <c r="D758" s="10"/>
      <c r="E758" s="10"/>
      <c r="F758" s="11"/>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
      <c r="A759" s="10"/>
      <c r="B759" s="10"/>
      <c r="C759" s="10"/>
      <c r="D759" s="10"/>
      <c r="E759" s="10"/>
      <c r="F759" s="11"/>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
      <c r="A760" s="10"/>
      <c r="B760" s="10"/>
      <c r="C760" s="10"/>
      <c r="D760" s="10"/>
      <c r="E760" s="10"/>
      <c r="F760" s="11"/>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
      <c r="A761" s="10"/>
      <c r="B761" s="10"/>
      <c r="C761" s="10"/>
      <c r="D761" s="10"/>
      <c r="E761" s="10"/>
      <c r="F761" s="11"/>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
      <c r="A762" s="10"/>
      <c r="B762" s="10"/>
      <c r="C762" s="10"/>
      <c r="D762" s="10"/>
      <c r="E762" s="10"/>
      <c r="F762" s="11"/>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
      <c r="A763" s="10"/>
      <c r="B763" s="10"/>
      <c r="C763" s="10"/>
      <c r="D763" s="10"/>
      <c r="E763" s="10"/>
      <c r="F763" s="11"/>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
      <c r="A764" s="10"/>
      <c r="B764" s="10"/>
      <c r="C764" s="10"/>
      <c r="D764" s="10"/>
      <c r="E764" s="10"/>
      <c r="F764" s="11"/>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
      <c r="A765" s="10"/>
      <c r="B765" s="10"/>
      <c r="C765" s="10"/>
      <c r="D765" s="10"/>
      <c r="E765" s="10"/>
      <c r="F765" s="11"/>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
      <c r="A766" s="10"/>
      <c r="B766" s="10"/>
      <c r="C766" s="10"/>
      <c r="D766" s="10"/>
      <c r="E766" s="10"/>
      <c r="F766" s="11"/>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
      <c r="A767" s="10"/>
      <c r="B767" s="10"/>
      <c r="C767" s="10"/>
      <c r="D767" s="10"/>
      <c r="E767" s="10"/>
      <c r="F767" s="11"/>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
      <c r="A768" s="10"/>
      <c r="B768" s="10"/>
      <c r="C768" s="10"/>
      <c r="D768" s="10"/>
      <c r="E768" s="10"/>
      <c r="F768" s="11"/>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
      <c r="A769" s="10"/>
      <c r="B769" s="10"/>
      <c r="C769" s="10"/>
      <c r="D769" s="10"/>
      <c r="E769" s="10"/>
      <c r="F769" s="11"/>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
      <c r="A770" s="10"/>
      <c r="B770" s="10"/>
      <c r="C770" s="10"/>
      <c r="D770" s="10"/>
      <c r="E770" s="10"/>
      <c r="F770" s="11"/>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
      <c r="A771" s="10"/>
      <c r="B771" s="10"/>
      <c r="C771" s="10"/>
      <c r="D771" s="10"/>
      <c r="E771" s="10"/>
      <c r="F771" s="11"/>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
      <c r="A772" s="10"/>
      <c r="B772" s="10"/>
      <c r="C772" s="10"/>
      <c r="D772" s="10"/>
      <c r="E772" s="10"/>
      <c r="F772" s="11"/>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
      <c r="A773" s="10"/>
      <c r="B773" s="10"/>
      <c r="C773" s="10"/>
      <c r="D773" s="10"/>
      <c r="E773" s="10"/>
      <c r="F773" s="11"/>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
      <c r="A774" s="10"/>
      <c r="B774" s="10"/>
      <c r="C774" s="10"/>
      <c r="D774" s="10"/>
      <c r="E774" s="10"/>
      <c r="F774" s="11"/>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
      <c r="A775" s="10"/>
      <c r="B775" s="10"/>
      <c r="C775" s="10"/>
      <c r="D775" s="10"/>
      <c r="E775" s="10"/>
      <c r="F775" s="11"/>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
      <c r="A776" s="10"/>
      <c r="B776" s="10"/>
      <c r="C776" s="10"/>
      <c r="D776" s="10"/>
      <c r="E776" s="10"/>
      <c r="F776" s="11"/>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
      <c r="A777" s="10"/>
      <c r="B777" s="10"/>
      <c r="C777" s="10"/>
      <c r="D777" s="10"/>
      <c r="E777" s="10"/>
      <c r="F777" s="11"/>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
      <c r="A778" s="10"/>
      <c r="B778" s="10"/>
      <c r="C778" s="10"/>
      <c r="D778" s="10"/>
      <c r="E778" s="10"/>
      <c r="F778" s="11"/>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
      <c r="A779" s="10"/>
      <c r="B779" s="10"/>
      <c r="C779" s="10"/>
      <c r="D779" s="10"/>
      <c r="E779" s="10"/>
      <c r="F779" s="11"/>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
      <c r="A780" s="10"/>
      <c r="B780" s="10"/>
      <c r="C780" s="10"/>
      <c r="D780" s="10"/>
      <c r="E780" s="10"/>
      <c r="F780" s="11"/>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
      <c r="A781" s="10"/>
      <c r="B781" s="10"/>
      <c r="C781" s="10"/>
      <c r="D781" s="10"/>
      <c r="E781" s="10"/>
      <c r="F781" s="11"/>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
      <c r="A782" s="10"/>
      <c r="B782" s="10"/>
      <c r="C782" s="10"/>
      <c r="D782" s="10"/>
      <c r="E782" s="10"/>
      <c r="F782" s="11"/>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
      <c r="A783" s="10"/>
      <c r="B783" s="10"/>
      <c r="C783" s="10"/>
      <c r="D783" s="10"/>
      <c r="E783" s="10"/>
      <c r="F783" s="11"/>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
      <c r="A784" s="10"/>
      <c r="B784" s="10"/>
      <c r="C784" s="10"/>
      <c r="D784" s="10"/>
      <c r="E784" s="10"/>
      <c r="F784" s="11"/>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
      <c r="A785" s="10"/>
      <c r="B785" s="10"/>
      <c r="C785" s="10"/>
      <c r="D785" s="10"/>
      <c r="E785" s="10"/>
      <c r="F785" s="11"/>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
      <c r="A786" s="10"/>
      <c r="B786" s="10"/>
      <c r="C786" s="10"/>
      <c r="D786" s="10"/>
      <c r="E786" s="10"/>
      <c r="F786" s="11"/>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
      <c r="A787" s="10"/>
      <c r="B787" s="10"/>
      <c r="C787" s="10"/>
      <c r="D787" s="10"/>
      <c r="E787" s="10"/>
      <c r="F787" s="11"/>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
      <c r="A788" s="10"/>
      <c r="B788" s="10"/>
      <c r="C788" s="10"/>
      <c r="D788" s="10"/>
      <c r="E788" s="10"/>
      <c r="F788" s="11"/>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
      <c r="A789" s="10"/>
      <c r="B789" s="10"/>
      <c r="C789" s="10"/>
      <c r="D789" s="10"/>
      <c r="E789" s="10"/>
      <c r="F789" s="11"/>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
      <c r="A790" s="10"/>
      <c r="B790" s="10"/>
      <c r="C790" s="10"/>
      <c r="D790" s="10"/>
      <c r="E790" s="10"/>
      <c r="F790" s="11"/>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
      <c r="A791" s="10"/>
      <c r="B791" s="10"/>
      <c r="C791" s="10"/>
      <c r="D791" s="10"/>
      <c r="E791" s="10"/>
      <c r="F791" s="11"/>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
      <c r="A792" s="10"/>
      <c r="B792" s="10"/>
      <c r="C792" s="10"/>
      <c r="D792" s="10"/>
      <c r="E792" s="10"/>
      <c r="F792" s="11"/>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
      <c r="A793" s="10"/>
      <c r="B793" s="10"/>
      <c r="C793" s="10"/>
      <c r="D793" s="10"/>
      <c r="E793" s="10"/>
      <c r="F793" s="11"/>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
      <c r="A794" s="10"/>
      <c r="B794" s="10"/>
      <c r="C794" s="10"/>
      <c r="D794" s="10"/>
      <c r="E794" s="10"/>
      <c r="F794" s="11"/>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
      <c r="A795" s="10"/>
      <c r="B795" s="10"/>
      <c r="C795" s="10"/>
      <c r="D795" s="10"/>
      <c r="E795" s="10"/>
      <c r="F795" s="11"/>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
      <c r="A796" s="10"/>
      <c r="B796" s="10"/>
      <c r="C796" s="10"/>
      <c r="D796" s="10"/>
      <c r="E796" s="10"/>
      <c r="F796" s="11"/>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
      <c r="A797" s="10"/>
      <c r="B797" s="10"/>
      <c r="C797" s="10"/>
      <c r="D797" s="10"/>
      <c r="E797" s="10"/>
      <c r="F797" s="11"/>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
      <c r="A798" s="10"/>
      <c r="B798" s="10"/>
      <c r="C798" s="10"/>
      <c r="D798" s="10"/>
      <c r="E798" s="10"/>
      <c r="F798" s="11"/>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
      <c r="A799" s="10"/>
      <c r="B799" s="10"/>
      <c r="C799" s="10"/>
      <c r="D799" s="10"/>
      <c r="E799" s="10"/>
      <c r="F799" s="11"/>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
      <c r="A800" s="10"/>
      <c r="B800" s="10"/>
      <c r="C800" s="10"/>
      <c r="D800" s="10"/>
      <c r="E800" s="10"/>
      <c r="F800" s="11"/>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
      <c r="A801" s="10"/>
      <c r="B801" s="10"/>
      <c r="C801" s="10"/>
      <c r="D801" s="10"/>
      <c r="E801" s="10"/>
      <c r="F801" s="11"/>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
      <c r="A802" s="10"/>
      <c r="B802" s="10"/>
      <c r="C802" s="10"/>
      <c r="D802" s="10"/>
      <c r="E802" s="10"/>
      <c r="F802" s="11"/>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
      <c r="A803" s="10"/>
      <c r="B803" s="10"/>
      <c r="C803" s="10"/>
      <c r="D803" s="10"/>
      <c r="E803" s="10"/>
      <c r="F803" s="11"/>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
      <c r="A804" s="10"/>
      <c r="B804" s="10"/>
      <c r="C804" s="10"/>
      <c r="D804" s="10"/>
      <c r="E804" s="10"/>
      <c r="F804" s="11"/>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
      <c r="A805" s="10"/>
      <c r="B805" s="10"/>
      <c r="C805" s="10"/>
      <c r="D805" s="10"/>
      <c r="E805" s="10"/>
      <c r="F805" s="11"/>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
      <c r="A806" s="10"/>
      <c r="B806" s="10"/>
      <c r="C806" s="10"/>
      <c r="D806" s="10"/>
      <c r="E806" s="10"/>
      <c r="F806" s="11"/>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
      <c r="A807" s="10"/>
      <c r="B807" s="10"/>
      <c r="C807" s="10"/>
      <c r="D807" s="10"/>
      <c r="E807" s="10"/>
      <c r="F807" s="11"/>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
      <c r="A808" s="10"/>
      <c r="B808" s="10"/>
      <c r="C808" s="10"/>
      <c r="D808" s="10"/>
      <c r="E808" s="10"/>
      <c r="F808" s="11"/>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
      <c r="A809" s="10"/>
      <c r="B809" s="10"/>
      <c r="C809" s="10"/>
      <c r="D809" s="10"/>
      <c r="E809" s="10"/>
      <c r="F809" s="11"/>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
      <c r="A810" s="10"/>
      <c r="B810" s="10"/>
      <c r="C810" s="10"/>
      <c r="D810" s="10"/>
      <c r="E810" s="10"/>
      <c r="F810" s="11"/>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
      <c r="A811" s="10"/>
      <c r="B811" s="10"/>
      <c r="C811" s="10"/>
      <c r="D811" s="10"/>
      <c r="E811" s="10"/>
      <c r="F811" s="11"/>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
      <c r="A812" s="10"/>
      <c r="B812" s="10"/>
      <c r="C812" s="10"/>
      <c r="D812" s="10"/>
      <c r="E812" s="10"/>
      <c r="F812" s="11"/>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
      <c r="A813" s="10"/>
      <c r="B813" s="10"/>
      <c r="C813" s="10"/>
      <c r="D813" s="10"/>
      <c r="E813" s="10"/>
      <c r="F813" s="11"/>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
      <c r="A814" s="10"/>
      <c r="B814" s="10"/>
      <c r="C814" s="10"/>
      <c r="D814" s="10"/>
      <c r="E814" s="10"/>
      <c r="F814" s="11"/>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
      <c r="A815" s="10"/>
      <c r="B815" s="10"/>
      <c r="C815" s="10"/>
      <c r="D815" s="10"/>
      <c r="E815" s="10"/>
      <c r="F815" s="11"/>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
      <c r="A816" s="10"/>
      <c r="B816" s="10"/>
      <c r="C816" s="10"/>
      <c r="D816" s="10"/>
      <c r="E816" s="10"/>
      <c r="F816" s="11"/>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
      <c r="A817" s="10"/>
      <c r="B817" s="10"/>
      <c r="C817" s="10"/>
      <c r="D817" s="10"/>
      <c r="E817" s="10"/>
      <c r="F817" s="11"/>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
      <c r="A818" s="10"/>
      <c r="B818" s="10"/>
      <c r="C818" s="10"/>
      <c r="D818" s="10"/>
      <c r="E818" s="10"/>
      <c r="F818" s="11"/>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
      <c r="A819" s="10"/>
      <c r="B819" s="10"/>
      <c r="C819" s="10"/>
      <c r="D819" s="10"/>
      <c r="E819" s="10"/>
      <c r="F819" s="11"/>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
      <c r="A820" s="10"/>
      <c r="B820" s="10"/>
      <c r="C820" s="10"/>
      <c r="D820" s="10"/>
      <c r="E820" s="10"/>
      <c r="F820" s="11"/>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
      <c r="A821" s="10"/>
      <c r="B821" s="10"/>
      <c r="C821" s="10"/>
      <c r="D821" s="10"/>
      <c r="E821" s="10"/>
      <c r="F821" s="11"/>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
      <c r="A822" s="10"/>
      <c r="B822" s="10"/>
      <c r="C822" s="10"/>
      <c r="D822" s="10"/>
      <c r="E822" s="10"/>
      <c r="F822" s="11"/>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
      <c r="A823" s="10"/>
      <c r="B823" s="10"/>
      <c r="C823" s="10"/>
      <c r="D823" s="10"/>
      <c r="E823" s="10"/>
      <c r="F823" s="11"/>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
      <c r="A824" s="10"/>
      <c r="B824" s="10"/>
      <c r="C824" s="10"/>
      <c r="D824" s="10"/>
      <c r="E824" s="10"/>
      <c r="F824" s="11"/>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
      <c r="A825" s="10"/>
      <c r="B825" s="10"/>
      <c r="C825" s="10"/>
      <c r="D825" s="10"/>
      <c r="E825" s="10"/>
      <c r="F825" s="11"/>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
      <c r="A826" s="10"/>
      <c r="B826" s="10"/>
      <c r="C826" s="10"/>
      <c r="D826" s="10"/>
      <c r="E826" s="10"/>
      <c r="F826" s="11"/>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
      <c r="A827" s="10"/>
      <c r="B827" s="10"/>
      <c r="C827" s="10"/>
      <c r="D827" s="10"/>
      <c r="E827" s="10"/>
      <c r="F827" s="11"/>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
      <c r="A828" s="10"/>
      <c r="B828" s="10"/>
      <c r="C828" s="10"/>
      <c r="D828" s="10"/>
      <c r="E828" s="10"/>
      <c r="F828" s="11"/>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
      <c r="A829" s="10"/>
      <c r="B829" s="10"/>
      <c r="C829" s="10"/>
      <c r="D829" s="10"/>
      <c r="E829" s="10"/>
      <c r="F829" s="11"/>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
      <c r="A830" s="10"/>
      <c r="B830" s="10"/>
      <c r="C830" s="10"/>
      <c r="D830" s="10"/>
      <c r="E830" s="10"/>
      <c r="F830" s="11"/>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
      <c r="A831" s="10"/>
      <c r="B831" s="10"/>
      <c r="C831" s="10"/>
      <c r="D831" s="10"/>
      <c r="E831" s="10"/>
      <c r="F831" s="11"/>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
      <c r="A832" s="10"/>
      <c r="B832" s="10"/>
      <c r="C832" s="10"/>
      <c r="D832" s="10"/>
      <c r="E832" s="10"/>
      <c r="F832" s="11"/>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
      <c r="A833" s="10"/>
      <c r="B833" s="10"/>
      <c r="C833" s="10"/>
      <c r="D833" s="10"/>
      <c r="E833" s="10"/>
      <c r="F833" s="11"/>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
      <c r="A834" s="10"/>
      <c r="B834" s="10"/>
      <c r="C834" s="10"/>
      <c r="D834" s="10"/>
      <c r="E834" s="10"/>
      <c r="F834" s="11"/>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
      <c r="A835" s="10"/>
      <c r="B835" s="10"/>
      <c r="C835" s="10"/>
      <c r="D835" s="10"/>
      <c r="E835" s="10"/>
      <c r="F835" s="11"/>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
      <c r="A836" s="10"/>
      <c r="B836" s="10"/>
      <c r="C836" s="10"/>
      <c r="D836" s="10"/>
      <c r="E836" s="10"/>
      <c r="F836" s="11"/>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
      <c r="A837" s="10"/>
      <c r="B837" s="10"/>
      <c r="C837" s="10"/>
      <c r="D837" s="10"/>
      <c r="E837" s="10"/>
      <c r="F837" s="11"/>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
      <c r="A838" s="10"/>
      <c r="B838" s="10"/>
      <c r="C838" s="10"/>
      <c r="D838" s="10"/>
      <c r="E838" s="10"/>
      <c r="F838" s="11"/>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
      <c r="A839" s="10"/>
      <c r="B839" s="10"/>
      <c r="C839" s="10"/>
      <c r="D839" s="10"/>
      <c r="E839" s="10"/>
      <c r="F839" s="11"/>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
      <c r="A840" s="10"/>
      <c r="B840" s="10"/>
      <c r="C840" s="10"/>
      <c r="D840" s="10"/>
      <c r="E840" s="10"/>
      <c r="F840" s="11"/>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
      <c r="A841" s="10"/>
      <c r="B841" s="10"/>
      <c r="C841" s="10"/>
      <c r="D841" s="10"/>
      <c r="E841" s="10"/>
      <c r="F841" s="11"/>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
      <c r="A842" s="10"/>
      <c r="B842" s="10"/>
      <c r="C842" s="10"/>
      <c r="D842" s="10"/>
      <c r="E842" s="10"/>
      <c r="F842" s="11"/>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
      <c r="A843" s="10"/>
      <c r="B843" s="10"/>
      <c r="C843" s="10"/>
      <c r="D843" s="10"/>
      <c r="E843" s="10"/>
      <c r="F843" s="11"/>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
      <c r="A844" s="10"/>
      <c r="B844" s="10"/>
      <c r="C844" s="10"/>
      <c r="D844" s="10"/>
      <c r="E844" s="10"/>
      <c r="F844" s="11"/>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
      <c r="A845" s="10"/>
      <c r="B845" s="10"/>
      <c r="C845" s="10"/>
      <c r="D845" s="10"/>
      <c r="E845" s="10"/>
      <c r="F845" s="11"/>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
      <c r="A846" s="10"/>
      <c r="B846" s="10"/>
      <c r="C846" s="10"/>
      <c r="D846" s="10"/>
      <c r="E846" s="10"/>
      <c r="F846" s="11"/>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
      <c r="A847" s="10"/>
      <c r="B847" s="10"/>
      <c r="C847" s="10"/>
      <c r="D847" s="10"/>
      <c r="E847" s="10"/>
      <c r="F847" s="11"/>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
      <c r="A848" s="10"/>
      <c r="B848" s="10"/>
      <c r="C848" s="10"/>
      <c r="D848" s="10"/>
      <c r="E848" s="10"/>
      <c r="F848" s="11"/>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
      <c r="A849" s="10"/>
      <c r="B849" s="10"/>
      <c r="C849" s="10"/>
      <c r="D849" s="10"/>
      <c r="E849" s="10"/>
      <c r="F849" s="11"/>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
      <c r="A850" s="10"/>
      <c r="B850" s="10"/>
      <c r="C850" s="10"/>
      <c r="D850" s="10"/>
      <c r="E850" s="10"/>
      <c r="F850" s="11"/>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
      <c r="A851" s="10"/>
      <c r="B851" s="10"/>
      <c r="C851" s="10"/>
      <c r="D851" s="10"/>
      <c r="E851" s="10"/>
      <c r="F851" s="11"/>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
      <c r="A852" s="10"/>
      <c r="B852" s="10"/>
      <c r="C852" s="10"/>
      <c r="D852" s="10"/>
      <c r="E852" s="10"/>
      <c r="F852" s="11"/>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
      <c r="A853" s="10"/>
      <c r="B853" s="10"/>
      <c r="C853" s="10"/>
      <c r="D853" s="10"/>
      <c r="E853" s="10"/>
      <c r="F853" s="11"/>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
      <c r="A854" s="10"/>
      <c r="B854" s="10"/>
      <c r="C854" s="10"/>
      <c r="D854" s="10"/>
      <c r="E854" s="10"/>
      <c r="F854" s="11"/>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
      <c r="A855" s="10"/>
      <c r="B855" s="10"/>
      <c r="C855" s="10"/>
      <c r="D855" s="10"/>
      <c r="E855" s="10"/>
      <c r="F855" s="11"/>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
      <c r="A856" s="10"/>
      <c r="B856" s="10"/>
      <c r="C856" s="10"/>
      <c r="D856" s="10"/>
      <c r="E856" s="10"/>
      <c r="F856" s="11"/>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
      <c r="A857" s="10"/>
      <c r="B857" s="10"/>
      <c r="C857" s="10"/>
      <c r="D857" s="10"/>
      <c r="E857" s="10"/>
      <c r="F857" s="11"/>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
      <c r="A858" s="10"/>
      <c r="B858" s="10"/>
      <c r="C858" s="10"/>
      <c r="D858" s="10"/>
      <c r="E858" s="10"/>
      <c r="F858" s="11"/>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
      <c r="A859" s="10"/>
      <c r="B859" s="10"/>
      <c r="C859" s="10"/>
      <c r="D859" s="10"/>
      <c r="E859" s="10"/>
      <c r="F859" s="11"/>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
      <c r="A860" s="10"/>
      <c r="B860" s="10"/>
      <c r="C860" s="10"/>
      <c r="D860" s="10"/>
      <c r="E860" s="10"/>
      <c r="F860" s="11"/>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
      <c r="A861" s="10"/>
      <c r="B861" s="10"/>
      <c r="C861" s="10"/>
      <c r="D861" s="10"/>
      <c r="E861" s="10"/>
      <c r="F861" s="11"/>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
      <c r="A862" s="10"/>
      <c r="B862" s="10"/>
      <c r="C862" s="10"/>
      <c r="D862" s="10"/>
      <c r="E862" s="10"/>
      <c r="F862" s="11"/>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
      <c r="A863" s="10"/>
      <c r="B863" s="10"/>
      <c r="C863" s="10"/>
      <c r="D863" s="10"/>
      <c r="E863" s="10"/>
      <c r="F863" s="11"/>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
      <c r="A864" s="10"/>
      <c r="B864" s="10"/>
      <c r="C864" s="10"/>
      <c r="D864" s="10"/>
      <c r="E864" s="10"/>
      <c r="F864" s="11"/>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
      <c r="A865" s="10"/>
      <c r="B865" s="10"/>
      <c r="C865" s="10"/>
      <c r="D865" s="10"/>
      <c r="E865" s="10"/>
      <c r="F865" s="11"/>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
      <c r="A866" s="10"/>
      <c r="B866" s="10"/>
      <c r="C866" s="10"/>
      <c r="D866" s="10"/>
      <c r="E866" s="10"/>
      <c r="F866" s="11"/>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
      <c r="A867" s="10"/>
      <c r="B867" s="10"/>
      <c r="C867" s="10"/>
      <c r="D867" s="10"/>
      <c r="E867" s="10"/>
      <c r="F867" s="11"/>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
      <c r="A868" s="10"/>
      <c r="B868" s="10"/>
      <c r="C868" s="10"/>
      <c r="D868" s="10"/>
      <c r="E868" s="10"/>
      <c r="F868" s="11"/>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
      <c r="A869" s="10"/>
      <c r="B869" s="10"/>
      <c r="C869" s="10"/>
      <c r="D869" s="10"/>
      <c r="E869" s="10"/>
      <c r="F869" s="11"/>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
      <c r="A870" s="10"/>
      <c r="B870" s="10"/>
      <c r="C870" s="10"/>
      <c r="D870" s="10"/>
      <c r="E870" s="10"/>
      <c r="F870" s="11"/>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
      <c r="A871" s="10"/>
      <c r="B871" s="10"/>
      <c r="C871" s="10"/>
      <c r="D871" s="10"/>
      <c r="E871" s="10"/>
      <c r="F871" s="11"/>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
      <c r="A872" s="10"/>
      <c r="B872" s="10"/>
      <c r="C872" s="10"/>
      <c r="D872" s="10"/>
      <c r="E872" s="10"/>
      <c r="F872" s="11"/>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
      <c r="A873" s="10"/>
      <c r="B873" s="10"/>
      <c r="C873" s="10"/>
      <c r="D873" s="10"/>
      <c r="E873" s="10"/>
      <c r="F873" s="11"/>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
      <c r="A874" s="10"/>
      <c r="B874" s="10"/>
      <c r="C874" s="10"/>
      <c r="D874" s="10"/>
      <c r="E874" s="10"/>
      <c r="F874" s="11"/>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
      <c r="A875" s="10"/>
      <c r="B875" s="10"/>
      <c r="C875" s="10"/>
      <c r="D875" s="10"/>
      <c r="E875" s="10"/>
      <c r="F875" s="11"/>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
      <c r="A876" s="10"/>
      <c r="B876" s="10"/>
      <c r="C876" s="10"/>
      <c r="D876" s="10"/>
      <c r="E876" s="10"/>
      <c r="F876" s="11"/>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
      <c r="A877" s="10"/>
      <c r="B877" s="10"/>
      <c r="C877" s="10"/>
      <c r="D877" s="10"/>
      <c r="E877" s="10"/>
      <c r="F877" s="11"/>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
      <c r="A878" s="10"/>
      <c r="B878" s="10"/>
      <c r="C878" s="10"/>
      <c r="D878" s="10"/>
      <c r="E878" s="10"/>
      <c r="F878" s="11"/>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
      <c r="A879" s="10"/>
      <c r="B879" s="10"/>
      <c r="C879" s="10"/>
      <c r="D879" s="10"/>
      <c r="E879" s="10"/>
      <c r="F879" s="11"/>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
      <c r="A880" s="10"/>
      <c r="B880" s="10"/>
      <c r="C880" s="10"/>
      <c r="D880" s="10"/>
      <c r="E880" s="10"/>
      <c r="F880" s="11"/>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
      <c r="A881" s="10"/>
      <c r="B881" s="10"/>
      <c r="C881" s="10"/>
      <c r="D881" s="10"/>
      <c r="E881" s="10"/>
      <c r="F881" s="11"/>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
      <c r="A882" s="10"/>
      <c r="B882" s="10"/>
      <c r="C882" s="10"/>
      <c r="D882" s="10"/>
      <c r="E882" s="10"/>
      <c r="F882" s="11"/>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
      <c r="A883" s="10"/>
      <c r="B883" s="10"/>
      <c r="C883" s="10"/>
      <c r="D883" s="10"/>
      <c r="E883" s="10"/>
      <c r="F883" s="11"/>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
      <c r="A884" s="10"/>
      <c r="B884" s="10"/>
      <c r="C884" s="10"/>
      <c r="D884" s="10"/>
      <c r="E884" s="10"/>
      <c r="F884" s="11"/>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
      <c r="A885" s="10"/>
      <c r="B885" s="10"/>
      <c r="C885" s="10"/>
      <c r="D885" s="10"/>
      <c r="E885" s="10"/>
      <c r="F885" s="11"/>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
      <c r="A886" s="10"/>
      <c r="B886" s="10"/>
      <c r="C886" s="10"/>
      <c r="D886" s="10"/>
      <c r="E886" s="10"/>
      <c r="F886" s="11"/>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
      <c r="A887" s="10"/>
      <c r="B887" s="10"/>
      <c r="C887" s="10"/>
      <c r="D887" s="10"/>
      <c r="E887" s="10"/>
      <c r="F887" s="11"/>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
      <c r="A888" s="10"/>
      <c r="B888" s="10"/>
      <c r="C888" s="10"/>
      <c r="D888" s="10"/>
      <c r="E888" s="10"/>
      <c r="F888" s="11"/>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
      <c r="A889" s="10"/>
      <c r="B889" s="10"/>
      <c r="C889" s="10"/>
      <c r="D889" s="10"/>
      <c r="E889" s="10"/>
      <c r="F889" s="11"/>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
      <c r="A890" s="10"/>
      <c r="B890" s="10"/>
      <c r="C890" s="10"/>
      <c r="D890" s="10"/>
      <c r="E890" s="10"/>
      <c r="F890" s="11"/>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
      <c r="A891" s="10"/>
      <c r="B891" s="10"/>
      <c r="C891" s="10"/>
      <c r="D891" s="10"/>
      <c r="E891" s="10"/>
      <c r="F891" s="11"/>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
      <c r="A892" s="10"/>
      <c r="B892" s="10"/>
      <c r="C892" s="10"/>
      <c r="D892" s="10"/>
      <c r="E892" s="10"/>
      <c r="F892" s="11"/>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
      <c r="A893" s="10"/>
      <c r="B893" s="10"/>
      <c r="C893" s="10"/>
      <c r="D893" s="10"/>
      <c r="E893" s="10"/>
      <c r="F893" s="11"/>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
      <c r="A894" s="10"/>
      <c r="B894" s="10"/>
      <c r="C894" s="10"/>
      <c r="D894" s="10"/>
      <c r="E894" s="10"/>
      <c r="F894" s="11"/>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
      <c r="A895" s="10"/>
      <c r="B895" s="10"/>
      <c r="C895" s="10"/>
      <c r="D895" s="10"/>
      <c r="E895" s="10"/>
      <c r="F895" s="11"/>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
      <c r="A896" s="10"/>
      <c r="B896" s="10"/>
      <c r="C896" s="10"/>
      <c r="D896" s="10"/>
      <c r="E896" s="10"/>
      <c r="F896" s="11"/>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
      <c r="A897" s="10"/>
      <c r="B897" s="10"/>
      <c r="C897" s="10"/>
      <c r="D897" s="10"/>
      <c r="E897" s="10"/>
      <c r="F897" s="11"/>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
      <c r="A898" s="10"/>
      <c r="B898" s="10"/>
      <c r="C898" s="10"/>
      <c r="D898" s="10"/>
      <c r="E898" s="10"/>
      <c r="F898" s="11"/>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
      <c r="A899" s="10"/>
      <c r="B899" s="10"/>
      <c r="C899" s="10"/>
      <c r="D899" s="10"/>
      <c r="E899" s="10"/>
      <c r="F899" s="11"/>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
      <c r="A900" s="10"/>
      <c r="B900" s="10"/>
      <c r="C900" s="10"/>
      <c r="D900" s="10"/>
      <c r="E900" s="10"/>
      <c r="F900" s="11"/>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
      <c r="A901" s="10"/>
      <c r="B901" s="10"/>
      <c r="C901" s="10"/>
      <c r="D901" s="10"/>
      <c r="E901" s="10"/>
      <c r="F901" s="11"/>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
      <c r="A902" s="10"/>
      <c r="B902" s="10"/>
      <c r="C902" s="10"/>
      <c r="D902" s="10"/>
      <c r="E902" s="10"/>
      <c r="F902" s="11"/>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
      <c r="A903" s="10"/>
      <c r="B903" s="10"/>
      <c r="C903" s="10"/>
      <c r="D903" s="10"/>
      <c r="E903" s="10"/>
      <c r="F903" s="11"/>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
      <c r="A904" s="10"/>
      <c r="B904" s="10"/>
      <c r="C904" s="10"/>
      <c r="D904" s="10"/>
      <c r="E904" s="10"/>
      <c r="F904" s="11"/>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
      <c r="A905" s="10"/>
      <c r="B905" s="10"/>
      <c r="C905" s="10"/>
      <c r="D905" s="10"/>
      <c r="E905" s="10"/>
      <c r="F905" s="11"/>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
      <c r="A906" s="10"/>
      <c r="B906" s="10"/>
      <c r="C906" s="10"/>
      <c r="D906" s="10"/>
      <c r="E906" s="10"/>
      <c r="F906" s="11"/>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
      <c r="A907" s="10"/>
      <c r="B907" s="10"/>
      <c r="C907" s="10"/>
      <c r="D907" s="10"/>
      <c r="E907" s="10"/>
      <c r="F907" s="11"/>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
      <c r="A908" s="10"/>
      <c r="B908" s="10"/>
      <c r="C908" s="10"/>
      <c r="D908" s="10"/>
      <c r="E908" s="10"/>
      <c r="F908" s="11"/>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
      <c r="A909" s="10"/>
      <c r="B909" s="10"/>
      <c r="C909" s="10"/>
      <c r="D909" s="10"/>
      <c r="E909" s="10"/>
      <c r="F909" s="11"/>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
      <c r="A910" s="10"/>
      <c r="B910" s="10"/>
      <c r="C910" s="10"/>
      <c r="D910" s="10"/>
      <c r="E910" s="10"/>
      <c r="F910" s="11"/>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
      <c r="A911" s="10"/>
      <c r="B911" s="10"/>
      <c r="C911" s="10"/>
      <c r="D911" s="10"/>
      <c r="E911" s="10"/>
      <c r="F911" s="11"/>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
      <c r="A912" s="10"/>
      <c r="B912" s="10"/>
      <c r="C912" s="10"/>
      <c r="D912" s="10"/>
      <c r="E912" s="10"/>
      <c r="F912" s="11"/>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
      <c r="A913" s="10"/>
      <c r="B913" s="10"/>
      <c r="C913" s="10"/>
      <c r="D913" s="10"/>
      <c r="E913" s="10"/>
      <c r="F913" s="11"/>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
      <c r="A914" s="10"/>
      <c r="B914" s="10"/>
      <c r="C914" s="10"/>
      <c r="D914" s="10"/>
      <c r="E914" s="10"/>
      <c r="F914" s="11"/>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
      <c r="A915" s="10"/>
      <c r="B915" s="10"/>
      <c r="C915" s="10"/>
      <c r="D915" s="10"/>
      <c r="E915" s="10"/>
      <c r="F915" s="11"/>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
      <c r="A916" s="10"/>
      <c r="B916" s="10"/>
      <c r="C916" s="10"/>
      <c r="D916" s="10"/>
      <c r="E916" s="10"/>
      <c r="F916" s="11"/>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
      <c r="A917" s="10"/>
      <c r="B917" s="10"/>
      <c r="C917" s="10"/>
      <c r="D917" s="10"/>
      <c r="E917" s="10"/>
      <c r="F917" s="11"/>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
      <c r="A918" s="10"/>
      <c r="B918" s="10"/>
      <c r="C918" s="10"/>
      <c r="D918" s="10"/>
      <c r="E918" s="10"/>
      <c r="F918" s="11"/>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
      <c r="A919" s="10"/>
      <c r="B919" s="10"/>
      <c r="C919" s="10"/>
      <c r="D919" s="10"/>
      <c r="E919" s="10"/>
      <c r="F919" s="11"/>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
      <c r="A920" s="10"/>
      <c r="B920" s="10"/>
      <c r="C920" s="10"/>
      <c r="D920" s="10"/>
      <c r="E920" s="10"/>
      <c r="F920" s="11"/>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
      <c r="A921" s="10"/>
      <c r="B921" s="10"/>
      <c r="C921" s="10"/>
      <c r="D921" s="10"/>
      <c r="E921" s="10"/>
      <c r="F921" s="11"/>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
      <c r="A922" s="10"/>
      <c r="B922" s="10"/>
      <c r="C922" s="10"/>
      <c r="D922" s="10"/>
      <c r="E922" s="10"/>
      <c r="F922" s="11"/>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
      <c r="A923" s="10"/>
      <c r="B923" s="10"/>
      <c r="C923" s="10"/>
      <c r="D923" s="10"/>
      <c r="E923" s="10"/>
      <c r="F923" s="11"/>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
      <c r="A924" s="10"/>
      <c r="B924" s="10"/>
      <c r="C924" s="10"/>
      <c r="D924" s="10"/>
      <c r="E924" s="10"/>
      <c r="F924" s="11"/>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
      <c r="A925" s="10"/>
      <c r="B925" s="10"/>
      <c r="C925" s="10"/>
      <c r="D925" s="10"/>
      <c r="E925" s="10"/>
      <c r="F925" s="11"/>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
      <c r="A926" s="10"/>
      <c r="B926" s="10"/>
      <c r="C926" s="10"/>
      <c r="D926" s="10"/>
      <c r="E926" s="10"/>
      <c r="F926" s="11"/>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
      <c r="A927" s="10"/>
      <c r="B927" s="10"/>
      <c r="C927" s="10"/>
      <c r="D927" s="10"/>
      <c r="E927" s="10"/>
      <c r="F927" s="11"/>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
      <c r="A928" s="10"/>
      <c r="B928" s="10"/>
      <c r="C928" s="10"/>
      <c r="D928" s="10"/>
      <c r="E928" s="10"/>
      <c r="F928" s="11"/>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
      <c r="A929" s="10"/>
      <c r="B929" s="10"/>
      <c r="C929" s="10"/>
      <c r="D929" s="10"/>
      <c r="E929" s="10"/>
      <c r="F929" s="11"/>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
      <c r="A930" s="10"/>
      <c r="B930" s="10"/>
      <c r="C930" s="10"/>
      <c r="D930" s="10"/>
      <c r="E930" s="10"/>
      <c r="F930" s="11"/>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
      <c r="A931" s="10"/>
      <c r="B931" s="10"/>
      <c r="C931" s="10"/>
      <c r="D931" s="10"/>
      <c r="E931" s="10"/>
      <c r="F931" s="11"/>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
      <c r="A932" s="10"/>
      <c r="B932" s="10"/>
      <c r="C932" s="10"/>
      <c r="D932" s="10"/>
      <c r="E932" s="10"/>
      <c r="F932" s="11"/>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
      <c r="A933" s="10"/>
      <c r="B933" s="10"/>
      <c r="C933" s="10"/>
      <c r="D933" s="10"/>
      <c r="E933" s="10"/>
      <c r="F933" s="11"/>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
      <c r="A934" s="10"/>
      <c r="B934" s="10"/>
      <c r="C934" s="10"/>
      <c r="D934" s="10"/>
      <c r="E934" s="10"/>
      <c r="F934" s="11"/>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
      <c r="A935" s="10"/>
      <c r="B935" s="10"/>
      <c r="C935" s="10"/>
      <c r="D935" s="10"/>
      <c r="E935" s="10"/>
      <c r="F935" s="11"/>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
      <c r="A936" s="10"/>
      <c r="B936" s="10"/>
      <c r="C936" s="10"/>
      <c r="D936" s="10"/>
      <c r="E936" s="10"/>
      <c r="F936" s="11"/>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
      <c r="A937" s="10"/>
      <c r="B937" s="10"/>
      <c r="C937" s="10"/>
      <c r="D937" s="10"/>
      <c r="E937" s="10"/>
      <c r="F937" s="11"/>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
      <c r="A938" s="10"/>
      <c r="B938" s="10"/>
      <c r="C938" s="10"/>
      <c r="D938" s="10"/>
      <c r="E938" s="10"/>
      <c r="F938" s="11"/>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
      <c r="A939" s="10"/>
      <c r="B939" s="10"/>
      <c r="C939" s="10"/>
      <c r="D939" s="10"/>
      <c r="E939" s="10"/>
      <c r="F939" s="11"/>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
      <c r="A940" s="10"/>
      <c r="B940" s="10"/>
      <c r="C940" s="10"/>
      <c r="D940" s="10"/>
      <c r="E940" s="10"/>
      <c r="F940" s="11"/>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
      <c r="A941" s="10"/>
      <c r="B941" s="10"/>
      <c r="C941" s="10"/>
      <c r="D941" s="10"/>
      <c r="E941" s="10"/>
      <c r="F941" s="11"/>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
      <c r="A942" s="10"/>
      <c r="B942" s="10"/>
      <c r="C942" s="10"/>
      <c r="D942" s="10"/>
      <c r="E942" s="10"/>
      <c r="F942" s="11"/>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
      <c r="A943" s="10"/>
      <c r="B943" s="10"/>
      <c r="C943" s="10"/>
      <c r="D943" s="10"/>
      <c r="E943" s="10"/>
      <c r="F943" s="11"/>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
      <c r="A944" s="10"/>
      <c r="B944" s="10"/>
      <c r="C944" s="10"/>
      <c r="D944" s="10"/>
      <c r="E944" s="10"/>
      <c r="F944" s="11"/>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
      <c r="A945" s="10"/>
      <c r="B945" s="10"/>
      <c r="C945" s="10"/>
      <c r="D945" s="10"/>
      <c r="E945" s="10"/>
      <c r="F945" s="11"/>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
      <c r="A946" s="10"/>
      <c r="B946" s="10"/>
      <c r="C946" s="10"/>
      <c r="D946" s="10"/>
      <c r="E946" s="10"/>
      <c r="F946" s="11"/>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
      <c r="A947" s="10"/>
      <c r="B947" s="10"/>
      <c r="C947" s="10"/>
      <c r="D947" s="10"/>
      <c r="E947" s="10"/>
      <c r="F947" s="11"/>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
      <c r="A948" s="10"/>
      <c r="B948" s="10"/>
      <c r="C948" s="10"/>
      <c r="D948" s="10"/>
      <c r="E948" s="10"/>
      <c r="F948" s="11"/>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
      <c r="A949" s="10"/>
      <c r="B949" s="10"/>
      <c r="C949" s="10"/>
      <c r="D949" s="10"/>
      <c r="E949" s="10"/>
      <c r="F949" s="11"/>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
      <c r="A950" s="10"/>
      <c r="B950" s="10"/>
      <c r="C950" s="10"/>
      <c r="D950" s="10"/>
      <c r="E950" s="10"/>
      <c r="F950" s="11"/>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
      <c r="A951" s="10"/>
      <c r="B951" s="10"/>
      <c r="C951" s="10"/>
      <c r="D951" s="10"/>
      <c r="E951" s="10"/>
      <c r="F951" s="11"/>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
      <c r="A952" s="10"/>
      <c r="B952" s="10"/>
      <c r="C952" s="10"/>
      <c r="D952" s="10"/>
      <c r="E952" s="10"/>
      <c r="F952" s="11"/>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
      <c r="A953" s="10"/>
      <c r="B953" s="10"/>
      <c r="C953" s="10"/>
      <c r="D953" s="10"/>
      <c r="E953" s="10"/>
      <c r="F953" s="11"/>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
      <c r="A954" s="10"/>
      <c r="B954" s="10"/>
      <c r="C954" s="10"/>
      <c r="D954" s="10"/>
      <c r="E954" s="10"/>
      <c r="F954" s="11"/>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
      <c r="A955" s="10"/>
      <c r="B955" s="10"/>
      <c r="C955" s="10"/>
      <c r="D955" s="10"/>
      <c r="E955" s="10"/>
      <c r="F955" s="11"/>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
      <c r="A956" s="10"/>
      <c r="B956" s="10"/>
      <c r="C956" s="10"/>
      <c r="D956" s="10"/>
      <c r="E956" s="10"/>
      <c r="F956" s="11"/>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
      <c r="A957" s="10"/>
      <c r="B957" s="10"/>
      <c r="C957" s="10"/>
      <c r="D957" s="10"/>
      <c r="E957" s="10"/>
      <c r="F957" s="11"/>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
      <c r="A958" s="10"/>
      <c r="B958" s="10"/>
      <c r="C958" s="10"/>
      <c r="D958" s="10"/>
      <c r="E958" s="10"/>
      <c r="F958" s="11"/>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
      <c r="A959" s="10"/>
      <c r="B959" s="10"/>
      <c r="C959" s="10"/>
      <c r="D959" s="10"/>
      <c r="E959" s="10"/>
      <c r="F959" s="11"/>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
      <c r="A960" s="10"/>
      <c r="B960" s="10"/>
      <c r="C960" s="10"/>
      <c r="D960" s="10"/>
      <c r="E960" s="10"/>
      <c r="F960" s="11"/>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
      <c r="A961" s="10"/>
      <c r="B961" s="10"/>
      <c r="C961" s="10"/>
      <c r="D961" s="10"/>
      <c r="E961" s="10"/>
      <c r="F961" s="11"/>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
      <c r="A962" s="10"/>
      <c r="B962" s="10"/>
      <c r="C962" s="10"/>
      <c r="D962" s="10"/>
      <c r="E962" s="10"/>
      <c r="F962" s="11"/>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
      <c r="A963" s="10"/>
      <c r="B963" s="10"/>
      <c r="C963" s="10"/>
      <c r="D963" s="10"/>
      <c r="E963" s="10"/>
      <c r="F963" s="11"/>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
      <c r="A964" s="10"/>
      <c r="B964" s="10"/>
      <c r="C964" s="10"/>
      <c r="D964" s="10"/>
      <c r="E964" s="10"/>
      <c r="F964" s="11"/>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
      <c r="A965" s="10"/>
      <c r="B965" s="10"/>
      <c r="C965" s="10"/>
      <c r="D965" s="10"/>
      <c r="E965" s="10"/>
      <c r="F965" s="11"/>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
      <c r="A966" s="10"/>
      <c r="B966" s="10"/>
      <c r="C966" s="10"/>
      <c r="D966" s="10"/>
      <c r="E966" s="10"/>
      <c r="F966" s="11"/>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
      <c r="A967" s="10"/>
      <c r="B967" s="10"/>
      <c r="C967" s="10"/>
      <c r="D967" s="10"/>
      <c r="E967" s="10"/>
      <c r="F967" s="11"/>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
      <c r="A968" s="10"/>
      <c r="B968" s="10"/>
      <c r="C968" s="10"/>
      <c r="D968" s="10"/>
      <c r="E968" s="10"/>
      <c r="F968" s="11"/>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
      <c r="A969" s="10"/>
      <c r="B969" s="10"/>
      <c r="C969" s="10"/>
      <c r="D969" s="10"/>
      <c r="E969" s="10"/>
      <c r="F969" s="11"/>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
      <c r="A970" s="10"/>
      <c r="B970" s="10"/>
      <c r="C970" s="10"/>
      <c r="D970" s="10"/>
      <c r="E970" s="10"/>
      <c r="F970" s="11"/>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
      <c r="A971" s="10"/>
      <c r="B971" s="10"/>
      <c r="C971" s="10"/>
      <c r="D971" s="10"/>
      <c r="E971" s="10"/>
      <c r="F971" s="11"/>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
      <c r="A972" s="10"/>
      <c r="B972" s="10"/>
      <c r="C972" s="10"/>
      <c r="D972" s="10"/>
      <c r="E972" s="10"/>
      <c r="F972" s="11"/>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
      <c r="A973" s="10"/>
      <c r="B973" s="10"/>
      <c r="C973" s="10"/>
      <c r="D973" s="10"/>
      <c r="E973" s="10"/>
      <c r="F973" s="11"/>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
      <c r="A974" s="10"/>
      <c r="B974" s="10"/>
      <c r="C974" s="10"/>
      <c r="D974" s="10"/>
      <c r="E974" s="10"/>
      <c r="F974" s="11"/>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
      <c r="A975" s="10"/>
      <c r="B975" s="10"/>
      <c r="C975" s="10"/>
      <c r="D975" s="10"/>
      <c r="E975" s="10"/>
      <c r="F975" s="11"/>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
      <c r="A976" s="10"/>
      <c r="B976" s="10"/>
      <c r="C976" s="10"/>
      <c r="D976" s="10"/>
      <c r="E976" s="10"/>
      <c r="F976" s="11"/>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
      <c r="A977" s="10"/>
      <c r="B977" s="10"/>
      <c r="C977" s="10"/>
      <c r="D977" s="10"/>
      <c r="E977" s="10"/>
      <c r="F977" s="11"/>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
      <c r="A978" s="10"/>
      <c r="B978" s="10"/>
      <c r="C978" s="10"/>
      <c r="D978" s="10"/>
      <c r="E978" s="10"/>
      <c r="F978" s="11"/>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
      <c r="A979" s="10"/>
      <c r="B979" s="10"/>
      <c r="C979" s="10"/>
      <c r="D979" s="10"/>
      <c r="E979" s="10"/>
      <c r="F979" s="11"/>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
      <c r="A980" s="10"/>
      <c r="B980" s="10"/>
      <c r="C980" s="10"/>
      <c r="D980" s="10"/>
      <c r="E980" s="10"/>
      <c r="F980" s="11"/>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
      <c r="A981" s="10"/>
      <c r="B981" s="10"/>
      <c r="C981" s="10"/>
      <c r="D981" s="10"/>
      <c r="E981" s="10"/>
      <c r="F981" s="11"/>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
      <c r="A982" s="10"/>
      <c r="B982" s="10"/>
      <c r="C982" s="10"/>
      <c r="D982" s="10"/>
      <c r="E982" s="10"/>
      <c r="F982" s="11"/>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
      <c r="A983" s="10"/>
      <c r="B983" s="10"/>
      <c r="C983" s="10"/>
      <c r="D983" s="10"/>
      <c r="E983" s="10"/>
      <c r="F983" s="11"/>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
      <c r="A984" s="10"/>
      <c r="B984" s="10"/>
      <c r="C984" s="10"/>
      <c r="D984" s="10"/>
      <c r="E984" s="10"/>
      <c r="F984" s="11"/>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
      <c r="A985" s="10"/>
      <c r="B985" s="10"/>
      <c r="C985" s="10"/>
      <c r="D985" s="10"/>
      <c r="E985" s="10"/>
      <c r="F985" s="11"/>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
      <c r="A986" s="10"/>
      <c r="B986" s="10"/>
      <c r="C986" s="10"/>
      <c r="D986" s="10"/>
      <c r="E986" s="10"/>
      <c r="F986" s="11"/>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
      <c r="A987" s="10"/>
      <c r="B987" s="10"/>
      <c r="C987" s="10"/>
      <c r="D987" s="10"/>
      <c r="E987" s="10"/>
      <c r="F987" s="11"/>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
      <c r="A988" s="10"/>
      <c r="B988" s="10"/>
      <c r="C988" s="10"/>
      <c r="D988" s="10"/>
      <c r="E988" s="10"/>
      <c r="F988" s="11"/>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
      <c r="A989" s="10"/>
      <c r="B989" s="10"/>
      <c r="C989" s="10"/>
      <c r="D989" s="10"/>
      <c r="E989" s="10"/>
      <c r="F989" s="11"/>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
      <c r="A990" s="10"/>
      <c r="B990" s="10"/>
      <c r="C990" s="10"/>
      <c r="D990" s="10"/>
      <c r="E990" s="10"/>
      <c r="F990" s="11"/>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
      <c r="A991" s="10"/>
      <c r="B991" s="10"/>
      <c r="C991" s="10"/>
      <c r="D991" s="10"/>
      <c r="E991" s="10"/>
      <c r="F991" s="11"/>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
      <c r="A992" s="10"/>
      <c r="B992" s="10"/>
      <c r="C992" s="10"/>
      <c r="D992" s="10"/>
      <c r="E992" s="10"/>
      <c r="F992" s="11"/>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
      <c r="A993" s="10"/>
      <c r="B993" s="10"/>
      <c r="C993" s="10"/>
      <c r="D993" s="10"/>
      <c r="E993" s="10"/>
      <c r="F993" s="11"/>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
      <c r="A994" s="10"/>
      <c r="B994" s="10"/>
      <c r="C994" s="10"/>
      <c r="D994" s="10"/>
      <c r="E994" s="10"/>
      <c r="F994" s="11"/>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
      <c r="A995" s="10"/>
      <c r="B995" s="10"/>
      <c r="C995" s="10"/>
      <c r="D995" s="10"/>
      <c r="E995" s="10"/>
      <c r="F995" s="11"/>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
      <c r="A996" s="10"/>
      <c r="B996" s="10"/>
      <c r="C996" s="10"/>
      <c r="D996" s="10"/>
      <c r="E996" s="10"/>
      <c r="F996" s="11"/>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
      <c r="A997" s="10"/>
      <c r="B997" s="10"/>
      <c r="C997" s="10"/>
      <c r="D997" s="10"/>
      <c r="E997" s="10"/>
      <c r="F997" s="11"/>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
      <c r="A998" s="10"/>
      <c r="B998" s="10"/>
      <c r="C998" s="10"/>
      <c r="D998" s="10"/>
      <c r="E998" s="10"/>
      <c r="F998" s="11"/>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
      <c r="A999" s="10"/>
      <c r="B999" s="10"/>
      <c r="C999" s="10"/>
      <c r="D999" s="10"/>
      <c r="E999" s="10"/>
      <c r="F999" s="11"/>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
      <c r="A1000" s="10"/>
      <c r="B1000" s="10"/>
      <c r="C1000" s="10"/>
      <c r="D1000" s="10"/>
      <c r="E1000" s="10"/>
      <c r="F1000" s="11"/>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2">
    <mergeCell ref="E16:F16"/>
    <mergeCell ref="E18:F18"/>
    <mergeCell ref="C4:F4"/>
    <mergeCell ref="B5:F5"/>
    <mergeCell ref="D6:F8"/>
    <mergeCell ref="E12:F12"/>
    <mergeCell ref="E14:F14"/>
    <mergeCell ref="E20:F20"/>
    <mergeCell ref="E22:F22"/>
    <mergeCell ref="E24:F24"/>
    <mergeCell ref="E28:F28"/>
    <mergeCell ref="E39:F39"/>
  </mergeCells>
  <pageMargins left="0.25" right="0.25"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00"/>
  <sheetViews>
    <sheetView workbookViewId="0"/>
  </sheetViews>
  <sheetFormatPr baseColWidth="10" defaultColWidth="12.6640625" defaultRowHeight="15" customHeight="1" x14ac:dyDescent="0.15"/>
  <cols>
    <col min="1" max="26" width="10.6640625" customWidth="1"/>
  </cols>
  <sheetData>
    <row r="1" spans="1:9" ht="62.25" customHeight="1" x14ac:dyDescent="0.15">
      <c r="A1" s="69" t="s">
        <v>1495</v>
      </c>
      <c r="B1" s="58"/>
      <c r="C1" s="58"/>
      <c r="D1" s="58"/>
      <c r="E1" s="58"/>
      <c r="F1" s="58"/>
      <c r="G1" s="58"/>
      <c r="H1" s="58"/>
      <c r="I1" s="58"/>
    </row>
    <row r="2" spans="1:9" ht="15.75" customHeight="1" x14ac:dyDescent="0.15">
      <c r="A2" s="70" t="s">
        <v>1497</v>
      </c>
      <c r="B2" s="58"/>
      <c r="C2" s="42"/>
      <c r="D2" s="42"/>
    </row>
    <row r="3" spans="1:9" ht="15.75" customHeight="1" x14ac:dyDescent="0.15">
      <c r="A3" s="43"/>
      <c r="B3" s="42"/>
      <c r="C3" s="42"/>
      <c r="D3" s="42"/>
    </row>
    <row r="4" spans="1:9" ht="14" x14ac:dyDescent="0.15">
      <c r="A4" s="44" t="s">
        <v>1500</v>
      </c>
    </row>
    <row r="5" spans="1:9" x14ac:dyDescent="0.2">
      <c r="A5" s="18" t="s">
        <v>1503</v>
      </c>
    </row>
    <row r="6" spans="1:9" ht="14" x14ac:dyDescent="0.15">
      <c r="B6" s="44" t="s">
        <v>1504</v>
      </c>
    </row>
    <row r="7" spans="1:9" ht="14" x14ac:dyDescent="0.15">
      <c r="B7" s="44" t="s">
        <v>1506</v>
      </c>
    </row>
    <row r="8" spans="1:9" ht="14" x14ac:dyDescent="0.15">
      <c r="A8" s="44" t="s">
        <v>1507</v>
      </c>
    </row>
    <row r="9" spans="1:9" x14ac:dyDescent="0.2">
      <c r="B9" s="18" t="s">
        <v>1509</v>
      </c>
    </row>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
    <mergeCell ref="A1:I1"/>
    <mergeCell ref="A2:B2"/>
  </mergeCells>
  <hyperlinks>
    <hyperlink ref="A4" r:id="rId1" xr:uid="{00000000-0004-0000-0900-000000000000}"/>
    <hyperlink ref="B6" r:id="rId2" xr:uid="{00000000-0004-0000-0900-000001000000}"/>
    <hyperlink ref="B7" r:id="rId3" location="gid=0" xr:uid="{00000000-0004-0000-0900-000002000000}"/>
    <hyperlink ref="A8" r:id="rId4" xr:uid="{00000000-0004-0000-0900-000003000000}"/>
  </hyperlink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00"/>
  <sheetViews>
    <sheetView workbookViewId="0"/>
  </sheetViews>
  <sheetFormatPr baseColWidth="10" defaultColWidth="12.6640625" defaultRowHeight="15" customHeight="1" x14ac:dyDescent="0.15"/>
  <cols>
    <col min="1" max="26" width="10.6640625" customWidth="1"/>
  </cols>
  <sheetData>
    <row r="1" spans="1:9" ht="64.5" customHeight="1" x14ac:dyDescent="0.15">
      <c r="A1" s="69" t="s">
        <v>1495</v>
      </c>
      <c r="B1" s="58"/>
      <c r="C1" s="58"/>
      <c r="D1" s="58"/>
      <c r="E1" s="58"/>
      <c r="F1" s="58"/>
      <c r="G1" s="58"/>
      <c r="H1" s="58"/>
      <c r="I1" s="58"/>
    </row>
    <row r="2" spans="1:9" x14ac:dyDescent="0.15">
      <c r="A2" s="70" t="s">
        <v>1497</v>
      </c>
      <c r="B2" s="58"/>
      <c r="C2" s="42"/>
      <c r="D2" s="42"/>
    </row>
    <row r="4" spans="1:9" ht="14" x14ac:dyDescent="0.15">
      <c r="A4" s="44" t="s">
        <v>1513</v>
      </c>
    </row>
    <row r="5" spans="1:9" ht="18" customHeight="1" x14ac:dyDescent="0.15">
      <c r="A5" s="45" t="s">
        <v>1514</v>
      </c>
    </row>
    <row r="6" spans="1:9" ht="63.75" customHeight="1" x14ac:dyDescent="0.15">
      <c r="B6" s="71" t="s">
        <v>1516</v>
      </c>
      <c r="C6" s="58"/>
      <c r="D6" s="58"/>
      <c r="E6" s="58"/>
      <c r="F6" s="58"/>
      <c r="G6" s="58"/>
    </row>
    <row r="7" spans="1:9" ht="14" x14ac:dyDescent="0.15">
      <c r="A7" s="44" t="s">
        <v>1517</v>
      </c>
    </row>
    <row r="8" spans="1:9" x14ac:dyDescent="0.2">
      <c r="A8" s="2"/>
      <c r="B8" s="18" t="s">
        <v>1518</v>
      </c>
    </row>
    <row r="9" spans="1:9" x14ac:dyDescent="0.2">
      <c r="A9" s="46" t="s">
        <v>1519</v>
      </c>
      <c r="E9" s="2"/>
    </row>
    <row r="10" spans="1:9" x14ac:dyDescent="0.2">
      <c r="A10" s="2"/>
      <c r="B10" s="44" t="s">
        <v>1520</v>
      </c>
      <c r="E10" s="2"/>
    </row>
    <row r="11" spans="1:9" x14ac:dyDescent="0.2">
      <c r="B11" s="47" t="s">
        <v>1521</v>
      </c>
    </row>
    <row r="12" spans="1:9" ht="14" x14ac:dyDescent="0.15">
      <c r="B12" s="44" t="s">
        <v>1522</v>
      </c>
    </row>
    <row r="13" spans="1:9" ht="14" x14ac:dyDescent="0.15">
      <c r="B13" s="44" t="s">
        <v>1523</v>
      </c>
    </row>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3">
    <mergeCell ref="A1:I1"/>
    <mergeCell ref="A2:B2"/>
    <mergeCell ref="B6:G6"/>
  </mergeCells>
  <hyperlinks>
    <hyperlink ref="A4" r:id="rId1" xr:uid="{00000000-0004-0000-0A00-000000000000}"/>
    <hyperlink ref="A5" r:id="rId2" xr:uid="{00000000-0004-0000-0A00-000001000000}"/>
    <hyperlink ref="A7" r:id="rId3" xr:uid="{00000000-0004-0000-0A00-000002000000}"/>
    <hyperlink ref="A9" r:id="rId4" xr:uid="{00000000-0004-0000-0A00-000003000000}"/>
    <hyperlink ref="B10" r:id="rId5" xr:uid="{00000000-0004-0000-0A00-000004000000}"/>
    <hyperlink ref="B12" r:id="rId6" xr:uid="{00000000-0004-0000-0A00-000005000000}"/>
    <hyperlink ref="B13" r:id="rId7" xr:uid="{00000000-0004-0000-0A00-000006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2.6640625" defaultRowHeight="15" customHeight="1" x14ac:dyDescent="0.15"/>
  <cols>
    <col min="1" max="26" width="7.6640625" customWidth="1"/>
  </cols>
  <sheetData>
    <row r="1" spans="1:26" x14ac:dyDescent="0.2">
      <c r="A1" s="2"/>
      <c r="B1" s="2"/>
      <c r="C1" s="2"/>
      <c r="D1" s="2"/>
      <c r="E1" s="2"/>
      <c r="F1" s="2"/>
      <c r="G1" s="2"/>
      <c r="H1" s="2"/>
      <c r="I1" s="2"/>
      <c r="J1" s="2"/>
      <c r="K1" s="2"/>
      <c r="L1" s="2"/>
      <c r="M1" s="2"/>
      <c r="N1" s="2"/>
      <c r="O1" s="2"/>
      <c r="P1" s="2"/>
      <c r="Q1" s="2"/>
      <c r="R1" s="2"/>
      <c r="S1" s="2"/>
      <c r="T1" s="2"/>
      <c r="U1" s="2"/>
      <c r="V1" s="2"/>
      <c r="W1" s="2"/>
      <c r="X1" s="2"/>
      <c r="Y1" s="2"/>
      <c r="Z1" s="2"/>
    </row>
    <row r="2" spans="1:26" x14ac:dyDescent="0.2">
      <c r="A2" s="2"/>
      <c r="B2" s="2"/>
      <c r="C2" s="2"/>
      <c r="D2" s="2"/>
      <c r="E2" s="2"/>
      <c r="F2" s="2"/>
      <c r="G2" s="2"/>
      <c r="H2" s="2"/>
      <c r="I2" s="2"/>
      <c r="J2" s="2"/>
      <c r="K2" s="2"/>
      <c r="L2" s="2"/>
      <c r="M2" s="2"/>
      <c r="N2" s="2"/>
      <c r="O2" s="2"/>
      <c r="P2" s="2"/>
      <c r="Q2" s="2"/>
      <c r="R2" s="2"/>
      <c r="S2" s="2"/>
      <c r="T2" s="2"/>
      <c r="U2" s="2"/>
      <c r="V2" s="2"/>
      <c r="W2" s="2"/>
      <c r="X2" s="2"/>
      <c r="Y2" s="2"/>
      <c r="Z2" s="2"/>
    </row>
    <row r="3" spans="1:26" x14ac:dyDescent="0.2">
      <c r="A3" s="2"/>
      <c r="B3" s="2"/>
      <c r="C3" s="2"/>
      <c r="D3" s="2"/>
      <c r="E3" s="2"/>
      <c r="F3" s="2"/>
      <c r="G3" s="2"/>
      <c r="H3" s="2"/>
      <c r="I3" s="2"/>
      <c r="J3" s="2"/>
      <c r="K3" s="2"/>
      <c r="L3" s="2"/>
      <c r="M3" s="2"/>
      <c r="N3" s="2"/>
      <c r="O3" s="2"/>
      <c r="P3" s="2"/>
      <c r="Q3" s="2"/>
      <c r="R3" s="2"/>
      <c r="S3" s="2"/>
      <c r="T3" s="2"/>
      <c r="U3" s="2"/>
      <c r="V3" s="2"/>
      <c r="W3" s="2"/>
      <c r="X3" s="2"/>
      <c r="Y3" s="2"/>
      <c r="Z3" s="2"/>
    </row>
    <row r="4" spans="1:26" x14ac:dyDescent="0.2">
      <c r="A4" s="2"/>
      <c r="B4" s="2"/>
      <c r="C4" s="2"/>
      <c r="D4" s="2"/>
      <c r="E4" s="2"/>
      <c r="F4" s="2"/>
      <c r="G4" s="2"/>
      <c r="H4" s="2"/>
      <c r="I4" s="2"/>
      <c r="J4" s="2"/>
      <c r="K4" s="2"/>
      <c r="L4" s="2"/>
      <c r="M4" s="2"/>
      <c r="N4" s="2"/>
      <c r="O4" s="2"/>
      <c r="P4" s="2"/>
      <c r="Q4" s="2"/>
      <c r="R4" s="2"/>
      <c r="S4" s="2"/>
      <c r="T4" s="2"/>
      <c r="U4" s="2"/>
      <c r="V4" s="2"/>
      <c r="W4" s="2"/>
      <c r="X4" s="2"/>
      <c r="Y4" s="2"/>
      <c r="Z4" s="2"/>
    </row>
    <row r="5" spans="1:26" x14ac:dyDescent="0.2">
      <c r="A5" s="2"/>
      <c r="B5" s="2"/>
      <c r="C5" s="2"/>
      <c r="D5" s="2"/>
      <c r="E5" s="2"/>
      <c r="F5" s="2"/>
      <c r="G5" s="2"/>
      <c r="H5" s="2"/>
      <c r="I5" s="2"/>
      <c r="J5" s="2"/>
      <c r="K5" s="2"/>
      <c r="L5" s="2"/>
      <c r="M5" s="2"/>
      <c r="N5" s="2"/>
      <c r="O5" s="2"/>
      <c r="P5" s="2"/>
      <c r="Q5" s="2"/>
      <c r="R5" s="2"/>
      <c r="S5" s="2"/>
      <c r="T5" s="2"/>
      <c r="U5" s="2"/>
      <c r="V5" s="2"/>
      <c r="W5" s="2"/>
      <c r="X5" s="2"/>
      <c r="Y5" s="2"/>
      <c r="Z5" s="2"/>
    </row>
    <row r="6" spans="1:26" x14ac:dyDescent="0.2">
      <c r="A6" s="2"/>
      <c r="B6" s="2"/>
      <c r="C6" s="2"/>
      <c r="D6" s="2"/>
      <c r="E6" s="2"/>
      <c r="F6" s="2"/>
      <c r="G6" s="2"/>
      <c r="H6" s="2"/>
      <c r="I6" s="2"/>
      <c r="J6" s="2"/>
      <c r="K6" s="2"/>
      <c r="L6" s="2"/>
      <c r="M6" s="2"/>
      <c r="N6" s="2"/>
      <c r="O6" s="2"/>
      <c r="P6" s="2"/>
      <c r="Q6" s="2"/>
      <c r="R6" s="2"/>
      <c r="S6" s="2"/>
      <c r="T6" s="2"/>
      <c r="U6" s="2"/>
      <c r="V6" s="2"/>
      <c r="W6" s="2"/>
      <c r="X6" s="2"/>
      <c r="Y6" s="2"/>
      <c r="Z6" s="2"/>
    </row>
    <row r="7" spans="1:26" x14ac:dyDescent="0.2">
      <c r="A7" s="2"/>
      <c r="B7" s="2"/>
      <c r="C7" s="2"/>
      <c r="D7" s="2"/>
      <c r="E7" s="2"/>
      <c r="F7" s="2"/>
      <c r="G7" s="2"/>
      <c r="H7" s="2"/>
      <c r="I7" s="2"/>
      <c r="J7" s="2"/>
      <c r="K7" s="2"/>
      <c r="L7" s="2"/>
      <c r="M7" s="2"/>
      <c r="N7" s="2"/>
      <c r="O7" s="2"/>
      <c r="P7" s="2"/>
      <c r="Q7" s="2"/>
      <c r="R7" s="2"/>
      <c r="S7" s="2"/>
      <c r="T7" s="2"/>
      <c r="U7" s="2"/>
      <c r="V7" s="2"/>
      <c r="W7" s="2"/>
      <c r="X7" s="2"/>
      <c r="Y7" s="2"/>
      <c r="Z7" s="2"/>
    </row>
    <row r="8" spans="1:26" x14ac:dyDescent="0.2">
      <c r="A8" s="2"/>
      <c r="B8" s="2"/>
      <c r="C8" s="2"/>
      <c r="D8" s="2"/>
      <c r="E8" s="2"/>
      <c r="F8" s="2"/>
      <c r="G8" s="2"/>
      <c r="H8" s="2"/>
      <c r="I8" s="2"/>
      <c r="J8" s="2"/>
      <c r="K8" s="2"/>
      <c r="L8" s="2"/>
      <c r="M8" s="2"/>
      <c r="N8" s="2"/>
      <c r="O8" s="2"/>
      <c r="P8" s="2"/>
      <c r="Q8" s="2"/>
      <c r="R8" s="2"/>
      <c r="S8" s="2"/>
      <c r="T8" s="2"/>
      <c r="U8" s="2"/>
      <c r="V8" s="2"/>
      <c r="W8" s="2"/>
      <c r="X8" s="2"/>
      <c r="Y8" s="2"/>
      <c r="Z8" s="2"/>
    </row>
    <row r="9" spans="1:26" x14ac:dyDescent="0.2">
      <c r="A9" s="2"/>
      <c r="B9" s="2"/>
      <c r="C9" s="2"/>
      <c r="D9" s="2"/>
      <c r="E9" s="2"/>
      <c r="F9" s="2"/>
      <c r="G9" s="2"/>
      <c r="H9" s="2"/>
      <c r="I9" s="2"/>
      <c r="J9" s="2"/>
      <c r="K9" s="2"/>
      <c r="L9" s="2"/>
      <c r="M9" s="2"/>
      <c r="N9" s="2"/>
      <c r="O9" s="2"/>
      <c r="P9" s="2"/>
      <c r="Q9" s="2"/>
      <c r="R9" s="2"/>
      <c r="S9" s="2"/>
      <c r="T9" s="2"/>
      <c r="U9" s="2"/>
      <c r="V9" s="2"/>
      <c r="W9" s="2"/>
      <c r="X9" s="2"/>
      <c r="Y9" s="2"/>
      <c r="Z9" s="2"/>
    </row>
    <row r="10" spans="1:26"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5" width="12.1640625" customWidth="1"/>
    <col min="16" max="16" width="12.83203125" customWidth="1"/>
    <col min="17" max="17" width="17.5" customWidth="1"/>
    <col min="18" max="19" width="16.83203125" customWidth="1"/>
    <col min="20" max="20" width="14.33203125" customWidth="1"/>
    <col min="21" max="21" width="17.5" customWidth="1"/>
    <col min="22" max="23" width="10.6640625" customWidth="1"/>
    <col min="24" max="24" width="9.33203125" customWidth="1"/>
    <col min="25" max="25" width="13" customWidth="1"/>
    <col min="26" max="26" width="9.5" customWidth="1"/>
  </cols>
  <sheetData>
    <row r="1" spans="1:26" x14ac:dyDescent="0.2">
      <c r="A1" s="1" t="s">
        <v>0</v>
      </c>
      <c r="B1" s="3"/>
      <c r="C1" s="3"/>
      <c r="D1" s="3"/>
      <c r="E1" s="63" t="s">
        <v>1</v>
      </c>
      <c r="F1" s="64"/>
      <c r="G1" s="65" t="s">
        <v>2</v>
      </c>
      <c r="H1" s="66"/>
      <c r="I1" s="64"/>
      <c r="J1" s="67" t="s">
        <v>3</v>
      </c>
      <c r="K1" s="66"/>
      <c r="L1" s="66"/>
      <c r="M1" s="66"/>
      <c r="N1" s="66"/>
      <c r="O1" s="64"/>
      <c r="P1" s="68" t="s">
        <v>4</v>
      </c>
      <c r="Q1" s="66"/>
      <c r="R1" s="66"/>
      <c r="S1" s="66"/>
      <c r="T1" s="66"/>
      <c r="U1" s="66"/>
      <c r="V1" s="64"/>
      <c r="W1" s="3"/>
      <c r="X1" s="4"/>
      <c r="Y1" s="3"/>
      <c r="Z1" s="3"/>
    </row>
    <row r="2" spans="1:26" ht="55.5" customHeight="1" x14ac:dyDescent="0.15">
      <c r="A2" s="5" t="s">
        <v>5</v>
      </c>
      <c r="B2" s="5" t="s">
        <v>6</v>
      </c>
      <c r="C2" s="5" t="s">
        <v>7</v>
      </c>
      <c r="D2" s="5" t="s">
        <v>8</v>
      </c>
      <c r="E2" s="6" t="s">
        <v>9</v>
      </c>
      <c r="F2" s="6" t="s">
        <v>10</v>
      </c>
      <c r="G2" s="7" t="s">
        <v>11</v>
      </c>
      <c r="H2" s="7" t="s">
        <v>12</v>
      </c>
      <c r="I2" s="7" t="s">
        <v>13</v>
      </c>
      <c r="J2" s="8" t="s">
        <v>14</v>
      </c>
      <c r="K2" s="8" t="s">
        <v>15</v>
      </c>
      <c r="L2" s="8" t="s">
        <v>16</v>
      </c>
      <c r="M2" s="8" t="s">
        <v>17</v>
      </c>
      <c r="N2" s="8" t="s">
        <v>18</v>
      </c>
      <c r="O2" s="8" t="s">
        <v>19</v>
      </c>
      <c r="P2" s="9" t="s">
        <v>20</v>
      </c>
      <c r="Q2" s="9" t="s">
        <v>21</v>
      </c>
      <c r="R2" s="9" t="s">
        <v>22</v>
      </c>
      <c r="S2" s="9" t="s">
        <v>23</v>
      </c>
      <c r="T2" s="9" t="s">
        <v>24</v>
      </c>
      <c r="U2" s="12" t="s">
        <v>25</v>
      </c>
      <c r="V2" s="13" t="s">
        <v>26</v>
      </c>
      <c r="W2" s="14" t="s">
        <v>27</v>
      </c>
      <c r="X2" s="15" t="s">
        <v>29</v>
      </c>
      <c r="Y2" s="15" t="s">
        <v>30</v>
      </c>
      <c r="Z2" s="16" t="s">
        <v>31</v>
      </c>
    </row>
    <row r="3" spans="1:26" x14ac:dyDescent="0.2">
      <c r="A3" s="17" t="str">
        <f>HYPERLINK("https://www.amherst.edu", "Amherst College")</f>
        <v>Amherst College</v>
      </c>
      <c r="B3" s="18" t="s">
        <v>32</v>
      </c>
      <c r="C3" s="18" t="s">
        <v>33</v>
      </c>
      <c r="D3" s="18" t="s">
        <v>34</v>
      </c>
      <c r="E3" s="18">
        <v>1497</v>
      </c>
      <c r="F3" s="18" t="s">
        <v>35</v>
      </c>
      <c r="J3" s="19">
        <v>0.95220000000000005</v>
      </c>
      <c r="K3" s="19" t="s">
        <v>36</v>
      </c>
      <c r="L3" s="19">
        <v>0.95520000000000005</v>
      </c>
      <c r="M3" s="19">
        <v>0.94640000000000002</v>
      </c>
      <c r="N3" s="19">
        <v>0.95240000000000002</v>
      </c>
      <c r="O3" s="19">
        <v>0.96</v>
      </c>
      <c r="P3" s="20">
        <v>71300</v>
      </c>
      <c r="Q3" s="21" t="str">
        <f>HYPERLINK("https://npc.collegeboard.org/student/app/amherst", "$7388")</f>
        <v>$7388</v>
      </c>
      <c r="R3" s="22">
        <v>11372</v>
      </c>
      <c r="S3" s="22">
        <v>19829</v>
      </c>
      <c r="T3" s="20">
        <v>2800</v>
      </c>
      <c r="U3" s="20">
        <v>4588</v>
      </c>
      <c r="V3" s="18" t="s">
        <v>37</v>
      </c>
      <c r="W3" s="19">
        <v>0.22389999999999999</v>
      </c>
      <c r="X3" s="19">
        <v>0.56190000000000007</v>
      </c>
      <c r="Y3" s="18" t="s">
        <v>37</v>
      </c>
      <c r="Z3" s="23">
        <v>1835</v>
      </c>
    </row>
    <row r="4" spans="1:26" x14ac:dyDescent="0.2">
      <c r="A4" s="17" t="str">
        <f>HYPERLINK("https://www.barnard.edu", "Barnard College")</f>
        <v>Barnard College</v>
      </c>
      <c r="B4" s="18" t="s">
        <v>32</v>
      </c>
      <c r="C4" s="18" t="s">
        <v>38</v>
      </c>
      <c r="D4" s="18" t="s">
        <v>39</v>
      </c>
      <c r="E4" s="18">
        <v>1430</v>
      </c>
      <c r="F4" s="18" t="s">
        <v>35</v>
      </c>
      <c r="G4" s="18" t="s">
        <v>40</v>
      </c>
      <c r="H4" s="18" t="s">
        <v>41</v>
      </c>
      <c r="I4" s="18" t="s">
        <v>42</v>
      </c>
      <c r="J4" s="19">
        <v>0.9274</v>
      </c>
      <c r="K4" s="19" t="s">
        <v>36</v>
      </c>
      <c r="L4" s="19">
        <v>0.91720000000000002</v>
      </c>
      <c r="M4" s="19">
        <v>0.91890000000000005</v>
      </c>
      <c r="N4" s="19">
        <v>0.93940000000000001</v>
      </c>
      <c r="O4" s="19">
        <v>0.94789999999999996</v>
      </c>
      <c r="P4" s="20">
        <v>71282</v>
      </c>
      <c r="Q4" s="21" t="str">
        <f>HYPERLINK("https://npc.collegeboard.org/student/app/barnard", "$6212")</f>
        <v>$6212</v>
      </c>
      <c r="R4" s="22">
        <v>8078</v>
      </c>
      <c r="S4" s="22">
        <v>19445</v>
      </c>
      <c r="T4" s="20">
        <v>2520</v>
      </c>
      <c r="U4" s="20">
        <v>3692</v>
      </c>
      <c r="V4" s="18" t="s">
        <v>37</v>
      </c>
      <c r="W4" s="19">
        <v>0.17330000000000001</v>
      </c>
      <c r="X4" s="19">
        <v>0.48430000000000001</v>
      </c>
      <c r="Y4" s="18" t="s">
        <v>37</v>
      </c>
      <c r="Z4" s="23">
        <v>2540</v>
      </c>
    </row>
    <row r="5" spans="1:26" x14ac:dyDescent="0.2">
      <c r="A5" s="17" t="str">
        <f>HYPERLINK("https://www.bates.edu/", "Bates College")</f>
        <v>Bates College</v>
      </c>
      <c r="B5" s="18" t="s">
        <v>32</v>
      </c>
      <c r="C5" s="18" t="s">
        <v>43</v>
      </c>
      <c r="D5" s="18" t="s">
        <v>44</v>
      </c>
      <c r="E5" s="18" t="s">
        <v>36</v>
      </c>
      <c r="F5" s="18" t="s">
        <v>45</v>
      </c>
      <c r="J5" s="19">
        <v>0.92400000000000004</v>
      </c>
      <c r="K5" s="19" t="s">
        <v>36</v>
      </c>
      <c r="L5" s="19">
        <v>0.92179999999999995</v>
      </c>
      <c r="M5" s="19">
        <v>0.88890000000000002</v>
      </c>
      <c r="N5" s="19">
        <v>0.93940000000000001</v>
      </c>
      <c r="O5" s="19">
        <v>0.95650000000000002</v>
      </c>
      <c r="P5" s="20">
        <v>68870</v>
      </c>
      <c r="Q5" s="21" t="str">
        <f>HYPERLINK("https://npc.collegeboard.org/student/app/bates", "$5345")</f>
        <v>$5345</v>
      </c>
      <c r="R5" s="22">
        <v>13753</v>
      </c>
      <c r="S5" s="22">
        <v>18327</v>
      </c>
      <c r="T5" s="20">
        <v>2150</v>
      </c>
      <c r="U5" s="20">
        <v>3195</v>
      </c>
      <c r="V5" s="18" t="s">
        <v>37</v>
      </c>
      <c r="W5" s="19">
        <v>0.1079</v>
      </c>
      <c r="X5" s="19">
        <v>0.29549999999999998</v>
      </c>
      <c r="Y5" s="18" t="s">
        <v>37</v>
      </c>
      <c r="Z5" s="23">
        <v>1787</v>
      </c>
    </row>
    <row r="6" spans="1:26" x14ac:dyDescent="0.2">
      <c r="A6" s="17" t="str">
        <f>HYPERLINK("https://www.bennington.edu", "Bennington College")</f>
        <v>Bennington College</v>
      </c>
      <c r="B6" s="18" t="s">
        <v>32</v>
      </c>
      <c r="C6" s="18" t="s">
        <v>47</v>
      </c>
      <c r="D6" s="18" t="s">
        <v>48</v>
      </c>
      <c r="E6" s="18" t="s">
        <v>36</v>
      </c>
      <c r="F6" s="18" t="s">
        <v>45</v>
      </c>
      <c r="J6" s="19">
        <v>0.67449999999999999</v>
      </c>
      <c r="K6" s="19">
        <v>0.71794871799999993</v>
      </c>
      <c r="L6" s="19">
        <v>0.67259999999999998</v>
      </c>
      <c r="M6" s="19">
        <v>1</v>
      </c>
      <c r="N6" s="19">
        <v>0.69230000000000003</v>
      </c>
      <c r="O6" s="19">
        <v>1</v>
      </c>
      <c r="P6" s="20">
        <v>70760</v>
      </c>
      <c r="Q6" s="21" t="str">
        <f>HYPERLINK("https://www.bennington.edu/admissions-aid/financing-your-education/tuition-and-fees/net-price-calculator", "$24046")</f>
        <v>$24046</v>
      </c>
      <c r="R6" s="22">
        <v>26606</v>
      </c>
      <c r="S6" s="22">
        <v>25455</v>
      </c>
      <c r="T6" s="20">
        <v>3800</v>
      </c>
      <c r="U6" s="20">
        <v>20246</v>
      </c>
      <c r="W6" s="19">
        <v>0.2039</v>
      </c>
      <c r="X6" s="19">
        <v>0.41639999999999999</v>
      </c>
      <c r="Z6" s="23">
        <v>742</v>
      </c>
    </row>
    <row r="7" spans="1:26" x14ac:dyDescent="0.2">
      <c r="A7" s="17" t="str">
        <f>HYPERLINK("https://www.binghamton.edu", "SUNY at Binghamton")</f>
        <v>SUNY at Binghamton</v>
      </c>
      <c r="B7" s="18" t="s">
        <v>49</v>
      </c>
      <c r="C7" s="18" t="s">
        <v>38</v>
      </c>
      <c r="D7" s="18" t="s">
        <v>50</v>
      </c>
      <c r="E7" s="18">
        <v>1365</v>
      </c>
      <c r="F7" s="18" t="s">
        <v>35</v>
      </c>
      <c r="G7" s="18" t="s">
        <v>51</v>
      </c>
      <c r="H7" s="18" t="s">
        <v>52</v>
      </c>
      <c r="I7" s="18" t="s">
        <v>53</v>
      </c>
      <c r="J7" s="19">
        <v>0.82310000000000005</v>
      </c>
      <c r="K7" s="19">
        <v>0.68445122000000003</v>
      </c>
      <c r="L7" s="19">
        <v>0.8569</v>
      </c>
      <c r="M7" s="19">
        <v>0.76859999999999995</v>
      </c>
      <c r="N7" s="19">
        <v>0.75800000000000001</v>
      </c>
      <c r="O7" s="19">
        <v>0.83750000000000002</v>
      </c>
      <c r="P7" s="20">
        <v>26100</v>
      </c>
      <c r="Q7" s="21" t="str">
        <f>HYPERLINK("https://www.suny.edu/howmuch/netpricecalculator.xhtml?id=2&amp;embed=n&amp;headerUrl=www.binghamton.edu/npc/logo.png&amp;cssUrl=www.binghamton.edu/np", "$11911")</f>
        <v>$11911</v>
      </c>
      <c r="R7" s="22">
        <v>18969</v>
      </c>
      <c r="S7" s="22">
        <v>22471</v>
      </c>
      <c r="T7" s="20">
        <v>2000</v>
      </c>
      <c r="U7" s="20">
        <v>9911</v>
      </c>
      <c r="W7" s="19">
        <v>0.27789999999999998</v>
      </c>
      <c r="X7" s="19">
        <v>0.42559999999999998</v>
      </c>
      <c r="Z7" s="23">
        <v>13702</v>
      </c>
    </row>
    <row r="8" spans="1:26" x14ac:dyDescent="0.2">
      <c r="A8" s="17" t="str">
        <f>HYPERLINK("https://www.bc.edu", "Boston College")</f>
        <v>Boston College</v>
      </c>
      <c r="B8" s="18" t="s">
        <v>32</v>
      </c>
      <c r="C8" s="18" t="s">
        <v>33</v>
      </c>
      <c r="D8" s="18" t="s">
        <v>54</v>
      </c>
      <c r="E8" s="18">
        <v>1434</v>
      </c>
      <c r="F8" s="18" t="s">
        <v>35</v>
      </c>
      <c r="J8" s="19">
        <v>0.92110000000000003</v>
      </c>
      <c r="K8" s="19">
        <v>0.8538812790000001</v>
      </c>
      <c r="L8" s="19">
        <v>0.93579999999999997</v>
      </c>
      <c r="M8" s="19">
        <v>0.87060000000000004</v>
      </c>
      <c r="N8" s="19">
        <v>0.90239999999999998</v>
      </c>
      <c r="O8" s="19">
        <v>0.9153</v>
      </c>
      <c r="P8" s="20">
        <v>70588</v>
      </c>
      <c r="Q8" s="21" t="str">
        <f>HYPERLINK("https://npc.collegeboard.org/student/app/bc", "$8890")</f>
        <v>$8890</v>
      </c>
      <c r="R8" s="22">
        <v>14440</v>
      </c>
      <c r="S8" s="22">
        <v>23107</v>
      </c>
      <c r="T8" s="20">
        <v>3100</v>
      </c>
      <c r="U8" s="20">
        <v>5790</v>
      </c>
      <c r="V8" s="18" t="s">
        <v>37</v>
      </c>
      <c r="W8" s="19">
        <v>0.11890000000000001</v>
      </c>
      <c r="X8" s="19">
        <v>0.38929999999999998</v>
      </c>
      <c r="Z8" s="23">
        <v>9636</v>
      </c>
    </row>
    <row r="9" spans="1:26" x14ac:dyDescent="0.2">
      <c r="A9" s="17" t="str">
        <f>HYPERLINK("https://www.bowdoin.edu/", "Bowdoin College")</f>
        <v>Bowdoin College</v>
      </c>
      <c r="B9" s="18" t="s">
        <v>32</v>
      </c>
      <c r="C9" s="18" t="s">
        <v>43</v>
      </c>
      <c r="D9" s="18" t="s">
        <v>57</v>
      </c>
      <c r="E9" s="18" t="s">
        <v>36</v>
      </c>
      <c r="F9" s="18" t="s">
        <v>45</v>
      </c>
      <c r="J9" s="19">
        <v>0.95240000000000002</v>
      </c>
      <c r="K9" s="19" t="s">
        <v>36</v>
      </c>
      <c r="L9" s="19">
        <v>0.96450000000000002</v>
      </c>
      <c r="M9" s="19">
        <v>0.875</v>
      </c>
      <c r="N9" s="19">
        <v>0.94740000000000002</v>
      </c>
      <c r="O9" s="19">
        <v>0.92859999999999998</v>
      </c>
      <c r="P9" s="20">
        <v>68070</v>
      </c>
      <c r="Q9" s="21" t="str">
        <f>HYPERLINK("https://bowdoin.studentaidcalculator.com/survey.aspx", "$6919")</f>
        <v>$6919</v>
      </c>
      <c r="R9" s="22">
        <v>15195</v>
      </c>
      <c r="S9" s="22">
        <v>25189</v>
      </c>
      <c r="T9" s="20">
        <v>2090</v>
      </c>
      <c r="U9" s="20">
        <v>4829</v>
      </c>
      <c r="V9" s="18" t="s">
        <v>37</v>
      </c>
      <c r="W9" s="19">
        <v>0.13339999999999999</v>
      </c>
      <c r="X9" s="19">
        <v>0.37749999999999989</v>
      </c>
      <c r="Y9" s="18" t="s">
        <v>37</v>
      </c>
      <c r="Z9" s="23">
        <v>1812</v>
      </c>
    </row>
    <row r="10" spans="1:26" x14ac:dyDescent="0.2">
      <c r="A10" s="17" t="str">
        <f>HYPERLINK("https://www.brandeis.edu/", "Brandeis University")</f>
        <v>Brandeis University</v>
      </c>
      <c r="B10" s="18" t="s">
        <v>32</v>
      </c>
      <c r="C10" s="18" t="s">
        <v>33</v>
      </c>
      <c r="D10" s="18" t="s">
        <v>62</v>
      </c>
      <c r="E10" s="18">
        <v>1403</v>
      </c>
      <c r="F10" s="18" t="s">
        <v>35</v>
      </c>
      <c r="J10" s="19">
        <v>0.90049999999999997</v>
      </c>
      <c r="K10" s="19">
        <v>0.8</v>
      </c>
      <c r="L10" s="19">
        <v>0.89329999999999998</v>
      </c>
      <c r="M10" s="19">
        <v>0.875</v>
      </c>
      <c r="N10" s="19">
        <v>0.86539999999999995</v>
      </c>
      <c r="O10" s="19">
        <v>0.95650000000000002</v>
      </c>
      <c r="P10" s="20">
        <v>70943</v>
      </c>
      <c r="Q10" s="21" t="str">
        <f>HYPERLINK("https://www.brandeis.edu/student-financial-services/financial-aid/calculator.html", "$13533")</f>
        <v>$13533</v>
      </c>
      <c r="R10" s="22">
        <v>21623</v>
      </c>
      <c r="S10" s="22">
        <v>29656</v>
      </c>
      <c r="T10" s="20">
        <v>2500</v>
      </c>
      <c r="U10" s="20">
        <v>11033</v>
      </c>
      <c r="W10" s="19">
        <v>0.18149999999999999</v>
      </c>
      <c r="X10" s="19">
        <v>0.52679999999999993</v>
      </c>
      <c r="Z10" s="23">
        <v>3624</v>
      </c>
    </row>
    <row r="11" spans="1:26" x14ac:dyDescent="0.2">
      <c r="A11" s="17" t="str">
        <f>HYPERLINK("https://www.brown.edu", "Brown University")</f>
        <v>Brown University</v>
      </c>
      <c r="B11" s="18" t="s">
        <v>32</v>
      </c>
      <c r="C11" s="18" t="s">
        <v>63</v>
      </c>
      <c r="D11" s="18" t="s">
        <v>64</v>
      </c>
      <c r="E11" s="18">
        <v>1494</v>
      </c>
      <c r="F11" s="18" t="s">
        <v>35</v>
      </c>
      <c r="J11" s="19">
        <v>0.95140000000000002</v>
      </c>
      <c r="K11" s="19">
        <v>0.81690140900000008</v>
      </c>
      <c r="L11" s="19">
        <v>0.95389999999999997</v>
      </c>
      <c r="M11" s="19">
        <v>0.93879999999999997</v>
      </c>
      <c r="N11" s="19">
        <v>0.9627</v>
      </c>
      <c r="O11" s="19">
        <v>0.9556</v>
      </c>
      <c r="P11" s="20">
        <v>71050</v>
      </c>
      <c r="Q11" s="21" t="str">
        <f>HYPERLINK("https://npc.collegeboard.org/student/app/brown", "$5399")</f>
        <v>$5399</v>
      </c>
      <c r="R11" s="22">
        <v>12181</v>
      </c>
      <c r="S11" s="22">
        <v>20042</v>
      </c>
      <c r="T11" s="20">
        <v>3611</v>
      </c>
      <c r="U11" s="20">
        <v>1788</v>
      </c>
      <c r="V11" s="18" t="s">
        <v>37</v>
      </c>
      <c r="W11" s="19">
        <v>0.1411</v>
      </c>
      <c r="X11" s="19">
        <v>0.56099999999999994</v>
      </c>
      <c r="Y11" s="18" t="s">
        <v>37</v>
      </c>
      <c r="Z11" s="23">
        <v>6670</v>
      </c>
    </row>
    <row r="12" spans="1:26" x14ac:dyDescent="0.2">
      <c r="A12" s="17" t="str">
        <f>HYPERLINK("https://www.brynmawr.edu", "Bryn Mawr College")</f>
        <v>Bryn Mawr College</v>
      </c>
      <c r="B12" s="18" t="s">
        <v>32</v>
      </c>
      <c r="C12" s="18" t="s">
        <v>65</v>
      </c>
      <c r="D12" s="18" t="s">
        <v>66</v>
      </c>
      <c r="E12" s="18">
        <v>1415</v>
      </c>
      <c r="F12" s="18" t="s">
        <v>35</v>
      </c>
      <c r="J12" s="19">
        <v>0.83379999999999999</v>
      </c>
      <c r="K12" s="19" t="s">
        <v>36</v>
      </c>
      <c r="L12" s="19">
        <v>0.79139999999999999</v>
      </c>
      <c r="M12" s="19">
        <v>0.9375</v>
      </c>
      <c r="N12" s="19">
        <v>0.85189999999999999</v>
      </c>
      <c r="O12" s="19">
        <v>0.84309999999999996</v>
      </c>
      <c r="P12" s="20">
        <v>68410</v>
      </c>
      <c r="Q12" s="21" t="str">
        <f>HYPERLINK("https://npc.collegeboard.org/student/app/brynmawr", "$11286")</f>
        <v>$11286</v>
      </c>
      <c r="R12" s="22">
        <v>18044</v>
      </c>
      <c r="S12" s="22">
        <v>25621</v>
      </c>
      <c r="T12" s="20">
        <v>2000</v>
      </c>
      <c r="U12" s="20">
        <v>9286</v>
      </c>
      <c r="V12" s="18" t="s">
        <v>37</v>
      </c>
      <c r="W12" s="19">
        <v>0.1593</v>
      </c>
      <c r="X12" s="19">
        <v>0.62949999999999995</v>
      </c>
      <c r="Y12" s="18" t="s">
        <v>37</v>
      </c>
      <c r="Z12" s="23">
        <v>1328</v>
      </c>
    </row>
    <row r="13" spans="1:26" x14ac:dyDescent="0.2">
      <c r="A13" s="17" t="str">
        <f>HYPERLINK("https://www.bucknell.edu", "Bucknell University")</f>
        <v>Bucknell University</v>
      </c>
      <c r="B13" s="18" t="s">
        <v>32</v>
      </c>
      <c r="C13" s="18" t="s">
        <v>65</v>
      </c>
      <c r="D13" s="18" t="s">
        <v>67</v>
      </c>
      <c r="E13" s="18">
        <v>1353</v>
      </c>
      <c r="F13" s="18" t="s">
        <v>35</v>
      </c>
      <c r="J13" s="19">
        <v>0.90390000000000004</v>
      </c>
      <c r="K13" s="19" t="s">
        <v>36</v>
      </c>
      <c r="L13" s="19">
        <v>0.91259999999999997</v>
      </c>
      <c r="M13" s="19">
        <v>0.91669999999999996</v>
      </c>
      <c r="N13" s="19">
        <v>0.8679</v>
      </c>
      <c r="O13" s="19">
        <v>0.85709999999999997</v>
      </c>
      <c r="P13" s="20">
        <v>70125</v>
      </c>
      <c r="Q13" s="21" t="str">
        <f>HYPERLINK("https://npc.collegeboard.org/student/app/bucknell", "$24656")</f>
        <v>$24656</v>
      </c>
      <c r="R13" s="22">
        <v>25139</v>
      </c>
      <c r="S13" s="22">
        <v>34213</v>
      </c>
      <c r="T13" s="20">
        <v>2989</v>
      </c>
      <c r="U13" s="20">
        <v>21667</v>
      </c>
      <c r="W13" s="19">
        <v>0.1011</v>
      </c>
      <c r="X13" s="19">
        <v>0.26</v>
      </c>
      <c r="Z13" s="23">
        <v>3588</v>
      </c>
    </row>
    <row r="14" spans="1:26" x14ac:dyDescent="0.2">
      <c r="A14" s="17" t="str">
        <f>HYPERLINK("https://www.caltech.edu", "California Institute of Technology")</f>
        <v>California Institute of Technology</v>
      </c>
      <c r="B14" s="18" t="s">
        <v>32</v>
      </c>
      <c r="C14" s="18" t="s">
        <v>68</v>
      </c>
      <c r="D14" s="18" t="s">
        <v>69</v>
      </c>
      <c r="E14" s="18">
        <v>1558</v>
      </c>
      <c r="F14" s="18" t="s">
        <v>35</v>
      </c>
      <c r="J14" s="19">
        <v>0.89300000000000002</v>
      </c>
      <c r="K14" s="19" t="s">
        <v>36</v>
      </c>
      <c r="L14" s="19">
        <v>0.93059999999999998</v>
      </c>
      <c r="M14" s="19">
        <v>1</v>
      </c>
      <c r="N14" s="19">
        <v>0.76670000000000005</v>
      </c>
      <c r="O14" s="19">
        <v>0.92549999999999999</v>
      </c>
      <c r="P14" s="20">
        <v>68901</v>
      </c>
      <c r="Q14" s="21" t="str">
        <f>HYPERLINK("https://www.finaid.caltech.edu/", "$4621")</f>
        <v>$4621</v>
      </c>
      <c r="R14" s="22">
        <v>11764</v>
      </c>
      <c r="S14" s="22">
        <v>23978</v>
      </c>
      <c r="T14" s="20">
        <v>4197</v>
      </c>
      <c r="U14" s="20">
        <v>424</v>
      </c>
      <c r="V14" s="18" t="s">
        <v>37</v>
      </c>
      <c r="W14" s="19">
        <v>0.1236</v>
      </c>
      <c r="X14" s="19">
        <v>0.72219999999999995</v>
      </c>
      <c r="Z14" s="23">
        <v>961</v>
      </c>
    </row>
    <row r="15" spans="1:26" x14ac:dyDescent="0.2">
      <c r="A15" s="17" t="str">
        <f>HYPERLINK("https://www.carleton.edu", "Carleton College")</f>
        <v>Carleton College</v>
      </c>
      <c r="B15" s="18" t="s">
        <v>32</v>
      </c>
      <c r="C15" s="18" t="s">
        <v>72</v>
      </c>
      <c r="D15" s="18" t="s">
        <v>73</v>
      </c>
      <c r="E15" s="18">
        <v>1469</v>
      </c>
      <c r="F15" s="18" t="s">
        <v>35</v>
      </c>
      <c r="J15" s="19">
        <v>0.94189999999999996</v>
      </c>
      <c r="K15" s="19" t="s">
        <v>36</v>
      </c>
      <c r="L15" s="19">
        <v>0.95540000000000003</v>
      </c>
      <c r="M15" s="19">
        <v>1</v>
      </c>
      <c r="N15" s="19">
        <v>0.90910000000000002</v>
      </c>
      <c r="O15" s="19">
        <v>0.92310000000000003</v>
      </c>
      <c r="P15" s="20">
        <v>68835</v>
      </c>
      <c r="Q15" s="21" t="str">
        <f>HYPERLINK("https://apps.carleton.edu/admissions/afford/estimator/", "$14016")</f>
        <v>$14016</v>
      </c>
      <c r="R15" s="22">
        <v>15350</v>
      </c>
      <c r="S15" s="22">
        <v>21462</v>
      </c>
      <c r="T15" s="20">
        <v>2421</v>
      </c>
      <c r="U15" s="20">
        <v>11595</v>
      </c>
      <c r="V15" s="18" t="s">
        <v>37</v>
      </c>
      <c r="W15" s="19">
        <v>0.1444</v>
      </c>
      <c r="X15" s="19">
        <v>0.38800000000000001</v>
      </c>
      <c r="Y15" s="18" t="s">
        <v>37</v>
      </c>
      <c r="Z15" s="23">
        <v>2023</v>
      </c>
    </row>
    <row r="16" spans="1:26" x14ac:dyDescent="0.2">
      <c r="A16" s="17" t="str">
        <f>HYPERLINK("https://www.cmu.edu/", "Carnegie Mellon University")</f>
        <v>Carnegie Mellon University</v>
      </c>
      <c r="B16" s="18" t="s">
        <v>32</v>
      </c>
      <c r="C16" s="18" t="s">
        <v>65</v>
      </c>
      <c r="D16" s="18" t="s">
        <v>74</v>
      </c>
      <c r="E16" s="18">
        <v>1506</v>
      </c>
      <c r="F16" s="18" t="s">
        <v>35</v>
      </c>
      <c r="J16" s="19">
        <v>0.88839999999999997</v>
      </c>
      <c r="K16" s="19">
        <v>0.82183908099999992</v>
      </c>
      <c r="L16" s="19">
        <v>0.88870000000000005</v>
      </c>
      <c r="M16" s="19">
        <v>0.84440000000000004</v>
      </c>
      <c r="N16" s="19">
        <v>0.82030000000000003</v>
      </c>
      <c r="O16" s="19">
        <v>0.9123</v>
      </c>
      <c r="P16" s="20">
        <v>70094</v>
      </c>
      <c r="Q16" s="21" t="str">
        <f>HYPERLINK("https://admission.enrollment.cmu.edu/pages/financial-aid-estimator", "$14563")</f>
        <v>$14563</v>
      </c>
      <c r="R16" s="22">
        <v>18114</v>
      </c>
      <c r="S16" s="22">
        <v>26549</v>
      </c>
      <c r="T16" s="20">
        <v>2400</v>
      </c>
      <c r="U16" s="20">
        <v>12163</v>
      </c>
      <c r="W16" s="19">
        <v>0.12189999999999999</v>
      </c>
      <c r="X16" s="19">
        <v>0.72209999999999996</v>
      </c>
      <c r="Y16" s="18" t="s">
        <v>37</v>
      </c>
      <c r="Z16" s="23">
        <v>6434</v>
      </c>
    </row>
    <row r="17" spans="1:26" x14ac:dyDescent="0.2">
      <c r="A17" s="17" t="str">
        <f>HYPERLINK("https://www.case.edu", "Case Western Reserve University")</f>
        <v>Case Western Reserve University</v>
      </c>
      <c r="B17" s="18" t="s">
        <v>32</v>
      </c>
      <c r="C17" s="18" t="s">
        <v>75</v>
      </c>
      <c r="D17" s="18" t="s">
        <v>76</v>
      </c>
      <c r="E17" s="18">
        <v>1441</v>
      </c>
      <c r="F17" s="18" t="s">
        <v>35</v>
      </c>
      <c r="J17" s="19">
        <v>0.82569999999999999</v>
      </c>
      <c r="K17" s="19">
        <v>0.92485549099999997</v>
      </c>
      <c r="L17" s="19">
        <v>0.8427</v>
      </c>
      <c r="M17" s="19">
        <v>0.6452</v>
      </c>
      <c r="N17" s="19">
        <v>0.78949999999999998</v>
      </c>
      <c r="O17" s="19">
        <v>0.86209999999999998</v>
      </c>
      <c r="P17" s="20">
        <v>65384</v>
      </c>
      <c r="Q17" s="21" t="str">
        <f>HYPERLINK("https://case.edu/financialaid/resources/net-price-calculator/", "$22328")</f>
        <v>$22328</v>
      </c>
      <c r="R17" s="22">
        <v>30156</v>
      </c>
      <c r="S17" s="22">
        <v>34514</v>
      </c>
      <c r="T17" s="20">
        <v>3100</v>
      </c>
      <c r="U17" s="20">
        <v>19228</v>
      </c>
      <c r="V17" s="18" t="s">
        <v>37</v>
      </c>
      <c r="W17" s="19">
        <v>0.14099999999999999</v>
      </c>
      <c r="X17" s="19">
        <v>0.51249999999999996</v>
      </c>
      <c r="Z17" s="23">
        <v>5020</v>
      </c>
    </row>
    <row r="18" spans="1:26" x14ac:dyDescent="0.2">
      <c r="A18" s="17" t="str">
        <f>HYPERLINK("https://www.cmc.edu", "Claremont McKenna College")</f>
        <v>Claremont McKenna College</v>
      </c>
      <c r="B18" s="18" t="s">
        <v>32</v>
      </c>
      <c r="C18" s="18" t="s">
        <v>68</v>
      </c>
      <c r="D18" s="18" t="s">
        <v>77</v>
      </c>
      <c r="E18" s="18">
        <v>1452</v>
      </c>
      <c r="F18" s="18" t="s">
        <v>35</v>
      </c>
      <c r="J18" s="19">
        <v>0.89800000000000002</v>
      </c>
      <c r="K18" s="19" t="s">
        <v>36</v>
      </c>
      <c r="L18" s="19">
        <v>0.88619999999999999</v>
      </c>
      <c r="M18" s="19">
        <v>0.81820000000000004</v>
      </c>
      <c r="N18" s="19">
        <v>0.88239999999999996</v>
      </c>
      <c r="O18" s="19">
        <v>0.9667</v>
      </c>
      <c r="P18" s="20">
        <v>71745</v>
      </c>
      <c r="Q18" s="21" t="str">
        <f>HYPERLINK("https://npc.collegeboard.org/student/app/claremontmckenna", "$8419")</f>
        <v>$8419</v>
      </c>
      <c r="R18" s="22">
        <v>14737</v>
      </c>
      <c r="S18" s="22">
        <v>24412</v>
      </c>
      <c r="T18" s="20">
        <v>2700</v>
      </c>
      <c r="U18" s="20">
        <v>5719</v>
      </c>
      <c r="V18" s="18" t="s">
        <v>37</v>
      </c>
      <c r="W18" s="19">
        <v>0.1225</v>
      </c>
      <c r="X18" s="19">
        <v>0.5877</v>
      </c>
      <c r="Y18" s="18" t="s">
        <v>37</v>
      </c>
      <c r="Z18" s="23">
        <v>1334</v>
      </c>
    </row>
    <row r="19" spans="1:26" x14ac:dyDescent="0.2">
      <c r="A19" s="17" t="str">
        <f>HYPERLINK("https://www.colby.edu", "Colby College")</f>
        <v>Colby College</v>
      </c>
      <c r="B19" s="18" t="s">
        <v>32</v>
      </c>
      <c r="C19" s="18" t="s">
        <v>43</v>
      </c>
      <c r="D19" s="18" t="s">
        <v>79</v>
      </c>
      <c r="E19" s="18">
        <v>1444</v>
      </c>
      <c r="F19" s="18" t="s">
        <v>35</v>
      </c>
      <c r="J19" s="19">
        <v>0.91610000000000003</v>
      </c>
      <c r="K19" s="19" t="s">
        <v>36</v>
      </c>
      <c r="L19" s="19">
        <v>0.93189999999999995</v>
      </c>
      <c r="M19" s="19">
        <v>0.86670000000000003</v>
      </c>
      <c r="N19" s="19">
        <v>0.95830000000000004</v>
      </c>
      <c r="O19" s="19">
        <v>0.90910000000000002</v>
      </c>
      <c r="P19" s="20">
        <v>68582</v>
      </c>
      <c r="Q19" s="21" t="str">
        <f>HYPERLINK("https://colby.studentaidcalculator.com/welcome.aspx", "$7630")</f>
        <v>$7630</v>
      </c>
      <c r="R19" s="22">
        <v>7524</v>
      </c>
      <c r="S19" s="22">
        <v>15658</v>
      </c>
      <c r="T19" s="20">
        <v>1802</v>
      </c>
      <c r="U19" s="20">
        <v>5828</v>
      </c>
      <c r="V19" s="18" t="s">
        <v>37</v>
      </c>
      <c r="W19" s="19">
        <v>0.1075</v>
      </c>
      <c r="X19" s="19">
        <v>0.36199999999999999</v>
      </c>
      <c r="Y19" s="18" t="s">
        <v>37</v>
      </c>
      <c r="Z19" s="23">
        <v>1917</v>
      </c>
    </row>
    <row r="20" spans="1:26" x14ac:dyDescent="0.2">
      <c r="A20" s="17" t="str">
        <f>HYPERLINK("https://www.colgate.edu", "Colgate University")</f>
        <v>Colgate University</v>
      </c>
      <c r="B20" s="18" t="s">
        <v>32</v>
      </c>
      <c r="C20" s="18" t="s">
        <v>38</v>
      </c>
      <c r="D20" s="18" t="s">
        <v>80</v>
      </c>
      <c r="E20" s="18">
        <v>1443</v>
      </c>
      <c r="F20" s="18" t="s">
        <v>35</v>
      </c>
      <c r="G20" s="18" t="s">
        <v>40</v>
      </c>
      <c r="H20" s="18" t="s">
        <v>81</v>
      </c>
      <c r="I20" s="18" t="s">
        <v>82</v>
      </c>
      <c r="J20" s="19">
        <v>0.9123</v>
      </c>
      <c r="K20" s="19">
        <v>0.8</v>
      </c>
      <c r="L20" s="19">
        <v>0.92179999999999995</v>
      </c>
      <c r="M20" s="19">
        <v>0.91180000000000005</v>
      </c>
      <c r="N20" s="19">
        <v>0.84379999999999999</v>
      </c>
      <c r="O20" s="19">
        <v>0.92310000000000003</v>
      </c>
      <c r="P20" s="20">
        <v>69860</v>
      </c>
      <c r="Q20" s="21" t="str">
        <f>HYPERLINK("https://www.colgate.edu/admission-financial-aid/financial-aid/net-price-calculator", "$7249")</f>
        <v>$7249</v>
      </c>
      <c r="R20" s="22">
        <v>15055</v>
      </c>
      <c r="S20" s="22">
        <v>22315</v>
      </c>
      <c r="T20" s="20">
        <v>2360</v>
      </c>
      <c r="U20" s="20">
        <v>4889</v>
      </c>
      <c r="V20" s="18" t="s">
        <v>37</v>
      </c>
      <c r="W20" s="19">
        <v>0.1173</v>
      </c>
      <c r="X20" s="19">
        <v>0.35210000000000002</v>
      </c>
      <c r="Z20" s="23">
        <v>2854</v>
      </c>
    </row>
    <row r="21" spans="1:26" ht="15.75" customHeight="1" x14ac:dyDescent="0.2">
      <c r="A21" s="17" t="str">
        <f>HYPERLINK("https://www.wm.edu", "College of William and Mary")</f>
        <v>College of William and Mary</v>
      </c>
      <c r="B21" s="18" t="s">
        <v>49</v>
      </c>
      <c r="C21" s="18" t="s">
        <v>83</v>
      </c>
      <c r="D21" s="18" t="s">
        <v>84</v>
      </c>
      <c r="E21" s="18">
        <v>1406</v>
      </c>
      <c r="F21" s="18" t="s">
        <v>35</v>
      </c>
      <c r="J21" s="19">
        <v>0.92099999999999993</v>
      </c>
      <c r="K21" s="19">
        <v>0.84172661900000001</v>
      </c>
      <c r="L21" s="19">
        <v>0.93840000000000001</v>
      </c>
      <c r="M21" s="19">
        <v>0.83509999999999995</v>
      </c>
      <c r="N21" s="19">
        <v>0.92720000000000002</v>
      </c>
      <c r="O21" s="19">
        <v>0.89900000000000002</v>
      </c>
      <c r="P21" s="20">
        <v>59012</v>
      </c>
      <c r="Q21" s="21" t="str">
        <f>HYPERLINK("https://www.wm.edu/financialaid/", "$29938")</f>
        <v>$29938</v>
      </c>
      <c r="R21" s="22">
        <v>33363</v>
      </c>
      <c r="S21" s="22">
        <v>42606</v>
      </c>
      <c r="T21" s="20">
        <v>3543</v>
      </c>
      <c r="U21" s="20">
        <v>26395.14851485148</v>
      </c>
      <c r="W21" s="19">
        <v>0.11119999999999999</v>
      </c>
      <c r="X21" s="19">
        <v>0.40620000000000001</v>
      </c>
      <c r="Z21" s="23">
        <v>6243</v>
      </c>
    </row>
    <row r="22" spans="1:26" ht="15.75" customHeight="1" x14ac:dyDescent="0.2">
      <c r="A22" s="17" t="str">
        <f>HYPERLINK("https://www.holycross.edu", "College of the Holy Cross")</f>
        <v>College of the Holy Cross</v>
      </c>
      <c r="B22" s="18" t="s">
        <v>32</v>
      </c>
      <c r="C22" s="18" t="s">
        <v>33</v>
      </c>
      <c r="D22" s="18" t="s">
        <v>86</v>
      </c>
      <c r="E22" s="18" t="s">
        <v>36</v>
      </c>
      <c r="F22" s="18" t="s">
        <v>45</v>
      </c>
      <c r="J22" s="19">
        <v>0.92279999999999995</v>
      </c>
      <c r="K22" s="19" t="s">
        <v>36</v>
      </c>
      <c r="L22" s="19">
        <v>0.92530000000000001</v>
      </c>
      <c r="M22" s="19">
        <v>0.91890000000000005</v>
      </c>
      <c r="N22" s="19">
        <v>0.89410000000000001</v>
      </c>
      <c r="O22" s="19">
        <v>0.94440000000000002</v>
      </c>
      <c r="P22" s="20">
        <v>66220</v>
      </c>
      <c r="Q22" s="21" t="str">
        <f>HYPERLINK("https://www.holycross.edu/financial-aid/financial-aid-calculator", "$12275")</f>
        <v>$12275</v>
      </c>
      <c r="R22" s="22">
        <v>16888</v>
      </c>
      <c r="S22" s="22">
        <v>27422</v>
      </c>
      <c r="T22" s="20">
        <v>1900</v>
      </c>
      <c r="U22" s="20">
        <v>10375</v>
      </c>
      <c r="V22" s="18" t="s">
        <v>37</v>
      </c>
      <c r="W22" s="19">
        <v>0.15</v>
      </c>
      <c r="X22" s="19">
        <v>0.29780000000000001</v>
      </c>
      <c r="Z22" s="23">
        <v>2827</v>
      </c>
    </row>
    <row r="23" spans="1:26" ht="15.75" customHeight="1" x14ac:dyDescent="0.2">
      <c r="A23" s="17" t="str">
        <f>HYPERLINK("https://www.coloradocollege.edu", "Colorado College")</f>
        <v>Colorado College</v>
      </c>
      <c r="B23" s="18" t="s">
        <v>32</v>
      </c>
      <c r="C23" s="18" t="s">
        <v>87</v>
      </c>
      <c r="D23" s="18" t="s">
        <v>88</v>
      </c>
      <c r="E23" s="18" t="s">
        <v>36</v>
      </c>
      <c r="F23" s="18" t="s">
        <v>90</v>
      </c>
      <c r="J23" s="19">
        <v>0.88109999999999999</v>
      </c>
      <c r="K23" s="19" t="s">
        <v>36</v>
      </c>
      <c r="L23" s="19">
        <v>0.87770000000000004</v>
      </c>
      <c r="M23" s="19">
        <v>1</v>
      </c>
      <c r="N23" s="19">
        <v>0.92310000000000003</v>
      </c>
      <c r="O23" s="19">
        <v>0.77780000000000005</v>
      </c>
      <c r="P23" s="20">
        <v>68616</v>
      </c>
      <c r="Q23" s="21" t="str">
        <f>HYPERLINK("https://npc.collegeboard.org/student/app/coloradocollege", "$6268")</f>
        <v>$6268</v>
      </c>
      <c r="R23" s="22">
        <v>20667</v>
      </c>
      <c r="S23" s="22">
        <v>24088</v>
      </c>
      <c r="T23" s="20">
        <v>3722</v>
      </c>
      <c r="U23" s="20">
        <v>2546</v>
      </c>
      <c r="V23" s="18" t="s">
        <v>37</v>
      </c>
      <c r="W23" s="19">
        <v>0.1138</v>
      </c>
      <c r="X23" s="19">
        <v>0.34050000000000002</v>
      </c>
      <c r="Y23" s="18" t="s">
        <v>37</v>
      </c>
      <c r="Z23" s="23">
        <v>2091</v>
      </c>
    </row>
    <row r="24" spans="1:26" ht="15.75" customHeight="1" x14ac:dyDescent="0.2">
      <c r="A24" s="17" t="str">
        <f>HYPERLINK("https://www.columbia.edu", "Columbia University in the City of New York")</f>
        <v>Columbia University in the City of New York</v>
      </c>
      <c r="B24" s="18" t="s">
        <v>32</v>
      </c>
      <c r="C24" s="18" t="s">
        <v>38</v>
      </c>
      <c r="D24" s="18" t="s">
        <v>39</v>
      </c>
      <c r="E24" s="18">
        <v>1488</v>
      </c>
      <c r="F24" s="18" t="s">
        <v>35</v>
      </c>
      <c r="G24" s="18" t="s">
        <v>40</v>
      </c>
      <c r="H24" s="18" t="s">
        <v>91</v>
      </c>
      <c r="I24" s="18" t="s">
        <v>92</v>
      </c>
      <c r="J24" s="19">
        <v>0.95140000000000002</v>
      </c>
      <c r="K24" s="19">
        <v>0.74600355200000001</v>
      </c>
      <c r="L24" s="19">
        <v>0.94289999999999996</v>
      </c>
      <c r="M24" s="19">
        <v>0.91739999999999999</v>
      </c>
      <c r="N24" s="19">
        <v>0.93299999999999994</v>
      </c>
      <c r="O24" s="19">
        <v>0.97889999999999999</v>
      </c>
      <c r="P24" s="20">
        <v>74199</v>
      </c>
      <c r="Q24" s="21" t="str">
        <f>HYPERLINK("https://cc-seas.financialaid.columbia.edu/estimate-cost", "$8212")</f>
        <v>$8212</v>
      </c>
      <c r="R24" s="22">
        <v>7648</v>
      </c>
      <c r="S24" s="22">
        <v>17463</v>
      </c>
      <c r="T24" s="20">
        <v>3347</v>
      </c>
      <c r="U24" s="20">
        <v>4865</v>
      </c>
      <c r="V24" s="18" t="s">
        <v>37</v>
      </c>
      <c r="W24" s="19">
        <v>0.22109999999999999</v>
      </c>
      <c r="X24" s="19">
        <v>0.63229999999999997</v>
      </c>
      <c r="Y24" s="18" t="s">
        <v>37</v>
      </c>
      <c r="Z24" s="23">
        <v>8170</v>
      </c>
    </row>
    <row r="25" spans="1:26" ht="15.75" customHeight="1" x14ac:dyDescent="0.2">
      <c r="A25" s="17" t="str">
        <f>HYPERLINK("https://www.conncoll.edu", "Connecticut College")</f>
        <v>Connecticut College</v>
      </c>
      <c r="B25" s="18" t="s">
        <v>32</v>
      </c>
      <c r="C25" s="18" t="s">
        <v>94</v>
      </c>
      <c r="D25" s="18" t="s">
        <v>95</v>
      </c>
      <c r="E25" s="18" t="s">
        <v>36</v>
      </c>
      <c r="F25" s="18" t="s">
        <v>45</v>
      </c>
      <c r="J25" s="19">
        <v>0.84840000000000004</v>
      </c>
      <c r="K25" s="19" t="s">
        <v>36</v>
      </c>
      <c r="L25" s="19">
        <v>0.85329999999999995</v>
      </c>
      <c r="M25" s="19">
        <v>0.76470000000000005</v>
      </c>
      <c r="N25" s="19">
        <v>0.875</v>
      </c>
      <c r="O25" s="19">
        <v>0.84619999999999995</v>
      </c>
      <c r="P25" s="20">
        <v>69440</v>
      </c>
      <c r="Q25" s="21" t="str">
        <f>HYPERLINK("https://conncoll.studentaidcalculator.com/survey.aspx", "$15909")</f>
        <v>$15909</v>
      </c>
      <c r="R25" s="22">
        <v>20969</v>
      </c>
      <c r="S25" s="22">
        <v>27917</v>
      </c>
      <c r="T25" s="20">
        <v>2000</v>
      </c>
      <c r="U25" s="20">
        <v>13909</v>
      </c>
      <c r="V25" s="18" t="s">
        <v>37</v>
      </c>
      <c r="W25" s="19">
        <v>0.1598</v>
      </c>
      <c r="X25" s="19">
        <v>0.28649999999999998</v>
      </c>
      <c r="Z25" s="23">
        <v>1766</v>
      </c>
    </row>
    <row r="26" spans="1:26" ht="15.75" customHeight="1" x14ac:dyDescent="0.2">
      <c r="A26" s="17" t="str">
        <f>HYPERLINK("https://www.cooper.edu", "Cooper Union for the Advancement of Science and Art")</f>
        <v>Cooper Union for the Advancement of Science and Art</v>
      </c>
      <c r="B26" s="18" t="s">
        <v>32</v>
      </c>
      <c r="C26" s="18" t="s">
        <v>38</v>
      </c>
      <c r="D26" s="18" t="s">
        <v>39</v>
      </c>
      <c r="E26" s="18">
        <v>1424</v>
      </c>
      <c r="F26" s="18" t="s">
        <v>35</v>
      </c>
      <c r="J26" s="19">
        <v>0.84619999999999995</v>
      </c>
      <c r="K26" s="19" t="s">
        <v>36</v>
      </c>
      <c r="L26" s="19">
        <v>0.87880000000000003</v>
      </c>
      <c r="M26" s="19">
        <v>0.73680000000000001</v>
      </c>
      <c r="N26" s="19">
        <v>0.83330000000000004</v>
      </c>
      <c r="O26" s="19">
        <v>0.86839999999999995</v>
      </c>
      <c r="P26" s="20">
        <v>65045</v>
      </c>
      <c r="Q26" s="21" t="str">
        <f>HYPERLINK("https://npc.collegeboard.org/student/app/cooper", "$8577")</f>
        <v>$8577</v>
      </c>
      <c r="R26" s="22">
        <v>9948</v>
      </c>
      <c r="S26" s="22">
        <v>16363</v>
      </c>
      <c r="T26" s="20">
        <v>3675</v>
      </c>
      <c r="U26" s="20">
        <v>4902</v>
      </c>
      <c r="V26" s="18" t="s">
        <v>37</v>
      </c>
      <c r="W26" s="19">
        <v>0.23730000000000001</v>
      </c>
      <c r="X26" s="19">
        <v>0.69199999999999995</v>
      </c>
      <c r="Z26" s="23">
        <v>854</v>
      </c>
    </row>
    <row r="27" spans="1:26" ht="15.75" customHeight="1" x14ac:dyDescent="0.2">
      <c r="A27" s="17" t="str">
        <f>HYPERLINK("https://www.cornell.edu", "Cornell University")</f>
        <v>Cornell University</v>
      </c>
      <c r="B27" s="18" t="s">
        <v>32</v>
      </c>
      <c r="C27" s="18" t="s">
        <v>38</v>
      </c>
      <c r="D27" s="18" t="s">
        <v>97</v>
      </c>
      <c r="E27" s="18">
        <v>1477</v>
      </c>
      <c r="F27" s="18" t="s">
        <v>35</v>
      </c>
      <c r="G27" s="18" t="s">
        <v>40</v>
      </c>
      <c r="H27" s="18" t="s">
        <v>98</v>
      </c>
      <c r="I27" s="18" t="s">
        <v>99</v>
      </c>
      <c r="J27" s="19">
        <v>0.93389999999999995</v>
      </c>
      <c r="K27" s="19">
        <v>0.90322580699999999</v>
      </c>
      <c r="L27" s="19">
        <v>0.93900000000000006</v>
      </c>
      <c r="M27" s="19">
        <v>0.90380000000000005</v>
      </c>
      <c r="N27" s="19">
        <v>0.93140000000000001</v>
      </c>
      <c r="O27" s="19">
        <v>0.95489999999999997</v>
      </c>
      <c r="P27" s="20">
        <v>70321</v>
      </c>
      <c r="Q27" s="21" t="str">
        <f>HYPERLINK("https://npc.collegeboard.org/app/cornell", "$11931")</f>
        <v>$11931</v>
      </c>
      <c r="R27" s="22">
        <v>15413</v>
      </c>
      <c r="S27" s="22">
        <v>25404</v>
      </c>
      <c r="T27" s="20">
        <v>3138</v>
      </c>
      <c r="U27" s="20">
        <v>8793</v>
      </c>
      <c r="V27" s="18" t="s">
        <v>37</v>
      </c>
      <c r="W27" s="19">
        <v>0.1552</v>
      </c>
      <c r="X27" s="19">
        <v>0.61529999999999996</v>
      </c>
      <c r="Y27" s="18" t="s">
        <v>37</v>
      </c>
      <c r="Z27" s="23">
        <v>14815</v>
      </c>
    </row>
    <row r="28" spans="1:26" ht="15.75" customHeight="1" x14ac:dyDescent="0.2">
      <c r="A28" s="17" t="str">
        <f>HYPERLINK("https://www.dartmouth.edu", "Dartmouth College")</f>
        <v>Dartmouth College</v>
      </c>
      <c r="B28" s="18" t="s">
        <v>32</v>
      </c>
      <c r="C28" s="18" t="s">
        <v>101</v>
      </c>
      <c r="D28" s="18" t="s">
        <v>102</v>
      </c>
      <c r="E28" s="18">
        <v>1483</v>
      </c>
      <c r="F28" s="18" t="s">
        <v>35</v>
      </c>
      <c r="J28" s="19">
        <v>0.95950000000000002</v>
      </c>
      <c r="K28" s="19">
        <v>0.87741935500000001</v>
      </c>
      <c r="L28" s="19">
        <v>0.96919999999999995</v>
      </c>
      <c r="M28" s="19">
        <v>0.91669999999999996</v>
      </c>
      <c r="N28" s="19">
        <v>0.95509999999999995</v>
      </c>
      <c r="O28" s="19">
        <v>0.97950000000000004</v>
      </c>
      <c r="P28" s="20">
        <v>71827</v>
      </c>
      <c r="Q28" s="21" t="str">
        <f>HYPERLINK("https://financialaid.dartmouth.edu/cost-attendance/net-price-calculator", "$10989")</f>
        <v>$10989</v>
      </c>
      <c r="R28" s="22">
        <v>6199</v>
      </c>
      <c r="S28" s="22">
        <v>18324</v>
      </c>
      <c r="T28" s="20">
        <v>3300</v>
      </c>
      <c r="U28" s="20">
        <v>7689</v>
      </c>
      <c r="V28" s="18" t="s">
        <v>37</v>
      </c>
      <c r="W28" s="19">
        <v>0.14899999999999999</v>
      </c>
      <c r="X28" s="19">
        <v>0.49780000000000002</v>
      </c>
      <c r="Y28" s="18" t="s">
        <v>37</v>
      </c>
      <c r="Z28" s="23">
        <v>4315</v>
      </c>
    </row>
    <row r="29" spans="1:26" ht="15.75" customHeight="1" x14ac:dyDescent="0.2">
      <c r="A29" s="17" t="str">
        <f>HYPERLINK("https://www.davidson.edu/", "Davidson College")</f>
        <v>Davidson College</v>
      </c>
      <c r="B29" s="18" t="s">
        <v>32</v>
      </c>
      <c r="C29" s="18" t="s">
        <v>103</v>
      </c>
      <c r="D29" s="18" t="s">
        <v>104</v>
      </c>
      <c r="E29" s="18">
        <v>1423</v>
      </c>
      <c r="F29" s="18" t="s">
        <v>35</v>
      </c>
      <c r="J29" s="19">
        <v>0.90780000000000005</v>
      </c>
      <c r="K29" s="19" t="s">
        <v>36</v>
      </c>
      <c r="L29" s="19">
        <v>0.92090000000000005</v>
      </c>
      <c r="M29" s="19">
        <v>0.78569999999999995</v>
      </c>
      <c r="N29" s="19">
        <v>0.92859999999999998</v>
      </c>
      <c r="O29" s="19">
        <v>0.9</v>
      </c>
      <c r="P29" s="20">
        <v>66678</v>
      </c>
      <c r="Q29" s="21" t="str">
        <f>HYPERLINK("https://www.davidson.edu/admission-and-financial-aid/financial-aid/net-price-calculator", "$7483")</f>
        <v>$7483</v>
      </c>
      <c r="R29" s="22">
        <v>13225</v>
      </c>
      <c r="S29" s="22">
        <v>17187</v>
      </c>
      <c r="T29" s="20">
        <v>2775</v>
      </c>
      <c r="U29" s="20">
        <v>4708</v>
      </c>
      <c r="V29" s="18" t="s">
        <v>37</v>
      </c>
      <c r="W29" s="19">
        <v>0.15310000000000001</v>
      </c>
      <c r="X29" s="19">
        <v>0.3256</v>
      </c>
      <c r="Z29" s="23">
        <v>1800</v>
      </c>
    </row>
    <row r="30" spans="1:26" ht="15.75" customHeight="1" x14ac:dyDescent="0.2">
      <c r="A30" s="17" t="str">
        <f>HYPERLINK("https://WWW.DUKE.EDU", "Duke University")</f>
        <v>Duke University</v>
      </c>
      <c r="B30" s="18" t="s">
        <v>32</v>
      </c>
      <c r="C30" s="18" t="s">
        <v>103</v>
      </c>
      <c r="D30" s="18" t="s">
        <v>106</v>
      </c>
      <c r="E30" s="18">
        <v>1488</v>
      </c>
      <c r="F30" s="18" t="s">
        <v>35</v>
      </c>
      <c r="J30" s="19">
        <v>0.95350000000000001</v>
      </c>
      <c r="K30" s="19">
        <v>0.9341637009999999</v>
      </c>
      <c r="L30" s="19">
        <v>0.9627</v>
      </c>
      <c r="M30" s="19">
        <v>0.90339999999999998</v>
      </c>
      <c r="N30" s="19">
        <v>0.90290000000000004</v>
      </c>
      <c r="O30" s="19">
        <v>0.97709999999999997</v>
      </c>
      <c r="P30" s="20">
        <v>71764</v>
      </c>
      <c r="Q30" s="21" t="str">
        <f>HYPERLINK("https://npc.collegeboard.org/student/app/duke", "$-638")</f>
        <v>$-638</v>
      </c>
      <c r="R30" s="22">
        <v>7127</v>
      </c>
      <c r="S30" s="22">
        <v>21201</v>
      </c>
      <c r="T30" s="20">
        <v>3466</v>
      </c>
      <c r="U30" s="20">
        <v>-4104</v>
      </c>
      <c r="V30" s="18" t="s">
        <v>37</v>
      </c>
      <c r="W30" s="19">
        <v>0.1235</v>
      </c>
      <c r="X30" s="19">
        <v>0.56440000000000001</v>
      </c>
      <c r="Y30" s="18" t="s">
        <v>37</v>
      </c>
      <c r="Z30" s="23">
        <v>6552</v>
      </c>
    </row>
    <row r="31" spans="1:26" ht="15.75" customHeight="1" x14ac:dyDescent="0.2">
      <c r="A31" s="17" t="str">
        <f>HYPERLINK("https://www.emory.edu", "Emory University")</f>
        <v>Emory University</v>
      </c>
      <c r="B31" s="18" t="s">
        <v>32</v>
      </c>
      <c r="C31" s="18" t="s">
        <v>107</v>
      </c>
      <c r="D31" s="18" t="s">
        <v>108</v>
      </c>
      <c r="E31" s="18">
        <v>1443</v>
      </c>
      <c r="F31" s="18" t="s">
        <v>35</v>
      </c>
      <c r="J31" s="19">
        <v>0.90910000000000002</v>
      </c>
      <c r="K31" s="19">
        <v>0.88519637500000004</v>
      </c>
      <c r="L31" s="19">
        <v>0.91249999999999998</v>
      </c>
      <c r="M31" s="19">
        <v>0.83509999999999995</v>
      </c>
      <c r="N31" s="19">
        <v>0.86670000000000003</v>
      </c>
      <c r="O31" s="19">
        <v>0.93769999999999998</v>
      </c>
      <c r="P31" s="20">
        <v>66950</v>
      </c>
      <c r="Q31" s="21" t="str">
        <f>HYPERLINK("https://www.emory.edu/FINANCIAL_AID/", "$13384")</f>
        <v>$13384</v>
      </c>
      <c r="R31" s="22">
        <v>16703</v>
      </c>
      <c r="S31" s="22">
        <v>25053</v>
      </c>
      <c r="T31" s="20">
        <v>3664</v>
      </c>
      <c r="U31" s="20">
        <v>9720</v>
      </c>
      <c r="V31" s="18" t="s">
        <v>37</v>
      </c>
      <c r="W31" s="19">
        <v>0.1799</v>
      </c>
      <c r="X31" s="19">
        <v>0.58909999999999996</v>
      </c>
      <c r="Y31" s="18" t="s">
        <v>37</v>
      </c>
      <c r="Z31" s="23">
        <v>6776</v>
      </c>
    </row>
    <row r="32" spans="1:26" ht="15.75" customHeight="1" x14ac:dyDescent="0.2">
      <c r="A32" s="17" t="str">
        <f>HYPERLINK("https://www.olin.edu", "Franklin W Olin College of Engineering")</f>
        <v>Franklin W Olin College of Engineering</v>
      </c>
      <c r="B32" s="18" t="s">
        <v>32</v>
      </c>
      <c r="C32" s="18" t="s">
        <v>33</v>
      </c>
      <c r="D32" s="18" t="s">
        <v>110</v>
      </c>
      <c r="E32" s="18">
        <v>1522</v>
      </c>
      <c r="F32" s="18" t="s">
        <v>35</v>
      </c>
      <c r="J32" s="19">
        <v>0.91459999999999997</v>
      </c>
      <c r="K32" s="19" t="s">
        <v>36</v>
      </c>
      <c r="L32" s="19">
        <v>0.91110000000000002</v>
      </c>
      <c r="M32" s="19">
        <v>1</v>
      </c>
      <c r="N32" s="19">
        <v>1</v>
      </c>
      <c r="O32" s="19">
        <v>0.91669999999999996</v>
      </c>
      <c r="P32" s="20">
        <v>70289</v>
      </c>
      <c r="Q32" s="21" t="str">
        <f>HYPERLINK("https://npc.collegeboard.org/student/app/olin", "$5536")</f>
        <v>$5536</v>
      </c>
      <c r="R32" s="22">
        <v>11813</v>
      </c>
      <c r="S32" s="22">
        <v>26956</v>
      </c>
      <c r="T32" s="20">
        <v>2053</v>
      </c>
      <c r="U32" s="20">
        <v>3483</v>
      </c>
      <c r="V32" s="18" t="s">
        <v>37</v>
      </c>
      <c r="W32" s="19">
        <v>7.6700000000000004E-2</v>
      </c>
      <c r="X32" s="19">
        <v>0.46960000000000002</v>
      </c>
      <c r="Z32" s="23">
        <v>345</v>
      </c>
    </row>
    <row r="33" spans="1:26" ht="15.75" customHeight="1" x14ac:dyDescent="0.2">
      <c r="A33" s="17" t="str">
        <f>HYPERLINK("https://WWW.FANDM.EDU", "Franklin and Marshall College")</f>
        <v>Franklin and Marshall College</v>
      </c>
      <c r="B33" s="18" t="s">
        <v>32</v>
      </c>
      <c r="C33" s="18" t="s">
        <v>65</v>
      </c>
      <c r="D33" s="18" t="s">
        <v>112</v>
      </c>
      <c r="E33" s="18" t="s">
        <v>36</v>
      </c>
      <c r="F33" s="18" t="s">
        <v>45</v>
      </c>
      <c r="J33" s="19">
        <v>0.85519999999999996</v>
      </c>
      <c r="K33" s="19">
        <v>0.71428571400000007</v>
      </c>
      <c r="L33" s="19">
        <v>0.86629999999999996</v>
      </c>
      <c r="M33" s="19">
        <v>0.8</v>
      </c>
      <c r="N33" s="19">
        <v>0.81579999999999997</v>
      </c>
      <c r="O33" s="19">
        <v>0.83330000000000004</v>
      </c>
      <c r="P33" s="20">
        <v>70430</v>
      </c>
      <c r="Q33" s="21" t="str">
        <f>HYPERLINK("https://npc.collegeboard.org/student/app/fandm", "$10455")</f>
        <v>$10455</v>
      </c>
      <c r="R33" s="22">
        <v>17632</v>
      </c>
      <c r="S33" s="22">
        <v>23888</v>
      </c>
      <c r="T33" s="20">
        <v>2470</v>
      </c>
      <c r="U33" s="20">
        <v>7985</v>
      </c>
      <c r="V33" s="18" t="s">
        <v>37</v>
      </c>
      <c r="W33" s="19">
        <v>0.1729</v>
      </c>
      <c r="X33" s="19">
        <v>0.43009999999999998</v>
      </c>
      <c r="Z33" s="23">
        <v>2269</v>
      </c>
    </row>
    <row r="34" spans="1:26" ht="15.75" customHeight="1" x14ac:dyDescent="0.2">
      <c r="A34" s="17" t="str">
        <f>HYPERLINK("https://www.gwu.edu", "George Washington University")</f>
        <v>George Washington University</v>
      </c>
      <c r="B34" s="18" t="s">
        <v>32</v>
      </c>
      <c r="C34" s="18" t="s">
        <v>113</v>
      </c>
      <c r="D34" s="18" t="s">
        <v>114</v>
      </c>
      <c r="E34" s="18">
        <v>1386</v>
      </c>
      <c r="F34" s="18" t="s">
        <v>115</v>
      </c>
      <c r="J34" s="19">
        <v>0.80630000000000002</v>
      </c>
      <c r="K34" s="19">
        <v>0.73267326700000002</v>
      </c>
      <c r="L34" s="19">
        <v>0.81420000000000003</v>
      </c>
      <c r="M34" s="19">
        <v>0.76429999999999998</v>
      </c>
      <c r="N34" s="19">
        <v>0.76739999999999997</v>
      </c>
      <c r="O34" s="19">
        <v>0.87360000000000004</v>
      </c>
      <c r="P34" s="20">
        <v>69368</v>
      </c>
      <c r="Q34" s="21" t="str">
        <f>HYPERLINK("https://financialaid.gwu.edu/net-price-calculator", "$14930")</f>
        <v>$14930</v>
      </c>
      <c r="R34" s="22">
        <v>21451</v>
      </c>
      <c r="S34" s="22">
        <v>31039</v>
      </c>
      <c r="T34" s="20">
        <v>2850</v>
      </c>
      <c r="U34" s="20">
        <v>12080</v>
      </c>
      <c r="W34" s="19">
        <v>0.13750000000000001</v>
      </c>
      <c r="X34" s="19">
        <v>0.47470000000000001</v>
      </c>
      <c r="Z34" s="23">
        <v>11718</v>
      </c>
    </row>
    <row r="35" spans="1:26" ht="15.75" customHeight="1" x14ac:dyDescent="0.2">
      <c r="A35" s="17" t="str">
        <f>HYPERLINK("https://www.georgetown.edu", "Georgetown University")</f>
        <v>Georgetown University</v>
      </c>
      <c r="B35" s="18" t="s">
        <v>32</v>
      </c>
      <c r="C35" s="18" t="s">
        <v>113</v>
      </c>
      <c r="D35" s="18" t="s">
        <v>114</v>
      </c>
      <c r="E35" s="18">
        <v>1451</v>
      </c>
      <c r="F35" s="18" t="s">
        <v>35</v>
      </c>
      <c r="J35" s="19">
        <v>0.94610000000000005</v>
      </c>
      <c r="K35" s="19">
        <v>0.83050847500000002</v>
      </c>
      <c r="L35" s="19">
        <v>0.95169999999999999</v>
      </c>
      <c r="M35" s="19">
        <v>0.91959999999999997</v>
      </c>
      <c r="N35" s="19">
        <v>0.95269999999999999</v>
      </c>
      <c r="O35" s="19">
        <v>0.9345</v>
      </c>
      <c r="P35" s="20">
        <v>71580</v>
      </c>
      <c r="Q35" s="21" t="str">
        <f>HYPERLINK("https://finaid.georgetown.edu/consumer-info#Net%20Price", "$7511")</f>
        <v>$7511</v>
      </c>
      <c r="R35" s="22">
        <v>13348</v>
      </c>
      <c r="S35" s="22">
        <v>25073</v>
      </c>
      <c r="T35" s="20">
        <v>3846</v>
      </c>
      <c r="U35" s="20">
        <v>3665</v>
      </c>
      <c r="V35" s="18" t="s">
        <v>37</v>
      </c>
      <c r="W35" s="19">
        <v>0.1195</v>
      </c>
      <c r="X35" s="19">
        <v>0.45619999999999999</v>
      </c>
      <c r="Y35" s="18" t="s">
        <v>37</v>
      </c>
      <c r="Z35" s="23">
        <v>7128</v>
      </c>
    </row>
    <row r="36" spans="1:26" ht="15.75" customHeight="1" x14ac:dyDescent="0.2">
      <c r="A36" s="17" t="str">
        <f>HYPERLINK("https://www.gatech.edu", "Georgia Institute of Technology-Main Campus")</f>
        <v>Georgia Institute of Technology-Main Campus</v>
      </c>
      <c r="B36" s="18" t="s">
        <v>49</v>
      </c>
      <c r="C36" s="18" t="s">
        <v>107</v>
      </c>
      <c r="D36" s="18" t="s">
        <v>108</v>
      </c>
      <c r="E36" s="18">
        <v>1389</v>
      </c>
      <c r="F36" s="18" t="s">
        <v>35</v>
      </c>
      <c r="J36" s="19">
        <v>0.85260000000000002</v>
      </c>
      <c r="K36" s="19">
        <v>0.72134387400000011</v>
      </c>
      <c r="L36" s="19">
        <v>0.86199999999999999</v>
      </c>
      <c r="M36" s="19">
        <v>0.72289999999999999</v>
      </c>
      <c r="N36" s="19">
        <v>0.84809999999999997</v>
      </c>
      <c r="O36" s="19">
        <v>0.88119999999999998</v>
      </c>
      <c r="P36" s="20">
        <v>49366</v>
      </c>
      <c r="Q36" s="21" t="str">
        <f>HYPERLINK("https://admission.gatech.edu/npc_2015/npcalc.htm", "$30406")</f>
        <v>$30406</v>
      </c>
      <c r="R36" s="22">
        <v>35811</v>
      </c>
      <c r="S36" s="22">
        <v>37931</v>
      </c>
      <c r="T36" s="20">
        <v>4860</v>
      </c>
      <c r="U36" s="20">
        <v>25546.282608695648</v>
      </c>
      <c r="W36" s="19">
        <v>0.14710000000000001</v>
      </c>
      <c r="X36" s="19">
        <v>0.50259999999999994</v>
      </c>
      <c r="Z36" s="23">
        <v>14810</v>
      </c>
    </row>
    <row r="37" spans="1:26" ht="15.75" customHeight="1" x14ac:dyDescent="0.2">
      <c r="A37" s="17" t="str">
        <f>HYPERLINK("https://www.hamilton.edu", "Hamilton College")</f>
        <v>Hamilton College</v>
      </c>
      <c r="B37" s="18" t="s">
        <v>32</v>
      </c>
      <c r="C37" s="18" t="s">
        <v>38</v>
      </c>
      <c r="D37" s="18" t="s">
        <v>118</v>
      </c>
      <c r="E37" s="18">
        <v>1452</v>
      </c>
      <c r="F37" s="18" t="s">
        <v>35</v>
      </c>
      <c r="G37" s="18" t="s">
        <v>40</v>
      </c>
      <c r="H37" s="18" t="s">
        <v>119</v>
      </c>
      <c r="I37" s="18" t="s">
        <v>99</v>
      </c>
      <c r="J37" s="19">
        <v>0.94179999999999997</v>
      </c>
      <c r="K37" s="19" t="s">
        <v>36</v>
      </c>
      <c r="L37" s="19">
        <v>0.94530000000000003</v>
      </c>
      <c r="M37" s="19">
        <v>0.93330000000000002</v>
      </c>
      <c r="N37" s="19">
        <v>0.91110000000000002</v>
      </c>
      <c r="O37" s="19">
        <v>0.92589999999999995</v>
      </c>
      <c r="P37" s="20">
        <v>67670</v>
      </c>
      <c r="Q37" s="21" t="str">
        <f>HYPERLINK("https://www.hamilton.edu/finaid/netpricecalculator", "$8931")</f>
        <v>$8931</v>
      </c>
      <c r="R37" s="22">
        <v>13249</v>
      </c>
      <c r="S37" s="22">
        <v>19223</v>
      </c>
      <c r="T37" s="20">
        <v>1500</v>
      </c>
      <c r="U37" s="20">
        <v>7431</v>
      </c>
      <c r="V37" s="18" t="s">
        <v>37</v>
      </c>
      <c r="W37" s="19">
        <v>0.15290000000000001</v>
      </c>
      <c r="X37" s="19">
        <v>0.36339999999999989</v>
      </c>
      <c r="Z37" s="23">
        <v>1885</v>
      </c>
    </row>
    <row r="38" spans="1:26" ht="15.75" customHeight="1" x14ac:dyDescent="0.2">
      <c r="A38" s="17" t="str">
        <f>HYPERLINK("https://www.hampshire.edu", "Hampshire College")</f>
        <v>Hampshire College</v>
      </c>
      <c r="B38" s="18" t="s">
        <v>32</v>
      </c>
      <c r="C38" s="18" t="s">
        <v>33</v>
      </c>
      <c r="D38" s="18" t="s">
        <v>34</v>
      </c>
      <c r="E38" s="18" t="s">
        <v>36</v>
      </c>
      <c r="F38" s="18" t="s">
        <v>45</v>
      </c>
      <c r="J38" s="19">
        <v>0.62360000000000004</v>
      </c>
      <c r="K38" s="19">
        <v>0.63513513499999996</v>
      </c>
      <c r="L38" s="19">
        <v>0.63880000000000003</v>
      </c>
      <c r="M38" s="19">
        <v>0.57140000000000002</v>
      </c>
      <c r="N38" s="19">
        <v>0.53849999999999998</v>
      </c>
      <c r="O38" s="19">
        <v>0.8</v>
      </c>
      <c r="P38" s="20">
        <v>67114</v>
      </c>
      <c r="Q38" s="21" t="str">
        <f>HYPERLINK("https://npc.collegeboard.org/student/app/hampshire", "$21499")</f>
        <v>$21499</v>
      </c>
      <c r="R38" s="22">
        <v>25291</v>
      </c>
      <c r="S38" s="22">
        <v>30475</v>
      </c>
      <c r="T38" s="20">
        <v>1900</v>
      </c>
      <c r="U38" s="20">
        <v>19599</v>
      </c>
      <c r="W38" s="19">
        <v>0.29749999999999999</v>
      </c>
      <c r="X38" s="19">
        <v>0.37659999999999999</v>
      </c>
      <c r="Z38" s="23">
        <v>1264</v>
      </c>
    </row>
    <row r="39" spans="1:26" ht="15.75" customHeight="1" x14ac:dyDescent="0.2">
      <c r="A39" s="17" t="str">
        <f>HYPERLINK("https://www.harvard.edu", "Harvard University")</f>
        <v>Harvard University</v>
      </c>
      <c r="B39" s="18" t="s">
        <v>32</v>
      </c>
      <c r="C39" s="18" t="s">
        <v>33</v>
      </c>
      <c r="D39" s="18" t="s">
        <v>121</v>
      </c>
      <c r="E39" s="18">
        <v>1523</v>
      </c>
      <c r="F39" s="18" t="s">
        <v>35</v>
      </c>
      <c r="J39" s="19">
        <v>0.96440000000000003</v>
      </c>
      <c r="K39" s="19">
        <v>0.80110497200000008</v>
      </c>
      <c r="L39" s="19">
        <v>0.96509999999999996</v>
      </c>
      <c r="M39" s="19">
        <v>0.96609999999999996</v>
      </c>
      <c r="N39" s="19">
        <v>0.95809999999999995</v>
      </c>
      <c r="O39" s="19">
        <v>0.96209999999999996</v>
      </c>
      <c r="P39" s="20">
        <v>69600</v>
      </c>
      <c r="Q39" s="21" t="str">
        <f>HYPERLINK("https://college.harvard.edu/financial-aid/net-price-calculator", "$302")</f>
        <v>$302</v>
      </c>
      <c r="R39" s="22">
        <v>3392</v>
      </c>
      <c r="S39" s="22">
        <v>15613</v>
      </c>
      <c r="T39" s="20">
        <v>3991</v>
      </c>
      <c r="U39" s="20">
        <v>-3689</v>
      </c>
      <c r="V39" s="18" t="s">
        <v>37</v>
      </c>
      <c r="W39" s="19">
        <v>0.10580000000000001</v>
      </c>
      <c r="X39" s="19">
        <v>0.57889999999999997</v>
      </c>
      <c r="Y39" s="18" t="s">
        <v>37</v>
      </c>
      <c r="Z39" s="23">
        <v>7532</v>
      </c>
    </row>
    <row r="40" spans="1:26" ht="15.75" customHeight="1" x14ac:dyDescent="0.2">
      <c r="A40" s="17" t="str">
        <f>HYPERLINK("https://www.hmc.edu", "Harvey Mudd College")</f>
        <v>Harvey Mudd College</v>
      </c>
      <c r="B40" s="18" t="s">
        <v>32</v>
      </c>
      <c r="C40" s="18" t="s">
        <v>68</v>
      </c>
      <c r="D40" s="18" t="s">
        <v>77</v>
      </c>
      <c r="E40" s="18">
        <v>1527</v>
      </c>
      <c r="F40" s="18" t="s">
        <v>35</v>
      </c>
      <c r="J40" s="19">
        <v>0.95879999999999999</v>
      </c>
      <c r="K40" s="19" t="s">
        <v>36</v>
      </c>
      <c r="L40" s="19">
        <v>0.95330000000000004</v>
      </c>
      <c r="M40" s="19">
        <v>1</v>
      </c>
      <c r="N40" s="19">
        <v>1</v>
      </c>
      <c r="O40" s="19">
        <v>0.97219999999999995</v>
      </c>
      <c r="P40" s="20">
        <v>74428</v>
      </c>
      <c r="Q40" s="21" t="str">
        <f>HYPERLINK("https://npc.collegeboard.org/student/app/hmc", "$12482")</f>
        <v>$12482</v>
      </c>
      <c r="R40" s="22">
        <v>13359</v>
      </c>
      <c r="S40" s="22">
        <v>25555</v>
      </c>
      <c r="T40" s="20">
        <v>2200</v>
      </c>
      <c r="U40" s="20">
        <v>10282</v>
      </c>
      <c r="V40" s="18" t="s">
        <v>37</v>
      </c>
      <c r="W40" s="19">
        <v>0.12770000000000001</v>
      </c>
      <c r="X40" s="19">
        <v>0.66110000000000002</v>
      </c>
      <c r="Z40" s="23">
        <v>844</v>
      </c>
    </row>
    <row r="41" spans="1:26" ht="15.75" customHeight="1" x14ac:dyDescent="0.2">
      <c r="A41" s="17" t="str">
        <f>HYPERLINK("https://www.haverford.edu", "Haverford College")</f>
        <v>Haverford College</v>
      </c>
      <c r="B41" s="18" t="s">
        <v>32</v>
      </c>
      <c r="C41" s="18" t="s">
        <v>65</v>
      </c>
      <c r="D41" s="18" t="s">
        <v>123</v>
      </c>
      <c r="E41" s="18">
        <v>1472</v>
      </c>
      <c r="F41" s="18" t="s">
        <v>35</v>
      </c>
      <c r="J41" s="19">
        <v>0.92749999999999999</v>
      </c>
      <c r="K41" s="19" t="s">
        <v>36</v>
      </c>
      <c r="L41" s="19">
        <v>0.98509999999999998</v>
      </c>
      <c r="M41" s="19">
        <v>0.88239999999999996</v>
      </c>
      <c r="N41" s="19">
        <v>0.92859999999999998</v>
      </c>
      <c r="O41" s="19">
        <v>0.92589999999999995</v>
      </c>
      <c r="P41" s="20">
        <v>71614</v>
      </c>
      <c r="Q41" s="21" t="str">
        <f>HYPERLINK("https://www.haverford.edu/admission/tuition-and-aid", "$9621")</f>
        <v>$9621</v>
      </c>
      <c r="R41" s="22">
        <v>14922</v>
      </c>
      <c r="S41" s="22">
        <v>21857</v>
      </c>
      <c r="T41" s="20">
        <v>2662</v>
      </c>
      <c r="U41" s="20">
        <v>6959</v>
      </c>
      <c r="V41" s="18" t="s">
        <v>37</v>
      </c>
      <c r="W41" s="19">
        <v>0.15690000000000001</v>
      </c>
      <c r="X41" s="19">
        <v>0.43070000000000003</v>
      </c>
      <c r="Y41" s="18" t="s">
        <v>37</v>
      </c>
      <c r="Z41" s="23">
        <v>1291</v>
      </c>
    </row>
    <row r="42" spans="1:26" ht="15.75" customHeight="1" x14ac:dyDescent="0.2">
      <c r="A42" s="17" t="str">
        <f>HYPERLINK("https://www.jhu.edu", "Johns Hopkins University")</f>
        <v>Johns Hopkins University</v>
      </c>
      <c r="B42" s="18" t="s">
        <v>32</v>
      </c>
      <c r="C42" s="18" t="s">
        <v>124</v>
      </c>
      <c r="D42" s="18" t="s">
        <v>125</v>
      </c>
      <c r="E42" s="18">
        <v>1524</v>
      </c>
      <c r="F42" s="18" t="s">
        <v>35</v>
      </c>
      <c r="J42" s="19">
        <v>0.92679999999999996</v>
      </c>
      <c r="K42" s="19">
        <v>0.77725118500000001</v>
      </c>
      <c r="L42" s="19">
        <v>0.93289999999999995</v>
      </c>
      <c r="M42" s="19">
        <v>0.89390000000000003</v>
      </c>
      <c r="N42" s="19">
        <v>0.88890000000000002</v>
      </c>
      <c r="O42" s="19">
        <v>0.94469999999999998</v>
      </c>
      <c r="P42" s="20">
        <v>69863</v>
      </c>
      <c r="Q42" s="21" t="str">
        <f>HYPERLINK("https://npc.collegeboard.org/student/app/jhu", "$11496")</f>
        <v>$11496</v>
      </c>
      <c r="R42" s="22">
        <v>13448</v>
      </c>
      <c r="S42" s="22">
        <v>17858</v>
      </c>
      <c r="T42" s="20">
        <v>2283</v>
      </c>
      <c r="U42" s="20">
        <v>9213</v>
      </c>
      <c r="V42" s="18" t="s">
        <v>37</v>
      </c>
      <c r="W42" s="19">
        <v>0.1235</v>
      </c>
      <c r="X42" s="19">
        <v>0.66500000000000004</v>
      </c>
      <c r="Z42" s="23">
        <v>5663</v>
      </c>
    </row>
    <row r="43" spans="1:26" ht="15.75" customHeight="1" x14ac:dyDescent="0.2">
      <c r="A43" s="17" t="str">
        <f>HYPERLINK("https://www.kenyon.edu/", "Kenyon College")</f>
        <v>Kenyon College</v>
      </c>
      <c r="B43" s="18" t="s">
        <v>32</v>
      </c>
      <c r="C43" s="18" t="s">
        <v>75</v>
      </c>
      <c r="D43" s="18" t="s">
        <v>126</v>
      </c>
      <c r="E43" s="18">
        <v>1403</v>
      </c>
      <c r="F43" s="18" t="s">
        <v>35</v>
      </c>
      <c r="J43" s="19">
        <v>0.90559999999999996</v>
      </c>
      <c r="K43" s="19" t="s">
        <v>36</v>
      </c>
      <c r="L43" s="19">
        <v>0.89690000000000003</v>
      </c>
      <c r="M43" s="19">
        <v>1</v>
      </c>
      <c r="N43" s="19">
        <v>0.95830000000000004</v>
      </c>
      <c r="O43" s="19">
        <v>0.89739999999999998</v>
      </c>
      <c r="P43" s="20">
        <v>69180</v>
      </c>
      <c r="Q43" s="21" t="str">
        <f>HYPERLINK("https://www.kenyon.edu/admissions-aid/financial-aid/cost-breakdown-by-semester/kenyon-net-price-calculator/", "$13105")</f>
        <v>$13105</v>
      </c>
      <c r="R43" s="22">
        <v>14788</v>
      </c>
      <c r="S43" s="22">
        <v>18598</v>
      </c>
      <c r="T43" s="20">
        <v>3340</v>
      </c>
      <c r="U43" s="20">
        <v>9765</v>
      </c>
      <c r="V43" s="18" t="s">
        <v>37</v>
      </c>
      <c r="W43" s="19">
        <v>9.1800000000000007E-2</v>
      </c>
      <c r="X43" s="19">
        <v>0.28180000000000011</v>
      </c>
      <c r="Z43" s="23">
        <v>1661</v>
      </c>
    </row>
    <row r="44" spans="1:26" ht="15.75" customHeight="1" x14ac:dyDescent="0.2">
      <c r="A44" s="17" t="str">
        <f>HYPERLINK("https://www.lafayette.edu/", "Lafayette College")</f>
        <v>Lafayette College</v>
      </c>
      <c r="B44" s="18" t="s">
        <v>32</v>
      </c>
      <c r="C44" s="18" t="s">
        <v>65</v>
      </c>
      <c r="D44" s="18" t="s">
        <v>128</v>
      </c>
      <c r="E44" s="18">
        <v>1363</v>
      </c>
      <c r="F44" s="18" t="s">
        <v>35</v>
      </c>
      <c r="J44" s="19">
        <v>0.89949999999999997</v>
      </c>
      <c r="K44" s="19" t="s">
        <v>36</v>
      </c>
      <c r="L44" s="19">
        <v>0.91559999999999997</v>
      </c>
      <c r="M44" s="19">
        <v>0.88460000000000005</v>
      </c>
      <c r="N44" s="19">
        <v>0.81820000000000004</v>
      </c>
      <c r="O44" s="19">
        <v>0.78259999999999996</v>
      </c>
      <c r="P44" s="20">
        <v>68640</v>
      </c>
      <c r="Q44" s="21" t="str">
        <f>HYPERLINK("https://npc.collegeboard.org/student/app/lafayette", "$11442")</f>
        <v>$11442</v>
      </c>
      <c r="R44" s="22">
        <v>20677</v>
      </c>
      <c r="S44" s="22">
        <v>23615</v>
      </c>
      <c r="T44" s="20">
        <v>2000</v>
      </c>
      <c r="U44" s="20">
        <v>9442</v>
      </c>
      <c r="V44" s="18" t="s">
        <v>37</v>
      </c>
      <c r="W44" s="19">
        <v>9.06E-2</v>
      </c>
      <c r="X44" s="19">
        <v>0.33929999999999999</v>
      </c>
      <c r="Y44" s="18" t="s">
        <v>37</v>
      </c>
      <c r="Z44" s="23">
        <v>2567</v>
      </c>
    </row>
    <row r="45" spans="1:26" ht="15.75" customHeight="1" x14ac:dyDescent="0.2">
      <c r="A45" s="17" t="str">
        <f>HYPERLINK("https://www.lehigh.edu", "Lehigh University")</f>
        <v>Lehigh University</v>
      </c>
      <c r="B45" s="18" t="s">
        <v>32</v>
      </c>
      <c r="C45" s="18" t="s">
        <v>65</v>
      </c>
      <c r="D45" s="18" t="s">
        <v>130</v>
      </c>
      <c r="E45" s="18">
        <v>1382</v>
      </c>
      <c r="F45" s="18" t="s">
        <v>35</v>
      </c>
      <c r="J45" s="19">
        <v>0.8579</v>
      </c>
      <c r="K45" s="19">
        <v>0.798165138</v>
      </c>
      <c r="L45" s="19">
        <v>0.86560000000000004</v>
      </c>
      <c r="M45" s="19">
        <v>0.84440000000000004</v>
      </c>
      <c r="N45" s="19">
        <v>0.86109999999999998</v>
      </c>
      <c r="O45" s="19">
        <v>0.85</v>
      </c>
      <c r="P45" s="20">
        <v>65925</v>
      </c>
      <c r="Q45" s="21" t="str">
        <f>HYPERLINK("https://npc.collegeboard.org/student/app/lehigh", "$13496")</f>
        <v>$13496</v>
      </c>
      <c r="R45" s="22">
        <v>16975</v>
      </c>
      <c r="S45" s="22">
        <v>25993</v>
      </c>
      <c r="T45" s="20">
        <v>2065</v>
      </c>
      <c r="U45" s="20">
        <v>11431</v>
      </c>
      <c r="V45" s="18" t="s">
        <v>37</v>
      </c>
      <c r="W45" s="19">
        <v>0.1406</v>
      </c>
      <c r="X45" s="19">
        <v>0.36230000000000001</v>
      </c>
      <c r="Y45" s="18" t="s">
        <v>37</v>
      </c>
      <c r="Z45" s="23">
        <v>5057</v>
      </c>
    </row>
    <row r="46" spans="1:26" ht="15.75" customHeight="1" x14ac:dyDescent="0.2">
      <c r="A46" s="17" t="str">
        <f>HYPERLINK("https://www.macalester.edu", "Macalester College")</f>
        <v>Macalester College</v>
      </c>
      <c r="B46" s="18" t="s">
        <v>32</v>
      </c>
      <c r="C46" s="18" t="s">
        <v>72</v>
      </c>
      <c r="D46" s="18" t="s">
        <v>131</v>
      </c>
      <c r="E46" s="18">
        <v>1405</v>
      </c>
      <c r="F46" s="18" t="s">
        <v>35</v>
      </c>
      <c r="J46" s="19">
        <v>0.87239999999999995</v>
      </c>
      <c r="K46" s="19" t="s">
        <v>36</v>
      </c>
      <c r="L46" s="19">
        <v>0.87419999999999998</v>
      </c>
      <c r="M46" s="19">
        <v>0.91669999999999996</v>
      </c>
      <c r="N46" s="19">
        <v>0.875</v>
      </c>
      <c r="O46" s="19">
        <v>0.871</v>
      </c>
      <c r="P46" s="20">
        <v>66280</v>
      </c>
      <c r="Q46" s="21" t="str">
        <f>HYPERLINK("https://www.macalester.edu/financialaid/estimate/", "$17987")</f>
        <v>$17987</v>
      </c>
      <c r="R46" s="22">
        <v>14304</v>
      </c>
      <c r="S46" s="22">
        <v>23994</v>
      </c>
      <c r="T46" s="20">
        <v>2144</v>
      </c>
      <c r="U46" s="20">
        <v>15843</v>
      </c>
      <c r="V46" s="18" t="s">
        <v>37</v>
      </c>
      <c r="W46" s="19">
        <v>0.15140000000000001</v>
      </c>
      <c r="X46" s="19">
        <v>0.3861</v>
      </c>
      <c r="Y46" s="18" t="s">
        <v>37</v>
      </c>
      <c r="Z46" s="23">
        <v>2116</v>
      </c>
    </row>
    <row r="47" spans="1:26" ht="15.75" customHeight="1" x14ac:dyDescent="0.2">
      <c r="A47" s="17" t="str">
        <f>HYPERLINK("https://web.mit.edu/", "Massachusetts Institute of Technology")</f>
        <v>Massachusetts Institute of Technology</v>
      </c>
      <c r="B47" s="18" t="s">
        <v>32</v>
      </c>
      <c r="C47" s="18" t="s">
        <v>33</v>
      </c>
      <c r="D47" s="18" t="s">
        <v>121</v>
      </c>
      <c r="E47" s="18">
        <v>1532</v>
      </c>
      <c r="F47" s="18" t="s">
        <v>35</v>
      </c>
      <c r="J47" s="19">
        <v>0.93830000000000002</v>
      </c>
      <c r="K47" s="19">
        <v>0.84496123999999995</v>
      </c>
      <c r="L47" s="19">
        <v>0.96340000000000003</v>
      </c>
      <c r="M47" s="19">
        <v>0.85</v>
      </c>
      <c r="N47" s="19">
        <v>0.90369999999999995</v>
      </c>
      <c r="O47" s="19">
        <v>0.93820000000000003</v>
      </c>
      <c r="P47" s="20">
        <v>67430</v>
      </c>
      <c r="Q47" s="21" t="str">
        <f>HYPERLINK("https://sfs.mit.edu/access-affordability/net-price-calculator", "$5836")</f>
        <v>$5836</v>
      </c>
      <c r="R47" s="22">
        <v>8347</v>
      </c>
      <c r="S47" s="22">
        <v>19156</v>
      </c>
      <c r="T47" s="20">
        <v>2818</v>
      </c>
      <c r="U47" s="20">
        <v>3018</v>
      </c>
      <c r="V47" s="18" t="s">
        <v>37</v>
      </c>
      <c r="W47" s="19">
        <v>0.17130000000000001</v>
      </c>
      <c r="X47" s="19">
        <v>0.6623</v>
      </c>
      <c r="Y47" s="18" t="s">
        <v>37</v>
      </c>
      <c r="Z47" s="23">
        <v>4489</v>
      </c>
    </row>
    <row r="48" spans="1:26" ht="15.75" customHeight="1" x14ac:dyDescent="0.2">
      <c r="A48" s="17" t="str">
        <f>HYPERLINK("https://www.middlebury.edu", "Middlebury College")</f>
        <v>Middlebury College</v>
      </c>
      <c r="B48" s="18" t="s">
        <v>32</v>
      </c>
      <c r="C48" s="18" t="s">
        <v>47</v>
      </c>
      <c r="D48" s="18" t="s">
        <v>133</v>
      </c>
      <c r="E48" s="18">
        <v>1446</v>
      </c>
      <c r="F48" s="18" t="s">
        <v>35</v>
      </c>
      <c r="J48" s="19">
        <v>0.94520000000000004</v>
      </c>
      <c r="K48" s="19" t="s">
        <v>36</v>
      </c>
      <c r="L48" s="19">
        <v>0.95669999999999999</v>
      </c>
      <c r="M48" s="19">
        <v>1</v>
      </c>
      <c r="N48" s="19">
        <v>0.95920000000000005</v>
      </c>
      <c r="O48" s="19">
        <v>0.92500000000000004</v>
      </c>
      <c r="P48" s="20">
        <v>69464</v>
      </c>
      <c r="Q48" s="21" t="str">
        <f>HYPERLINK("https://middlebury.studentaidcalculator.com/survey.aspx", "$7703")</f>
        <v>$7703</v>
      </c>
      <c r="R48" s="22">
        <v>11186</v>
      </c>
      <c r="S48" s="22">
        <v>18577</v>
      </c>
      <c r="T48" s="20">
        <v>2000</v>
      </c>
      <c r="U48" s="20">
        <v>5703</v>
      </c>
      <c r="V48" s="18" t="s">
        <v>37</v>
      </c>
      <c r="W48" s="19">
        <v>0.14069999999999999</v>
      </c>
      <c r="X48" s="19">
        <v>0.36370000000000002</v>
      </c>
      <c r="Y48" s="18" t="s">
        <v>37</v>
      </c>
      <c r="Z48" s="23">
        <v>2532</v>
      </c>
    </row>
    <row r="49" spans="1:26" ht="15.75" customHeight="1" x14ac:dyDescent="0.2">
      <c r="A49" s="17" t="str">
        <f>HYPERLINK("https://www.nyu.edu", "New York University")</f>
        <v>New York University</v>
      </c>
      <c r="B49" s="18" t="s">
        <v>32</v>
      </c>
      <c r="C49" s="18" t="s">
        <v>38</v>
      </c>
      <c r="D49" s="18" t="s">
        <v>39</v>
      </c>
      <c r="E49" s="18">
        <v>1408</v>
      </c>
      <c r="F49" s="18" t="s">
        <v>35</v>
      </c>
      <c r="G49" s="18" t="s">
        <v>40</v>
      </c>
      <c r="H49" s="18" t="s">
        <v>134</v>
      </c>
      <c r="I49" s="18" t="s">
        <v>135</v>
      </c>
      <c r="J49" s="19">
        <v>0.83540000000000003</v>
      </c>
      <c r="K49" s="19">
        <v>0.68321167900000002</v>
      </c>
      <c r="L49" s="19">
        <v>0.83350000000000002</v>
      </c>
      <c r="M49" s="19">
        <v>0.75209999999999999</v>
      </c>
      <c r="N49" s="19">
        <v>0.80979999999999996</v>
      </c>
      <c r="O49" s="19">
        <v>0.86370000000000002</v>
      </c>
      <c r="P49" s="20">
        <v>71790</v>
      </c>
      <c r="Q49" s="21" t="str">
        <f>HYPERLINK("https://www.nyu.edu/financial.aid/misc/npc/", "$26100")</f>
        <v>$26100</v>
      </c>
      <c r="R49" s="22">
        <v>35511</v>
      </c>
      <c r="S49" s="22">
        <v>42581</v>
      </c>
      <c r="T49" s="20">
        <v>3662</v>
      </c>
      <c r="U49" s="20">
        <v>22438</v>
      </c>
      <c r="W49" s="19">
        <v>0.2029</v>
      </c>
      <c r="X49" s="19">
        <v>0.69399999999999995</v>
      </c>
      <c r="Z49" s="23">
        <v>26055</v>
      </c>
    </row>
    <row r="50" spans="1:26" ht="15.75" customHeight="1" x14ac:dyDescent="0.2">
      <c r="A50" s="17" t="str">
        <f>HYPERLINK("https://www.northeastern.edu", "Northeastern University Lifelong Learning Network	")</f>
        <v xml:space="preserve">Northeastern University Lifelong Learning Network	</v>
      </c>
      <c r="B50" s="18" t="s">
        <v>32</v>
      </c>
      <c r="C50" s="18" t="s">
        <v>33</v>
      </c>
      <c r="D50" s="18" t="s">
        <v>136</v>
      </c>
      <c r="E50" s="18">
        <v>1482</v>
      </c>
      <c r="F50" s="18" t="s">
        <v>35</v>
      </c>
      <c r="J50" s="19">
        <v>0.87129999999999996</v>
      </c>
      <c r="K50" s="19">
        <v>0.48829953199999998</v>
      </c>
      <c r="L50" s="19">
        <v>0.89629999999999999</v>
      </c>
      <c r="M50" s="19">
        <v>0.78639999999999999</v>
      </c>
      <c r="N50" s="19">
        <v>0.85629999999999995</v>
      </c>
      <c r="O50" s="19">
        <v>0.90580000000000005</v>
      </c>
      <c r="P50" s="20">
        <v>68177</v>
      </c>
      <c r="Q50" s="21" t="str">
        <f>HYPERLINK("https://studentfinance.northeastern.edu/financial-tools-and-calculators/", "$11986")</f>
        <v>$11986</v>
      </c>
      <c r="R50" s="22">
        <v>18810</v>
      </c>
      <c r="S50" s="22">
        <v>25860</v>
      </c>
      <c r="T50" s="20">
        <v>2800</v>
      </c>
      <c r="U50" s="20">
        <v>9186</v>
      </c>
      <c r="W50" s="19">
        <v>0.1217</v>
      </c>
      <c r="X50" s="19">
        <v>0.54149999999999998</v>
      </c>
      <c r="Z50" s="23">
        <v>13666</v>
      </c>
    </row>
    <row r="51" spans="1:26" ht="15.75" customHeight="1" x14ac:dyDescent="0.2">
      <c r="A51" s="17" t="str">
        <f>HYPERLINK("https://www.northwestern.edu", "Northwestern University")</f>
        <v>Northwestern University</v>
      </c>
      <c r="B51" s="18" t="s">
        <v>32</v>
      </c>
      <c r="C51" s="18" t="s">
        <v>137</v>
      </c>
      <c r="D51" s="18" t="s">
        <v>138</v>
      </c>
      <c r="E51" s="18">
        <v>1500</v>
      </c>
      <c r="F51" s="18" t="s">
        <v>35</v>
      </c>
      <c r="J51" s="19">
        <v>0.93759999999999999</v>
      </c>
      <c r="K51" s="19">
        <v>0.82252559700000005</v>
      </c>
      <c r="L51" s="19">
        <v>0.94820000000000004</v>
      </c>
      <c r="M51" s="19">
        <v>0.89910000000000001</v>
      </c>
      <c r="N51" s="19">
        <v>0.92149999999999999</v>
      </c>
      <c r="O51" s="19">
        <v>0.94930000000000003</v>
      </c>
      <c r="P51" s="20">
        <v>72980</v>
      </c>
      <c r="Q51" s="21" t="str">
        <f>HYPERLINK("https://npc.collegeboard.org/student/app/northwestern", "$7919")</f>
        <v>$7919</v>
      </c>
      <c r="R51" s="22">
        <v>11480</v>
      </c>
      <c r="S51" s="22">
        <v>19826</v>
      </c>
      <c r="T51" s="20">
        <v>4255</v>
      </c>
      <c r="U51" s="20">
        <v>3664</v>
      </c>
      <c r="V51" s="18" t="s">
        <v>37</v>
      </c>
      <c r="W51" s="19">
        <v>0.14860000000000001</v>
      </c>
      <c r="X51" s="19">
        <v>0.5302</v>
      </c>
      <c r="Y51" s="18" t="s">
        <v>37</v>
      </c>
      <c r="Z51" s="23">
        <v>8489</v>
      </c>
    </row>
    <row r="52" spans="1:26" ht="15.75" customHeight="1" x14ac:dyDescent="0.2">
      <c r="A52" s="17" t="str">
        <f>HYPERLINK("https://www.oberlin.edu", "Oberlin College")</f>
        <v>Oberlin College</v>
      </c>
      <c r="B52" s="18" t="s">
        <v>32</v>
      </c>
      <c r="C52" s="18" t="s">
        <v>75</v>
      </c>
      <c r="D52" s="18" t="s">
        <v>139</v>
      </c>
      <c r="E52" s="18">
        <v>1388</v>
      </c>
      <c r="F52" s="18" t="s">
        <v>35</v>
      </c>
      <c r="J52" s="19">
        <v>0.86270000000000002</v>
      </c>
      <c r="K52" s="19">
        <v>0.82258064500000005</v>
      </c>
      <c r="L52" s="19">
        <v>0.87450000000000006</v>
      </c>
      <c r="M52" s="19">
        <v>0.81079999999999997</v>
      </c>
      <c r="N52" s="19">
        <v>0.78259999999999996</v>
      </c>
      <c r="O52" s="19">
        <v>0.83330000000000004</v>
      </c>
      <c r="P52" s="20">
        <v>71330</v>
      </c>
      <c r="Q52" s="21" t="str">
        <f>HYPERLINK("https://new.oberlin.edu/arts-and-sciences/admissions/finances/npc.dot", "$14418")</f>
        <v>$14418</v>
      </c>
      <c r="R52" s="22">
        <v>17632</v>
      </c>
      <c r="S52" s="22">
        <v>23713</v>
      </c>
      <c r="T52" s="20">
        <v>2658</v>
      </c>
      <c r="U52" s="20">
        <v>11760</v>
      </c>
      <c r="V52" s="18" t="s">
        <v>37</v>
      </c>
      <c r="W52" s="19">
        <v>8.8099999999999998E-2</v>
      </c>
      <c r="X52" s="19">
        <v>0.35830000000000001</v>
      </c>
      <c r="Y52" s="18" t="s">
        <v>37</v>
      </c>
      <c r="Z52" s="23">
        <v>2827</v>
      </c>
    </row>
    <row r="53" spans="1:26" ht="15.75" customHeight="1" x14ac:dyDescent="0.2">
      <c r="A53" s="17" t="str">
        <f>HYPERLINK("https://www.oxy.edu", "Occidental College")</f>
        <v>Occidental College</v>
      </c>
      <c r="B53" s="18" t="s">
        <v>32</v>
      </c>
      <c r="C53" s="18" t="s">
        <v>68</v>
      </c>
      <c r="D53" s="18" t="s">
        <v>140</v>
      </c>
      <c r="E53" s="18">
        <v>1370</v>
      </c>
      <c r="F53" s="18" t="s">
        <v>35</v>
      </c>
      <c r="J53" s="19">
        <v>0.84360000000000002</v>
      </c>
      <c r="K53" s="19">
        <v>0.80821917799999998</v>
      </c>
      <c r="L53" s="19">
        <v>0.84750000000000003</v>
      </c>
      <c r="M53" s="19">
        <v>0.86360000000000003</v>
      </c>
      <c r="N53" s="19">
        <v>0.86109999999999998</v>
      </c>
      <c r="O53" s="19">
        <v>0.88139999999999996</v>
      </c>
      <c r="P53" s="20">
        <v>71756</v>
      </c>
      <c r="Q53" s="21" t="str">
        <f>HYPERLINK("https://www.oxy.edu/admission-aid/financial-aid/net-price-calculator", "$14929")</f>
        <v>$14929</v>
      </c>
      <c r="R53" s="22">
        <v>19909</v>
      </c>
      <c r="S53" s="22">
        <v>29584</v>
      </c>
      <c r="T53" s="20">
        <v>3950</v>
      </c>
      <c r="U53" s="20">
        <v>10979</v>
      </c>
      <c r="V53" s="18" t="s">
        <v>37</v>
      </c>
      <c r="W53" s="19">
        <v>0.1991</v>
      </c>
      <c r="X53" s="19">
        <v>0.49280000000000002</v>
      </c>
      <c r="Y53" s="18" t="s">
        <v>37</v>
      </c>
      <c r="Z53" s="23">
        <v>1958</v>
      </c>
    </row>
    <row r="54" spans="1:26" ht="15.75" customHeight="1" x14ac:dyDescent="0.2">
      <c r="A54" s="17" t="str">
        <f>HYPERLINK("https://www.pitzer.edu", "Pitzer College")</f>
        <v>Pitzer College</v>
      </c>
      <c r="B54" s="18" t="s">
        <v>32</v>
      </c>
      <c r="C54" s="18" t="s">
        <v>68</v>
      </c>
      <c r="D54" s="18" t="s">
        <v>77</v>
      </c>
      <c r="E54" s="18" t="s">
        <v>36</v>
      </c>
      <c r="F54" s="18" t="s">
        <v>45</v>
      </c>
      <c r="J54" s="19">
        <v>0.83089999999999997</v>
      </c>
      <c r="K54" s="19" t="s">
        <v>36</v>
      </c>
      <c r="L54" s="19">
        <v>0.8</v>
      </c>
      <c r="M54" s="19">
        <v>1</v>
      </c>
      <c r="N54" s="19">
        <v>0.87880000000000003</v>
      </c>
      <c r="O54" s="19">
        <v>0.78949999999999998</v>
      </c>
      <c r="P54" s="20">
        <v>70500</v>
      </c>
      <c r="Q54" s="21" t="str">
        <f>HYPERLINK("https://npc.collegeboard.org/student/app/pitzer", "$11138")</f>
        <v>$11138</v>
      </c>
      <c r="R54" s="22">
        <v>20673</v>
      </c>
      <c r="S54" s="22">
        <v>22345</v>
      </c>
      <c r="T54" s="20">
        <v>2000</v>
      </c>
      <c r="U54" s="20">
        <v>9138</v>
      </c>
      <c r="V54" s="18" t="s">
        <v>37</v>
      </c>
      <c r="W54" s="19">
        <v>0.15629999999999999</v>
      </c>
      <c r="X54" s="19">
        <v>0.53259999999999996</v>
      </c>
      <c r="Y54" s="18" t="s">
        <v>37</v>
      </c>
      <c r="Z54" s="23">
        <v>1074</v>
      </c>
    </row>
    <row r="55" spans="1:26" ht="15.75" customHeight="1" x14ac:dyDescent="0.2">
      <c r="A55" s="17" t="str">
        <f>HYPERLINK("https://www.pomona.edu", "Pomona College")</f>
        <v>Pomona College</v>
      </c>
      <c r="B55" s="18" t="s">
        <v>32</v>
      </c>
      <c r="C55" s="18" t="s">
        <v>68</v>
      </c>
      <c r="D55" s="18" t="s">
        <v>77</v>
      </c>
      <c r="E55" s="18">
        <v>1461</v>
      </c>
      <c r="F55" s="18" t="s">
        <v>35</v>
      </c>
      <c r="J55" s="19">
        <v>0.93149999999999999</v>
      </c>
      <c r="K55" s="19" t="s">
        <v>36</v>
      </c>
      <c r="L55" s="19">
        <v>0.92589999999999995</v>
      </c>
      <c r="M55" s="19">
        <v>1</v>
      </c>
      <c r="N55" s="19">
        <v>0.95</v>
      </c>
      <c r="O55" s="19">
        <v>0.94740000000000002</v>
      </c>
      <c r="P55" s="20">
        <v>69725</v>
      </c>
      <c r="Q55" s="21" t="str">
        <f>HYPERLINK("https://npc.collegeboard.org/student/app/pomona", "$6972")</f>
        <v>$6972</v>
      </c>
      <c r="R55" s="22">
        <v>7183</v>
      </c>
      <c r="S55" s="22">
        <v>22832</v>
      </c>
      <c r="T55" s="20">
        <v>2500</v>
      </c>
      <c r="U55" s="20">
        <v>4472</v>
      </c>
      <c r="V55" s="18" t="s">
        <v>37</v>
      </c>
      <c r="W55" s="19">
        <v>0.19359999999999999</v>
      </c>
      <c r="X55" s="19">
        <v>0.64200000000000002</v>
      </c>
      <c r="Y55" s="18" t="s">
        <v>37</v>
      </c>
      <c r="Z55" s="23">
        <v>1567</v>
      </c>
    </row>
    <row r="56" spans="1:26" ht="15.75" customHeight="1" x14ac:dyDescent="0.2">
      <c r="A56" s="17" t="str">
        <f>HYPERLINK("https://www.princeton.edu", "Princeton University")</f>
        <v>Princeton University</v>
      </c>
      <c r="B56" s="18" t="s">
        <v>32</v>
      </c>
      <c r="C56" s="18" t="s">
        <v>141</v>
      </c>
      <c r="D56" s="18" t="s">
        <v>142</v>
      </c>
      <c r="E56" s="18">
        <v>1500</v>
      </c>
      <c r="F56" s="18" t="s">
        <v>35</v>
      </c>
      <c r="J56" s="19">
        <v>0.97309999999999997</v>
      </c>
      <c r="K56" s="19" t="s">
        <v>36</v>
      </c>
      <c r="L56" s="19">
        <v>0.97850000000000004</v>
      </c>
      <c r="M56" s="19">
        <v>0.9375</v>
      </c>
      <c r="N56" s="19">
        <v>0.94510000000000005</v>
      </c>
      <c r="O56" s="19">
        <v>0.9879</v>
      </c>
      <c r="P56" s="20">
        <v>66150</v>
      </c>
      <c r="Q56" s="21" t="str">
        <f>HYPERLINK("https://www.princeton.edu/admission/financialaid/estimator/", "$1174")</f>
        <v>$1174</v>
      </c>
      <c r="R56" s="22">
        <v>5524</v>
      </c>
      <c r="S56" s="22">
        <v>15958</v>
      </c>
      <c r="T56" s="20">
        <v>3400</v>
      </c>
      <c r="U56" s="20">
        <v>-2226</v>
      </c>
      <c r="V56" s="18" t="s">
        <v>37</v>
      </c>
      <c r="W56" s="19">
        <v>0.1633</v>
      </c>
      <c r="X56" s="19">
        <v>0.57379999999999998</v>
      </c>
      <c r="Y56" s="18" t="s">
        <v>37</v>
      </c>
      <c r="Z56" s="23">
        <v>5246</v>
      </c>
    </row>
    <row r="57" spans="1:26" ht="15.75" customHeight="1" x14ac:dyDescent="0.2">
      <c r="A57" s="17" t="str">
        <f>HYPERLINK("https://www.reed.edu", "Reed College")</f>
        <v>Reed College</v>
      </c>
      <c r="B57" s="18" t="s">
        <v>32</v>
      </c>
      <c r="C57" s="18" t="s">
        <v>143</v>
      </c>
      <c r="D57" s="18" t="s">
        <v>144</v>
      </c>
      <c r="E57" s="18">
        <v>1427</v>
      </c>
      <c r="F57" s="18" t="s">
        <v>35</v>
      </c>
      <c r="J57" s="19">
        <v>0.7984</v>
      </c>
      <c r="K57" s="19" t="s">
        <v>36</v>
      </c>
      <c r="L57" s="19">
        <v>0.79310000000000003</v>
      </c>
      <c r="M57" s="19">
        <v>1</v>
      </c>
      <c r="N57" s="19">
        <v>0.82350000000000001</v>
      </c>
      <c r="O57" s="19">
        <v>0.875</v>
      </c>
      <c r="P57" s="20">
        <v>69820</v>
      </c>
      <c r="Q57" s="21" t="str">
        <f>HYPERLINK("https://npc.collegeboard.org/student/app/reed", "$15258")</f>
        <v>$15258</v>
      </c>
      <c r="R57" s="22">
        <v>22775</v>
      </c>
      <c r="S57" s="22">
        <v>28637</v>
      </c>
      <c r="T57" s="20">
        <v>1950</v>
      </c>
      <c r="U57" s="20">
        <v>13308</v>
      </c>
      <c r="V57" s="18" t="s">
        <v>37</v>
      </c>
      <c r="W57" s="19">
        <v>0.15820000000000001</v>
      </c>
      <c r="X57" s="19">
        <v>0.40489999999999998</v>
      </c>
      <c r="Z57" s="23">
        <v>1415</v>
      </c>
    </row>
    <row r="58" spans="1:26" ht="15.75" customHeight="1" x14ac:dyDescent="0.2">
      <c r="A58" s="17" t="str">
        <f>HYPERLINK("https://www.rpi.edu", "Rensselaer Polytechnic Institute")</f>
        <v>Rensselaer Polytechnic Institute</v>
      </c>
      <c r="B58" s="18" t="s">
        <v>32</v>
      </c>
      <c r="C58" s="18" t="s">
        <v>38</v>
      </c>
      <c r="D58" s="18" t="s">
        <v>145</v>
      </c>
      <c r="E58" s="18">
        <v>1405</v>
      </c>
      <c r="F58" s="18" t="s">
        <v>35</v>
      </c>
      <c r="J58" s="19">
        <v>0.83389999999999997</v>
      </c>
      <c r="K58" s="19">
        <v>0.87662337700000004</v>
      </c>
      <c r="L58" s="19">
        <v>0.84660000000000002</v>
      </c>
      <c r="M58" s="19">
        <v>0.67859999999999998</v>
      </c>
      <c r="N58" s="19">
        <v>0.75639999999999996</v>
      </c>
      <c r="O58" s="19">
        <v>0.84960000000000002</v>
      </c>
      <c r="P58" s="20">
        <v>70132</v>
      </c>
      <c r="Q58" s="21" t="str">
        <f>HYPERLINK("https://npc.collegeboard.org/student/app/rpi", "$21319")</f>
        <v>$21319</v>
      </c>
      <c r="R58" s="22">
        <v>28508</v>
      </c>
      <c r="S58" s="22">
        <v>33606</v>
      </c>
      <c r="T58" s="20">
        <v>2867</v>
      </c>
      <c r="U58" s="20">
        <v>18452</v>
      </c>
      <c r="W58" s="19">
        <v>0.17030000000000001</v>
      </c>
      <c r="X58" s="19">
        <v>0.46639999999999998</v>
      </c>
      <c r="Z58" s="23">
        <v>6314</v>
      </c>
    </row>
    <row r="59" spans="1:26" ht="15.75" customHeight="1" x14ac:dyDescent="0.2">
      <c r="A59" s="17" t="str">
        <f>HYPERLINK("https://www.rice.edu", "Rice University")</f>
        <v>Rice University</v>
      </c>
      <c r="B59" s="18" t="s">
        <v>32</v>
      </c>
      <c r="C59" s="18" t="s">
        <v>146</v>
      </c>
      <c r="D59" s="18" t="s">
        <v>147</v>
      </c>
      <c r="E59" s="18">
        <v>1535</v>
      </c>
      <c r="F59" s="18" t="s">
        <v>35</v>
      </c>
      <c r="J59" s="19">
        <v>0.91439999999999999</v>
      </c>
      <c r="K59" s="19">
        <v>0.83486238499999998</v>
      </c>
      <c r="L59" s="19">
        <v>0.91690000000000005</v>
      </c>
      <c r="M59" s="19">
        <v>0.8841</v>
      </c>
      <c r="N59" s="19">
        <v>0.92310000000000003</v>
      </c>
      <c r="O59" s="19">
        <v>0.9516</v>
      </c>
      <c r="P59" s="20">
        <v>63158</v>
      </c>
      <c r="Q59" s="21" t="str">
        <f>HYPERLINK("https://financialaid.rice.edu/resources/resources/net-price-calculator", "$7079")</f>
        <v>$7079</v>
      </c>
      <c r="R59" s="22">
        <v>9595</v>
      </c>
      <c r="S59" s="22">
        <v>23017</v>
      </c>
      <c r="T59" s="20">
        <v>3700</v>
      </c>
      <c r="U59" s="20">
        <v>3379</v>
      </c>
      <c r="V59" s="18" t="s">
        <v>37</v>
      </c>
      <c r="W59" s="19">
        <v>0.13539999999999999</v>
      </c>
      <c r="X59" s="19">
        <v>0.6542</v>
      </c>
      <c r="Y59" s="18" t="s">
        <v>37</v>
      </c>
      <c r="Z59" s="23">
        <v>3970</v>
      </c>
    </row>
    <row r="60" spans="1:26" ht="15.75" customHeight="1" x14ac:dyDescent="0.2">
      <c r="A60" s="17" t="str">
        <f>HYPERLINK("https://www.rose-hulman.edu", "Rose-Hulman Institute of Technology")</f>
        <v>Rose-Hulman Institute of Technology</v>
      </c>
      <c r="B60" s="18" t="s">
        <v>32</v>
      </c>
      <c r="C60" s="18" t="s">
        <v>148</v>
      </c>
      <c r="D60" s="18" t="s">
        <v>149</v>
      </c>
      <c r="E60" s="18">
        <v>1369</v>
      </c>
      <c r="F60" s="18" t="s">
        <v>35</v>
      </c>
      <c r="J60" s="19">
        <v>0.8075</v>
      </c>
      <c r="K60" s="19">
        <v>0.72093023299999992</v>
      </c>
      <c r="L60" s="19">
        <v>0.80640000000000001</v>
      </c>
      <c r="M60" s="19">
        <v>0.8</v>
      </c>
      <c r="N60" s="19">
        <v>0.75</v>
      </c>
      <c r="O60" s="19">
        <v>0.875</v>
      </c>
      <c r="P60" s="20">
        <v>65031</v>
      </c>
      <c r="Q60" s="21" t="str">
        <f>HYPERLINK("https://prod11gbss8.rose-hulman.edu/BanSS/RHIT_NPCALC.P_Index", "$31642")</f>
        <v>$31642</v>
      </c>
      <c r="R60" s="22">
        <v>32754</v>
      </c>
      <c r="S60" s="22">
        <v>35789</v>
      </c>
      <c r="T60" s="20">
        <v>2958</v>
      </c>
      <c r="U60" s="20">
        <v>28684</v>
      </c>
      <c r="W60" s="19">
        <v>0.12529999999999999</v>
      </c>
      <c r="X60" s="19">
        <v>0.32429999999999998</v>
      </c>
      <c r="Z60" s="23">
        <v>2146</v>
      </c>
    </row>
    <row r="61" spans="1:26" ht="15.75" customHeight="1" x14ac:dyDescent="0.2">
      <c r="A61" s="17" t="str">
        <f>HYPERLINK("https://www.scu.edu", "Santa Clara University")</f>
        <v>Santa Clara University</v>
      </c>
      <c r="B61" s="18" t="s">
        <v>32</v>
      </c>
      <c r="C61" s="18" t="s">
        <v>68</v>
      </c>
      <c r="D61" s="18" t="s">
        <v>150</v>
      </c>
      <c r="E61" s="18">
        <v>1378</v>
      </c>
      <c r="F61" s="18" t="s">
        <v>35</v>
      </c>
      <c r="J61" s="19">
        <v>0.89770000000000005</v>
      </c>
      <c r="K61" s="19">
        <v>0.65142857100000007</v>
      </c>
      <c r="L61" s="19">
        <v>0.89039999999999997</v>
      </c>
      <c r="M61" s="19">
        <v>0.88239999999999996</v>
      </c>
      <c r="N61" s="19">
        <v>0.87780000000000002</v>
      </c>
      <c r="O61" s="19">
        <v>0.92589999999999995</v>
      </c>
      <c r="P61" s="20">
        <v>69439</v>
      </c>
      <c r="Q61" s="21" t="str">
        <f>HYPERLINK("https://www.scu.edu/financialaid/Net-Price-Calculator.cfm", "$20279")</f>
        <v>$20279</v>
      </c>
      <c r="R61" s="22">
        <v>22654</v>
      </c>
      <c r="S61" s="22">
        <v>31505</v>
      </c>
      <c r="T61" s="20">
        <v>5094</v>
      </c>
      <c r="U61" s="20">
        <v>15185</v>
      </c>
      <c r="W61" s="19">
        <v>0.1056</v>
      </c>
      <c r="X61" s="19">
        <v>0.50319999999999998</v>
      </c>
      <c r="Z61" s="23">
        <v>5481</v>
      </c>
    </row>
    <row r="62" spans="1:26" ht="15.75" customHeight="1" x14ac:dyDescent="0.2">
      <c r="A62" s="17" t="str">
        <f>HYPERLINK("https://www.scrippscollege.edu", "Scripps College")</f>
        <v>Scripps College</v>
      </c>
      <c r="B62" s="18" t="s">
        <v>32</v>
      </c>
      <c r="C62" s="18" t="s">
        <v>68</v>
      </c>
      <c r="D62" s="18" t="s">
        <v>77</v>
      </c>
      <c r="E62" s="18">
        <v>1405</v>
      </c>
      <c r="F62" s="18" t="s">
        <v>35</v>
      </c>
      <c r="J62" s="19">
        <v>0.88329999999999997</v>
      </c>
      <c r="K62" s="19" t="s">
        <v>36</v>
      </c>
      <c r="L62" s="19">
        <v>0.84250000000000003</v>
      </c>
      <c r="M62" s="19">
        <v>1</v>
      </c>
      <c r="N62" s="19">
        <v>0.88239999999999996</v>
      </c>
      <c r="O62" s="19">
        <v>1</v>
      </c>
      <c r="P62" s="20">
        <v>71060</v>
      </c>
      <c r="Q62" s="21" t="str">
        <f>HYPERLINK("https://npc.collegeboard.org/student/app/scrippscollege", "$17597")</f>
        <v>$17597</v>
      </c>
      <c r="R62" s="22">
        <v>23549</v>
      </c>
      <c r="S62" s="22">
        <v>30211</v>
      </c>
      <c r="T62" s="20">
        <v>1800</v>
      </c>
      <c r="U62" s="20">
        <v>15797</v>
      </c>
      <c r="V62" s="18" t="s">
        <v>37</v>
      </c>
      <c r="W62" s="19">
        <v>0.10680000000000001</v>
      </c>
      <c r="X62" s="19">
        <v>0.47030000000000011</v>
      </c>
      <c r="Z62" s="23">
        <v>1059</v>
      </c>
    </row>
    <row r="63" spans="1:26" ht="15.75" customHeight="1" x14ac:dyDescent="0.2">
      <c r="A63" s="17" t="str">
        <f>HYPERLINK("https://www.smith.edu", "Smith College")</f>
        <v>Smith College</v>
      </c>
      <c r="B63" s="18" t="s">
        <v>32</v>
      </c>
      <c r="C63" s="18" t="s">
        <v>33</v>
      </c>
      <c r="D63" s="18" t="s">
        <v>151</v>
      </c>
      <c r="E63" s="18" t="s">
        <v>36</v>
      </c>
      <c r="F63" s="18" t="s">
        <v>45</v>
      </c>
      <c r="J63" s="19">
        <v>0.88039999999999996</v>
      </c>
      <c r="K63" s="19">
        <v>0.87628866000000005</v>
      </c>
      <c r="L63" s="19">
        <v>0.87809999999999999</v>
      </c>
      <c r="M63" s="19">
        <v>0.80769999999999997</v>
      </c>
      <c r="N63" s="19">
        <v>0.89470000000000005</v>
      </c>
      <c r="O63" s="19">
        <v>0.90380000000000005</v>
      </c>
      <c r="P63" s="20">
        <v>69563</v>
      </c>
      <c r="Q63" s="21" t="str">
        <f>HYPERLINK("https://npc.collegeboard.org/student/app/smith", "$9589")</f>
        <v>$9589</v>
      </c>
      <c r="R63" s="22">
        <v>13831</v>
      </c>
      <c r="S63" s="22">
        <v>20504</v>
      </c>
      <c r="T63" s="20">
        <v>2789</v>
      </c>
      <c r="U63" s="20">
        <v>6800</v>
      </c>
      <c r="V63" s="18" t="s">
        <v>37</v>
      </c>
      <c r="W63" s="19">
        <v>0.2021</v>
      </c>
      <c r="X63" s="19">
        <v>0.52479999999999993</v>
      </c>
      <c r="Y63" s="18" t="s">
        <v>37</v>
      </c>
      <c r="Z63" s="23">
        <v>2519</v>
      </c>
    </row>
    <row r="64" spans="1:26" ht="15.75" customHeight="1" x14ac:dyDescent="0.2">
      <c r="A64" s="17" t="str">
        <f>HYPERLINK("https://www.smu.edu", "Southern Methodist University")</f>
        <v>Southern Methodist University</v>
      </c>
      <c r="B64" s="18" t="s">
        <v>32</v>
      </c>
      <c r="C64" s="18" t="s">
        <v>146</v>
      </c>
      <c r="D64" s="18" t="s">
        <v>152</v>
      </c>
      <c r="E64" s="18">
        <v>1382</v>
      </c>
      <c r="F64" s="18" t="s">
        <v>35</v>
      </c>
      <c r="J64" s="19">
        <v>0.8054</v>
      </c>
      <c r="K64" s="19">
        <v>0.69683257900000006</v>
      </c>
      <c r="L64" s="19">
        <v>0.81459999999999999</v>
      </c>
      <c r="M64" s="19">
        <v>0.73970000000000002</v>
      </c>
      <c r="N64" s="19">
        <v>0.76919999999999999</v>
      </c>
      <c r="O64" s="19">
        <v>0.8</v>
      </c>
      <c r="P64" s="20">
        <v>72408</v>
      </c>
      <c r="Q64" s="21" t="str">
        <f>HYPERLINK("https://www.smu.edu/EnrollmentServices/FinancialAid/NetPriceCalculator", "$21695")</f>
        <v>$21695</v>
      </c>
      <c r="R64" s="22">
        <v>25927</v>
      </c>
      <c r="S64" s="22">
        <v>28799</v>
      </c>
      <c r="T64" s="20">
        <v>3400</v>
      </c>
      <c r="U64" s="20">
        <v>18295</v>
      </c>
      <c r="W64" s="19">
        <v>0.1268</v>
      </c>
      <c r="X64" s="19">
        <v>0.3538</v>
      </c>
      <c r="Z64" s="23">
        <v>6427</v>
      </c>
    </row>
    <row r="65" spans="1:26" ht="15.75" customHeight="1" x14ac:dyDescent="0.2">
      <c r="A65" s="17" t="str">
        <f>HYPERLINK("https://www.stanford.edu/", "Stanford University")</f>
        <v>Stanford University</v>
      </c>
      <c r="B65" s="18" t="s">
        <v>32</v>
      </c>
      <c r="C65" s="18" t="s">
        <v>68</v>
      </c>
      <c r="D65" s="18" t="s">
        <v>154</v>
      </c>
      <c r="E65" s="18">
        <v>1489</v>
      </c>
      <c r="F65" s="18" t="s">
        <v>35</v>
      </c>
      <c r="J65" s="19">
        <v>0.9425</v>
      </c>
      <c r="K65" s="19">
        <v>0.83505154599999998</v>
      </c>
      <c r="L65" s="19">
        <v>0.96179999999999999</v>
      </c>
      <c r="M65" s="19">
        <v>0.9224</v>
      </c>
      <c r="N65" s="19">
        <v>0.93559999999999999</v>
      </c>
      <c r="O65" s="19">
        <v>0.95220000000000005</v>
      </c>
      <c r="P65" s="20">
        <v>69109</v>
      </c>
      <c r="Q65" s="21" t="str">
        <f>HYPERLINK("https://www.stanford.edu/dept/finaid/undergrad/how/calculator/", "$1299")</f>
        <v>$1299</v>
      </c>
      <c r="R65" s="22">
        <v>3047</v>
      </c>
      <c r="S65" s="22">
        <v>11456</v>
      </c>
      <c r="T65" s="20">
        <v>4380</v>
      </c>
      <c r="U65" s="20">
        <v>-3081</v>
      </c>
      <c r="V65" s="18" t="s">
        <v>37</v>
      </c>
      <c r="W65" s="19">
        <v>0.1517</v>
      </c>
      <c r="X65" s="19">
        <v>0.6431</v>
      </c>
      <c r="Y65" s="18" t="s">
        <v>37</v>
      </c>
      <c r="Z65" s="23">
        <v>7056</v>
      </c>
    </row>
    <row r="66" spans="1:26" ht="15.75" customHeight="1" x14ac:dyDescent="0.2">
      <c r="A66" s="17" t="str">
        <f>HYPERLINK("https://www.swarthmore.edu", "Swarthmore College")</f>
        <v>Swarthmore College</v>
      </c>
      <c r="B66" s="18" t="s">
        <v>32</v>
      </c>
      <c r="C66" s="18" t="s">
        <v>65</v>
      </c>
      <c r="D66" s="18" t="s">
        <v>155</v>
      </c>
      <c r="E66" s="18">
        <v>1473</v>
      </c>
      <c r="F66" s="18" t="s">
        <v>35</v>
      </c>
      <c r="J66" s="19">
        <v>0.94040000000000001</v>
      </c>
      <c r="K66" s="19" t="s">
        <v>36</v>
      </c>
      <c r="L66" s="19">
        <v>0.96789999999999998</v>
      </c>
      <c r="M66" s="19">
        <v>0.84</v>
      </c>
      <c r="N66" s="19">
        <v>0.9355</v>
      </c>
      <c r="O66" s="19">
        <v>0.98080000000000001</v>
      </c>
      <c r="P66" s="20">
        <v>68846</v>
      </c>
      <c r="Q66" s="21" t="str">
        <f>HYPERLINK("https://www.swarthmore.edu/admissions-and-aid/financial-aid-and-cost-information/prospective-students/net-price-calculator.xml", "$5489")</f>
        <v>$5489</v>
      </c>
      <c r="R66" s="22">
        <v>16603</v>
      </c>
      <c r="S66" s="22">
        <v>29865</v>
      </c>
      <c r="T66" s="20">
        <v>3072</v>
      </c>
      <c r="U66" s="20">
        <v>2417</v>
      </c>
      <c r="V66" s="18" t="s">
        <v>37</v>
      </c>
      <c r="W66" s="19">
        <v>0.16270000000000001</v>
      </c>
      <c r="X66" s="19">
        <v>0.59739999999999993</v>
      </c>
      <c r="Y66" s="18" t="s">
        <v>37</v>
      </c>
      <c r="Z66" s="23">
        <v>1565</v>
      </c>
    </row>
    <row r="67" spans="1:26" ht="15.75" customHeight="1" x14ac:dyDescent="0.2">
      <c r="A67" s="17" t="str">
        <f>HYPERLINK("https://www.tufts.edu", "Tufts University")</f>
        <v>Tufts University</v>
      </c>
      <c r="B67" s="18" t="s">
        <v>32</v>
      </c>
      <c r="C67" s="18" t="s">
        <v>33</v>
      </c>
      <c r="D67" s="18" t="s">
        <v>157</v>
      </c>
      <c r="E67" s="18">
        <v>1482</v>
      </c>
      <c r="F67" s="18" t="s">
        <v>35</v>
      </c>
      <c r="J67" s="19">
        <v>0.93230000000000002</v>
      </c>
      <c r="K67" s="19">
        <v>0.82300885000000001</v>
      </c>
      <c r="L67" s="19">
        <v>0.94089999999999996</v>
      </c>
      <c r="M67" s="19">
        <v>0.88639999999999997</v>
      </c>
      <c r="N67" s="19">
        <v>0.86</v>
      </c>
      <c r="O67" s="19">
        <v>0.95489999999999997</v>
      </c>
      <c r="P67" s="20">
        <v>70600</v>
      </c>
      <c r="Q67" s="21" t="str">
        <f>HYPERLINK("https://npc.collegeboard.org/student/app/tufts", "$9471")</f>
        <v>$9471</v>
      </c>
      <c r="R67" s="22">
        <v>20510</v>
      </c>
      <c r="S67" s="22">
        <v>27185</v>
      </c>
      <c r="T67" s="20">
        <v>2228</v>
      </c>
      <c r="U67" s="20">
        <v>7243</v>
      </c>
      <c r="V67" s="18" t="s">
        <v>37</v>
      </c>
      <c r="W67" s="19">
        <v>0.1198</v>
      </c>
      <c r="X67" s="19">
        <v>0.43430000000000002</v>
      </c>
      <c r="Y67" s="18" t="s">
        <v>37</v>
      </c>
      <c r="Z67" s="23">
        <v>5492</v>
      </c>
    </row>
    <row r="68" spans="1:26" ht="15.75" customHeight="1" x14ac:dyDescent="0.2">
      <c r="A68" s="17" t="str">
        <f>HYPERLINK("https://tulane.edu", "Tulane University of Louisiana")</f>
        <v>Tulane University of Louisiana</v>
      </c>
      <c r="B68" s="18" t="s">
        <v>32</v>
      </c>
      <c r="C68" s="18" t="s">
        <v>158</v>
      </c>
      <c r="D68" s="18" t="s">
        <v>159</v>
      </c>
      <c r="E68" s="18">
        <v>1442</v>
      </c>
      <c r="F68" s="18" t="s">
        <v>35</v>
      </c>
      <c r="J68" s="19">
        <v>0.83360000000000001</v>
      </c>
      <c r="K68" s="19">
        <v>0.474178404</v>
      </c>
      <c r="L68" s="19">
        <v>0.84109999999999996</v>
      </c>
      <c r="M68" s="19">
        <v>0.72729999999999995</v>
      </c>
      <c r="N68" s="19">
        <v>0.86839999999999995</v>
      </c>
      <c r="O68" s="19">
        <v>0.80649999999999999</v>
      </c>
      <c r="P68" s="20">
        <v>69764</v>
      </c>
      <c r="Q68" s="21" t="str">
        <f>HYPERLINK("https://admission.tulane.edu/tuition-aid/net-price-calculator", "$15431")</f>
        <v>$15431</v>
      </c>
      <c r="R68" s="22">
        <v>25120</v>
      </c>
      <c r="S68" s="22">
        <v>32735</v>
      </c>
      <c r="T68" s="20">
        <v>2268</v>
      </c>
      <c r="U68" s="20">
        <v>13163</v>
      </c>
      <c r="W68" s="19">
        <v>0.12959999999999999</v>
      </c>
      <c r="X68" s="19">
        <v>0.30330000000000001</v>
      </c>
      <c r="Z68" s="23">
        <v>7871</v>
      </c>
    </row>
    <row r="69" spans="1:26" ht="15.75" customHeight="1" x14ac:dyDescent="0.2">
      <c r="A69" s="17" t="str">
        <f>HYPERLINK("https://www.berkeley.edu", "University of California-Berkeley")</f>
        <v>University of California-Berkeley</v>
      </c>
      <c r="B69" s="18" t="s">
        <v>49</v>
      </c>
      <c r="C69" s="18" t="s">
        <v>68</v>
      </c>
      <c r="D69" s="18" t="s">
        <v>160</v>
      </c>
      <c r="E69" s="18">
        <v>1414</v>
      </c>
      <c r="F69" s="18" t="s">
        <v>35</v>
      </c>
      <c r="J69" s="19">
        <v>0.91069999999999995</v>
      </c>
      <c r="K69" s="19">
        <v>0.53985872899999998</v>
      </c>
      <c r="L69" s="19">
        <v>0.90329999999999999</v>
      </c>
      <c r="M69" s="19">
        <v>0.82050000000000001</v>
      </c>
      <c r="N69" s="19">
        <v>0.87319999999999998</v>
      </c>
      <c r="O69" s="19">
        <v>0.93589999999999995</v>
      </c>
      <c r="P69" s="20">
        <v>65003</v>
      </c>
      <c r="Q69" s="21" t="str">
        <f>HYPERLINK("https://calculator.berkeley.edu/", "$38272")</f>
        <v>$38272</v>
      </c>
      <c r="R69" s="22">
        <v>42898</v>
      </c>
      <c r="S69" s="22">
        <v>49459</v>
      </c>
      <c r="T69" s="20">
        <v>5270</v>
      </c>
      <c r="U69" s="20">
        <v>33002.488135593223</v>
      </c>
      <c r="W69" s="19">
        <v>0.27750000000000002</v>
      </c>
      <c r="X69" s="19">
        <v>0.74270000000000003</v>
      </c>
      <c r="Z69" s="23">
        <v>30574</v>
      </c>
    </row>
    <row r="70" spans="1:26" ht="15.75" customHeight="1" x14ac:dyDescent="0.2">
      <c r="A70" s="17" t="str">
        <f>HYPERLINK("https://www.ucla.edu/", "University of California-Los Angeles")</f>
        <v>University of California-Los Angeles</v>
      </c>
      <c r="B70" s="18" t="s">
        <v>49</v>
      </c>
      <c r="C70" s="18" t="s">
        <v>68</v>
      </c>
      <c r="D70" s="18" t="s">
        <v>140</v>
      </c>
      <c r="E70" s="18">
        <v>1387</v>
      </c>
      <c r="F70" s="18" t="s">
        <v>35</v>
      </c>
      <c r="J70" s="19">
        <v>0.90869999999999995</v>
      </c>
      <c r="K70" s="19">
        <v>0.77975632599999989</v>
      </c>
      <c r="L70" s="19">
        <v>0.92900000000000005</v>
      </c>
      <c r="M70" s="19">
        <v>0.74680000000000002</v>
      </c>
      <c r="N70" s="19">
        <v>0.86350000000000005</v>
      </c>
      <c r="O70" s="19">
        <v>0.93630000000000002</v>
      </c>
      <c r="P70" s="20">
        <v>61915</v>
      </c>
      <c r="Q70" s="21" t="str">
        <f>HYPERLINK("https://dnn.uclanet.ucla.edu/fas102016/Prospective-Student/Net-Price-Calculator", "$36867")</f>
        <v>$36867</v>
      </c>
      <c r="R70" s="22">
        <v>40757</v>
      </c>
      <c r="S70" s="22">
        <v>48379</v>
      </c>
      <c r="T70" s="20">
        <v>5199</v>
      </c>
      <c r="U70" s="20">
        <v>31668.135523613961</v>
      </c>
      <c r="W70" s="19">
        <v>0.33779999999999999</v>
      </c>
      <c r="X70" s="19">
        <v>0.7329</v>
      </c>
      <c r="Z70" s="23">
        <v>30994</v>
      </c>
    </row>
    <row r="71" spans="1:26" ht="15.75" customHeight="1" x14ac:dyDescent="0.2">
      <c r="A71" s="17" t="str">
        <f>HYPERLINK("https://WWW.UCHICAGO.EDU", "University of Chicago")</f>
        <v>University of Chicago</v>
      </c>
      <c r="B71" s="18" t="s">
        <v>32</v>
      </c>
      <c r="C71" s="18" t="s">
        <v>137</v>
      </c>
      <c r="D71" s="18" t="s">
        <v>161</v>
      </c>
      <c r="E71" s="18">
        <v>1524</v>
      </c>
      <c r="F71" s="18" t="s">
        <v>35</v>
      </c>
      <c r="J71" s="19">
        <v>0.9284</v>
      </c>
      <c r="K71" s="19">
        <v>0.95454545499999999</v>
      </c>
      <c r="L71" s="19">
        <v>0.93469999999999998</v>
      </c>
      <c r="M71" s="19">
        <v>0.77780000000000005</v>
      </c>
      <c r="N71" s="19">
        <v>0.92420000000000002</v>
      </c>
      <c r="O71" s="19">
        <v>0.96740000000000004</v>
      </c>
      <c r="P71" s="20">
        <v>75735</v>
      </c>
      <c r="Q71" s="21" t="str">
        <f>HYPERLINK("https://collegeadmissions.uchicago.edu/costs/calculate", "$2932")</f>
        <v>$2932</v>
      </c>
      <c r="R71" s="22">
        <v>4672</v>
      </c>
      <c r="S71" s="22">
        <v>15458</v>
      </c>
      <c r="T71" s="20">
        <v>3975</v>
      </c>
      <c r="U71" s="20">
        <v>-1043</v>
      </c>
      <c r="W71" s="19">
        <v>0.10780000000000001</v>
      </c>
      <c r="X71" s="19">
        <v>0.57889999999999997</v>
      </c>
      <c r="Y71" s="18" t="s">
        <v>37</v>
      </c>
      <c r="Z71" s="23">
        <v>6298</v>
      </c>
    </row>
    <row r="72" spans="1:26" ht="15.75" customHeight="1" x14ac:dyDescent="0.2">
      <c r="A72" s="17" t="str">
        <f>HYPERLINK("https://www.miami.edu/", "University of Miami")</f>
        <v>University of Miami</v>
      </c>
      <c r="B72" s="18" t="s">
        <v>32</v>
      </c>
      <c r="C72" s="18" t="s">
        <v>162</v>
      </c>
      <c r="D72" s="18" t="s">
        <v>163</v>
      </c>
      <c r="E72" s="18">
        <v>1366</v>
      </c>
      <c r="F72" s="18" t="s">
        <v>35</v>
      </c>
      <c r="J72" s="19">
        <v>0.83720000000000006</v>
      </c>
      <c r="K72" s="19">
        <v>0.67870036099999997</v>
      </c>
      <c r="L72" s="19">
        <v>0.83930000000000005</v>
      </c>
      <c r="M72" s="19">
        <v>0.74809999999999999</v>
      </c>
      <c r="N72" s="19">
        <v>0.87599999999999989</v>
      </c>
      <c r="O72" s="19">
        <v>0.82779999999999998</v>
      </c>
      <c r="P72" s="20">
        <v>66274</v>
      </c>
      <c r="Q72" s="21" t="str">
        <f>HYPERLINK("https://public.cgcent.miami.edu/AttendanceCalculator/", "$19787")</f>
        <v>$19787</v>
      </c>
      <c r="R72" s="22">
        <v>19779</v>
      </c>
      <c r="S72" s="22">
        <v>25551</v>
      </c>
      <c r="T72" s="20">
        <v>4124</v>
      </c>
      <c r="U72" s="20">
        <v>15663</v>
      </c>
      <c r="W72" s="19">
        <v>0.14069999999999999</v>
      </c>
      <c r="X72" s="19">
        <v>0.57979999999999998</v>
      </c>
      <c r="Z72" s="23">
        <v>10613</v>
      </c>
    </row>
    <row r="73" spans="1:26" ht="15.75" customHeight="1" x14ac:dyDescent="0.2">
      <c r="A73" s="17" t="str">
        <f>HYPERLINK("https://missouri.edu/", "University of Missouri-Columbia")</f>
        <v>University of Missouri-Columbia</v>
      </c>
      <c r="B73" s="18" t="s">
        <v>49</v>
      </c>
      <c r="C73" s="18" t="s">
        <v>164</v>
      </c>
      <c r="D73" s="18" t="s">
        <v>165</v>
      </c>
      <c r="E73" s="18">
        <v>1249</v>
      </c>
      <c r="F73" s="18" t="s">
        <v>35</v>
      </c>
      <c r="J73" s="19">
        <v>0.68230000000000002</v>
      </c>
      <c r="K73" s="19">
        <v>0.54722222200000004</v>
      </c>
      <c r="L73" s="19">
        <v>0.70860000000000001</v>
      </c>
      <c r="M73" s="19">
        <v>0.51329999999999998</v>
      </c>
      <c r="N73" s="19">
        <v>0.6351</v>
      </c>
      <c r="O73" s="19">
        <v>0.64</v>
      </c>
      <c r="P73" s="20">
        <v>43330</v>
      </c>
      <c r="Q73" s="21" t="str">
        <f>HYPERLINK("https://financialaid.missouri.edu/cost-of-attendance/net-price-calculator.php", "$31260")</f>
        <v>$31260</v>
      </c>
      <c r="R73" s="22">
        <v>34419</v>
      </c>
      <c r="S73" s="22">
        <v>37874</v>
      </c>
      <c r="T73" s="20">
        <v>6148</v>
      </c>
      <c r="U73" s="20">
        <v>25112.058823529409</v>
      </c>
      <c r="W73" s="19">
        <v>0.18909999999999999</v>
      </c>
      <c r="X73" s="19">
        <v>0.2157</v>
      </c>
      <c r="Z73" s="23">
        <v>23455</v>
      </c>
    </row>
    <row r="74" spans="1:26" ht="15.75" customHeight="1" x14ac:dyDescent="0.2">
      <c r="A74" s="17" t="str">
        <f>HYPERLINK("https://www.unc.edu", "University of North Carolina at Chapel Hill")</f>
        <v>University of North Carolina at Chapel Hill</v>
      </c>
      <c r="B74" s="18" t="s">
        <v>49</v>
      </c>
      <c r="C74" s="18" t="s">
        <v>103</v>
      </c>
      <c r="D74" s="18" t="s">
        <v>166</v>
      </c>
      <c r="E74" s="18">
        <v>1393</v>
      </c>
      <c r="F74" s="18" t="s">
        <v>35</v>
      </c>
      <c r="J74" s="19">
        <v>0.90869999999999995</v>
      </c>
      <c r="K74" s="19">
        <v>0.794366197</v>
      </c>
      <c r="L74" s="19">
        <v>0.92259999999999998</v>
      </c>
      <c r="M74" s="19">
        <v>0.86699999999999999</v>
      </c>
      <c r="N74" s="19">
        <v>0.89329999999999998</v>
      </c>
      <c r="O74" s="19">
        <v>0.9012</v>
      </c>
      <c r="P74" s="20">
        <v>51152</v>
      </c>
      <c r="Q74" s="21" t="str">
        <f>HYPERLINK("https://npc.collegeboard.org/student/app/unc", "$31298")</f>
        <v>$31298</v>
      </c>
      <c r="R74" s="22">
        <v>38727</v>
      </c>
      <c r="S74" s="22">
        <v>45288</v>
      </c>
      <c r="T74" s="20">
        <v>5008</v>
      </c>
      <c r="U74" s="20">
        <v>26290.487001733101</v>
      </c>
      <c r="V74" s="18" t="s">
        <v>37</v>
      </c>
      <c r="W74" s="19">
        <v>0.21629999999999999</v>
      </c>
      <c r="X74" s="19">
        <v>0.37830000000000003</v>
      </c>
      <c r="Z74" s="23">
        <v>18658</v>
      </c>
    </row>
    <row r="75" spans="1:26" ht="15.75" customHeight="1" x14ac:dyDescent="0.2">
      <c r="A75" s="17" t="str">
        <f>HYPERLINK("https://www.nd.edu", "University of Notre Dame")</f>
        <v>University of Notre Dame</v>
      </c>
      <c r="B75" s="18" t="s">
        <v>32</v>
      </c>
      <c r="C75" s="18" t="s">
        <v>148</v>
      </c>
      <c r="D75" s="18" t="s">
        <v>167</v>
      </c>
      <c r="E75" s="18">
        <v>1486</v>
      </c>
      <c r="F75" s="18" t="s">
        <v>35</v>
      </c>
      <c r="J75" s="19">
        <v>0.95240000000000002</v>
      </c>
      <c r="K75" s="19">
        <v>0.86131386900000007</v>
      </c>
      <c r="L75" s="19">
        <v>0.96350000000000002</v>
      </c>
      <c r="M75" s="19">
        <v>0.86150000000000004</v>
      </c>
      <c r="N75" s="19">
        <v>0.95209999999999995</v>
      </c>
      <c r="O75" s="19">
        <v>0.93599999999999994</v>
      </c>
      <c r="P75" s="20">
        <v>69395</v>
      </c>
      <c r="Q75" s="21" t="str">
        <f>HYPERLINK("https://financialaid.nd.edu", "$10673")</f>
        <v>$10673</v>
      </c>
      <c r="R75" s="22">
        <v>13979</v>
      </c>
      <c r="S75" s="22">
        <v>21732</v>
      </c>
      <c r="T75" s="20">
        <v>3000</v>
      </c>
      <c r="U75" s="20">
        <v>7673</v>
      </c>
      <c r="V75" s="18" t="s">
        <v>37</v>
      </c>
      <c r="W75" s="19">
        <v>0.1043</v>
      </c>
      <c r="X75" s="19">
        <v>0.31090000000000001</v>
      </c>
      <c r="Y75" s="18" t="s">
        <v>37</v>
      </c>
      <c r="Z75" s="23">
        <v>8527</v>
      </c>
    </row>
    <row r="76" spans="1:26" ht="15.75" customHeight="1" x14ac:dyDescent="0.2">
      <c r="A76" s="17" t="str">
        <f>HYPERLINK("https://www.upenn.edu", "University of Pennsylvania")</f>
        <v>University of Pennsylvania</v>
      </c>
      <c r="B76" s="18" t="s">
        <v>32</v>
      </c>
      <c r="C76" s="18" t="s">
        <v>65</v>
      </c>
      <c r="D76" s="18" t="s">
        <v>168</v>
      </c>
      <c r="E76" s="18">
        <v>1506</v>
      </c>
      <c r="F76" s="18" t="s">
        <v>35</v>
      </c>
      <c r="J76" s="19">
        <v>0.95720000000000005</v>
      </c>
      <c r="K76" s="19">
        <v>0.85370370400000006</v>
      </c>
      <c r="L76" s="19">
        <v>0.96409999999999996</v>
      </c>
      <c r="M76" s="19">
        <v>0.92779999999999996</v>
      </c>
      <c r="N76" s="19">
        <v>0.95589999999999997</v>
      </c>
      <c r="O76" s="19">
        <v>0.97400000000000009</v>
      </c>
      <c r="P76" s="20">
        <v>71715</v>
      </c>
      <c r="Q76" s="21" t="str">
        <f>HYPERLINK("https://npc.collegeboard.org/student/app/upenn", "$6347")</f>
        <v>$6347</v>
      </c>
      <c r="R76" s="22">
        <v>12968</v>
      </c>
      <c r="S76" s="22">
        <v>20979</v>
      </c>
      <c r="T76" s="20">
        <v>3115</v>
      </c>
      <c r="U76" s="20">
        <v>3232</v>
      </c>
      <c r="V76" s="18" t="s">
        <v>37</v>
      </c>
      <c r="W76" s="19">
        <v>0.12609999999999999</v>
      </c>
      <c r="X76" s="19">
        <v>0.56309999999999993</v>
      </c>
      <c r="Y76" s="18" t="s">
        <v>37</v>
      </c>
      <c r="Z76" s="23">
        <v>10660</v>
      </c>
    </row>
    <row r="77" spans="1:26" ht="15.75" customHeight="1" x14ac:dyDescent="0.2">
      <c r="A77" s="17" t="str">
        <f>HYPERLINK("https://www.richmond.edu", "University of Richmond")</f>
        <v>University of Richmond</v>
      </c>
      <c r="B77" s="18" t="s">
        <v>32</v>
      </c>
      <c r="C77" s="18" t="s">
        <v>83</v>
      </c>
      <c r="D77" s="18" t="s">
        <v>169</v>
      </c>
      <c r="E77" s="18">
        <v>1394</v>
      </c>
      <c r="F77" s="18" t="s">
        <v>35</v>
      </c>
      <c r="J77" s="19">
        <v>0.8821</v>
      </c>
      <c r="K77" s="19">
        <v>0.79245283</v>
      </c>
      <c r="L77" s="19">
        <v>0.88749999999999996</v>
      </c>
      <c r="M77" s="19">
        <v>0.81130000000000002</v>
      </c>
      <c r="N77" s="19">
        <v>0.85419999999999996</v>
      </c>
      <c r="O77" s="19">
        <v>0.94589999999999996</v>
      </c>
      <c r="P77" s="20">
        <v>64890</v>
      </c>
      <c r="Q77" s="21" t="str">
        <f>HYPERLINK("https://npc.collegeboard.org/student/app/richmond", "$10536")</f>
        <v>$10536</v>
      </c>
      <c r="R77" s="22">
        <v>14921</v>
      </c>
      <c r="S77" s="22">
        <v>23302</v>
      </c>
      <c r="T77" s="20">
        <v>2160</v>
      </c>
      <c r="U77" s="20">
        <v>8376</v>
      </c>
      <c r="V77" s="18" t="s">
        <v>37</v>
      </c>
      <c r="W77" s="19">
        <v>0.15840000000000001</v>
      </c>
      <c r="X77" s="19">
        <v>0.42149999999999999</v>
      </c>
      <c r="Z77" s="23">
        <v>3165</v>
      </c>
    </row>
    <row r="78" spans="1:26" ht="15.75" customHeight="1" x14ac:dyDescent="0.2">
      <c r="A78" s="17" t="str">
        <f>HYPERLINK("https://www.rochester.edu", "University of Rochester")</f>
        <v>University of Rochester</v>
      </c>
      <c r="B78" s="18" t="s">
        <v>32</v>
      </c>
      <c r="C78" s="18" t="s">
        <v>38</v>
      </c>
      <c r="D78" s="18" t="s">
        <v>170</v>
      </c>
      <c r="E78" s="18">
        <v>1410</v>
      </c>
      <c r="F78" s="18" t="s">
        <v>115</v>
      </c>
      <c r="G78" s="18" t="s">
        <v>40</v>
      </c>
      <c r="H78" s="18" t="s">
        <v>171</v>
      </c>
      <c r="I78" s="18" t="s">
        <v>172</v>
      </c>
      <c r="J78" s="19">
        <v>0.85250000000000004</v>
      </c>
      <c r="K78" s="19">
        <v>0.79130434799999994</v>
      </c>
      <c r="L78" s="19">
        <v>0.86629999999999996</v>
      </c>
      <c r="M78" s="19">
        <v>0.80430000000000001</v>
      </c>
      <c r="N78" s="19">
        <v>0.79690000000000005</v>
      </c>
      <c r="O78" s="19">
        <v>0.91490000000000005</v>
      </c>
      <c r="P78" s="20">
        <v>70108</v>
      </c>
      <c r="Q78" s="21" t="str">
        <f>HYPERLINK("https://enrollment.rochester.edu/financial-aid/estimator/", "$18104")</f>
        <v>$18104</v>
      </c>
      <c r="R78" s="22">
        <v>22561</v>
      </c>
      <c r="S78" s="22">
        <v>30068</v>
      </c>
      <c r="T78" s="20">
        <v>2690</v>
      </c>
      <c r="U78" s="20">
        <v>15414</v>
      </c>
      <c r="V78" s="18" t="s">
        <v>37</v>
      </c>
      <c r="W78" s="19">
        <v>0.1782</v>
      </c>
      <c r="X78" s="19">
        <v>0.55279999999999996</v>
      </c>
      <c r="Z78" s="23">
        <v>6320</v>
      </c>
    </row>
    <row r="79" spans="1:26" ht="15.75" customHeight="1" x14ac:dyDescent="0.2">
      <c r="A79" s="17" t="str">
        <f>HYPERLINK("https://www.usc.edu/", "University of Southern California")</f>
        <v>University of Southern California</v>
      </c>
      <c r="B79" s="18" t="s">
        <v>32</v>
      </c>
      <c r="C79" s="18" t="s">
        <v>68</v>
      </c>
      <c r="D79" s="18" t="s">
        <v>140</v>
      </c>
      <c r="E79" s="18">
        <v>1437</v>
      </c>
      <c r="F79" s="18" t="s">
        <v>35</v>
      </c>
      <c r="J79" s="19">
        <v>0.91710000000000003</v>
      </c>
      <c r="K79" s="19">
        <v>0.82268578900000011</v>
      </c>
      <c r="L79" s="19">
        <v>0.91669999999999996</v>
      </c>
      <c r="M79" s="19">
        <v>0.91159999999999997</v>
      </c>
      <c r="N79" s="19">
        <v>0.89829999999999999</v>
      </c>
      <c r="O79" s="19">
        <v>0.94089999999999996</v>
      </c>
      <c r="P79" s="20">
        <v>72209</v>
      </c>
      <c r="Q79" s="21" t="str">
        <f>HYPERLINK("https://financialaid.usc.edu/undergraduates/prospective/net-price-calculator.html", "$15636")</f>
        <v>$15636</v>
      </c>
      <c r="R79" s="22">
        <v>22445</v>
      </c>
      <c r="S79" s="22">
        <v>30084</v>
      </c>
      <c r="T79" s="20">
        <v>3064</v>
      </c>
      <c r="U79" s="20">
        <v>12572</v>
      </c>
      <c r="V79" s="18" t="s">
        <v>37</v>
      </c>
      <c r="W79" s="19">
        <v>0.20960000000000001</v>
      </c>
      <c r="X79" s="19">
        <v>0.60289999999999999</v>
      </c>
      <c r="Z79" s="23">
        <v>18942</v>
      </c>
    </row>
    <row r="80" spans="1:26" ht="15.75" customHeight="1" x14ac:dyDescent="0.2">
      <c r="A80" s="17" t="str">
        <f>HYPERLINK("https://www.virginia.edu", "University of Virginia-Main Campus")</f>
        <v>University of Virginia-Main Campus</v>
      </c>
      <c r="B80" s="18" t="s">
        <v>49</v>
      </c>
      <c r="C80" s="18" t="s">
        <v>83</v>
      </c>
      <c r="D80" s="18" t="s">
        <v>173</v>
      </c>
      <c r="E80" s="18">
        <v>1415</v>
      </c>
      <c r="F80" s="18" t="s">
        <v>35</v>
      </c>
      <c r="J80" s="19">
        <v>0.94579999999999997</v>
      </c>
      <c r="K80" s="19">
        <v>0.80412371099999991</v>
      </c>
      <c r="L80" s="19">
        <v>0.94920000000000004</v>
      </c>
      <c r="M80" s="19">
        <v>0.91710000000000003</v>
      </c>
      <c r="N80" s="19">
        <v>0.92720000000000002</v>
      </c>
      <c r="O80" s="19">
        <v>0.96099999999999997</v>
      </c>
      <c r="P80" s="20">
        <v>62633</v>
      </c>
      <c r="Q80" s="21" t="str">
        <f>HYPERLINK("https://npc.collegeboard.org/student/app/virginia", "$41085")</f>
        <v>$41085</v>
      </c>
      <c r="R80" s="22">
        <v>45782</v>
      </c>
      <c r="S80" s="22">
        <v>53546</v>
      </c>
      <c r="T80" s="20">
        <v>4140</v>
      </c>
      <c r="U80" s="20">
        <v>36945.180180180178</v>
      </c>
      <c r="V80" s="18" t="s">
        <v>37</v>
      </c>
      <c r="W80" s="19">
        <v>0.1249</v>
      </c>
      <c r="X80" s="19">
        <v>0.41839999999999999</v>
      </c>
      <c r="Z80" s="23">
        <v>16207</v>
      </c>
    </row>
    <row r="81" spans="1:26" ht="15.75" customHeight="1" x14ac:dyDescent="0.2">
      <c r="A81" s="17" t="str">
        <f>HYPERLINK("https://www.vanderbilt.edu", "Vanderbilt University")</f>
        <v>Vanderbilt University</v>
      </c>
      <c r="B81" s="18" t="s">
        <v>32</v>
      </c>
      <c r="C81" s="18" t="s">
        <v>174</v>
      </c>
      <c r="D81" s="18" t="s">
        <v>175</v>
      </c>
      <c r="E81" s="18">
        <v>1515</v>
      </c>
      <c r="F81" s="18" t="s">
        <v>35</v>
      </c>
      <c r="J81" s="19">
        <v>0.91720000000000002</v>
      </c>
      <c r="K81" s="19">
        <v>0.86781609199999998</v>
      </c>
      <c r="L81" s="19">
        <v>0.92620000000000002</v>
      </c>
      <c r="M81" s="19">
        <v>0.88280000000000003</v>
      </c>
      <c r="N81" s="19">
        <v>0.9274</v>
      </c>
      <c r="O81" s="19">
        <v>0.92</v>
      </c>
      <c r="P81" s="20">
        <v>67392</v>
      </c>
      <c r="Q81" s="21" t="str">
        <f>HYPERLINK("https://vanderbilt.studentaidcalculator.com/survey.aspx", "$4332")</f>
        <v>$4332</v>
      </c>
      <c r="R81" s="22">
        <v>11146</v>
      </c>
      <c r="S81" s="22">
        <v>14814</v>
      </c>
      <c r="T81" s="20">
        <v>4144</v>
      </c>
      <c r="U81" s="20">
        <v>188</v>
      </c>
      <c r="V81" s="18" t="s">
        <v>37</v>
      </c>
      <c r="W81" s="19">
        <v>0.13650000000000001</v>
      </c>
      <c r="X81" s="19">
        <v>0.51560000000000006</v>
      </c>
      <c r="Y81" s="18" t="s">
        <v>37</v>
      </c>
      <c r="Z81" s="23">
        <v>6856</v>
      </c>
    </row>
    <row r="82" spans="1:26" ht="15.75" customHeight="1" x14ac:dyDescent="0.2">
      <c r="A82" s="17" t="str">
        <f>HYPERLINK("https://www.vassar.edu", "Vassar College")</f>
        <v>Vassar College</v>
      </c>
      <c r="B82" s="18" t="s">
        <v>32</v>
      </c>
      <c r="C82" s="18" t="s">
        <v>38</v>
      </c>
      <c r="D82" s="18" t="s">
        <v>176</v>
      </c>
      <c r="E82" s="18">
        <v>1429</v>
      </c>
      <c r="F82" s="18" t="s">
        <v>35</v>
      </c>
      <c r="J82" s="19">
        <v>0.9073</v>
      </c>
      <c r="K82" s="19" t="s">
        <v>36</v>
      </c>
      <c r="L82" s="19">
        <v>0.89510000000000001</v>
      </c>
      <c r="M82" s="19">
        <v>0.89470000000000005</v>
      </c>
      <c r="N82" s="19">
        <v>0.9577</v>
      </c>
      <c r="O82" s="19">
        <v>0.9365</v>
      </c>
      <c r="P82" s="20">
        <v>70370</v>
      </c>
      <c r="Q82" s="21" t="str">
        <f>HYPERLINK("https://npc.collegeboard.org/student/app/vassar", "$6420")</f>
        <v>$6420</v>
      </c>
      <c r="R82" s="22">
        <v>15602</v>
      </c>
      <c r="S82" s="22">
        <v>19315</v>
      </c>
      <c r="T82" s="20">
        <v>2260</v>
      </c>
      <c r="U82" s="20">
        <v>4160</v>
      </c>
      <c r="V82" s="18" t="s">
        <v>37</v>
      </c>
      <c r="W82" s="19">
        <v>0.23760000000000001</v>
      </c>
      <c r="X82" s="19">
        <v>0.43440000000000001</v>
      </c>
      <c r="Y82" s="18" t="s">
        <v>37</v>
      </c>
      <c r="Z82" s="23">
        <v>2323</v>
      </c>
    </row>
    <row r="83" spans="1:26" ht="15.75" customHeight="1" x14ac:dyDescent="0.2">
      <c r="A83" s="17" t="str">
        <f>HYPERLINK("https://www.villanova.edu", "Villanova University")</f>
        <v>Villanova University</v>
      </c>
      <c r="B83" s="18" t="s">
        <v>32</v>
      </c>
      <c r="C83" s="18" t="s">
        <v>65</v>
      </c>
      <c r="D83" s="18" t="s">
        <v>177</v>
      </c>
      <c r="E83" s="18">
        <v>1409</v>
      </c>
      <c r="F83" s="18" t="s">
        <v>35</v>
      </c>
      <c r="J83" s="19">
        <v>0.90300000000000002</v>
      </c>
      <c r="K83" s="19">
        <v>0.59322033899999993</v>
      </c>
      <c r="L83" s="19">
        <v>0.91049999999999998</v>
      </c>
      <c r="M83" s="19">
        <v>0.84509999999999996</v>
      </c>
      <c r="N83" s="19">
        <v>0.86719999999999997</v>
      </c>
      <c r="O83" s="19">
        <v>0.91510000000000002</v>
      </c>
      <c r="P83" s="20">
        <v>68231</v>
      </c>
      <c r="Q83" s="21" t="str">
        <f>HYPERLINK("https://npc.collegeboard.org/student/app/villanova", "$24401")</f>
        <v>$24401</v>
      </c>
      <c r="R83" s="22">
        <v>29892</v>
      </c>
      <c r="S83" s="22">
        <v>33826</v>
      </c>
      <c r="T83" s="20">
        <v>3400</v>
      </c>
      <c r="U83" s="20">
        <v>21001</v>
      </c>
      <c r="W83" s="19">
        <v>0.1046</v>
      </c>
      <c r="X83" s="19">
        <v>0.25729999999999997</v>
      </c>
      <c r="Z83" s="23">
        <v>6886</v>
      </c>
    </row>
    <row r="84" spans="1:26" ht="15.75" customHeight="1" x14ac:dyDescent="0.2">
      <c r="A84" s="17" t="str">
        <f>HYPERLINK("https://www.wfu.edu", "Wake Forest University")</f>
        <v>Wake Forest University</v>
      </c>
      <c r="B84" s="18" t="s">
        <v>32</v>
      </c>
      <c r="C84" s="18" t="s">
        <v>103</v>
      </c>
      <c r="D84" s="18" t="s">
        <v>178</v>
      </c>
      <c r="E84" s="18" t="s">
        <v>36</v>
      </c>
      <c r="F84" s="18" t="s">
        <v>45</v>
      </c>
      <c r="J84" s="19">
        <v>0.88239999999999996</v>
      </c>
      <c r="K84" s="19">
        <v>0.7461538459999999</v>
      </c>
      <c r="L84" s="19">
        <v>0.89190000000000003</v>
      </c>
      <c r="M84" s="19">
        <v>0.77110000000000001</v>
      </c>
      <c r="N84" s="19">
        <v>0.86360000000000003</v>
      </c>
      <c r="O84" s="19">
        <v>0.92059999999999997</v>
      </c>
      <c r="P84" s="20">
        <v>69130</v>
      </c>
      <c r="Q84" s="21" t="str">
        <f>HYPERLINK("https://npc.collegeboard.org/student/app/wfu", "$9225")</f>
        <v>$9225</v>
      </c>
      <c r="R84" s="22">
        <v>19466</v>
      </c>
      <c r="S84" s="22">
        <v>24816</v>
      </c>
      <c r="T84" s="20">
        <v>3804</v>
      </c>
      <c r="U84" s="20">
        <v>5421</v>
      </c>
      <c r="W84" s="19">
        <v>9.1800000000000007E-2</v>
      </c>
      <c r="X84" s="19">
        <v>0.30449999999999999</v>
      </c>
      <c r="Z84" s="23">
        <v>5101</v>
      </c>
    </row>
    <row r="85" spans="1:26" ht="15.75" customHeight="1" x14ac:dyDescent="0.2">
      <c r="A85" s="17" t="str">
        <f>HYPERLINK("https://www.wustl.edu", "Washington University in St Louis")</f>
        <v>Washington University in St Louis</v>
      </c>
      <c r="B85" s="18" t="s">
        <v>32</v>
      </c>
      <c r="C85" s="18" t="s">
        <v>164</v>
      </c>
      <c r="D85" s="18" t="s">
        <v>179</v>
      </c>
      <c r="E85" s="18">
        <v>1508</v>
      </c>
      <c r="F85" s="18" t="s">
        <v>35</v>
      </c>
      <c r="J85" s="19">
        <v>0.94169999999999998</v>
      </c>
      <c r="K85" s="19">
        <v>0.71910112400000004</v>
      </c>
      <c r="L85" s="19">
        <v>0.94679999999999997</v>
      </c>
      <c r="M85" s="19">
        <v>0.91359999999999997</v>
      </c>
      <c r="N85" s="19">
        <v>0.9405</v>
      </c>
      <c r="O85" s="19">
        <v>0.9526</v>
      </c>
      <c r="P85" s="20">
        <v>71975</v>
      </c>
      <c r="Q85" s="33" t="str">
        <f>HYPERLINK("https://sfs.wustl.edu", "$6106")</f>
        <v>$6106</v>
      </c>
      <c r="R85" s="22">
        <v>9528</v>
      </c>
      <c r="S85" s="22">
        <v>21665</v>
      </c>
      <c r="T85" s="20">
        <v>4436</v>
      </c>
      <c r="U85" s="20">
        <v>1670</v>
      </c>
      <c r="V85" s="18" t="s">
        <v>37</v>
      </c>
      <c r="W85" s="19">
        <v>9.9699999999999997E-2</v>
      </c>
      <c r="X85" s="19">
        <v>0.47570000000000001</v>
      </c>
      <c r="Y85" s="18" t="s">
        <v>37</v>
      </c>
      <c r="Z85" s="18">
        <v>7253</v>
      </c>
    </row>
    <row r="86" spans="1:26" ht="15.75" customHeight="1" x14ac:dyDescent="0.2">
      <c r="A86" s="17" t="str">
        <f>HYPERLINK("https://www.wlu.edu/", "Washington and Lee University")</f>
        <v>Washington and Lee University</v>
      </c>
      <c r="B86" s="18" t="s">
        <v>32</v>
      </c>
      <c r="C86" s="18" t="s">
        <v>83</v>
      </c>
      <c r="D86" s="18" t="s">
        <v>180</v>
      </c>
      <c r="E86" s="18">
        <v>1449</v>
      </c>
      <c r="F86" s="18" t="s">
        <v>35</v>
      </c>
      <c r="J86" s="19">
        <v>0.91890000000000005</v>
      </c>
      <c r="K86" s="19" t="s">
        <v>36</v>
      </c>
      <c r="L86" s="19">
        <v>0.91710000000000003</v>
      </c>
      <c r="M86" s="19">
        <v>0.92310000000000003</v>
      </c>
      <c r="N86" s="19">
        <v>1</v>
      </c>
      <c r="O86" s="19">
        <v>1</v>
      </c>
      <c r="P86" s="20">
        <v>65950</v>
      </c>
      <c r="Q86" s="33" t="str">
        <f>HYPERLINK("https://wlu.studentaidcalculator.com/survey.aspx", "$824")</f>
        <v>$824</v>
      </c>
      <c r="R86" s="22">
        <v>7452</v>
      </c>
      <c r="S86" s="22">
        <v>13161</v>
      </c>
      <c r="T86" s="20">
        <v>3870</v>
      </c>
      <c r="U86" s="20">
        <v>-3046</v>
      </c>
      <c r="V86" s="18" t="s">
        <v>37</v>
      </c>
      <c r="W86" s="19">
        <v>8.6900000000000005E-2</v>
      </c>
      <c r="X86" s="19">
        <v>0.17480000000000001</v>
      </c>
      <c r="Z86" s="18">
        <v>1819</v>
      </c>
    </row>
    <row r="87" spans="1:26" ht="15.75" customHeight="1" x14ac:dyDescent="0.2">
      <c r="A87" s="17" t="str">
        <f>HYPERLINK("https://www.webb.edu", "Webb Institute")</f>
        <v>Webb Institute</v>
      </c>
      <c r="B87" s="18" t="s">
        <v>32</v>
      </c>
      <c r="C87" s="18" t="s">
        <v>38</v>
      </c>
      <c r="D87" s="18" t="s">
        <v>181</v>
      </c>
      <c r="E87" s="18">
        <v>1483</v>
      </c>
      <c r="F87" s="18" t="s">
        <v>35</v>
      </c>
      <c r="J87" s="19">
        <v>0.77270000000000005</v>
      </c>
      <c r="K87" s="19" t="s">
        <v>36</v>
      </c>
      <c r="L87" s="19">
        <v>0.75</v>
      </c>
      <c r="M87" s="19" t="s">
        <v>36</v>
      </c>
      <c r="N87" s="19" t="s">
        <v>36</v>
      </c>
      <c r="O87" s="19">
        <v>1</v>
      </c>
      <c r="P87" s="20">
        <v>69075</v>
      </c>
      <c r="Q87" s="33" t="str">
        <f>HYPERLINK("https://nces.ed.gov/ipeds/netpricecalculator/", "$20192")</f>
        <v>$20192</v>
      </c>
      <c r="R87" s="22" t="s">
        <v>36</v>
      </c>
      <c r="S87" s="22">
        <v>19692</v>
      </c>
      <c r="T87" s="20">
        <v>5550</v>
      </c>
      <c r="U87" s="20">
        <v>14642</v>
      </c>
      <c r="W87" s="19">
        <v>6.5199999999999994E-2</v>
      </c>
      <c r="X87" s="19">
        <v>0.19389999999999999</v>
      </c>
      <c r="Z87" s="18">
        <v>98</v>
      </c>
    </row>
    <row r="88" spans="1:26" ht="15.75" customHeight="1" x14ac:dyDescent="0.2">
      <c r="A88" s="17" t="str">
        <f>HYPERLINK("https://www.wellesley.edu", "Wellesley College")</f>
        <v>Wellesley College</v>
      </c>
      <c r="B88" s="18" t="s">
        <v>32</v>
      </c>
      <c r="C88" s="18" t="s">
        <v>33</v>
      </c>
      <c r="D88" s="18" t="s">
        <v>182</v>
      </c>
      <c r="E88" s="18">
        <v>1448</v>
      </c>
      <c r="F88" s="18" t="s">
        <v>35</v>
      </c>
      <c r="J88" s="19">
        <v>0.88829999999999998</v>
      </c>
      <c r="K88" s="19">
        <v>0.75</v>
      </c>
      <c r="L88" s="19">
        <v>0.88800000000000001</v>
      </c>
      <c r="M88" s="19">
        <v>0.9032</v>
      </c>
      <c r="N88" s="19">
        <v>0.87270000000000003</v>
      </c>
      <c r="O88" s="19">
        <v>0.88149999999999995</v>
      </c>
      <c r="P88" s="20">
        <v>69034</v>
      </c>
      <c r="Q88" s="33" t="str">
        <f>HYPERLINK("https://npc.collegeboard.org/student/app/wellesley", "$8765")</f>
        <v>$8765</v>
      </c>
      <c r="R88" s="22">
        <v>12150</v>
      </c>
      <c r="S88" s="22">
        <v>22080</v>
      </c>
      <c r="T88" s="20">
        <v>2050</v>
      </c>
      <c r="U88" s="20">
        <v>6715</v>
      </c>
      <c r="V88" s="18" t="s">
        <v>37</v>
      </c>
      <c r="W88" s="19">
        <v>0.1797</v>
      </c>
      <c r="X88" s="19">
        <v>0.60759999999999992</v>
      </c>
      <c r="Y88" s="18" t="s">
        <v>37</v>
      </c>
      <c r="Z88" s="18">
        <v>2375</v>
      </c>
    </row>
    <row r="89" spans="1:26" ht="15.75" customHeight="1" x14ac:dyDescent="0.2">
      <c r="A89" s="17" t="str">
        <f>HYPERLINK("https://www.wesleyan.edu", "Wesleyan University")</f>
        <v>Wesleyan University</v>
      </c>
      <c r="B89" s="18" t="s">
        <v>32</v>
      </c>
      <c r="C89" s="18" t="s">
        <v>94</v>
      </c>
      <c r="D89" s="18" t="s">
        <v>183</v>
      </c>
      <c r="E89" s="18" t="s">
        <v>36</v>
      </c>
      <c r="F89" s="18" t="s">
        <v>90</v>
      </c>
      <c r="J89" s="19">
        <v>0.90210000000000001</v>
      </c>
      <c r="K89" s="19">
        <v>0.86813186799999997</v>
      </c>
      <c r="L89" s="19">
        <v>0.90590000000000004</v>
      </c>
      <c r="M89" s="19">
        <v>0.88680000000000003</v>
      </c>
      <c r="N89" s="19">
        <v>0.85260000000000002</v>
      </c>
      <c r="O89" s="19">
        <v>0.96340000000000003</v>
      </c>
      <c r="P89" s="20">
        <v>69935</v>
      </c>
      <c r="Q89" s="33" t="str">
        <f>HYPERLINK("https://wesleyan.studentaidcalculator.com/survey.aspx", "$7613")</f>
        <v>$7613</v>
      </c>
      <c r="R89" s="22">
        <v>14311</v>
      </c>
      <c r="S89" s="22">
        <v>23564</v>
      </c>
      <c r="T89" s="20">
        <v>2665</v>
      </c>
      <c r="U89" s="20">
        <v>4948</v>
      </c>
      <c r="V89" s="18" t="s">
        <v>37</v>
      </c>
      <c r="W89" s="19">
        <v>0.16900000000000001</v>
      </c>
      <c r="X89" s="19">
        <v>0.45929999999999999</v>
      </c>
      <c r="Z89" s="18">
        <v>2887</v>
      </c>
    </row>
    <row r="90" spans="1:26" ht="15.75" customHeight="1" x14ac:dyDescent="0.2">
      <c r="A90" s="17" t="str">
        <f>HYPERLINK("https://www.whitman.edu", "Whitman College")</f>
        <v>Whitman College</v>
      </c>
      <c r="B90" s="18" t="s">
        <v>32</v>
      </c>
      <c r="C90" s="18" t="s">
        <v>184</v>
      </c>
      <c r="D90" s="18" t="s">
        <v>185</v>
      </c>
      <c r="E90" s="18">
        <v>1329</v>
      </c>
      <c r="F90" s="18" t="s">
        <v>115</v>
      </c>
      <c r="J90" s="19">
        <v>0.87970000000000004</v>
      </c>
      <c r="K90" s="19" t="s">
        <v>36</v>
      </c>
      <c r="L90" s="19">
        <v>0.87949999999999995</v>
      </c>
      <c r="M90" s="19">
        <v>0.66669999999999996</v>
      </c>
      <c r="N90" s="19">
        <v>0.95830000000000004</v>
      </c>
      <c r="O90" s="19">
        <v>0.89659999999999995</v>
      </c>
      <c r="P90" s="20">
        <v>64504</v>
      </c>
      <c r="Q90" s="33" t="str">
        <f>HYPERLINK("https://npc.collegeboard.org/student/app/whitman", "$26874")</f>
        <v>$26874</v>
      </c>
      <c r="R90" s="22">
        <v>28418</v>
      </c>
      <c r="S90" s="22">
        <v>35557</v>
      </c>
      <c r="T90" s="20">
        <v>2200</v>
      </c>
      <c r="U90" s="20">
        <v>24674</v>
      </c>
      <c r="W90" s="19">
        <v>0.1031</v>
      </c>
      <c r="X90" s="19">
        <v>0.30859999999999999</v>
      </c>
      <c r="Z90" s="18">
        <v>1468</v>
      </c>
    </row>
    <row r="91" spans="1:26" ht="15.75" customHeight="1" x14ac:dyDescent="0.2">
      <c r="A91" s="17" t="str">
        <f>HYPERLINK("https://www.williams.edu", "Williams College")</f>
        <v>Williams College</v>
      </c>
      <c r="B91" s="18" t="s">
        <v>32</v>
      </c>
      <c r="C91" s="18" t="s">
        <v>33</v>
      </c>
      <c r="D91" s="18" t="s">
        <v>186</v>
      </c>
      <c r="E91" s="18">
        <v>1493</v>
      </c>
      <c r="F91" s="18" t="s">
        <v>35</v>
      </c>
      <c r="J91" s="19">
        <v>0.93759999999999999</v>
      </c>
      <c r="K91" s="19" t="s">
        <v>36</v>
      </c>
      <c r="L91" s="19">
        <v>0.94120000000000004</v>
      </c>
      <c r="M91" s="19">
        <v>0.90910000000000002</v>
      </c>
      <c r="N91" s="19">
        <v>0.875</v>
      </c>
      <c r="O91" s="19">
        <v>1</v>
      </c>
      <c r="P91" s="20">
        <v>70650</v>
      </c>
      <c r="Q91" s="33" t="str">
        <f>HYPERLINK("https://npc.collegeboard.org/student/app/williams", "$3375")</f>
        <v>$3375</v>
      </c>
      <c r="R91" s="22">
        <v>8188</v>
      </c>
      <c r="S91" s="22">
        <v>15615</v>
      </c>
      <c r="T91" s="20">
        <v>2950</v>
      </c>
      <c r="U91" s="20">
        <v>425</v>
      </c>
      <c r="V91" s="18" t="s">
        <v>37</v>
      </c>
      <c r="W91" s="19">
        <v>0.18920000000000001</v>
      </c>
      <c r="X91" s="19">
        <v>0.48599999999999999</v>
      </c>
      <c r="Y91" s="18" t="s">
        <v>37</v>
      </c>
      <c r="Z91" s="18">
        <v>2033</v>
      </c>
    </row>
    <row r="92" spans="1:26" ht="15.75" customHeight="1" x14ac:dyDescent="0.2">
      <c r="A92" s="17" t="str">
        <f>HYPERLINK("https://www.yale.edu", "Yale University")</f>
        <v>Yale University</v>
      </c>
      <c r="B92" s="18" t="s">
        <v>32</v>
      </c>
      <c r="C92" s="18" t="s">
        <v>94</v>
      </c>
      <c r="D92" s="18" t="s">
        <v>187</v>
      </c>
      <c r="E92" s="18">
        <v>1520</v>
      </c>
      <c r="F92" s="18" t="s">
        <v>35</v>
      </c>
      <c r="J92" s="19">
        <v>0.97400000000000009</v>
      </c>
      <c r="K92" s="19">
        <v>0.85123966900000003</v>
      </c>
      <c r="L92" s="19">
        <v>0.97470000000000001</v>
      </c>
      <c r="M92" s="19">
        <v>0.95599999999999996</v>
      </c>
      <c r="N92" s="19">
        <v>0.99339999999999995</v>
      </c>
      <c r="O92" s="19">
        <v>0.98209999999999997</v>
      </c>
      <c r="P92" s="20">
        <v>71290</v>
      </c>
      <c r="Q92" s="33" t="str">
        <f>HYPERLINK("https://admissions.yale.edu/yale-net-price-calculator", "$4554")</f>
        <v>$4554</v>
      </c>
      <c r="R92" s="22">
        <v>6986</v>
      </c>
      <c r="S92" s="22">
        <v>13223</v>
      </c>
      <c r="T92" s="20">
        <v>4390</v>
      </c>
      <c r="U92" s="20">
        <v>164</v>
      </c>
      <c r="V92" s="18" t="s">
        <v>37</v>
      </c>
      <c r="W92" s="19">
        <v>0.14460000000000001</v>
      </c>
      <c r="X92" s="19">
        <v>0.55309999999999993</v>
      </c>
      <c r="Y92" s="18" t="s">
        <v>37</v>
      </c>
      <c r="Z92" s="18">
        <v>5742</v>
      </c>
    </row>
    <row r="93" spans="1:26" ht="15.75" customHeight="1" x14ac:dyDescent="0.2">
      <c r="A93" s="17"/>
      <c r="B93" s="34"/>
      <c r="C93" s="34"/>
      <c r="D93" s="34"/>
      <c r="E93" s="19"/>
      <c r="F93" s="19"/>
      <c r="G93" s="19"/>
      <c r="H93" s="19"/>
      <c r="I93" s="19"/>
      <c r="J93" s="19"/>
      <c r="K93" s="19"/>
      <c r="L93" s="19"/>
      <c r="M93" s="19"/>
      <c r="N93" s="19"/>
      <c r="O93" s="19"/>
      <c r="P93" s="20"/>
      <c r="Q93" s="17"/>
      <c r="R93" s="22"/>
      <c r="S93" s="22"/>
      <c r="T93" s="20"/>
      <c r="U93" s="20"/>
      <c r="V93" s="20"/>
      <c r="W93" s="19"/>
      <c r="X93" s="19"/>
      <c r="Y93" s="19"/>
      <c r="Z93" s="23"/>
    </row>
    <row r="94" spans="1:26" ht="15.75" customHeight="1" x14ac:dyDescent="0.2">
      <c r="A94" s="17"/>
      <c r="B94" s="34"/>
      <c r="C94" s="34"/>
      <c r="D94" s="34"/>
      <c r="E94" s="19"/>
      <c r="F94" s="19"/>
      <c r="G94" s="19"/>
      <c r="H94" s="19"/>
      <c r="I94" s="19"/>
      <c r="J94" s="19"/>
      <c r="K94" s="19"/>
      <c r="L94" s="19"/>
      <c r="M94" s="19"/>
      <c r="N94" s="19"/>
      <c r="O94" s="19"/>
      <c r="P94" s="20"/>
      <c r="Q94" s="17"/>
      <c r="R94" s="22"/>
      <c r="S94" s="22"/>
      <c r="T94" s="20"/>
      <c r="U94" s="20"/>
      <c r="V94" s="20"/>
      <c r="W94" s="19"/>
      <c r="X94" s="19"/>
      <c r="Y94" s="19"/>
      <c r="Z94" s="23"/>
    </row>
    <row r="95" spans="1:26" ht="15.75" customHeight="1" x14ac:dyDescent="0.2">
      <c r="A95" s="17"/>
      <c r="B95" s="34"/>
      <c r="C95" s="34"/>
      <c r="D95" s="34"/>
      <c r="E95" s="19"/>
      <c r="F95" s="19"/>
      <c r="G95" s="19"/>
      <c r="H95" s="19"/>
      <c r="I95" s="19"/>
      <c r="J95" s="19"/>
      <c r="K95" s="19"/>
      <c r="L95" s="19"/>
      <c r="M95" s="19"/>
      <c r="N95" s="19"/>
      <c r="O95" s="19"/>
      <c r="P95" s="20"/>
      <c r="Q95" s="17"/>
      <c r="R95" s="22"/>
      <c r="S95" s="22"/>
      <c r="T95" s="20"/>
      <c r="U95" s="20"/>
      <c r="V95" s="20"/>
      <c r="W95" s="19"/>
      <c r="X95" s="19"/>
      <c r="Y95" s="19"/>
      <c r="Z95" s="23"/>
    </row>
    <row r="96" spans="1:26" ht="15.75" customHeight="1" x14ac:dyDescent="0.2">
      <c r="A96" s="17"/>
      <c r="B96" s="34"/>
      <c r="C96" s="34"/>
      <c r="D96" s="34"/>
      <c r="E96" s="19"/>
      <c r="F96" s="19"/>
      <c r="G96" s="19"/>
      <c r="H96" s="19"/>
      <c r="I96" s="19"/>
      <c r="J96" s="19"/>
      <c r="K96" s="19"/>
      <c r="L96" s="19"/>
      <c r="M96" s="19"/>
      <c r="N96" s="19"/>
      <c r="O96" s="19"/>
      <c r="P96" s="20"/>
      <c r="Q96" s="17"/>
      <c r="R96" s="22"/>
      <c r="S96" s="22"/>
      <c r="T96" s="20"/>
      <c r="U96" s="20"/>
      <c r="V96" s="20"/>
      <c r="W96" s="19"/>
      <c r="X96" s="19"/>
      <c r="Y96" s="19"/>
      <c r="Z96" s="23"/>
    </row>
    <row r="97" spans="1:26" ht="15.75" customHeight="1" x14ac:dyDescent="0.2">
      <c r="A97" s="34"/>
      <c r="B97" s="34"/>
      <c r="C97" s="34"/>
      <c r="D97" s="34"/>
      <c r="E97" s="19"/>
      <c r="F97" s="19"/>
      <c r="G97" s="19"/>
      <c r="H97" s="19"/>
      <c r="I97" s="19"/>
      <c r="J97" s="19"/>
      <c r="K97" s="19"/>
      <c r="L97" s="19"/>
      <c r="M97" s="19"/>
      <c r="N97" s="19"/>
      <c r="O97" s="19"/>
      <c r="P97" s="20"/>
      <c r="Q97" s="20"/>
      <c r="R97" s="22"/>
      <c r="S97" s="22"/>
      <c r="T97" s="20"/>
      <c r="U97" s="20"/>
      <c r="V97" s="20"/>
      <c r="W97" s="19"/>
      <c r="X97" s="19"/>
      <c r="Y97" s="19"/>
      <c r="Z97" s="23"/>
    </row>
    <row r="98" spans="1:26" ht="15.75" customHeight="1" x14ac:dyDescent="0.2">
      <c r="A98" s="34"/>
      <c r="B98" s="34"/>
      <c r="C98" s="34"/>
      <c r="D98" s="34"/>
      <c r="E98" s="19"/>
      <c r="F98" s="19"/>
      <c r="G98" s="19"/>
      <c r="H98" s="19"/>
      <c r="I98" s="19"/>
      <c r="J98" s="19"/>
      <c r="K98" s="19"/>
      <c r="L98" s="19"/>
      <c r="M98" s="19"/>
      <c r="N98" s="19"/>
      <c r="O98" s="19"/>
      <c r="P98" s="20"/>
      <c r="Q98" s="20"/>
      <c r="R98" s="22"/>
      <c r="S98" s="22"/>
      <c r="T98" s="20"/>
      <c r="U98" s="20"/>
      <c r="V98" s="20"/>
      <c r="W98" s="19"/>
      <c r="X98" s="19"/>
      <c r="Y98" s="19"/>
      <c r="Z98" s="23"/>
    </row>
    <row r="99" spans="1:26" ht="15.75" customHeight="1" x14ac:dyDescent="0.2">
      <c r="A99" s="34"/>
      <c r="B99" s="34"/>
      <c r="C99" s="34"/>
      <c r="D99" s="34"/>
      <c r="E99" s="19"/>
      <c r="F99" s="19"/>
      <c r="G99" s="19"/>
      <c r="H99" s="19"/>
      <c r="I99" s="19"/>
      <c r="J99" s="19"/>
      <c r="K99" s="19"/>
      <c r="L99" s="19"/>
      <c r="M99" s="19"/>
      <c r="N99" s="19"/>
      <c r="O99" s="19"/>
      <c r="P99" s="20"/>
      <c r="Q99" s="20"/>
      <c r="R99" s="22"/>
      <c r="S99" s="22"/>
      <c r="T99" s="20"/>
      <c r="U99" s="20"/>
      <c r="V99" s="20"/>
      <c r="W99" s="19"/>
      <c r="X99" s="19"/>
      <c r="Y99" s="19"/>
      <c r="Z99" s="23"/>
    </row>
    <row r="100" spans="1:26" ht="15.75" customHeight="1" x14ac:dyDescent="0.2">
      <c r="A100" s="34"/>
      <c r="B100" s="34"/>
      <c r="C100" s="34"/>
      <c r="D100" s="34"/>
      <c r="E100" s="19"/>
      <c r="F100" s="19"/>
      <c r="G100" s="19"/>
      <c r="H100" s="19"/>
      <c r="I100" s="19"/>
      <c r="J100" s="19"/>
      <c r="K100" s="19"/>
      <c r="L100" s="19"/>
      <c r="M100" s="19"/>
      <c r="N100" s="19"/>
      <c r="O100" s="19"/>
      <c r="P100" s="20"/>
      <c r="Q100" s="20"/>
      <c r="R100" s="22"/>
      <c r="S100" s="22"/>
      <c r="T100" s="20"/>
      <c r="U100" s="20"/>
      <c r="V100" s="20"/>
      <c r="W100" s="19"/>
      <c r="X100" s="19"/>
      <c r="Y100" s="19"/>
      <c r="Z100" s="23"/>
    </row>
    <row r="101" spans="1:26" ht="15.75" customHeight="1" x14ac:dyDescent="0.2">
      <c r="A101" s="34"/>
      <c r="B101" s="34"/>
      <c r="C101" s="34"/>
      <c r="D101" s="34"/>
      <c r="E101" s="19"/>
      <c r="F101" s="19"/>
      <c r="G101" s="19"/>
      <c r="H101" s="19"/>
      <c r="I101" s="19"/>
      <c r="J101" s="19"/>
      <c r="K101" s="19"/>
      <c r="L101" s="19"/>
      <c r="M101" s="19"/>
      <c r="N101" s="19"/>
      <c r="O101" s="19"/>
      <c r="P101" s="20"/>
      <c r="Q101" s="20"/>
      <c r="R101" s="22"/>
      <c r="S101" s="22"/>
      <c r="T101" s="20"/>
      <c r="U101" s="20"/>
      <c r="V101" s="20"/>
      <c r="W101" s="19"/>
      <c r="X101" s="19"/>
      <c r="Y101" s="19"/>
      <c r="Z101" s="23"/>
    </row>
    <row r="102" spans="1:26" ht="15.75" customHeight="1" x14ac:dyDescent="0.2">
      <c r="A102" s="34"/>
      <c r="B102" s="34"/>
      <c r="C102" s="34"/>
      <c r="D102" s="34"/>
      <c r="E102" s="19"/>
      <c r="F102" s="19"/>
      <c r="G102" s="19"/>
      <c r="H102" s="19"/>
      <c r="I102" s="19"/>
      <c r="J102" s="19"/>
      <c r="K102" s="19"/>
      <c r="L102" s="19"/>
      <c r="M102" s="19"/>
      <c r="N102" s="19"/>
      <c r="O102" s="19"/>
      <c r="P102" s="20"/>
      <c r="Q102" s="20"/>
      <c r="R102" s="22"/>
      <c r="S102" s="22"/>
      <c r="T102" s="20"/>
      <c r="U102" s="20"/>
      <c r="V102" s="20"/>
      <c r="W102" s="19"/>
      <c r="X102" s="19"/>
      <c r="Y102" s="19"/>
      <c r="Z102" s="23"/>
    </row>
    <row r="103" spans="1:26" ht="15.75" customHeight="1" x14ac:dyDescent="0.2">
      <c r="A103" s="34"/>
      <c r="B103" s="34"/>
      <c r="C103" s="34"/>
      <c r="D103" s="34"/>
      <c r="E103" s="19"/>
      <c r="F103" s="19"/>
      <c r="G103" s="19"/>
      <c r="H103" s="19"/>
      <c r="I103" s="19"/>
      <c r="J103" s="19"/>
      <c r="K103" s="19"/>
      <c r="L103" s="19"/>
      <c r="M103" s="19"/>
      <c r="N103" s="19"/>
      <c r="O103" s="19"/>
      <c r="P103" s="20"/>
      <c r="Q103" s="20"/>
      <c r="R103" s="22"/>
      <c r="S103" s="22"/>
      <c r="T103" s="20"/>
      <c r="U103" s="20"/>
      <c r="V103" s="20"/>
      <c r="W103" s="19"/>
      <c r="X103" s="19"/>
      <c r="Y103" s="19"/>
      <c r="Z103" s="23"/>
    </row>
    <row r="104" spans="1:26" ht="15.75" customHeight="1" x14ac:dyDescent="0.2">
      <c r="A104" s="34"/>
      <c r="B104" s="34"/>
      <c r="C104" s="34"/>
      <c r="D104" s="34"/>
      <c r="E104" s="19"/>
      <c r="F104" s="19"/>
      <c r="G104" s="19"/>
      <c r="H104" s="19"/>
      <c r="I104" s="19"/>
      <c r="J104" s="19"/>
      <c r="K104" s="19"/>
      <c r="L104" s="19"/>
      <c r="M104" s="19"/>
      <c r="N104" s="19"/>
      <c r="O104" s="19"/>
      <c r="P104" s="20"/>
      <c r="Q104" s="20"/>
      <c r="R104" s="22"/>
      <c r="S104" s="22"/>
      <c r="T104" s="20"/>
      <c r="U104" s="20"/>
      <c r="V104" s="20"/>
      <c r="W104" s="19"/>
      <c r="X104" s="19"/>
      <c r="Y104" s="19"/>
      <c r="Z104" s="23"/>
    </row>
    <row r="105" spans="1:26" ht="15.75" customHeight="1" x14ac:dyDescent="0.2">
      <c r="A105" s="34"/>
      <c r="B105" s="34"/>
      <c r="C105" s="34"/>
      <c r="D105" s="34"/>
      <c r="E105" s="19"/>
      <c r="F105" s="19"/>
      <c r="G105" s="19"/>
      <c r="H105" s="19"/>
      <c r="I105" s="19"/>
      <c r="J105" s="19"/>
      <c r="K105" s="19"/>
      <c r="L105" s="19"/>
      <c r="M105" s="19"/>
      <c r="N105" s="19"/>
      <c r="O105" s="19"/>
      <c r="P105" s="20"/>
      <c r="Q105" s="20"/>
      <c r="R105" s="22"/>
      <c r="S105" s="22"/>
      <c r="T105" s="20"/>
      <c r="U105" s="20"/>
      <c r="V105" s="20"/>
      <c r="W105" s="19"/>
      <c r="X105" s="19"/>
      <c r="Y105" s="19"/>
      <c r="Z105" s="23"/>
    </row>
    <row r="106" spans="1:26" ht="15.75" customHeight="1" x14ac:dyDescent="0.2">
      <c r="A106" s="34"/>
      <c r="B106" s="34"/>
      <c r="C106" s="34"/>
      <c r="D106" s="34"/>
      <c r="E106" s="19"/>
      <c r="F106" s="19"/>
      <c r="G106" s="19"/>
      <c r="H106" s="19"/>
      <c r="I106" s="19"/>
      <c r="J106" s="19"/>
      <c r="K106" s="19"/>
      <c r="L106" s="19"/>
      <c r="M106" s="19"/>
      <c r="N106" s="19"/>
      <c r="O106" s="19"/>
      <c r="P106" s="20"/>
      <c r="Q106" s="20"/>
      <c r="R106" s="22"/>
      <c r="S106" s="22"/>
      <c r="T106" s="20"/>
      <c r="U106" s="20"/>
      <c r="V106" s="20"/>
      <c r="W106" s="19"/>
      <c r="X106" s="19"/>
      <c r="Y106" s="19"/>
      <c r="Z106" s="23"/>
    </row>
    <row r="107" spans="1:26" ht="15.75" customHeight="1" x14ac:dyDescent="0.2">
      <c r="A107" s="34"/>
      <c r="B107" s="34"/>
      <c r="C107" s="34"/>
      <c r="D107" s="34"/>
      <c r="E107" s="19"/>
      <c r="F107" s="19"/>
      <c r="G107" s="19"/>
      <c r="H107" s="19"/>
      <c r="I107" s="19"/>
      <c r="J107" s="19"/>
      <c r="K107" s="19"/>
      <c r="L107" s="19"/>
      <c r="M107" s="19"/>
      <c r="N107" s="19"/>
      <c r="O107" s="19"/>
      <c r="P107" s="20"/>
      <c r="Q107" s="20"/>
      <c r="R107" s="22"/>
      <c r="S107" s="22"/>
      <c r="T107" s="20"/>
      <c r="U107" s="20"/>
      <c r="V107" s="20"/>
      <c r="W107" s="19"/>
      <c r="X107" s="19"/>
      <c r="Y107" s="19"/>
      <c r="Z107" s="23"/>
    </row>
    <row r="108" spans="1:26" ht="15.75" customHeight="1" x14ac:dyDescent="0.2">
      <c r="A108" s="34"/>
      <c r="B108" s="34"/>
      <c r="C108" s="34"/>
      <c r="D108" s="34"/>
      <c r="E108" s="19"/>
      <c r="F108" s="19"/>
      <c r="G108" s="19"/>
      <c r="H108" s="19"/>
      <c r="I108" s="19"/>
      <c r="J108" s="19"/>
      <c r="K108" s="19"/>
      <c r="L108" s="19"/>
      <c r="M108" s="19"/>
      <c r="N108" s="19"/>
      <c r="O108" s="19"/>
      <c r="P108" s="20"/>
      <c r="Q108" s="20"/>
      <c r="R108" s="22"/>
      <c r="S108" s="22"/>
      <c r="T108" s="20"/>
      <c r="U108" s="20"/>
      <c r="V108" s="20"/>
      <c r="W108" s="19"/>
      <c r="X108" s="19"/>
      <c r="Y108" s="19"/>
      <c r="Z108" s="23"/>
    </row>
    <row r="109" spans="1:26" ht="15.75" customHeight="1" x14ac:dyDescent="0.2">
      <c r="A109" s="34"/>
      <c r="B109" s="34"/>
      <c r="C109" s="34"/>
      <c r="D109" s="34"/>
      <c r="E109" s="19"/>
      <c r="F109" s="19"/>
      <c r="G109" s="19"/>
      <c r="H109" s="19"/>
      <c r="I109" s="19"/>
      <c r="J109" s="19"/>
      <c r="K109" s="19"/>
      <c r="L109" s="19"/>
      <c r="M109" s="19"/>
      <c r="N109" s="19"/>
      <c r="O109" s="19"/>
      <c r="P109" s="20"/>
      <c r="Q109" s="20"/>
      <c r="R109" s="22"/>
      <c r="S109" s="22"/>
      <c r="T109" s="20"/>
      <c r="U109" s="20"/>
      <c r="V109" s="20"/>
      <c r="W109" s="19"/>
      <c r="X109" s="19"/>
      <c r="Y109" s="19"/>
      <c r="Z109" s="23"/>
    </row>
    <row r="110" spans="1:26" ht="15.75" customHeight="1" x14ac:dyDescent="0.2">
      <c r="A110" s="34"/>
      <c r="B110" s="34"/>
      <c r="C110" s="34"/>
      <c r="D110" s="34"/>
      <c r="E110" s="19"/>
      <c r="F110" s="19"/>
      <c r="G110" s="19"/>
      <c r="H110" s="19"/>
      <c r="I110" s="19"/>
      <c r="J110" s="19"/>
      <c r="K110" s="19"/>
      <c r="L110" s="19"/>
      <c r="M110" s="19"/>
      <c r="N110" s="19"/>
      <c r="O110" s="19"/>
      <c r="P110" s="20"/>
      <c r="Q110" s="20"/>
      <c r="R110" s="22"/>
      <c r="S110" s="22"/>
      <c r="T110" s="20"/>
      <c r="U110" s="20"/>
      <c r="V110" s="20"/>
      <c r="W110" s="19"/>
      <c r="X110" s="19"/>
      <c r="Y110" s="19"/>
      <c r="Z110" s="23"/>
    </row>
    <row r="111" spans="1:26" ht="15.75" customHeight="1" x14ac:dyDescent="0.2">
      <c r="A111" s="34"/>
      <c r="B111" s="34"/>
      <c r="C111" s="34"/>
      <c r="D111" s="34"/>
      <c r="E111" s="19"/>
      <c r="F111" s="19"/>
      <c r="G111" s="19"/>
      <c r="H111" s="19"/>
      <c r="I111" s="19"/>
      <c r="J111" s="19"/>
      <c r="K111" s="19"/>
      <c r="L111" s="19"/>
      <c r="M111" s="19"/>
      <c r="N111" s="19"/>
      <c r="O111" s="19"/>
      <c r="P111" s="20"/>
      <c r="Q111" s="20"/>
      <c r="R111" s="22"/>
      <c r="S111" s="22"/>
      <c r="T111" s="20"/>
      <c r="U111" s="20"/>
      <c r="V111" s="20"/>
      <c r="W111" s="19"/>
      <c r="X111" s="19"/>
      <c r="Y111" s="19"/>
      <c r="Z111" s="23"/>
    </row>
    <row r="112" spans="1:26" ht="15.75" customHeight="1" x14ac:dyDescent="0.2">
      <c r="A112" s="34"/>
      <c r="B112" s="34"/>
      <c r="C112" s="34"/>
      <c r="D112" s="34"/>
      <c r="E112" s="19"/>
      <c r="F112" s="19"/>
      <c r="G112" s="19"/>
      <c r="H112" s="19"/>
      <c r="I112" s="19"/>
      <c r="J112" s="19"/>
      <c r="K112" s="19"/>
      <c r="L112" s="19"/>
      <c r="M112" s="19"/>
      <c r="N112" s="19"/>
      <c r="O112" s="19"/>
      <c r="P112" s="20"/>
      <c r="Q112" s="20"/>
      <c r="R112" s="22"/>
      <c r="S112" s="22"/>
      <c r="T112" s="20"/>
      <c r="U112" s="20"/>
      <c r="V112" s="20"/>
      <c r="W112" s="19"/>
      <c r="X112" s="19"/>
      <c r="Y112" s="19"/>
      <c r="Z112" s="23"/>
    </row>
    <row r="113" spans="1:26" ht="15.75" customHeight="1" x14ac:dyDescent="0.2">
      <c r="A113" s="34"/>
      <c r="B113" s="34"/>
      <c r="C113" s="34"/>
      <c r="D113" s="34"/>
      <c r="E113" s="19"/>
      <c r="F113" s="19"/>
      <c r="G113" s="19"/>
      <c r="H113" s="19"/>
      <c r="I113" s="19"/>
      <c r="J113" s="19"/>
      <c r="K113" s="19"/>
      <c r="L113" s="19"/>
      <c r="M113" s="19"/>
      <c r="N113" s="19"/>
      <c r="O113" s="19"/>
      <c r="P113" s="20"/>
      <c r="Q113" s="20"/>
      <c r="R113" s="22"/>
      <c r="S113" s="22"/>
      <c r="T113" s="20"/>
      <c r="U113" s="20"/>
      <c r="V113" s="20"/>
      <c r="W113" s="19"/>
      <c r="X113" s="19"/>
      <c r="Y113" s="19"/>
      <c r="Z113" s="23"/>
    </row>
    <row r="114" spans="1:26" ht="15.75" customHeight="1" x14ac:dyDescent="0.2">
      <c r="A114" s="34"/>
      <c r="B114" s="34"/>
      <c r="C114" s="34"/>
      <c r="D114" s="34"/>
      <c r="E114" s="19"/>
      <c r="F114" s="19"/>
      <c r="G114" s="19"/>
      <c r="H114" s="19"/>
      <c r="I114" s="19"/>
      <c r="J114" s="19"/>
      <c r="K114" s="19"/>
      <c r="L114" s="19"/>
      <c r="M114" s="19"/>
      <c r="N114" s="19"/>
      <c r="O114" s="19"/>
      <c r="P114" s="20"/>
      <c r="Q114" s="20"/>
      <c r="R114" s="22"/>
      <c r="S114" s="22"/>
      <c r="T114" s="20"/>
      <c r="U114" s="20"/>
      <c r="V114" s="20"/>
      <c r="W114" s="19"/>
      <c r="X114" s="19"/>
      <c r="Y114" s="19"/>
      <c r="Z114" s="23"/>
    </row>
    <row r="115" spans="1:26" ht="15.75" customHeight="1" x14ac:dyDescent="0.2">
      <c r="A115" s="34"/>
      <c r="B115" s="34"/>
      <c r="C115" s="34"/>
      <c r="D115" s="34"/>
      <c r="E115" s="19"/>
      <c r="F115" s="19"/>
      <c r="G115" s="19"/>
      <c r="H115" s="19"/>
      <c r="I115" s="19"/>
      <c r="J115" s="19"/>
      <c r="K115" s="19"/>
      <c r="L115" s="19"/>
      <c r="M115" s="19"/>
      <c r="N115" s="19"/>
      <c r="O115" s="19"/>
      <c r="P115" s="20"/>
      <c r="Q115" s="20"/>
      <c r="R115" s="22"/>
      <c r="S115" s="22"/>
      <c r="T115" s="20"/>
      <c r="U115" s="20"/>
      <c r="V115" s="20"/>
      <c r="W115" s="19"/>
      <c r="X115" s="19"/>
      <c r="Y115" s="19"/>
      <c r="Z115" s="23"/>
    </row>
    <row r="116" spans="1:26" ht="15.75" customHeight="1" x14ac:dyDescent="0.2">
      <c r="A116" s="34"/>
      <c r="B116" s="34"/>
      <c r="C116" s="34"/>
      <c r="D116" s="34"/>
      <c r="E116" s="19"/>
      <c r="F116" s="19"/>
      <c r="G116" s="19"/>
      <c r="H116" s="19"/>
      <c r="I116" s="19"/>
      <c r="J116" s="19"/>
      <c r="K116" s="19"/>
      <c r="L116" s="19"/>
      <c r="M116" s="19"/>
      <c r="N116" s="19"/>
      <c r="O116" s="19"/>
      <c r="P116" s="20"/>
      <c r="Q116" s="20"/>
      <c r="R116" s="22"/>
      <c r="S116" s="22"/>
      <c r="T116" s="20"/>
      <c r="U116" s="20"/>
      <c r="V116" s="20"/>
      <c r="W116" s="19"/>
      <c r="X116" s="19"/>
      <c r="Y116" s="19"/>
      <c r="Z116" s="23"/>
    </row>
    <row r="117" spans="1:26" ht="15.75" customHeight="1" x14ac:dyDescent="0.2">
      <c r="A117" s="34"/>
      <c r="B117" s="34"/>
      <c r="C117" s="34"/>
      <c r="D117" s="34"/>
      <c r="E117" s="19"/>
      <c r="F117" s="19"/>
      <c r="G117" s="19"/>
      <c r="H117" s="19"/>
      <c r="I117" s="19"/>
      <c r="J117" s="19"/>
      <c r="K117" s="19"/>
      <c r="L117" s="19"/>
      <c r="M117" s="19"/>
      <c r="N117" s="19"/>
      <c r="O117" s="19"/>
      <c r="P117" s="20"/>
      <c r="Q117" s="20"/>
      <c r="R117" s="22"/>
      <c r="S117" s="22"/>
      <c r="T117" s="20"/>
      <c r="U117" s="20"/>
      <c r="V117" s="20"/>
      <c r="W117" s="19"/>
      <c r="X117" s="19"/>
      <c r="Y117" s="19"/>
      <c r="Z117" s="23"/>
    </row>
    <row r="118" spans="1:26" ht="15.75" customHeight="1" x14ac:dyDescent="0.2">
      <c r="A118" s="34"/>
      <c r="B118" s="34"/>
      <c r="C118" s="34"/>
      <c r="D118" s="34"/>
      <c r="E118" s="19"/>
      <c r="F118" s="19"/>
      <c r="G118" s="19"/>
      <c r="H118" s="19"/>
      <c r="I118" s="19"/>
      <c r="J118" s="19"/>
      <c r="K118" s="19"/>
      <c r="L118" s="19"/>
      <c r="M118" s="19"/>
      <c r="N118" s="19"/>
      <c r="O118" s="19"/>
      <c r="P118" s="20"/>
      <c r="Q118" s="20"/>
      <c r="R118" s="22"/>
      <c r="S118" s="22"/>
      <c r="T118" s="20"/>
      <c r="U118" s="20"/>
      <c r="V118" s="20"/>
      <c r="W118" s="19"/>
      <c r="X118" s="19"/>
      <c r="Y118" s="19"/>
      <c r="Z118" s="23"/>
    </row>
    <row r="119" spans="1:26" ht="15.75" customHeight="1" x14ac:dyDescent="0.2">
      <c r="A119" s="34"/>
      <c r="B119" s="34"/>
      <c r="C119" s="34"/>
      <c r="D119" s="34"/>
      <c r="E119" s="19"/>
      <c r="F119" s="19"/>
      <c r="G119" s="19"/>
      <c r="H119" s="19"/>
      <c r="I119" s="19"/>
      <c r="J119" s="19"/>
      <c r="K119" s="19"/>
      <c r="L119" s="19"/>
      <c r="M119" s="19"/>
      <c r="N119" s="19"/>
      <c r="O119" s="19"/>
      <c r="P119" s="20"/>
      <c r="Q119" s="20"/>
      <c r="R119" s="22"/>
      <c r="S119" s="22"/>
      <c r="T119" s="20"/>
      <c r="U119" s="20"/>
      <c r="V119" s="20"/>
      <c r="W119" s="19"/>
      <c r="X119" s="19"/>
      <c r="Y119" s="19"/>
      <c r="Z119" s="23"/>
    </row>
    <row r="120" spans="1:26" ht="15.75" customHeight="1" x14ac:dyDescent="0.2">
      <c r="A120" s="34"/>
      <c r="B120" s="34"/>
      <c r="C120" s="34"/>
      <c r="D120" s="34"/>
      <c r="E120" s="19"/>
      <c r="F120" s="19"/>
      <c r="G120" s="19"/>
      <c r="H120" s="19"/>
      <c r="I120" s="19"/>
      <c r="J120" s="19"/>
      <c r="K120" s="19"/>
      <c r="L120" s="19"/>
      <c r="M120" s="19"/>
      <c r="N120" s="19"/>
      <c r="O120" s="19"/>
      <c r="P120" s="20"/>
      <c r="Q120" s="20"/>
      <c r="R120" s="22"/>
      <c r="S120" s="22"/>
      <c r="T120" s="20"/>
      <c r="U120" s="20"/>
      <c r="V120" s="20"/>
      <c r="W120" s="19"/>
      <c r="X120" s="19"/>
      <c r="Y120" s="19"/>
      <c r="Z120" s="23"/>
    </row>
    <row r="121" spans="1:26" ht="15.75" customHeight="1" x14ac:dyDescent="0.2">
      <c r="A121" s="34"/>
      <c r="B121" s="34"/>
      <c r="C121" s="34"/>
      <c r="D121" s="34"/>
      <c r="E121" s="19"/>
      <c r="F121" s="19"/>
      <c r="G121" s="19"/>
      <c r="H121" s="19"/>
      <c r="I121" s="19"/>
      <c r="J121" s="19"/>
      <c r="K121" s="19"/>
      <c r="L121" s="19"/>
      <c r="M121" s="19"/>
      <c r="N121" s="19"/>
      <c r="O121" s="19"/>
      <c r="P121" s="20"/>
      <c r="Q121" s="20"/>
      <c r="R121" s="22"/>
      <c r="S121" s="22"/>
      <c r="T121" s="20"/>
      <c r="U121" s="20"/>
      <c r="V121" s="20"/>
      <c r="W121" s="19"/>
      <c r="X121" s="19"/>
      <c r="Y121" s="19"/>
      <c r="Z121" s="23"/>
    </row>
    <row r="122" spans="1:26" ht="15.75" customHeight="1" x14ac:dyDescent="0.2">
      <c r="A122" s="34"/>
      <c r="B122" s="34"/>
      <c r="C122" s="34"/>
      <c r="D122" s="34"/>
      <c r="E122" s="19"/>
      <c r="F122" s="19"/>
      <c r="G122" s="19"/>
      <c r="H122" s="19"/>
      <c r="I122" s="19"/>
      <c r="J122" s="19"/>
      <c r="K122" s="19"/>
      <c r="L122" s="19"/>
      <c r="M122" s="19"/>
      <c r="N122" s="19"/>
      <c r="O122" s="19"/>
      <c r="P122" s="20"/>
      <c r="Q122" s="20"/>
      <c r="R122" s="22"/>
      <c r="S122" s="22"/>
      <c r="T122" s="20"/>
      <c r="U122" s="20"/>
      <c r="V122" s="20"/>
      <c r="W122" s="19"/>
      <c r="X122" s="19"/>
      <c r="Y122" s="19"/>
      <c r="Z122" s="23"/>
    </row>
    <row r="123" spans="1:26" ht="15.75" customHeight="1" x14ac:dyDescent="0.2">
      <c r="A123" s="34"/>
      <c r="B123" s="34"/>
      <c r="C123" s="34"/>
      <c r="D123" s="34"/>
      <c r="E123" s="19"/>
      <c r="F123" s="19"/>
      <c r="G123" s="19"/>
      <c r="H123" s="19"/>
      <c r="I123" s="19"/>
      <c r="J123" s="19"/>
      <c r="K123" s="19"/>
      <c r="L123" s="19"/>
      <c r="M123" s="19"/>
      <c r="N123" s="19"/>
      <c r="O123" s="19"/>
      <c r="P123" s="20"/>
      <c r="Q123" s="20"/>
      <c r="R123" s="22"/>
      <c r="S123" s="22"/>
      <c r="T123" s="20"/>
      <c r="U123" s="20"/>
      <c r="V123" s="20"/>
      <c r="W123" s="19"/>
      <c r="X123" s="19"/>
      <c r="Y123" s="19"/>
      <c r="Z123" s="23"/>
    </row>
    <row r="124" spans="1:26" ht="15.75" customHeight="1" x14ac:dyDescent="0.2">
      <c r="A124" s="34"/>
      <c r="B124" s="34"/>
      <c r="C124" s="34"/>
      <c r="D124" s="34"/>
      <c r="E124" s="19"/>
      <c r="F124" s="19"/>
      <c r="G124" s="19"/>
      <c r="H124" s="19"/>
      <c r="I124" s="19"/>
      <c r="J124" s="19"/>
      <c r="K124" s="19"/>
      <c r="L124" s="19"/>
      <c r="M124" s="19"/>
      <c r="N124" s="19"/>
      <c r="O124" s="19"/>
      <c r="P124" s="20"/>
      <c r="Q124" s="20"/>
      <c r="R124" s="22"/>
      <c r="S124" s="22"/>
      <c r="T124" s="20"/>
      <c r="U124" s="20"/>
      <c r="V124" s="20"/>
      <c r="W124" s="19"/>
      <c r="X124" s="19"/>
      <c r="Y124" s="19"/>
      <c r="Z124" s="23"/>
    </row>
    <row r="125" spans="1:26" ht="15.75" customHeight="1" x14ac:dyDescent="0.2">
      <c r="A125" s="34"/>
      <c r="B125" s="34"/>
      <c r="C125" s="34"/>
      <c r="D125" s="34"/>
      <c r="E125" s="19"/>
      <c r="F125" s="19"/>
      <c r="G125" s="19"/>
      <c r="H125" s="19"/>
      <c r="I125" s="19"/>
      <c r="J125" s="19"/>
      <c r="K125" s="19"/>
      <c r="L125" s="19"/>
      <c r="M125" s="19"/>
      <c r="N125" s="19"/>
      <c r="O125" s="19"/>
      <c r="P125" s="20"/>
      <c r="Q125" s="20"/>
      <c r="R125" s="22"/>
      <c r="S125" s="22"/>
      <c r="T125" s="20"/>
      <c r="U125" s="20"/>
      <c r="V125" s="20"/>
      <c r="W125" s="19"/>
      <c r="X125" s="19"/>
      <c r="Y125" s="19"/>
      <c r="Z125" s="23"/>
    </row>
    <row r="126" spans="1:26" ht="15.75" customHeight="1" x14ac:dyDescent="0.2">
      <c r="A126" s="34"/>
      <c r="B126" s="34"/>
      <c r="C126" s="34"/>
      <c r="D126" s="34"/>
      <c r="E126" s="19"/>
      <c r="F126" s="19"/>
      <c r="G126" s="19"/>
      <c r="H126" s="19"/>
      <c r="I126" s="19"/>
      <c r="J126" s="19"/>
      <c r="K126" s="19"/>
      <c r="L126" s="19"/>
      <c r="M126" s="19"/>
      <c r="N126" s="19"/>
      <c r="O126" s="19"/>
      <c r="P126" s="20"/>
      <c r="Q126" s="20"/>
      <c r="R126" s="22"/>
      <c r="S126" s="22"/>
      <c r="T126" s="20"/>
      <c r="U126" s="20"/>
      <c r="V126" s="20"/>
      <c r="W126" s="19"/>
      <c r="X126" s="19"/>
      <c r="Y126" s="19"/>
      <c r="Z126" s="23"/>
    </row>
    <row r="127" spans="1:26" ht="15.75" customHeight="1" x14ac:dyDescent="0.2">
      <c r="A127" s="34"/>
      <c r="B127" s="34"/>
      <c r="C127" s="34"/>
      <c r="D127" s="34"/>
      <c r="E127" s="19"/>
      <c r="F127" s="19"/>
      <c r="G127" s="19"/>
      <c r="H127" s="19"/>
      <c r="I127" s="19"/>
      <c r="J127" s="19"/>
      <c r="K127" s="19"/>
      <c r="L127" s="19"/>
      <c r="M127" s="19"/>
      <c r="N127" s="19"/>
      <c r="O127" s="19"/>
      <c r="P127" s="20"/>
      <c r="Q127" s="20"/>
      <c r="R127" s="22"/>
      <c r="S127" s="22"/>
      <c r="T127" s="20"/>
      <c r="U127" s="20"/>
      <c r="V127" s="20"/>
      <c r="W127" s="19"/>
      <c r="X127" s="19"/>
      <c r="Y127" s="19"/>
      <c r="Z127" s="23"/>
    </row>
    <row r="128" spans="1:26" ht="15.75" customHeight="1" x14ac:dyDescent="0.2">
      <c r="A128" s="34"/>
      <c r="B128" s="34"/>
      <c r="C128" s="34"/>
      <c r="D128" s="34"/>
      <c r="E128" s="19"/>
      <c r="F128" s="19"/>
      <c r="G128" s="19"/>
      <c r="H128" s="19"/>
      <c r="I128" s="19"/>
      <c r="J128" s="19"/>
      <c r="K128" s="19"/>
      <c r="L128" s="19"/>
      <c r="M128" s="19"/>
      <c r="N128" s="19"/>
      <c r="O128" s="19"/>
      <c r="P128" s="20"/>
      <c r="Q128" s="20"/>
      <c r="R128" s="22"/>
      <c r="S128" s="22"/>
      <c r="T128" s="20"/>
      <c r="U128" s="20"/>
      <c r="V128" s="20"/>
      <c r="W128" s="19"/>
      <c r="X128" s="19"/>
      <c r="Y128" s="19"/>
      <c r="Z128" s="23"/>
    </row>
    <row r="129" spans="1:26" ht="15.75" customHeight="1" x14ac:dyDescent="0.2">
      <c r="A129" s="34"/>
      <c r="B129" s="34"/>
      <c r="C129" s="34"/>
      <c r="D129" s="34"/>
      <c r="E129" s="19"/>
      <c r="F129" s="19"/>
      <c r="G129" s="19"/>
      <c r="H129" s="19"/>
      <c r="I129" s="19"/>
      <c r="J129" s="19"/>
      <c r="K129" s="19"/>
      <c r="L129" s="19"/>
      <c r="M129" s="19"/>
      <c r="N129" s="19"/>
      <c r="O129" s="19"/>
      <c r="P129" s="20"/>
      <c r="Q129" s="20"/>
      <c r="R129" s="22"/>
      <c r="S129" s="22"/>
      <c r="T129" s="20"/>
      <c r="U129" s="20"/>
      <c r="V129" s="20"/>
      <c r="W129" s="19"/>
      <c r="X129" s="19"/>
      <c r="Y129" s="19"/>
      <c r="Z129" s="23"/>
    </row>
    <row r="130" spans="1:26" ht="15.75" customHeight="1" x14ac:dyDescent="0.2">
      <c r="A130" s="34"/>
      <c r="B130" s="34"/>
      <c r="C130" s="34"/>
      <c r="D130" s="34"/>
      <c r="E130" s="19"/>
      <c r="F130" s="19"/>
      <c r="G130" s="19"/>
      <c r="H130" s="19"/>
      <c r="I130" s="19"/>
      <c r="J130" s="19"/>
      <c r="K130" s="19"/>
      <c r="L130" s="19"/>
      <c r="M130" s="19"/>
      <c r="N130" s="19"/>
      <c r="O130" s="19"/>
      <c r="P130" s="20"/>
      <c r="Q130" s="20"/>
      <c r="R130" s="22"/>
      <c r="S130" s="22"/>
      <c r="T130" s="20"/>
      <c r="U130" s="20"/>
      <c r="V130" s="20"/>
      <c r="W130" s="19"/>
      <c r="X130" s="19"/>
      <c r="Y130" s="19"/>
      <c r="Z130" s="23"/>
    </row>
    <row r="131" spans="1:26" ht="15.75" customHeight="1" x14ac:dyDescent="0.2">
      <c r="A131" s="34"/>
      <c r="B131" s="34"/>
      <c r="C131" s="34"/>
      <c r="D131" s="34"/>
      <c r="E131" s="19"/>
      <c r="F131" s="19"/>
      <c r="G131" s="19"/>
      <c r="H131" s="19"/>
      <c r="I131" s="19"/>
      <c r="J131" s="19"/>
      <c r="K131" s="19"/>
      <c r="L131" s="19"/>
      <c r="M131" s="19"/>
      <c r="N131" s="19"/>
      <c r="O131" s="19"/>
      <c r="P131" s="20"/>
      <c r="Q131" s="20"/>
      <c r="R131" s="22"/>
      <c r="S131" s="22"/>
      <c r="T131" s="20"/>
      <c r="U131" s="20"/>
      <c r="V131" s="20"/>
      <c r="W131" s="19"/>
      <c r="X131" s="19"/>
      <c r="Y131" s="19"/>
      <c r="Z131" s="23"/>
    </row>
    <row r="132" spans="1:26" ht="15.75" customHeight="1" x14ac:dyDescent="0.2">
      <c r="A132" s="34"/>
      <c r="B132" s="34"/>
      <c r="C132" s="34"/>
      <c r="D132" s="34"/>
      <c r="E132" s="19"/>
      <c r="F132" s="19"/>
      <c r="G132" s="19"/>
      <c r="H132" s="19"/>
      <c r="I132" s="19"/>
      <c r="J132" s="19"/>
      <c r="K132" s="19"/>
      <c r="L132" s="19"/>
      <c r="M132" s="19"/>
      <c r="N132" s="19"/>
      <c r="O132" s="19"/>
      <c r="P132" s="20"/>
      <c r="Q132" s="20"/>
      <c r="R132" s="22"/>
      <c r="S132" s="22"/>
      <c r="T132" s="20"/>
      <c r="U132" s="20"/>
      <c r="V132" s="20"/>
      <c r="W132" s="19"/>
      <c r="X132" s="19"/>
      <c r="Y132" s="19"/>
      <c r="Z132" s="23"/>
    </row>
    <row r="133" spans="1:26" ht="15.75" customHeight="1" x14ac:dyDescent="0.2">
      <c r="A133" s="34"/>
      <c r="B133" s="34"/>
      <c r="C133" s="34"/>
      <c r="D133" s="34"/>
      <c r="E133" s="19"/>
      <c r="F133" s="19"/>
      <c r="G133" s="19"/>
      <c r="H133" s="19"/>
      <c r="I133" s="19"/>
      <c r="J133" s="19"/>
      <c r="K133" s="19"/>
      <c r="L133" s="19"/>
      <c r="M133" s="19"/>
      <c r="N133" s="19"/>
      <c r="O133" s="19"/>
      <c r="P133" s="20"/>
      <c r="Q133" s="20"/>
      <c r="R133" s="22"/>
      <c r="S133" s="22"/>
      <c r="T133" s="20"/>
      <c r="U133" s="20"/>
      <c r="V133" s="20"/>
      <c r="W133" s="19"/>
      <c r="X133" s="19"/>
      <c r="Y133" s="19"/>
      <c r="Z133" s="23"/>
    </row>
    <row r="134" spans="1:26" ht="15.75" customHeight="1" x14ac:dyDescent="0.2">
      <c r="A134" s="34"/>
      <c r="B134" s="34"/>
      <c r="C134" s="34"/>
      <c r="D134" s="34"/>
      <c r="E134" s="19"/>
      <c r="F134" s="19"/>
      <c r="G134" s="19"/>
      <c r="H134" s="19"/>
      <c r="I134" s="19"/>
      <c r="J134" s="19"/>
      <c r="K134" s="19"/>
      <c r="L134" s="19"/>
      <c r="M134" s="19"/>
      <c r="N134" s="19"/>
      <c r="O134" s="19"/>
      <c r="P134" s="20"/>
      <c r="Q134" s="20"/>
      <c r="R134" s="22"/>
      <c r="S134" s="22"/>
      <c r="T134" s="20"/>
      <c r="U134" s="20"/>
      <c r="V134" s="20"/>
      <c r="W134" s="19"/>
      <c r="X134" s="19"/>
      <c r="Y134" s="19"/>
      <c r="Z134" s="23"/>
    </row>
    <row r="135" spans="1:26" ht="15.75" customHeight="1" x14ac:dyDescent="0.2">
      <c r="A135" s="34"/>
      <c r="B135" s="34"/>
      <c r="C135" s="34"/>
      <c r="D135" s="34"/>
      <c r="E135" s="19"/>
      <c r="F135" s="19"/>
      <c r="G135" s="19"/>
      <c r="H135" s="19"/>
      <c r="I135" s="19"/>
      <c r="J135" s="19"/>
      <c r="K135" s="19"/>
      <c r="L135" s="19"/>
      <c r="M135" s="19"/>
      <c r="N135" s="19"/>
      <c r="O135" s="19"/>
      <c r="P135" s="20"/>
      <c r="Q135" s="20"/>
      <c r="R135" s="22"/>
      <c r="S135" s="22"/>
      <c r="T135" s="20"/>
      <c r="U135" s="20"/>
      <c r="V135" s="20"/>
      <c r="W135" s="19"/>
      <c r="X135" s="19"/>
      <c r="Y135" s="19"/>
      <c r="Z135" s="23"/>
    </row>
    <row r="136" spans="1:26" ht="15.75" customHeight="1" x14ac:dyDescent="0.2">
      <c r="A136" s="34"/>
      <c r="B136" s="34"/>
      <c r="C136" s="34"/>
      <c r="D136" s="34"/>
      <c r="E136" s="19"/>
      <c r="F136" s="19"/>
      <c r="G136" s="19"/>
      <c r="H136" s="19"/>
      <c r="I136" s="19"/>
      <c r="J136" s="19"/>
      <c r="K136" s="19"/>
      <c r="L136" s="19"/>
      <c r="M136" s="19"/>
      <c r="N136" s="19"/>
      <c r="O136" s="19"/>
      <c r="P136" s="20"/>
      <c r="Q136" s="20"/>
      <c r="R136" s="22"/>
      <c r="S136" s="22"/>
      <c r="T136" s="20"/>
      <c r="U136" s="20"/>
      <c r="V136" s="20"/>
      <c r="W136" s="19"/>
      <c r="X136" s="19"/>
      <c r="Y136" s="19"/>
      <c r="Z136" s="23"/>
    </row>
    <row r="137" spans="1:26" ht="15.75" customHeight="1" x14ac:dyDescent="0.2">
      <c r="A137" s="34"/>
      <c r="B137" s="34"/>
      <c r="C137" s="34"/>
      <c r="D137" s="34"/>
      <c r="E137" s="19"/>
      <c r="F137" s="19"/>
      <c r="G137" s="19"/>
      <c r="H137" s="19"/>
      <c r="I137" s="19"/>
      <c r="J137" s="19"/>
      <c r="K137" s="19"/>
      <c r="L137" s="19"/>
      <c r="M137" s="19"/>
      <c r="N137" s="19"/>
      <c r="O137" s="19"/>
      <c r="P137" s="20"/>
      <c r="Q137" s="20"/>
      <c r="R137" s="22"/>
      <c r="S137" s="22"/>
      <c r="T137" s="20"/>
      <c r="U137" s="20"/>
      <c r="V137" s="20"/>
      <c r="W137" s="19"/>
      <c r="X137" s="19"/>
      <c r="Y137" s="19"/>
      <c r="Z137" s="23"/>
    </row>
    <row r="138" spans="1:26" ht="15.75" customHeight="1" x14ac:dyDescent="0.2">
      <c r="A138" s="34"/>
      <c r="B138" s="34"/>
      <c r="C138" s="34"/>
      <c r="D138" s="34"/>
      <c r="E138" s="19"/>
      <c r="F138" s="19"/>
      <c r="G138" s="19"/>
      <c r="H138" s="19"/>
      <c r="I138" s="19"/>
      <c r="J138" s="19"/>
      <c r="K138" s="19"/>
      <c r="L138" s="19"/>
      <c r="M138" s="19"/>
      <c r="N138" s="19"/>
      <c r="O138" s="19"/>
      <c r="P138" s="20"/>
      <c r="Q138" s="20"/>
      <c r="R138" s="22"/>
      <c r="S138" s="22"/>
      <c r="T138" s="20"/>
      <c r="U138" s="20"/>
      <c r="V138" s="20"/>
      <c r="W138" s="19"/>
      <c r="X138" s="19"/>
      <c r="Y138" s="19"/>
      <c r="Z138" s="23"/>
    </row>
    <row r="139" spans="1:26" ht="15.75" customHeight="1" x14ac:dyDescent="0.2">
      <c r="A139" s="34"/>
      <c r="B139" s="34"/>
      <c r="C139" s="34"/>
      <c r="D139" s="34"/>
      <c r="E139" s="19"/>
      <c r="F139" s="19"/>
      <c r="G139" s="19"/>
      <c r="H139" s="19"/>
      <c r="I139" s="19"/>
      <c r="J139" s="19"/>
      <c r="K139" s="19"/>
      <c r="L139" s="19"/>
      <c r="M139" s="19"/>
      <c r="N139" s="19"/>
      <c r="O139" s="19"/>
      <c r="P139" s="20"/>
      <c r="Q139" s="20"/>
      <c r="R139" s="22"/>
      <c r="S139" s="22"/>
      <c r="T139" s="20"/>
      <c r="U139" s="20"/>
      <c r="V139" s="20"/>
      <c r="W139" s="19"/>
      <c r="X139" s="19"/>
      <c r="Y139" s="19"/>
      <c r="Z139" s="23"/>
    </row>
    <row r="140" spans="1:26" ht="15.75" customHeight="1" x14ac:dyDescent="0.2">
      <c r="A140" s="34"/>
      <c r="B140" s="34"/>
      <c r="C140" s="34"/>
      <c r="D140" s="34"/>
      <c r="E140" s="19"/>
      <c r="F140" s="19"/>
      <c r="G140" s="19"/>
      <c r="H140" s="19"/>
      <c r="I140" s="19"/>
      <c r="J140" s="19"/>
      <c r="K140" s="19"/>
      <c r="L140" s="19"/>
      <c r="M140" s="19"/>
      <c r="N140" s="19"/>
      <c r="O140" s="19"/>
      <c r="P140" s="20"/>
      <c r="Q140" s="20"/>
      <c r="R140" s="22"/>
      <c r="S140" s="22"/>
      <c r="T140" s="20"/>
      <c r="U140" s="20"/>
      <c r="V140" s="20"/>
      <c r="W140" s="19"/>
      <c r="X140" s="19"/>
      <c r="Y140" s="19"/>
      <c r="Z140" s="23"/>
    </row>
    <row r="141" spans="1:26" ht="15.75" customHeight="1" x14ac:dyDescent="0.2">
      <c r="A141" s="34"/>
      <c r="B141" s="34"/>
      <c r="C141" s="34"/>
      <c r="D141" s="34"/>
      <c r="E141" s="19"/>
      <c r="F141" s="19"/>
      <c r="G141" s="19"/>
      <c r="H141" s="19"/>
      <c r="I141" s="19"/>
      <c r="J141" s="19"/>
      <c r="K141" s="19"/>
      <c r="L141" s="19"/>
      <c r="M141" s="19"/>
      <c r="N141" s="19"/>
      <c r="O141" s="19"/>
      <c r="P141" s="20"/>
      <c r="Q141" s="20"/>
      <c r="R141" s="22"/>
      <c r="S141" s="22"/>
      <c r="T141" s="20"/>
      <c r="U141" s="20"/>
      <c r="V141" s="20"/>
      <c r="W141" s="19"/>
      <c r="X141" s="19"/>
      <c r="Y141" s="19"/>
      <c r="Z141" s="23"/>
    </row>
    <row r="142" spans="1:26" ht="15.75" customHeight="1" x14ac:dyDescent="0.2">
      <c r="A142" s="34"/>
      <c r="B142" s="34"/>
      <c r="C142" s="34"/>
      <c r="D142" s="34"/>
      <c r="E142" s="19"/>
      <c r="F142" s="19"/>
      <c r="G142" s="19"/>
      <c r="H142" s="19"/>
      <c r="I142" s="19"/>
      <c r="J142" s="19"/>
      <c r="K142" s="19"/>
      <c r="L142" s="19"/>
      <c r="M142" s="19"/>
      <c r="N142" s="19"/>
      <c r="O142" s="19"/>
      <c r="P142" s="20"/>
      <c r="Q142" s="20"/>
      <c r="R142" s="22"/>
      <c r="S142" s="22"/>
      <c r="T142" s="20"/>
      <c r="U142" s="20"/>
      <c r="V142" s="20"/>
      <c r="W142" s="19"/>
      <c r="X142" s="19"/>
      <c r="Y142" s="19"/>
      <c r="Z142" s="23"/>
    </row>
    <row r="143" spans="1:26" ht="15.75" customHeight="1" x14ac:dyDescent="0.2">
      <c r="A143" s="34"/>
      <c r="B143" s="34"/>
      <c r="C143" s="34"/>
      <c r="D143" s="34"/>
      <c r="E143" s="19"/>
      <c r="F143" s="19"/>
      <c r="G143" s="19"/>
      <c r="H143" s="19"/>
      <c r="I143" s="19"/>
      <c r="J143" s="19"/>
      <c r="K143" s="19"/>
      <c r="L143" s="19"/>
      <c r="M143" s="19"/>
      <c r="N143" s="19"/>
      <c r="O143" s="19"/>
      <c r="P143" s="20"/>
      <c r="Q143" s="20"/>
      <c r="R143" s="22"/>
      <c r="S143" s="22"/>
      <c r="T143" s="20"/>
      <c r="U143" s="20"/>
      <c r="V143" s="20"/>
      <c r="W143" s="19"/>
      <c r="X143" s="19"/>
      <c r="Y143" s="19"/>
      <c r="Z143" s="23"/>
    </row>
    <row r="144" spans="1:26" ht="15.75" customHeight="1" x14ac:dyDescent="0.2">
      <c r="A144" s="34"/>
      <c r="B144" s="34"/>
      <c r="C144" s="34"/>
      <c r="D144" s="34"/>
      <c r="E144" s="19"/>
      <c r="F144" s="19"/>
      <c r="G144" s="19"/>
      <c r="H144" s="19"/>
      <c r="I144" s="19"/>
      <c r="J144" s="19"/>
      <c r="K144" s="19"/>
      <c r="L144" s="19"/>
      <c r="M144" s="19"/>
      <c r="N144" s="19"/>
      <c r="O144" s="19"/>
      <c r="P144" s="20"/>
      <c r="Q144" s="20"/>
      <c r="R144" s="22"/>
      <c r="S144" s="22"/>
      <c r="T144" s="20"/>
      <c r="U144" s="20"/>
      <c r="V144" s="20"/>
      <c r="W144" s="19"/>
      <c r="X144" s="19"/>
      <c r="Y144" s="19"/>
      <c r="Z144" s="23"/>
    </row>
    <row r="145" spans="1:26" ht="15.75" customHeight="1" x14ac:dyDescent="0.2">
      <c r="A145" s="34"/>
      <c r="B145" s="34"/>
      <c r="C145" s="34"/>
      <c r="D145" s="34"/>
      <c r="E145" s="19"/>
      <c r="F145" s="19"/>
      <c r="G145" s="19"/>
      <c r="H145" s="19"/>
      <c r="I145" s="19"/>
      <c r="J145" s="19"/>
      <c r="K145" s="19"/>
      <c r="L145" s="19"/>
      <c r="M145" s="19"/>
      <c r="N145" s="19"/>
      <c r="O145" s="19"/>
      <c r="P145" s="20"/>
      <c r="Q145" s="20"/>
      <c r="R145" s="22"/>
      <c r="S145" s="22"/>
      <c r="T145" s="20"/>
      <c r="U145" s="20"/>
      <c r="V145" s="20"/>
      <c r="W145" s="19"/>
      <c r="X145" s="19"/>
      <c r="Y145" s="19"/>
      <c r="Z145" s="23"/>
    </row>
    <row r="146" spans="1:26" ht="15.75" customHeight="1" x14ac:dyDescent="0.2">
      <c r="A146" s="34"/>
      <c r="B146" s="34"/>
      <c r="C146" s="34"/>
      <c r="D146" s="34"/>
      <c r="E146" s="19"/>
      <c r="F146" s="19"/>
      <c r="G146" s="19"/>
      <c r="H146" s="19"/>
      <c r="I146" s="19"/>
      <c r="J146" s="19"/>
      <c r="K146" s="19"/>
      <c r="L146" s="19"/>
      <c r="M146" s="19"/>
      <c r="N146" s="19"/>
      <c r="O146" s="19"/>
      <c r="P146" s="20"/>
      <c r="Q146" s="20"/>
      <c r="R146" s="22"/>
      <c r="S146" s="22"/>
      <c r="T146" s="20"/>
      <c r="U146" s="20"/>
      <c r="V146" s="20"/>
      <c r="W146" s="19"/>
      <c r="X146" s="19"/>
      <c r="Y146" s="19"/>
      <c r="Z146" s="23"/>
    </row>
    <row r="147" spans="1:26" ht="15.75" customHeight="1" x14ac:dyDescent="0.2">
      <c r="A147" s="34"/>
      <c r="B147" s="34"/>
      <c r="C147" s="34"/>
      <c r="D147" s="34"/>
      <c r="E147" s="19"/>
      <c r="F147" s="19"/>
      <c r="G147" s="19"/>
      <c r="H147" s="19"/>
      <c r="I147" s="19"/>
      <c r="J147" s="19"/>
      <c r="K147" s="19"/>
      <c r="L147" s="19"/>
      <c r="M147" s="19"/>
      <c r="N147" s="19"/>
      <c r="O147" s="19"/>
      <c r="P147" s="20"/>
      <c r="Q147" s="20"/>
      <c r="R147" s="22"/>
      <c r="S147" s="22"/>
      <c r="T147" s="20"/>
      <c r="U147" s="20"/>
      <c r="V147" s="20"/>
      <c r="W147" s="19"/>
      <c r="X147" s="19"/>
      <c r="Y147" s="19"/>
      <c r="Z147" s="23"/>
    </row>
    <row r="148" spans="1:26" ht="15.75" customHeight="1" x14ac:dyDescent="0.2">
      <c r="A148" s="34"/>
      <c r="B148" s="34"/>
      <c r="C148" s="34"/>
      <c r="D148" s="34"/>
      <c r="E148" s="19"/>
      <c r="F148" s="19"/>
      <c r="G148" s="19"/>
      <c r="H148" s="19"/>
      <c r="I148" s="19"/>
      <c r="J148" s="19"/>
      <c r="K148" s="19"/>
      <c r="L148" s="19"/>
      <c r="M148" s="19"/>
      <c r="N148" s="19"/>
      <c r="O148" s="19"/>
      <c r="P148" s="20"/>
      <c r="Q148" s="20"/>
      <c r="R148" s="22"/>
      <c r="S148" s="22"/>
      <c r="T148" s="20"/>
      <c r="U148" s="20"/>
      <c r="V148" s="20"/>
      <c r="W148" s="19"/>
      <c r="X148" s="19"/>
      <c r="Y148" s="19"/>
      <c r="Z148" s="23"/>
    </row>
    <row r="149" spans="1:26" ht="15.75" customHeight="1" x14ac:dyDescent="0.2">
      <c r="A149" s="34"/>
      <c r="B149" s="34"/>
      <c r="C149" s="34"/>
      <c r="D149" s="34"/>
      <c r="E149" s="19"/>
      <c r="F149" s="19"/>
      <c r="G149" s="19"/>
      <c r="H149" s="19"/>
      <c r="I149" s="19"/>
      <c r="J149" s="19"/>
      <c r="K149" s="19"/>
      <c r="L149" s="19"/>
      <c r="M149" s="19"/>
      <c r="N149" s="19"/>
      <c r="O149" s="19"/>
      <c r="P149" s="20"/>
      <c r="Q149" s="20"/>
      <c r="R149" s="22"/>
      <c r="S149" s="22"/>
      <c r="T149" s="20"/>
      <c r="U149" s="20"/>
      <c r="V149" s="20"/>
      <c r="W149" s="19"/>
      <c r="X149" s="19"/>
      <c r="Y149" s="19"/>
      <c r="Z149" s="23"/>
    </row>
    <row r="150" spans="1:26" ht="15.75" customHeight="1" x14ac:dyDescent="0.2">
      <c r="A150" s="34"/>
      <c r="B150" s="34"/>
      <c r="C150" s="34"/>
      <c r="D150" s="34"/>
      <c r="E150" s="19"/>
      <c r="F150" s="19"/>
      <c r="G150" s="19"/>
      <c r="H150" s="19"/>
      <c r="I150" s="19"/>
      <c r="J150" s="19"/>
      <c r="K150" s="19"/>
      <c r="L150" s="19"/>
      <c r="M150" s="19"/>
      <c r="N150" s="19"/>
      <c r="O150" s="19"/>
      <c r="P150" s="20"/>
      <c r="Q150" s="20"/>
      <c r="R150" s="22"/>
      <c r="S150" s="22"/>
      <c r="T150" s="20"/>
      <c r="U150" s="20"/>
      <c r="V150" s="20"/>
      <c r="W150" s="19"/>
      <c r="X150" s="19"/>
      <c r="Y150" s="19"/>
      <c r="Z150" s="23"/>
    </row>
    <row r="151" spans="1:26" ht="15.75" customHeight="1" x14ac:dyDescent="0.2">
      <c r="A151" s="34"/>
      <c r="B151" s="34"/>
      <c r="C151" s="34"/>
      <c r="D151" s="34"/>
      <c r="E151" s="19"/>
      <c r="F151" s="19"/>
      <c r="G151" s="19"/>
      <c r="H151" s="19"/>
      <c r="I151" s="19"/>
      <c r="J151" s="19"/>
      <c r="K151" s="19"/>
      <c r="L151" s="19"/>
      <c r="M151" s="19"/>
      <c r="N151" s="19"/>
      <c r="O151" s="19"/>
      <c r="P151" s="20"/>
      <c r="Q151" s="20"/>
      <c r="R151" s="22"/>
      <c r="S151" s="22"/>
      <c r="T151" s="20"/>
      <c r="U151" s="20"/>
      <c r="V151" s="20"/>
      <c r="W151" s="19"/>
      <c r="X151" s="19"/>
      <c r="Y151" s="19"/>
      <c r="Z151" s="23"/>
    </row>
    <row r="152" spans="1:26" ht="15.75" customHeight="1" x14ac:dyDescent="0.2">
      <c r="A152" s="34"/>
      <c r="B152" s="34"/>
      <c r="C152" s="34"/>
      <c r="D152" s="34"/>
      <c r="E152" s="19"/>
      <c r="F152" s="19"/>
      <c r="G152" s="19"/>
      <c r="H152" s="19"/>
      <c r="I152" s="19"/>
      <c r="J152" s="19"/>
      <c r="K152" s="19"/>
      <c r="L152" s="19"/>
      <c r="M152" s="19"/>
      <c r="N152" s="19"/>
      <c r="O152" s="19"/>
      <c r="P152" s="20"/>
      <c r="Q152" s="20"/>
      <c r="R152" s="22"/>
      <c r="S152" s="22"/>
      <c r="T152" s="20"/>
      <c r="U152" s="20"/>
      <c r="V152" s="20"/>
      <c r="W152" s="19"/>
      <c r="X152" s="19"/>
      <c r="Y152" s="19"/>
      <c r="Z152" s="23"/>
    </row>
    <row r="153" spans="1:26" ht="15.75" customHeight="1" x14ac:dyDescent="0.2">
      <c r="A153" s="34"/>
      <c r="B153" s="34"/>
      <c r="C153" s="34"/>
      <c r="D153" s="34"/>
      <c r="E153" s="19"/>
      <c r="F153" s="19"/>
      <c r="G153" s="19"/>
      <c r="H153" s="19"/>
      <c r="I153" s="19"/>
      <c r="J153" s="19"/>
      <c r="K153" s="19"/>
      <c r="L153" s="19"/>
      <c r="M153" s="19"/>
      <c r="N153" s="19"/>
      <c r="O153" s="19"/>
      <c r="P153" s="20"/>
      <c r="Q153" s="20"/>
      <c r="R153" s="22"/>
      <c r="S153" s="22"/>
      <c r="T153" s="20"/>
      <c r="U153" s="20"/>
      <c r="V153" s="20"/>
      <c r="W153" s="19"/>
      <c r="X153" s="19"/>
      <c r="Y153" s="19"/>
      <c r="Z153" s="23"/>
    </row>
    <row r="154" spans="1:26" ht="15.75" customHeight="1" x14ac:dyDescent="0.2">
      <c r="A154" s="34"/>
      <c r="B154" s="34"/>
      <c r="C154" s="34"/>
      <c r="D154" s="34"/>
      <c r="E154" s="19"/>
      <c r="F154" s="19"/>
      <c r="G154" s="19"/>
      <c r="H154" s="19"/>
      <c r="I154" s="19"/>
      <c r="J154" s="19"/>
      <c r="K154" s="19"/>
      <c r="L154" s="19"/>
      <c r="M154" s="19"/>
      <c r="N154" s="19"/>
      <c r="O154" s="19"/>
      <c r="P154" s="20"/>
      <c r="Q154" s="20"/>
      <c r="R154" s="22"/>
      <c r="S154" s="22"/>
      <c r="T154" s="20"/>
      <c r="U154" s="20"/>
      <c r="V154" s="20"/>
      <c r="W154" s="19"/>
      <c r="X154" s="19"/>
      <c r="Y154" s="19"/>
      <c r="Z154" s="23"/>
    </row>
    <row r="155" spans="1:26" ht="15.75" customHeight="1" x14ac:dyDescent="0.2">
      <c r="A155" s="34"/>
      <c r="B155" s="34"/>
      <c r="C155" s="34"/>
      <c r="D155" s="34"/>
      <c r="E155" s="19"/>
      <c r="F155" s="19"/>
      <c r="G155" s="19"/>
      <c r="H155" s="19"/>
      <c r="I155" s="19"/>
      <c r="J155" s="19"/>
      <c r="K155" s="19"/>
      <c r="L155" s="19"/>
      <c r="M155" s="19"/>
      <c r="N155" s="19"/>
      <c r="O155" s="19"/>
      <c r="P155" s="20"/>
      <c r="Q155" s="20"/>
      <c r="R155" s="22"/>
      <c r="S155" s="22"/>
      <c r="T155" s="20"/>
      <c r="U155" s="20"/>
      <c r="V155" s="20"/>
      <c r="W155" s="19"/>
      <c r="X155" s="19"/>
      <c r="Y155" s="19"/>
      <c r="Z155" s="23"/>
    </row>
    <row r="156" spans="1:26" ht="15.75" customHeight="1" x14ac:dyDescent="0.2">
      <c r="A156" s="34"/>
      <c r="B156" s="34"/>
      <c r="C156" s="34"/>
      <c r="D156" s="34"/>
      <c r="E156" s="19"/>
      <c r="F156" s="19"/>
      <c r="G156" s="19"/>
      <c r="H156" s="19"/>
      <c r="I156" s="19"/>
      <c r="J156" s="19"/>
      <c r="K156" s="19"/>
      <c r="L156" s="19"/>
      <c r="M156" s="19"/>
      <c r="N156" s="19"/>
      <c r="O156" s="19"/>
      <c r="P156" s="20"/>
      <c r="Q156" s="20"/>
      <c r="R156" s="22"/>
      <c r="S156" s="22"/>
      <c r="T156" s="20"/>
      <c r="U156" s="20"/>
      <c r="V156" s="20"/>
      <c r="W156" s="19"/>
      <c r="X156" s="19"/>
      <c r="Y156" s="19"/>
      <c r="Z156" s="23"/>
    </row>
    <row r="157" spans="1:26" ht="15.75" customHeight="1" x14ac:dyDescent="0.2">
      <c r="A157" s="34"/>
      <c r="B157" s="34"/>
      <c r="C157" s="34"/>
      <c r="D157" s="34"/>
      <c r="E157" s="19"/>
      <c r="F157" s="19"/>
      <c r="G157" s="19"/>
      <c r="H157" s="19"/>
      <c r="I157" s="19"/>
      <c r="J157" s="19"/>
      <c r="K157" s="19"/>
      <c r="L157" s="19"/>
      <c r="M157" s="19"/>
      <c r="N157" s="19"/>
      <c r="O157" s="19"/>
      <c r="P157" s="20"/>
      <c r="Q157" s="20"/>
      <c r="R157" s="22"/>
      <c r="S157" s="22"/>
      <c r="T157" s="20"/>
      <c r="U157" s="20"/>
      <c r="V157" s="20"/>
      <c r="W157" s="19"/>
      <c r="X157" s="19"/>
      <c r="Y157" s="19"/>
      <c r="Z157" s="23"/>
    </row>
    <row r="158" spans="1:26" ht="15.75" customHeight="1" x14ac:dyDescent="0.2">
      <c r="A158" s="34"/>
      <c r="B158" s="34"/>
      <c r="C158" s="34"/>
      <c r="D158" s="34"/>
      <c r="E158" s="19"/>
      <c r="F158" s="19"/>
      <c r="G158" s="19"/>
      <c r="H158" s="19"/>
      <c r="I158" s="19"/>
      <c r="J158" s="19"/>
      <c r="K158" s="19"/>
      <c r="L158" s="19"/>
      <c r="M158" s="19"/>
      <c r="N158" s="19"/>
      <c r="O158" s="19"/>
      <c r="P158" s="20"/>
      <c r="Q158" s="20"/>
      <c r="R158" s="22"/>
      <c r="S158" s="22"/>
      <c r="T158" s="20"/>
      <c r="U158" s="20"/>
      <c r="V158" s="20"/>
      <c r="W158" s="19"/>
      <c r="X158" s="19"/>
      <c r="Y158" s="19"/>
      <c r="Z158" s="23"/>
    </row>
    <row r="159" spans="1:26" ht="15.75" customHeight="1" x14ac:dyDescent="0.2">
      <c r="A159" s="34"/>
      <c r="B159" s="34"/>
      <c r="C159" s="34"/>
      <c r="D159" s="34"/>
      <c r="E159" s="19"/>
      <c r="F159" s="19"/>
      <c r="G159" s="19"/>
      <c r="H159" s="19"/>
      <c r="I159" s="19"/>
      <c r="J159" s="19"/>
      <c r="K159" s="19"/>
      <c r="L159" s="19"/>
      <c r="M159" s="19"/>
      <c r="N159" s="19"/>
      <c r="O159" s="19"/>
      <c r="P159" s="20"/>
      <c r="Q159" s="20"/>
      <c r="R159" s="22"/>
      <c r="S159" s="22"/>
      <c r="T159" s="20"/>
      <c r="U159" s="20"/>
      <c r="V159" s="20"/>
      <c r="W159" s="19"/>
      <c r="X159" s="19"/>
      <c r="Y159" s="19"/>
      <c r="Z159" s="23"/>
    </row>
    <row r="160" spans="1:26" ht="15.75" customHeight="1" x14ac:dyDescent="0.2">
      <c r="A160" s="34"/>
      <c r="B160" s="34"/>
      <c r="C160" s="34"/>
      <c r="D160" s="34"/>
      <c r="E160" s="19"/>
      <c r="F160" s="19"/>
      <c r="G160" s="19"/>
      <c r="H160" s="19"/>
      <c r="I160" s="19"/>
      <c r="J160" s="19"/>
      <c r="K160" s="19"/>
      <c r="L160" s="19"/>
      <c r="M160" s="19"/>
      <c r="N160" s="19"/>
      <c r="O160" s="19"/>
      <c r="P160" s="20"/>
      <c r="Q160" s="20"/>
      <c r="R160" s="22"/>
      <c r="S160" s="22"/>
      <c r="T160" s="20"/>
      <c r="U160" s="20"/>
      <c r="V160" s="20"/>
      <c r="W160" s="19"/>
      <c r="X160" s="19"/>
      <c r="Y160" s="19"/>
      <c r="Z160" s="23"/>
    </row>
    <row r="161" spans="1:26" ht="15.75" customHeight="1" x14ac:dyDescent="0.2">
      <c r="A161" s="34"/>
      <c r="B161" s="34"/>
      <c r="C161" s="34"/>
      <c r="D161" s="34"/>
      <c r="E161" s="19"/>
      <c r="F161" s="19"/>
      <c r="G161" s="19"/>
      <c r="H161" s="19"/>
      <c r="I161" s="19"/>
      <c r="J161" s="19"/>
      <c r="K161" s="19"/>
      <c r="L161" s="19"/>
      <c r="M161" s="19"/>
      <c r="N161" s="19"/>
      <c r="O161" s="19"/>
      <c r="P161" s="20"/>
      <c r="Q161" s="20"/>
      <c r="R161" s="22"/>
      <c r="S161" s="22"/>
      <c r="T161" s="20"/>
      <c r="U161" s="20"/>
      <c r="V161" s="20"/>
      <c r="W161" s="19"/>
      <c r="X161" s="19"/>
      <c r="Y161" s="19"/>
      <c r="Z161" s="23"/>
    </row>
    <row r="162" spans="1:26" ht="15.75" customHeight="1" x14ac:dyDescent="0.2">
      <c r="A162" s="34"/>
      <c r="B162" s="34"/>
      <c r="C162" s="34"/>
      <c r="D162" s="34"/>
      <c r="E162" s="19"/>
      <c r="F162" s="19"/>
      <c r="G162" s="19"/>
      <c r="H162" s="19"/>
      <c r="I162" s="19"/>
      <c r="J162" s="19"/>
      <c r="K162" s="19"/>
      <c r="L162" s="19"/>
      <c r="M162" s="19"/>
      <c r="N162" s="19"/>
      <c r="O162" s="19"/>
      <c r="P162" s="20"/>
      <c r="Q162" s="20"/>
      <c r="R162" s="22"/>
      <c r="S162" s="22"/>
      <c r="T162" s="20"/>
      <c r="U162" s="20"/>
      <c r="V162" s="20"/>
      <c r="W162" s="19"/>
      <c r="X162" s="19"/>
      <c r="Y162" s="19"/>
      <c r="Z162" s="23"/>
    </row>
    <row r="163" spans="1:26" ht="15.75" customHeight="1" x14ac:dyDescent="0.2">
      <c r="A163" s="34"/>
      <c r="B163" s="34"/>
      <c r="C163" s="34"/>
      <c r="D163" s="34"/>
      <c r="E163" s="19"/>
      <c r="F163" s="19"/>
      <c r="G163" s="19"/>
      <c r="H163" s="19"/>
      <c r="I163" s="19"/>
      <c r="J163" s="19"/>
      <c r="K163" s="19"/>
      <c r="L163" s="19"/>
      <c r="M163" s="19"/>
      <c r="N163" s="19"/>
      <c r="O163" s="19"/>
      <c r="P163" s="20"/>
      <c r="Q163" s="20"/>
      <c r="R163" s="22"/>
      <c r="S163" s="22"/>
      <c r="T163" s="20"/>
      <c r="U163" s="20"/>
      <c r="V163" s="20"/>
      <c r="W163" s="19"/>
      <c r="X163" s="19"/>
      <c r="Y163" s="19"/>
      <c r="Z163" s="23"/>
    </row>
    <row r="164" spans="1:26" ht="15.75" customHeight="1" x14ac:dyDescent="0.2">
      <c r="A164" s="34"/>
      <c r="B164" s="34"/>
      <c r="C164" s="34"/>
      <c r="D164" s="34"/>
      <c r="E164" s="19"/>
      <c r="F164" s="19"/>
      <c r="G164" s="19"/>
      <c r="H164" s="19"/>
      <c r="I164" s="19"/>
      <c r="J164" s="19"/>
      <c r="K164" s="19"/>
      <c r="L164" s="19"/>
      <c r="M164" s="19"/>
      <c r="N164" s="19"/>
      <c r="O164" s="19"/>
      <c r="P164" s="20"/>
      <c r="Q164" s="20"/>
      <c r="R164" s="22"/>
      <c r="S164" s="22"/>
      <c r="T164" s="20"/>
      <c r="U164" s="20"/>
      <c r="V164" s="20"/>
      <c r="W164" s="19"/>
      <c r="X164" s="19"/>
      <c r="Y164" s="19"/>
      <c r="Z164" s="23"/>
    </row>
    <row r="165" spans="1:26" ht="15.75" customHeight="1" x14ac:dyDescent="0.2">
      <c r="A165" s="34"/>
      <c r="B165" s="34"/>
      <c r="C165" s="34"/>
      <c r="D165" s="34"/>
      <c r="E165" s="19"/>
      <c r="F165" s="19"/>
      <c r="G165" s="19"/>
      <c r="H165" s="19"/>
      <c r="I165" s="19"/>
      <c r="J165" s="19"/>
      <c r="K165" s="19"/>
      <c r="L165" s="19"/>
      <c r="M165" s="19"/>
      <c r="N165" s="19"/>
      <c r="O165" s="19"/>
      <c r="P165" s="20"/>
      <c r="Q165" s="20"/>
      <c r="R165" s="22"/>
      <c r="S165" s="22"/>
      <c r="T165" s="20"/>
      <c r="U165" s="20"/>
      <c r="V165" s="20"/>
      <c r="W165" s="19"/>
      <c r="X165" s="19"/>
      <c r="Y165" s="19"/>
      <c r="Z165" s="23"/>
    </row>
    <row r="166" spans="1:26" ht="15.75" customHeight="1" x14ac:dyDescent="0.2">
      <c r="A166" s="34"/>
      <c r="B166" s="34"/>
      <c r="C166" s="34"/>
      <c r="D166" s="34"/>
      <c r="E166" s="19"/>
      <c r="F166" s="19"/>
      <c r="G166" s="19"/>
      <c r="H166" s="19"/>
      <c r="I166" s="19"/>
      <c r="J166" s="19"/>
      <c r="K166" s="19"/>
      <c r="L166" s="19"/>
      <c r="M166" s="19"/>
      <c r="N166" s="19"/>
      <c r="O166" s="19"/>
      <c r="P166" s="20"/>
      <c r="Q166" s="20"/>
      <c r="R166" s="22"/>
      <c r="S166" s="22"/>
      <c r="T166" s="20"/>
      <c r="U166" s="20"/>
      <c r="V166" s="20"/>
      <c r="W166" s="19"/>
      <c r="X166" s="19"/>
      <c r="Y166" s="19"/>
      <c r="Z166" s="23"/>
    </row>
    <row r="167" spans="1:26" ht="15.75" customHeight="1" x14ac:dyDescent="0.2">
      <c r="A167" s="34"/>
      <c r="B167" s="34"/>
      <c r="C167" s="34"/>
      <c r="D167" s="34"/>
      <c r="E167" s="19"/>
      <c r="F167" s="19"/>
      <c r="G167" s="19"/>
      <c r="H167" s="19"/>
      <c r="I167" s="19"/>
      <c r="J167" s="19"/>
      <c r="K167" s="19"/>
      <c r="L167" s="19"/>
      <c r="M167" s="19"/>
      <c r="N167" s="19"/>
      <c r="O167" s="19"/>
      <c r="P167" s="20"/>
      <c r="Q167" s="20"/>
      <c r="R167" s="22"/>
      <c r="S167" s="22"/>
      <c r="T167" s="20"/>
      <c r="U167" s="20"/>
      <c r="V167" s="20"/>
      <c r="W167" s="19"/>
      <c r="X167" s="19"/>
      <c r="Y167" s="19"/>
      <c r="Z167" s="23"/>
    </row>
    <row r="168" spans="1:26" ht="15.75" customHeight="1" x14ac:dyDescent="0.2">
      <c r="A168" s="34"/>
      <c r="B168" s="34"/>
      <c r="C168" s="34"/>
      <c r="D168" s="34"/>
      <c r="E168" s="19"/>
      <c r="F168" s="19"/>
      <c r="G168" s="19"/>
      <c r="H168" s="19"/>
      <c r="I168" s="19"/>
      <c r="J168" s="19"/>
      <c r="K168" s="19"/>
      <c r="L168" s="19"/>
      <c r="M168" s="19"/>
      <c r="N168" s="19"/>
      <c r="O168" s="19"/>
      <c r="P168" s="20"/>
      <c r="Q168" s="20"/>
      <c r="R168" s="22"/>
      <c r="S168" s="22"/>
      <c r="T168" s="20"/>
      <c r="U168" s="20"/>
      <c r="V168" s="20"/>
      <c r="W168" s="19"/>
      <c r="X168" s="19"/>
      <c r="Y168" s="19"/>
      <c r="Z168" s="23"/>
    </row>
    <row r="169" spans="1:26" ht="15.75" customHeight="1" x14ac:dyDescent="0.2">
      <c r="A169" s="34"/>
      <c r="B169" s="34"/>
      <c r="C169" s="34"/>
      <c r="D169" s="34"/>
      <c r="E169" s="19"/>
      <c r="F169" s="19"/>
      <c r="G169" s="19"/>
      <c r="H169" s="19"/>
      <c r="I169" s="19"/>
      <c r="J169" s="19"/>
      <c r="K169" s="19"/>
      <c r="L169" s="19"/>
      <c r="M169" s="19"/>
      <c r="N169" s="19"/>
      <c r="O169" s="19"/>
      <c r="P169" s="20"/>
      <c r="Q169" s="20"/>
      <c r="R169" s="22"/>
      <c r="S169" s="22"/>
      <c r="T169" s="20"/>
      <c r="U169" s="20"/>
      <c r="V169" s="20"/>
      <c r="W169" s="19"/>
      <c r="X169" s="19"/>
      <c r="Y169" s="19"/>
      <c r="Z169" s="23"/>
    </row>
    <row r="170" spans="1:26" ht="15.75" customHeight="1" x14ac:dyDescent="0.2">
      <c r="A170" s="34"/>
      <c r="B170" s="34"/>
      <c r="C170" s="34"/>
      <c r="D170" s="34"/>
      <c r="E170" s="19"/>
      <c r="F170" s="19"/>
      <c r="G170" s="19"/>
      <c r="H170" s="19"/>
      <c r="I170" s="19"/>
      <c r="J170" s="19"/>
      <c r="K170" s="19"/>
      <c r="L170" s="19"/>
      <c r="M170" s="19"/>
      <c r="N170" s="19"/>
      <c r="O170" s="19"/>
      <c r="P170" s="20"/>
      <c r="Q170" s="20"/>
      <c r="R170" s="22"/>
      <c r="S170" s="22"/>
      <c r="T170" s="20"/>
      <c r="U170" s="20"/>
      <c r="V170" s="20"/>
      <c r="W170" s="19"/>
      <c r="X170" s="19"/>
      <c r="Y170" s="19"/>
      <c r="Z170" s="23"/>
    </row>
    <row r="171" spans="1:26" ht="15.75" customHeight="1" x14ac:dyDescent="0.2">
      <c r="A171" s="34"/>
      <c r="B171" s="34"/>
      <c r="C171" s="34"/>
      <c r="D171" s="34"/>
      <c r="E171" s="19"/>
      <c r="F171" s="19"/>
      <c r="G171" s="19"/>
      <c r="H171" s="19"/>
      <c r="I171" s="19"/>
      <c r="J171" s="19"/>
      <c r="K171" s="19"/>
      <c r="L171" s="19"/>
      <c r="M171" s="19"/>
      <c r="N171" s="19"/>
      <c r="O171" s="19"/>
      <c r="P171" s="20"/>
      <c r="Q171" s="20"/>
      <c r="R171" s="22"/>
      <c r="S171" s="22"/>
      <c r="T171" s="20"/>
      <c r="U171" s="20"/>
      <c r="V171" s="20"/>
      <c r="W171" s="19"/>
      <c r="X171" s="19"/>
      <c r="Y171" s="19"/>
      <c r="Z171" s="23"/>
    </row>
    <row r="172" spans="1:26" ht="15.75" customHeight="1" x14ac:dyDescent="0.2">
      <c r="A172" s="34"/>
      <c r="B172" s="34"/>
      <c r="C172" s="34"/>
      <c r="D172" s="34"/>
      <c r="E172" s="19"/>
      <c r="F172" s="19"/>
      <c r="G172" s="19"/>
      <c r="H172" s="19"/>
      <c r="I172" s="19"/>
      <c r="J172" s="19"/>
      <c r="K172" s="19"/>
      <c r="L172" s="19"/>
      <c r="M172" s="19"/>
      <c r="N172" s="19"/>
      <c r="O172" s="19"/>
      <c r="P172" s="20"/>
      <c r="Q172" s="20"/>
      <c r="R172" s="22"/>
      <c r="S172" s="22"/>
      <c r="T172" s="20"/>
      <c r="U172" s="20"/>
      <c r="V172" s="20"/>
      <c r="W172" s="19"/>
      <c r="X172" s="19"/>
      <c r="Y172" s="19"/>
      <c r="Z172" s="23"/>
    </row>
    <row r="173" spans="1:26" ht="15.75" customHeight="1" x14ac:dyDescent="0.2">
      <c r="A173" s="34"/>
      <c r="B173" s="34"/>
      <c r="C173" s="34"/>
      <c r="D173" s="34"/>
      <c r="E173" s="19"/>
      <c r="F173" s="19"/>
      <c r="G173" s="19"/>
      <c r="H173" s="19"/>
      <c r="I173" s="19"/>
      <c r="J173" s="19"/>
      <c r="K173" s="19"/>
      <c r="L173" s="19"/>
      <c r="M173" s="19"/>
      <c r="N173" s="19"/>
      <c r="O173" s="19"/>
      <c r="P173" s="20"/>
      <c r="Q173" s="20"/>
      <c r="R173" s="22"/>
      <c r="S173" s="22"/>
      <c r="T173" s="20"/>
      <c r="U173" s="20"/>
      <c r="V173" s="20"/>
      <c r="W173" s="19"/>
      <c r="X173" s="19"/>
      <c r="Y173" s="19"/>
      <c r="Z173" s="23"/>
    </row>
    <row r="174" spans="1:26" ht="15.75" customHeight="1" x14ac:dyDescent="0.2">
      <c r="A174" s="34"/>
      <c r="B174" s="34"/>
      <c r="C174" s="34"/>
      <c r="D174" s="34"/>
      <c r="E174" s="19"/>
      <c r="F174" s="19"/>
      <c r="G174" s="19"/>
      <c r="H174" s="19"/>
      <c r="I174" s="19"/>
      <c r="J174" s="19"/>
      <c r="K174" s="19"/>
      <c r="L174" s="19"/>
      <c r="M174" s="19"/>
      <c r="N174" s="19"/>
      <c r="O174" s="19"/>
      <c r="P174" s="20"/>
      <c r="Q174" s="20"/>
      <c r="R174" s="22"/>
      <c r="S174" s="22"/>
      <c r="T174" s="20"/>
      <c r="U174" s="20"/>
      <c r="V174" s="20"/>
      <c r="W174" s="19"/>
      <c r="X174" s="19"/>
      <c r="Y174" s="19"/>
      <c r="Z174" s="23"/>
    </row>
    <row r="175" spans="1:26" ht="15.75" customHeight="1" x14ac:dyDescent="0.2">
      <c r="A175" s="34"/>
      <c r="B175" s="34"/>
      <c r="C175" s="34"/>
      <c r="D175" s="34"/>
      <c r="E175" s="19"/>
      <c r="F175" s="19"/>
      <c r="G175" s="19"/>
      <c r="H175" s="19"/>
      <c r="I175" s="19"/>
      <c r="J175" s="19"/>
      <c r="K175" s="19"/>
      <c r="L175" s="19"/>
      <c r="M175" s="19"/>
      <c r="N175" s="19"/>
      <c r="O175" s="19"/>
      <c r="P175" s="20"/>
      <c r="Q175" s="20"/>
      <c r="R175" s="22"/>
      <c r="S175" s="22"/>
      <c r="T175" s="20"/>
      <c r="U175" s="20"/>
      <c r="V175" s="20"/>
      <c r="W175" s="19"/>
      <c r="X175" s="19"/>
      <c r="Y175" s="19"/>
      <c r="Z175" s="23"/>
    </row>
    <row r="176" spans="1:26" ht="15.75" customHeight="1" x14ac:dyDescent="0.2">
      <c r="A176" s="34"/>
      <c r="B176" s="34"/>
      <c r="C176" s="34"/>
      <c r="D176" s="34"/>
      <c r="E176" s="19"/>
      <c r="F176" s="19"/>
      <c r="G176" s="19"/>
      <c r="H176" s="19"/>
      <c r="I176" s="19"/>
      <c r="J176" s="19"/>
      <c r="K176" s="19"/>
      <c r="L176" s="19"/>
      <c r="M176" s="19"/>
      <c r="N176" s="19"/>
      <c r="O176" s="19"/>
      <c r="P176" s="20"/>
      <c r="Q176" s="20"/>
      <c r="R176" s="22"/>
      <c r="S176" s="22"/>
      <c r="T176" s="20"/>
      <c r="U176" s="20"/>
      <c r="V176" s="20"/>
      <c r="W176" s="19"/>
      <c r="X176" s="19"/>
      <c r="Y176" s="19"/>
      <c r="Z176" s="23"/>
    </row>
    <row r="177" spans="1:26" ht="15.75" customHeight="1" x14ac:dyDescent="0.2">
      <c r="A177" s="34"/>
      <c r="B177" s="34"/>
      <c r="C177" s="34"/>
      <c r="D177" s="34"/>
      <c r="E177" s="19"/>
      <c r="F177" s="19"/>
      <c r="G177" s="19"/>
      <c r="H177" s="19"/>
      <c r="I177" s="19"/>
      <c r="J177" s="19"/>
      <c r="K177" s="19"/>
      <c r="L177" s="19"/>
      <c r="M177" s="19"/>
      <c r="N177" s="19"/>
      <c r="O177" s="19"/>
      <c r="P177" s="20"/>
      <c r="Q177" s="20"/>
      <c r="R177" s="22"/>
      <c r="S177" s="22"/>
      <c r="T177" s="20"/>
      <c r="U177" s="20"/>
      <c r="V177" s="20"/>
      <c r="W177" s="19"/>
      <c r="X177" s="19"/>
      <c r="Y177" s="19"/>
      <c r="Z177" s="23"/>
    </row>
    <row r="178" spans="1:26" ht="15.75" customHeight="1" x14ac:dyDescent="0.2">
      <c r="A178" s="34"/>
      <c r="B178" s="34"/>
      <c r="C178" s="34"/>
      <c r="D178" s="34"/>
      <c r="E178" s="19"/>
      <c r="F178" s="19"/>
      <c r="G178" s="19"/>
      <c r="H178" s="19"/>
      <c r="I178" s="19"/>
      <c r="J178" s="19"/>
      <c r="K178" s="19"/>
      <c r="L178" s="19"/>
      <c r="M178" s="19"/>
      <c r="N178" s="19"/>
      <c r="O178" s="19"/>
      <c r="P178" s="20"/>
      <c r="Q178" s="20"/>
      <c r="R178" s="22"/>
      <c r="S178" s="22"/>
      <c r="T178" s="20"/>
      <c r="U178" s="20"/>
      <c r="V178" s="20"/>
      <c r="W178" s="19"/>
      <c r="X178" s="19"/>
      <c r="Y178" s="19"/>
      <c r="Z178" s="23"/>
    </row>
    <row r="179" spans="1:26" ht="15.75" customHeight="1" x14ac:dyDescent="0.2">
      <c r="A179" s="34"/>
      <c r="B179" s="34"/>
      <c r="C179" s="34"/>
      <c r="D179" s="34"/>
      <c r="E179" s="19"/>
      <c r="F179" s="19"/>
      <c r="G179" s="19"/>
      <c r="H179" s="19"/>
      <c r="I179" s="19"/>
      <c r="J179" s="19"/>
      <c r="K179" s="19"/>
      <c r="L179" s="19"/>
      <c r="M179" s="19"/>
      <c r="N179" s="19"/>
      <c r="O179" s="19"/>
      <c r="P179" s="20"/>
      <c r="Q179" s="20"/>
      <c r="R179" s="22"/>
      <c r="S179" s="22"/>
      <c r="T179" s="20"/>
      <c r="U179" s="20"/>
      <c r="V179" s="20"/>
      <c r="W179" s="19"/>
      <c r="X179" s="19"/>
      <c r="Y179" s="19"/>
      <c r="Z179" s="23"/>
    </row>
    <row r="180" spans="1:26" ht="15.75" customHeight="1" x14ac:dyDescent="0.2">
      <c r="A180" s="34"/>
      <c r="B180" s="34"/>
      <c r="C180" s="34"/>
      <c r="D180" s="34"/>
      <c r="E180" s="19"/>
      <c r="F180" s="19"/>
      <c r="G180" s="19"/>
      <c r="H180" s="19"/>
      <c r="I180" s="19"/>
      <c r="J180" s="19"/>
      <c r="K180" s="19"/>
      <c r="L180" s="19"/>
      <c r="M180" s="19"/>
      <c r="N180" s="19"/>
      <c r="O180" s="19"/>
      <c r="P180" s="20"/>
      <c r="Q180" s="20"/>
      <c r="R180" s="22"/>
      <c r="S180" s="22"/>
      <c r="T180" s="20"/>
      <c r="U180" s="20"/>
      <c r="V180" s="20"/>
      <c r="W180" s="19"/>
      <c r="X180" s="19"/>
      <c r="Y180" s="19"/>
      <c r="Z180" s="23"/>
    </row>
    <row r="181" spans="1:26" ht="15.75" customHeight="1" x14ac:dyDescent="0.2">
      <c r="A181" s="34"/>
      <c r="B181" s="34"/>
      <c r="C181" s="34"/>
      <c r="D181" s="34"/>
      <c r="E181" s="19"/>
      <c r="F181" s="19"/>
      <c r="G181" s="19"/>
      <c r="H181" s="19"/>
      <c r="I181" s="19"/>
      <c r="J181" s="19"/>
      <c r="K181" s="19"/>
      <c r="L181" s="19"/>
      <c r="M181" s="19"/>
      <c r="N181" s="19"/>
      <c r="O181" s="19"/>
      <c r="P181" s="20"/>
      <c r="Q181" s="20"/>
      <c r="R181" s="22"/>
      <c r="S181" s="22"/>
      <c r="T181" s="20"/>
      <c r="U181" s="20"/>
      <c r="V181" s="20"/>
      <c r="W181" s="19"/>
      <c r="X181" s="19"/>
      <c r="Y181" s="19"/>
      <c r="Z181" s="23"/>
    </row>
    <row r="182" spans="1:26" ht="15.75" customHeight="1" x14ac:dyDescent="0.2">
      <c r="A182" s="34"/>
      <c r="B182" s="34"/>
      <c r="C182" s="34"/>
      <c r="D182" s="34"/>
      <c r="E182" s="19"/>
      <c r="F182" s="19"/>
      <c r="G182" s="19"/>
      <c r="H182" s="19"/>
      <c r="I182" s="19"/>
      <c r="J182" s="19"/>
      <c r="K182" s="19"/>
      <c r="L182" s="19"/>
      <c r="M182" s="19"/>
      <c r="N182" s="19"/>
      <c r="O182" s="19"/>
      <c r="P182" s="20"/>
      <c r="Q182" s="20"/>
      <c r="R182" s="22"/>
      <c r="S182" s="22"/>
      <c r="T182" s="20"/>
      <c r="U182" s="20"/>
      <c r="V182" s="20"/>
      <c r="W182" s="19"/>
      <c r="X182" s="19"/>
      <c r="Y182" s="19"/>
      <c r="Z182" s="23"/>
    </row>
    <row r="183" spans="1:26" ht="15.75" customHeight="1" x14ac:dyDescent="0.2">
      <c r="A183" s="34"/>
      <c r="B183" s="34"/>
      <c r="C183" s="34"/>
      <c r="D183" s="34"/>
      <c r="E183" s="19"/>
      <c r="F183" s="19"/>
      <c r="G183" s="19"/>
      <c r="H183" s="19"/>
      <c r="I183" s="19"/>
      <c r="J183" s="19"/>
      <c r="K183" s="19"/>
      <c r="L183" s="19"/>
      <c r="M183" s="19"/>
      <c r="N183" s="19"/>
      <c r="O183" s="19"/>
      <c r="P183" s="20"/>
      <c r="Q183" s="20"/>
      <c r="R183" s="22"/>
      <c r="S183" s="22"/>
      <c r="T183" s="20"/>
      <c r="U183" s="20"/>
      <c r="V183" s="20"/>
      <c r="W183" s="19"/>
      <c r="X183" s="19"/>
      <c r="Y183" s="19"/>
      <c r="Z183" s="23"/>
    </row>
    <row r="184" spans="1:26" ht="15.75" customHeight="1" x14ac:dyDescent="0.2">
      <c r="A184" s="34"/>
      <c r="B184" s="34"/>
      <c r="C184" s="34"/>
      <c r="D184" s="34"/>
      <c r="E184" s="19"/>
      <c r="F184" s="19"/>
      <c r="G184" s="19"/>
      <c r="H184" s="19"/>
      <c r="I184" s="19"/>
      <c r="J184" s="19"/>
      <c r="K184" s="19"/>
      <c r="L184" s="19"/>
      <c r="M184" s="19"/>
      <c r="N184" s="19"/>
      <c r="O184" s="19"/>
      <c r="P184" s="20"/>
      <c r="Q184" s="20"/>
      <c r="R184" s="22"/>
      <c r="S184" s="22"/>
      <c r="T184" s="20"/>
      <c r="U184" s="20"/>
      <c r="V184" s="20"/>
      <c r="W184" s="19"/>
      <c r="X184" s="19"/>
      <c r="Y184" s="19"/>
      <c r="Z184" s="23"/>
    </row>
    <row r="185" spans="1:26" ht="15.75" customHeight="1" x14ac:dyDescent="0.2">
      <c r="A185" s="34"/>
      <c r="B185" s="34"/>
      <c r="C185" s="34"/>
      <c r="D185" s="34"/>
      <c r="E185" s="19"/>
      <c r="F185" s="19"/>
      <c r="G185" s="19"/>
      <c r="H185" s="19"/>
      <c r="I185" s="19"/>
      <c r="J185" s="19"/>
      <c r="K185" s="19"/>
      <c r="L185" s="19"/>
      <c r="M185" s="19"/>
      <c r="N185" s="19"/>
      <c r="O185" s="19"/>
      <c r="P185" s="20"/>
      <c r="Q185" s="20"/>
      <c r="R185" s="22"/>
      <c r="S185" s="22"/>
      <c r="T185" s="20"/>
      <c r="U185" s="20"/>
      <c r="V185" s="20"/>
      <c r="W185" s="19"/>
      <c r="X185" s="19"/>
      <c r="Y185" s="19"/>
      <c r="Z185" s="23"/>
    </row>
    <row r="186" spans="1:26" ht="15.75" customHeight="1" x14ac:dyDescent="0.2">
      <c r="A186" s="34"/>
      <c r="B186" s="34"/>
      <c r="C186" s="34"/>
      <c r="D186" s="34"/>
      <c r="E186" s="19"/>
      <c r="F186" s="19"/>
      <c r="G186" s="19"/>
      <c r="H186" s="19"/>
      <c r="I186" s="19"/>
      <c r="J186" s="19"/>
      <c r="K186" s="19"/>
      <c r="L186" s="19"/>
      <c r="M186" s="19"/>
      <c r="N186" s="19"/>
      <c r="O186" s="19"/>
      <c r="P186" s="20"/>
      <c r="Q186" s="20"/>
      <c r="R186" s="22"/>
      <c r="S186" s="22"/>
      <c r="T186" s="20"/>
      <c r="U186" s="20"/>
      <c r="V186" s="20"/>
      <c r="W186" s="19"/>
      <c r="X186" s="19"/>
      <c r="Y186" s="19"/>
      <c r="Z186" s="23"/>
    </row>
    <row r="187" spans="1:26" ht="15.75" customHeight="1" x14ac:dyDescent="0.2">
      <c r="A187" s="34"/>
      <c r="B187" s="34"/>
      <c r="C187" s="34"/>
      <c r="D187" s="34"/>
      <c r="E187" s="19"/>
      <c r="F187" s="19"/>
      <c r="G187" s="19"/>
      <c r="H187" s="19"/>
      <c r="I187" s="19"/>
      <c r="J187" s="19"/>
      <c r="K187" s="19"/>
      <c r="L187" s="19"/>
      <c r="M187" s="19"/>
      <c r="N187" s="19"/>
      <c r="O187" s="19"/>
      <c r="P187" s="20"/>
      <c r="Q187" s="20"/>
      <c r="R187" s="22"/>
      <c r="S187" s="22"/>
      <c r="T187" s="20"/>
      <c r="U187" s="20"/>
      <c r="V187" s="20"/>
      <c r="W187" s="19"/>
      <c r="X187" s="19"/>
      <c r="Y187" s="19"/>
      <c r="Z187" s="23"/>
    </row>
    <row r="188" spans="1:26" ht="15.75" customHeight="1" x14ac:dyDescent="0.2">
      <c r="A188" s="34"/>
      <c r="B188" s="34"/>
      <c r="C188" s="34"/>
      <c r="D188" s="34"/>
      <c r="E188" s="19"/>
      <c r="F188" s="19"/>
      <c r="G188" s="19"/>
      <c r="H188" s="19"/>
      <c r="I188" s="19"/>
      <c r="J188" s="19"/>
      <c r="K188" s="19"/>
      <c r="L188" s="19"/>
      <c r="M188" s="19"/>
      <c r="N188" s="19"/>
      <c r="O188" s="19"/>
      <c r="P188" s="20"/>
      <c r="Q188" s="20"/>
      <c r="R188" s="22"/>
      <c r="S188" s="22"/>
      <c r="T188" s="20"/>
      <c r="U188" s="20"/>
      <c r="V188" s="20"/>
      <c r="W188" s="19"/>
      <c r="X188" s="19"/>
      <c r="Y188" s="19"/>
      <c r="Z188" s="23"/>
    </row>
    <row r="189" spans="1:26" ht="15.75" customHeight="1" x14ac:dyDescent="0.2">
      <c r="A189" s="34"/>
      <c r="B189" s="34"/>
      <c r="C189" s="34"/>
      <c r="D189" s="34"/>
      <c r="E189" s="19"/>
      <c r="F189" s="19"/>
      <c r="G189" s="19"/>
      <c r="H189" s="19"/>
      <c r="I189" s="19"/>
      <c r="J189" s="19"/>
      <c r="K189" s="19"/>
      <c r="L189" s="19"/>
      <c r="M189" s="19"/>
      <c r="N189" s="19"/>
      <c r="O189" s="19"/>
      <c r="P189" s="20"/>
      <c r="Q189" s="20"/>
      <c r="R189" s="22"/>
      <c r="S189" s="22"/>
      <c r="T189" s="20"/>
      <c r="U189" s="20"/>
      <c r="V189" s="20"/>
      <c r="W189" s="19"/>
      <c r="X189" s="19"/>
      <c r="Y189" s="19"/>
      <c r="Z189" s="23"/>
    </row>
    <row r="190" spans="1:26" ht="15.75" customHeight="1" x14ac:dyDescent="0.2">
      <c r="A190" s="34"/>
      <c r="B190" s="34"/>
      <c r="C190" s="34"/>
      <c r="D190" s="34"/>
      <c r="E190" s="19"/>
      <c r="F190" s="19"/>
      <c r="G190" s="19"/>
      <c r="H190" s="19"/>
      <c r="I190" s="19"/>
      <c r="J190" s="19"/>
      <c r="K190" s="19"/>
      <c r="L190" s="19"/>
      <c r="M190" s="19"/>
      <c r="N190" s="19"/>
      <c r="O190" s="19"/>
      <c r="P190" s="20"/>
      <c r="Q190" s="20"/>
      <c r="R190" s="22"/>
      <c r="S190" s="22"/>
      <c r="T190" s="20"/>
      <c r="U190" s="20"/>
      <c r="V190" s="20"/>
      <c r="W190" s="19"/>
      <c r="X190" s="19"/>
      <c r="Y190" s="19"/>
      <c r="Z190" s="23"/>
    </row>
    <row r="191" spans="1:26" ht="15.75" customHeight="1" x14ac:dyDescent="0.2">
      <c r="A191" s="34"/>
      <c r="B191" s="34"/>
      <c r="C191" s="34"/>
      <c r="D191" s="34"/>
      <c r="E191" s="19"/>
      <c r="F191" s="19"/>
      <c r="G191" s="19"/>
      <c r="H191" s="19"/>
      <c r="I191" s="19"/>
      <c r="J191" s="19"/>
      <c r="K191" s="19"/>
      <c r="L191" s="19"/>
      <c r="M191" s="19"/>
      <c r="N191" s="19"/>
      <c r="O191" s="19"/>
      <c r="P191" s="20"/>
      <c r="Q191" s="20"/>
      <c r="R191" s="22"/>
      <c r="S191" s="22"/>
      <c r="T191" s="20"/>
      <c r="U191" s="20"/>
      <c r="V191" s="20"/>
      <c r="W191" s="19"/>
      <c r="X191" s="19"/>
      <c r="Y191" s="19"/>
      <c r="Z191" s="23"/>
    </row>
    <row r="192" spans="1:26" ht="15.75" customHeight="1" x14ac:dyDescent="0.2">
      <c r="A192" s="34"/>
      <c r="B192" s="34"/>
      <c r="C192" s="34"/>
      <c r="D192" s="34"/>
      <c r="E192" s="19"/>
      <c r="F192" s="19"/>
      <c r="G192" s="19"/>
      <c r="H192" s="19"/>
      <c r="I192" s="19"/>
      <c r="J192" s="19"/>
      <c r="K192" s="19"/>
      <c r="L192" s="19"/>
      <c r="M192" s="19"/>
      <c r="N192" s="19"/>
      <c r="O192" s="19"/>
      <c r="P192" s="20"/>
      <c r="Q192" s="20"/>
      <c r="R192" s="22"/>
      <c r="S192" s="22"/>
      <c r="T192" s="20"/>
      <c r="U192" s="20"/>
      <c r="V192" s="20"/>
      <c r="W192" s="19"/>
      <c r="X192" s="19"/>
      <c r="Y192" s="19"/>
      <c r="Z192" s="23"/>
    </row>
    <row r="193" spans="1:26" ht="15.75" customHeight="1" x14ac:dyDescent="0.2">
      <c r="A193" s="34"/>
      <c r="B193" s="34"/>
      <c r="C193" s="34"/>
      <c r="D193" s="34"/>
      <c r="E193" s="19"/>
      <c r="F193" s="19"/>
      <c r="G193" s="19"/>
      <c r="H193" s="19"/>
      <c r="I193" s="19"/>
      <c r="J193" s="19"/>
      <c r="K193" s="19"/>
      <c r="L193" s="19"/>
      <c r="M193" s="19"/>
      <c r="N193" s="19"/>
      <c r="O193" s="19"/>
      <c r="P193" s="20"/>
      <c r="Q193" s="20"/>
      <c r="R193" s="22"/>
      <c r="S193" s="22"/>
      <c r="T193" s="20"/>
      <c r="U193" s="20"/>
      <c r="V193" s="20"/>
      <c r="W193" s="19"/>
      <c r="X193" s="19"/>
      <c r="Y193" s="19"/>
      <c r="Z193" s="23"/>
    </row>
    <row r="194" spans="1:26" ht="15.75" customHeight="1" x14ac:dyDescent="0.2">
      <c r="A194" s="34"/>
      <c r="B194" s="34"/>
      <c r="C194" s="34"/>
      <c r="D194" s="34"/>
      <c r="E194" s="19"/>
      <c r="F194" s="19"/>
      <c r="G194" s="19"/>
      <c r="H194" s="19"/>
      <c r="I194" s="19"/>
      <c r="J194" s="19"/>
      <c r="K194" s="19"/>
      <c r="L194" s="19"/>
      <c r="M194" s="19"/>
      <c r="N194" s="19"/>
      <c r="O194" s="19"/>
      <c r="P194" s="20"/>
      <c r="Q194" s="20"/>
      <c r="R194" s="22"/>
      <c r="S194" s="22"/>
      <c r="T194" s="20"/>
      <c r="U194" s="20"/>
      <c r="V194" s="20"/>
      <c r="W194" s="19"/>
      <c r="X194" s="19"/>
      <c r="Y194" s="19"/>
      <c r="Z194" s="23"/>
    </row>
    <row r="195" spans="1:26" ht="15.75" customHeight="1" x14ac:dyDescent="0.2">
      <c r="A195" s="34"/>
      <c r="B195" s="34"/>
      <c r="C195" s="34"/>
      <c r="D195" s="34"/>
      <c r="E195" s="19"/>
      <c r="F195" s="19"/>
      <c r="G195" s="19"/>
      <c r="H195" s="19"/>
      <c r="I195" s="19"/>
      <c r="J195" s="19"/>
      <c r="K195" s="19"/>
      <c r="L195" s="19"/>
      <c r="M195" s="19"/>
      <c r="N195" s="19"/>
      <c r="O195" s="19"/>
      <c r="P195" s="20"/>
      <c r="Q195" s="20"/>
      <c r="R195" s="22"/>
      <c r="S195" s="22"/>
      <c r="T195" s="20"/>
      <c r="U195" s="20"/>
      <c r="V195" s="20"/>
      <c r="W195" s="19"/>
      <c r="X195" s="19"/>
      <c r="Y195" s="19"/>
      <c r="Z195" s="23"/>
    </row>
    <row r="196" spans="1:26" ht="15.75" customHeight="1" x14ac:dyDescent="0.2">
      <c r="A196" s="34"/>
      <c r="B196" s="34"/>
      <c r="C196" s="34"/>
      <c r="D196" s="34"/>
      <c r="E196" s="19"/>
      <c r="F196" s="19"/>
      <c r="G196" s="19"/>
      <c r="H196" s="19"/>
      <c r="I196" s="19"/>
      <c r="J196" s="19"/>
      <c r="K196" s="19"/>
      <c r="L196" s="19"/>
      <c r="M196" s="19"/>
      <c r="N196" s="19"/>
      <c r="O196" s="19"/>
      <c r="P196" s="20"/>
      <c r="Q196" s="20"/>
      <c r="R196" s="22"/>
      <c r="S196" s="22"/>
      <c r="T196" s="20"/>
      <c r="U196" s="20"/>
      <c r="V196" s="20"/>
      <c r="W196" s="19"/>
      <c r="X196" s="19"/>
      <c r="Y196" s="19"/>
      <c r="Z196" s="23"/>
    </row>
    <row r="197" spans="1:26" ht="15.75" customHeight="1" x14ac:dyDescent="0.2">
      <c r="A197" s="34"/>
      <c r="B197" s="34"/>
      <c r="C197" s="34"/>
      <c r="D197" s="34"/>
      <c r="E197" s="19"/>
      <c r="F197" s="19"/>
      <c r="G197" s="19"/>
      <c r="H197" s="19"/>
      <c r="I197" s="19"/>
      <c r="J197" s="19"/>
      <c r="K197" s="19"/>
      <c r="L197" s="19"/>
      <c r="M197" s="19"/>
      <c r="N197" s="19"/>
      <c r="O197" s="19"/>
      <c r="P197" s="20"/>
      <c r="Q197" s="20"/>
      <c r="R197" s="22"/>
      <c r="S197" s="22"/>
      <c r="T197" s="20"/>
      <c r="U197" s="20"/>
      <c r="V197" s="20"/>
      <c r="W197" s="19"/>
      <c r="X197" s="19"/>
      <c r="Y197" s="19"/>
      <c r="Z197" s="23"/>
    </row>
    <row r="198" spans="1:26" ht="15.75" customHeight="1" x14ac:dyDescent="0.2">
      <c r="A198" s="34"/>
      <c r="B198" s="34"/>
      <c r="C198" s="34"/>
      <c r="D198" s="34"/>
      <c r="E198" s="19"/>
      <c r="F198" s="19"/>
      <c r="G198" s="19"/>
      <c r="H198" s="19"/>
      <c r="I198" s="19"/>
      <c r="J198" s="19"/>
      <c r="K198" s="19"/>
      <c r="L198" s="19"/>
      <c r="M198" s="19"/>
      <c r="N198" s="19"/>
      <c r="O198" s="19"/>
      <c r="P198" s="20"/>
      <c r="Q198" s="20"/>
      <c r="R198" s="22"/>
      <c r="S198" s="22"/>
      <c r="T198" s="20"/>
      <c r="U198" s="20"/>
      <c r="V198" s="20"/>
      <c r="W198" s="19"/>
      <c r="X198" s="19"/>
      <c r="Y198" s="19"/>
      <c r="Z198" s="23"/>
    </row>
    <row r="199" spans="1:26" ht="15.75" customHeight="1" x14ac:dyDescent="0.2">
      <c r="A199" s="34"/>
      <c r="B199" s="34"/>
      <c r="C199" s="34"/>
      <c r="D199" s="34"/>
      <c r="E199" s="19"/>
      <c r="F199" s="19"/>
      <c r="G199" s="19"/>
      <c r="H199" s="19"/>
      <c r="I199" s="19"/>
      <c r="J199" s="19"/>
      <c r="K199" s="19"/>
      <c r="L199" s="19"/>
      <c r="M199" s="19"/>
      <c r="N199" s="19"/>
      <c r="O199" s="19"/>
      <c r="P199" s="20"/>
      <c r="Q199" s="20"/>
      <c r="R199" s="22"/>
      <c r="S199" s="22"/>
      <c r="T199" s="20"/>
      <c r="U199" s="20"/>
      <c r="V199" s="20"/>
      <c r="W199" s="19"/>
      <c r="X199" s="19"/>
      <c r="Y199" s="19"/>
      <c r="Z199" s="23"/>
    </row>
    <row r="200" spans="1:26" ht="15.75" customHeight="1" x14ac:dyDescent="0.2">
      <c r="A200" s="34"/>
      <c r="B200" s="34"/>
      <c r="C200" s="34"/>
      <c r="D200" s="34"/>
      <c r="E200" s="19"/>
      <c r="F200" s="19"/>
      <c r="G200" s="19"/>
      <c r="H200" s="19"/>
      <c r="I200" s="19"/>
      <c r="J200" s="19"/>
      <c r="K200" s="19"/>
      <c r="L200" s="19"/>
      <c r="M200" s="19"/>
      <c r="N200" s="19"/>
      <c r="O200" s="19"/>
      <c r="P200" s="20"/>
      <c r="Q200" s="20"/>
      <c r="R200" s="22"/>
      <c r="S200" s="22"/>
      <c r="T200" s="20"/>
      <c r="U200" s="20"/>
      <c r="V200" s="20"/>
      <c r="W200" s="19"/>
      <c r="X200" s="19"/>
      <c r="Y200" s="19"/>
      <c r="Z200" s="23"/>
    </row>
    <row r="201" spans="1:26" ht="15.75" customHeight="1" x14ac:dyDescent="0.2">
      <c r="A201" s="34"/>
      <c r="B201" s="34"/>
      <c r="C201" s="34"/>
      <c r="D201" s="34"/>
      <c r="E201" s="19"/>
      <c r="F201" s="19"/>
      <c r="G201" s="19"/>
      <c r="H201" s="19"/>
      <c r="I201" s="19"/>
      <c r="J201" s="19"/>
      <c r="K201" s="19"/>
      <c r="L201" s="19"/>
      <c r="M201" s="19"/>
      <c r="N201" s="19"/>
      <c r="O201" s="19"/>
      <c r="P201" s="20"/>
      <c r="Q201" s="20"/>
      <c r="R201" s="22"/>
      <c r="S201" s="22"/>
      <c r="T201" s="20"/>
      <c r="U201" s="20"/>
      <c r="V201" s="20"/>
      <c r="W201" s="19"/>
      <c r="X201" s="19"/>
      <c r="Y201" s="19"/>
      <c r="Z201" s="23"/>
    </row>
    <row r="202" spans="1:26" ht="15.75" customHeight="1" x14ac:dyDescent="0.2">
      <c r="A202" s="34"/>
      <c r="B202" s="34"/>
      <c r="C202" s="34"/>
      <c r="D202" s="34"/>
      <c r="E202" s="19"/>
      <c r="F202" s="19"/>
      <c r="G202" s="19"/>
      <c r="H202" s="19"/>
      <c r="I202" s="19"/>
      <c r="J202" s="19"/>
      <c r="K202" s="19"/>
      <c r="L202" s="19"/>
      <c r="M202" s="19"/>
      <c r="N202" s="19"/>
      <c r="O202" s="19"/>
      <c r="P202" s="20"/>
      <c r="Q202" s="20"/>
      <c r="R202" s="22"/>
      <c r="S202" s="22"/>
      <c r="T202" s="20"/>
      <c r="U202" s="20"/>
      <c r="V202" s="20"/>
      <c r="W202" s="19"/>
      <c r="X202" s="19"/>
      <c r="Y202" s="19"/>
      <c r="Z202" s="23"/>
    </row>
    <row r="203" spans="1:26" ht="15.75" customHeight="1" x14ac:dyDescent="0.2">
      <c r="A203" s="34"/>
      <c r="B203" s="34"/>
      <c r="C203" s="34"/>
      <c r="D203" s="34"/>
      <c r="E203" s="19"/>
      <c r="F203" s="19"/>
      <c r="G203" s="19"/>
      <c r="H203" s="19"/>
      <c r="I203" s="19"/>
      <c r="J203" s="19"/>
      <c r="K203" s="19"/>
      <c r="L203" s="19"/>
      <c r="M203" s="19"/>
      <c r="N203" s="19"/>
      <c r="O203" s="19"/>
      <c r="P203" s="20"/>
      <c r="Q203" s="20"/>
      <c r="R203" s="22"/>
      <c r="S203" s="22"/>
      <c r="T203" s="20"/>
      <c r="U203" s="20"/>
      <c r="V203" s="20"/>
      <c r="W203" s="19"/>
      <c r="X203" s="19"/>
      <c r="Y203" s="19"/>
      <c r="Z203" s="23"/>
    </row>
    <row r="204" spans="1:26" ht="15.75" customHeight="1" x14ac:dyDescent="0.2">
      <c r="A204" s="34"/>
      <c r="B204" s="34"/>
      <c r="C204" s="34"/>
      <c r="D204" s="34"/>
      <c r="E204" s="19"/>
      <c r="F204" s="19"/>
      <c r="G204" s="19"/>
      <c r="H204" s="19"/>
      <c r="I204" s="19"/>
      <c r="J204" s="19"/>
      <c r="K204" s="19"/>
      <c r="L204" s="19"/>
      <c r="M204" s="19"/>
      <c r="N204" s="19"/>
      <c r="O204" s="19"/>
      <c r="P204" s="20"/>
      <c r="Q204" s="20"/>
      <c r="R204" s="22"/>
      <c r="S204" s="22"/>
      <c r="T204" s="20"/>
      <c r="U204" s="20"/>
      <c r="V204" s="20"/>
      <c r="W204" s="19"/>
      <c r="X204" s="19"/>
      <c r="Y204" s="19"/>
      <c r="Z204" s="23"/>
    </row>
    <row r="205" spans="1:26" ht="15.75" customHeight="1" x14ac:dyDescent="0.2">
      <c r="A205" s="34"/>
      <c r="B205" s="34"/>
      <c r="C205" s="34"/>
      <c r="D205" s="34"/>
      <c r="E205" s="19"/>
      <c r="F205" s="19"/>
      <c r="G205" s="19"/>
      <c r="H205" s="19"/>
      <c r="I205" s="19"/>
      <c r="J205" s="19"/>
      <c r="K205" s="19"/>
      <c r="L205" s="19"/>
      <c r="M205" s="19"/>
      <c r="N205" s="19"/>
      <c r="O205" s="19"/>
      <c r="P205" s="20"/>
      <c r="Q205" s="20"/>
      <c r="R205" s="22"/>
      <c r="S205" s="22"/>
      <c r="T205" s="20"/>
      <c r="U205" s="20"/>
      <c r="V205" s="20"/>
      <c r="W205" s="19"/>
      <c r="X205" s="19"/>
      <c r="Y205" s="19"/>
      <c r="Z205" s="23"/>
    </row>
    <row r="206" spans="1:26" ht="15.75" customHeight="1" x14ac:dyDescent="0.2">
      <c r="A206" s="34"/>
      <c r="B206" s="34"/>
      <c r="C206" s="34"/>
      <c r="D206" s="34"/>
      <c r="E206" s="19"/>
      <c r="F206" s="19"/>
      <c r="G206" s="19"/>
      <c r="H206" s="19"/>
      <c r="I206" s="19"/>
      <c r="J206" s="19"/>
      <c r="K206" s="19"/>
      <c r="L206" s="19"/>
      <c r="M206" s="19"/>
      <c r="N206" s="19"/>
      <c r="O206" s="19"/>
      <c r="P206" s="20"/>
      <c r="Q206" s="20"/>
      <c r="R206" s="22"/>
      <c r="S206" s="22"/>
      <c r="T206" s="20"/>
      <c r="U206" s="20"/>
      <c r="V206" s="20"/>
      <c r="W206" s="19"/>
      <c r="X206" s="19"/>
      <c r="Y206" s="19"/>
      <c r="Z206" s="23"/>
    </row>
    <row r="207" spans="1:26" ht="15.75" customHeight="1" x14ac:dyDescent="0.2">
      <c r="A207" s="34"/>
      <c r="B207" s="34"/>
      <c r="C207" s="34"/>
      <c r="D207" s="34"/>
      <c r="E207" s="19"/>
      <c r="F207" s="19"/>
      <c r="G207" s="19"/>
      <c r="H207" s="19"/>
      <c r="I207" s="19"/>
      <c r="J207" s="19"/>
      <c r="K207" s="19"/>
      <c r="L207" s="19"/>
      <c r="M207" s="19"/>
      <c r="N207" s="19"/>
      <c r="O207" s="19"/>
      <c r="P207" s="20"/>
      <c r="Q207" s="20"/>
      <c r="R207" s="22"/>
      <c r="S207" s="22"/>
      <c r="T207" s="20"/>
      <c r="U207" s="20"/>
      <c r="V207" s="20"/>
      <c r="W207" s="19"/>
      <c r="X207" s="19"/>
      <c r="Y207" s="19"/>
      <c r="Z207" s="23"/>
    </row>
    <row r="208" spans="1:26" ht="15.75" customHeight="1" x14ac:dyDescent="0.2">
      <c r="A208" s="34"/>
      <c r="B208" s="34"/>
      <c r="C208" s="34"/>
      <c r="D208" s="34"/>
      <c r="E208" s="19"/>
      <c r="F208" s="19"/>
      <c r="G208" s="19"/>
      <c r="H208" s="19"/>
      <c r="I208" s="19"/>
      <c r="J208" s="19"/>
      <c r="K208" s="19"/>
      <c r="L208" s="19"/>
      <c r="M208" s="19"/>
      <c r="N208" s="19"/>
      <c r="O208" s="19"/>
      <c r="P208" s="20"/>
      <c r="Q208" s="20"/>
      <c r="R208" s="22"/>
      <c r="S208" s="22"/>
      <c r="T208" s="20"/>
      <c r="U208" s="20"/>
      <c r="V208" s="20"/>
      <c r="W208" s="19"/>
      <c r="X208" s="19"/>
      <c r="Y208" s="19"/>
      <c r="Z208" s="23"/>
    </row>
    <row r="209" spans="1:26" ht="15.75" customHeight="1" x14ac:dyDescent="0.2">
      <c r="A209" s="34"/>
      <c r="B209" s="34"/>
      <c r="C209" s="34"/>
      <c r="D209" s="34"/>
      <c r="E209" s="19"/>
      <c r="F209" s="19"/>
      <c r="G209" s="19"/>
      <c r="H209" s="19"/>
      <c r="I209" s="19"/>
      <c r="J209" s="19"/>
      <c r="K209" s="19"/>
      <c r="L209" s="19"/>
      <c r="M209" s="19"/>
      <c r="N209" s="19"/>
      <c r="O209" s="19"/>
      <c r="P209" s="20"/>
      <c r="Q209" s="20"/>
      <c r="R209" s="22"/>
      <c r="S209" s="22"/>
      <c r="T209" s="20"/>
      <c r="U209" s="20"/>
      <c r="V209" s="20"/>
      <c r="W209" s="19"/>
      <c r="X209" s="19"/>
      <c r="Y209" s="19"/>
      <c r="Z209" s="23"/>
    </row>
    <row r="210" spans="1:26" ht="15.75" customHeight="1" x14ac:dyDescent="0.2">
      <c r="A210" s="34"/>
      <c r="B210" s="34"/>
      <c r="C210" s="34"/>
      <c r="D210" s="34"/>
      <c r="E210" s="19"/>
      <c r="F210" s="19"/>
      <c r="G210" s="19"/>
      <c r="H210" s="19"/>
      <c r="I210" s="19"/>
      <c r="J210" s="19"/>
      <c r="K210" s="19"/>
      <c r="L210" s="19"/>
      <c r="M210" s="19"/>
      <c r="N210" s="19"/>
      <c r="O210" s="19"/>
      <c r="P210" s="20"/>
      <c r="Q210" s="20"/>
      <c r="R210" s="22"/>
      <c r="S210" s="22"/>
      <c r="T210" s="20"/>
      <c r="U210" s="20"/>
      <c r="V210" s="20"/>
      <c r="W210" s="19"/>
      <c r="X210" s="19"/>
      <c r="Y210" s="19"/>
      <c r="Z210" s="23"/>
    </row>
    <row r="211" spans="1:26" ht="15.75" customHeight="1" x14ac:dyDescent="0.2">
      <c r="A211" s="34"/>
      <c r="B211" s="34"/>
      <c r="C211" s="34"/>
      <c r="D211" s="34"/>
      <c r="E211" s="19"/>
      <c r="F211" s="19"/>
      <c r="G211" s="19"/>
      <c r="H211" s="19"/>
      <c r="I211" s="19"/>
      <c r="J211" s="19"/>
      <c r="K211" s="19"/>
      <c r="L211" s="19"/>
      <c r="M211" s="19"/>
      <c r="N211" s="19"/>
      <c r="O211" s="19"/>
      <c r="P211" s="20"/>
      <c r="Q211" s="20"/>
      <c r="R211" s="22"/>
      <c r="S211" s="22"/>
      <c r="T211" s="20"/>
      <c r="U211" s="20"/>
      <c r="V211" s="20"/>
      <c r="W211" s="19"/>
      <c r="X211" s="19"/>
      <c r="Y211" s="19"/>
      <c r="Z211" s="23"/>
    </row>
    <row r="212" spans="1:26" ht="15.75" customHeight="1" x14ac:dyDescent="0.2">
      <c r="A212" s="34"/>
      <c r="B212" s="34"/>
      <c r="C212" s="34"/>
      <c r="D212" s="34"/>
      <c r="E212" s="19"/>
      <c r="F212" s="19"/>
      <c r="G212" s="19"/>
      <c r="H212" s="19"/>
      <c r="I212" s="19"/>
      <c r="J212" s="19"/>
      <c r="K212" s="19"/>
      <c r="L212" s="19"/>
      <c r="M212" s="19"/>
      <c r="N212" s="19"/>
      <c r="O212" s="19"/>
      <c r="P212" s="20"/>
      <c r="Q212" s="20"/>
      <c r="R212" s="22"/>
      <c r="S212" s="22"/>
      <c r="T212" s="20"/>
      <c r="U212" s="20"/>
      <c r="V212" s="20"/>
      <c r="W212" s="19"/>
      <c r="X212" s="19"/>
      <c r="Y212" s="19"/>
      <c r="Z212" s="23"/>
    </row>
    <row r="213" spans="1:26" ht="15.75" customHeight="1" x14ac:dyDescent="0.2">
      <c r="A213" s="34"/>
      <c r="B213" s="34"/>
      <c r="C213" s="34"/>
      <c r="D213" s="34"/>
      <c r="E213" s="19"/>
      <c r="F213" s="19"/>
      <c r="G213" s="19"/>
      <c r="H213" s="19"/>
      <c r="I213" s="19"/>
      <c r="J213" s="19"/>
      <c r="K213" s="19"/>
      <c r="L213" s="19"/>
      <c r="M213" s="19"/>
      <c r="N213" s="19"/>
      <c r="O213" s="19"/>
      <c r="P213" s="20"/>
      <c r="Q213" s="20"/>
      <c r="R213" s="22"/>
      <c r="S213" s="22"/>
      <c r="T213" s="20"/>
      <c r="U213" s="20"/>
      <c r="V213" s="20"/>
      <c r="W213" s="19"/>
      <c r="X213" s="19"/>
      <c r="Y213" s="19"/>
      <c r="Z213" s="23"/>
    </row>
    <row r="214" spans="1:26" ht="15.75" customHeight="1" x14ac:dyDescent="0.2">
      <c r="A214" s="34"/>
      <c r="B214" s="34"/>
      <c r="C214" s="34"/>
      <c r="D214" s="34"/>
      <c r="E214" s="19"/>
      <c r="F214" s="19"/>
      <c r="G214" s="19"/>
      <c r="H214" s="19"/>
      <c r="I214" s="19"/>
      <c r="J214" s="19"/>
      <c r="K214" s="19"/>
      <c r="L214" s="19"/>
      <c r="M214" s="19"/>
      <c r="N214" s="19"/>
      <c r="O214" s="19"/>
      <c r="P214" s="20"/>
      <c r="Q214" s="20"/>
      <c r="R214" s="22"/>
      <c r="S214" s="22"/>
      <c r="T214" s="20"/>
      <c r="U214" s="20"/>
      <c r="V214" s="20"/>
      <c r="W214" s="19"/>
      <c r="X214" s="19"/>
      <c r="Y214" s="19"/>
      <c r="Z214" s="23"/>
    </row>
    <row r="215" spans="1:26" ht="15.75" customHeight="1" x14ac:dyDescent="0.2">
      <c r="A215" s="34"/>
      <c r="B215" s="34"/>
      <c r="C215" s="34"/>
      <c r="D215" s="34"/>
      <c r="E215" s="19"/>
      <c r="F215" s="19"/>
      <c r="G215" s="19"/>
      <c r="H215" s="19"/>
      <c r="I215" s="19"/>
      <c r="J215" s="19"/>
      <c r="K215" s="19"/>
      <c r="L215" s="19"/>
      <c r="M215" s="19"/>
      <c r="N215" s="19"/>
      <c r="O215" s="19"/>
      <c r="P215" s="20"/>
      <c r="Q215" s="20"/>
      <c r="R215" s="22"/>
      <c r="S215" s="22"/>
      <c r="T215" s="20"/>
      <c r="U215" s="20"/>
      <c r="V215" s="20"/>
      <c r="W215" s="19"/>
      <c r="X215" s="19"/>
      <c r="Y215" s="19"/>
      <c r="Z215" s="23"/>
    </row>
    <row r="216" spans="1:26" ht="15.75" customHeight="1" x14ac:dyDescent="0.2">
      <c r="A216" s="34"/>
      <c r="B216" s="34"/>
      <c r="C216" s="34"/>
      <c r="D216" s="34"/>
      <c r="E216" s="19"/>
      <c r="F216" s="19"/>
      <c r="G216" s="19"/>
      <c r="H216" s="19"/>
      <c r="I216" s="19"/>
      <c r="J216" s="19"/>
      <c r="K216" s="19"/>
      <c r="L216" s="19"/>
      <c r="M216" s="19"/>
      <c r="N216" s="19"/>
      <c r="O216" s="19"/>
      <c r="P216" s="20"/>
      <c r="Q216" s="20"/>
      <c r="R216" s="22"/>
      <c r="S216" s="22"/>
      <c r="T216" s="20"/>
      <c r="U216" s="20"/>
      <c r="V216" s="20"/>
      <c r="W216" s="19"/>
      <c r="X216" s="19"/>
      <c r="Y216" s="19"/>
      <c r="Z216" s="23"/>
    </row>
    <row r="217" spans="1:26" ht="15.75" customHeight="1" x14ac:dyDescent="0.2">
      <c r="A217" s="34"/>
      <c r="B217" s="34"/>
      <c r="C217" s="34"/>
      <c r="D217" s="34"/>
      <c r="E217" s="19"/>
      <c r="F217" s="19"/>
      <c r="G217" s="19"/>
      <c r="H217" s="19"/>
      <c r="I217" s="19"/>
      <c r="J217" s="19"/>
      <c r="K217" s="19"/>
      <c r="L217" s="19"/>
      <c r="M217" s="19"/>
      <c r="N217" s="19"/>
      <c r="O217" s="19"/>
      <c r="P217" s="20"/>
      <c r="Q217" s="20"/>
      <c r="R217" s="22"/>
      <c r="S217" s="22"/>
      <c r="T217" s="20"/>
      <c r="U217" s="20"/>
      <c r="V217" s="20"/>
      <c r="W217" s="19"/>
      <c r="X217" s="19"/>
      <c r="Y217" s="19"/>
      <c r="Z217" s="23"/>
    </row>
    <row r="218" spans="1:26" ht="15.75" customHeight="1" x14ac:dyDescent="0.2">
      <c r="A218" s="34"/>
      <c r="B218" s="34"/>
      <c r="C218" s="34"/>
      <c r="D218" s="34"/>
      <c r="E218" s="19"/>
      <c r="F218" s="19"/>
      <c r="G218" s="19"/>
      <c r="H218" s="19"/>
      <c r="I218" s="19"/>
      <c r="J218" s="19"/>
      <c r="K218" s="19"/>
      <c r="L218" s="19"/>
      <c r="M218" s="19"/>
      <c r="N218" s="19"/>
      <c r="O218" s="19"/>
      <c r="P218" s="20"/>
      <c r="Q218" s="20"/>
      <c r="R218" s="22"/>
      <c r="S218" s="22"/>
      <c r="T218" s="20"/>
      <c r="U218" s="20"/>
      <c r="V218" s="20"/>
      <c r="W218" s="19"/>
      <c r="X218" s="19"/>
      <c r="Y218" s="19"/>
      <c r="Z218" s="23"/>
    </row>
    <row r="219" spans="1:26" ht="15.75" customHeight="1" x14ac:dyDescent="0.2">
      <c r="A219" s="34"/>
      <c r="B219" s="34"/>
      <c r="C219" s="34"/>
      <c r="D219" s="34"/>
      <c r="E219" s="19"/>
      <c r="F219" s="19"/>
      <c r="G219" s="19"/>
      <c r="H219" s="19"/>
      <c r="I219" s="19"/>
      <c r="J219" s="19"/>
      <c r="K219" s="19"/>
      <c r="L219" s="19"/>
      <c r="M219" s="19"/>
      <c r="N219" s="19"/>
      <c r="O219" s="19"/>
      <c r="P219" s="20"/>
      <c r="Q219" s="20"/>
      <c r="R219" s="22"/>
      <c r="S219" s="22"/>
      <c r="T219" s="20"/>
      <c r="U219" s="20"/>
      <c r="V219" s="20"/>
      <c r="W219" s="19"/>
      <c r="X219" s="19"/>
      <c r="Y219" s="19"/>
      <c r="Z219" s="23"/>
    </row>
    <row r="220" spans="1:26" ht="15.75" customHeight="1" x14ac:dyDescent="0.2">
      <c r="A220" s="34"/>
      <c r="B220" s="34"/>
      <c r="C220" s="34"/>
      <c r="D220" s="34"/>
      <c r="E220" s="19"/>
      <c r="F220" s="19"/>
      <c r="G220" s="19"/>
      <c r="H220" s="19"/>
      <c r="I220" s="19"/>
      <c r="J220" s="19"/>
      <c r="K220" s="19"/>
      <c r="L220" s="19"/>
      <c r="M220" s="19"/>
      <c r="N220" s="19"/>
      <c r="O220" s="19"/>
      <c r="P220" s="20"/>
      <c r="Q220" s="20"/>
      <c r="R220" s="22"/>
      <c r="S220" s="22"/>
      <c r="T220" s="20"/>
      <c r="U220" s="20"/>
      <c r="V220" s="20"/>
      <c r="W220" s="19"/>
      <c r="X220" s="19"/>
      <c r="Y220" s="19"/>
      <c r="Z220" s="23"/>
    </row>
    <row r="221" spans="1:26" ht="15.75" customHeight="1" x14ac:dyDescent="0.2">
      <c r="A221" s="34"/>
      <c r="B221" s="34"/>
      <c r="C221" s="34"/>
      <c r="D221" s="34"/>
      <c r="E221" s="19"/>
      <c r="F221" s="19"/>
      <c r="G221" s="19"/>
      <c r="H221" s="19"/>
      <c r="I221" s="19"/>
      <c r="J221" s="19"/>
      <c r="K221" s="19"/>
      <c r="L221" s="19"/>
      <c r="M221" s="19"/>
      <c r="N221" s="19"/>
      <c r="O221" s="19"/>
      <c r="P221" s="20"/>
      <c r="Q221" s="20"/>
      <c r="R221" s="22"/>
      <c r="S221" s="22"/>
      <c r="T221" s="20"/>
      <c r="U221" s="20"/>
      <c r="V221" s="20"/>
      <c r="W221" s="19"/>
      <c r="X221" s="19"/>
      <c r="Y221" s="19"/>
      <c r="Z221" s="23"/>
    </row>
    <row r="222" spans="1:26" ht="15.75" customHeight="1" x14ac:dyDescent="0.2">
      <c r="A222" s="34"/>
      <c r="B222" s="34"/>
      <c r="C222" s="34"/>
      <c r="D222" s="34"/>
      <c r="E222" s="19"/>
      <c r="F222" s="19"/>
      <c r="G222" s="19"/>
      <c r="H222" s="19"/>
      <c r="I222" s="19"/>
      <c r="J222" s="19"/>
      <c r="K222" s="19"/>
      <c r="L222" s="19"/>
      <c r="M222" s="19"/>
      <c r="N222" s="19"/>
      <c r="O222" s="19"/>
      <c r="P222" s="20"/>
      <c r="Q222" s="20"/>
      <c r="R222" s="22"/>
      <c r="S222" s="22"/>
      <c r="T222" s="20"/>
      <c r="U222" s="20"/>
      <c r="V222" s="20"/>
      <c r="W222" s="19"/>
      <c r="X222" s="19"/>
      <c r="Y222" s="19"/>
      <c r="Z222" s="23"/>
    </row>
    <row r="223" spans="1:26" ht="15.75" customHeight="1" x14ac:dyDescent="0.2">
      <c r="A223" s="34"/>
      <c r="B223" s="34"/>
      <c r="C223" s="34"/>
      <c r="D223" s="34"/>
      <c r="E223" s="19"/>
      <c r="F223" s="19"/>
      <c r="G223" s="19"/>
      <c r="H223" s="19"/>
      <c r="I223" s="19"/>
      <c r="J223" s="19"/>
      <c r="K223" s="19"/>
      <c r="L223" s="19"/>
      <c r="M223" s="19"/>
      <c r="N223" s="19"/>
      <c r="O223" s="19"/>
      <c r="P223" s="20"/>
      <c r="Q223" s="20"/>
      <c r="R223" s="22"/>
      <c r="S223" s="22"/>
      <c r="T223" s="20"/>
      <c r="U223" s="20"/>
      <c r="V223" s="20"/>
      <c r="W223" s="19"/>
      <c r="X223" s="19"/>
      <c r="Y223" s="19"/>
      <c r="Z223" s="23"/>
    </row>
    <row r="224" spans="1:26" ht="15.75" customHeight="1" x14ac:dyDescent="0.2">
      <c r="A224" s="34"/>
      <c r="B224" s="34"/>
      <c r="C224" s="34"/>
      <c r="D224" s="34"/>
      <c r="E224" s="19"/>
      <c r="F224" s="19"/>
      <c r="G224" s="19"/>
      <c r="H224" s="19"/>
      <c r="I224" s="19"/>
      <c r="J224" s="19"/>
      <c r="K224" s="19"/>
      <c r="L224" s="19"/>
      <c r="M224" s="19"/>
      <c r="N224" s="19"/>
      <c r="O224" s="19"/>
      <c r="P224" s="20"/>
      <c r="Q224" s="20"/>
      <c r="R224" s="22"/>
      <c r="S224" s="22"/>
      <c r="T224" s="20"/>
      <c r="U224" s="20"/>
      <c r="V224" s="20"/>
      <c r="W224" s="19"/>
      <c r="X224" s="19"/>
      <c r="Y224" s="19"/>
      <c r="Z224" s="23"/>
    </row>
    <row r="225" spans="1:26" ht="15.75" customHeight="1" x14ac:dyDescent="0.2">
      <c r="A225" s="34"/>
      <c r="B225" s="34"/>
      <c r="C225" s="34"/>
      <c r="D225" s="34"/>
      <c r="E225" s="19"/>
      <c r="F225" s="19"/>
      <c r="G225" s="19"/>
      <c r="H225" s="19"/>
      <c r="I225" s="19"/>
      <c r="J225" s="19"/>
      <c r="K225" s="19"/>
      <c r="L225" s="19"/>
      <c r="M225" s="19"/>
      <c r="N225" s="19"/>
      <c r="O225" s="19"/>
      <c r="P225" s="20"/>
      <c r="Q225" s="20"/>
      <c r="R225" s="22"/>
      <c r="S225" s="22"/>
      <c r="T225" s="20"/>
      <c r="U225" s="20"/>
      <c r="V225" s="20"/>
      <c r="W225" s="19"/>
      <c r="X225" s="19"/>
      <c r="Y225" s="19"/>
      <c r="Z225" s="23"/>
    </row>
    <row r="226" spans="1:26" ht="15.75" customHeight="1" x14ac:dyDescent="0.2">
      <c r="A226" s="34"/>
      <c r="B226" s="34"/>
      <c r="C226" s="34"/>
      <c r="D226" s="34"/>
      <c r="E226" s="19"/>
      <c r="F226" s="19"/>
      <c r="G226" s="19"/>
      <c r="H226" s="19"/>
      <c r="I226" s="19"/>
      <c r="J226" s="19"/>
      <c r="K226" s="19"/>
      <c r="L226" s="19"/>
      <c r="M226" s="19"/>
      <c r="N226" s="19"/>
      <c r="O226" s="19"/>
      <c r="P226" s="20"/>
      <c r="Q226" s="20"/>
      <c r="R226" s="22"/>
      <c r="S226" s="22"/>
      <c r="T226" s="20"/>
      <c r="U226" s="20"/>
      <c r="V226" s="20"/>
      <c r="W226" s="19"/>
      <c r="X226" s="19"/>
      <c r="Y226" s="19"/>
      <c r="Z226" s="23"/>
    </row>
    <row r="227" spans="1:26" ht="15.75" customHeight="1" x14ac:dyDescent="0.2">
      <c r="A227" s="34"/>
      <c r="B227" s="34"/>
      <c r="C227" s="34"/>
      <c r="D227" s="34"/>
      <c r="E227" s="19"/>
      <c r="F227" s="19"/>
      <c r="G227" s="19"/>
      <c r="H227" s="19"/>
      <c r="I227" s="19"/>
      <c r="J227" s="19"/>
      <c r="K227" s="19"/>
      <c r="L227" s="19"/>
      <c r="M227" s="19"/>
      <c r="N227" s="19"/>
      <c r="O227" s="19"/>
      <c r="P227" s="20"/>
      <c r="Q227" s="20"/>
      <c r="R227" s="22"/>
      <c r="S227" s="22"/>
      <c r="T227" s="20"/>
      <c r="U227" s="20"/>
      <c r="V227" s="20"/>
      <c r="W227" s="19"/>
      <c r="X227" s="19"/>
      <c r="Y227" s="19"/>
      <c r="Z227" s="23"/>
    </row>
    <row r="228" spans="1:26" ht="15.75" customHeight="1" x14ac:dyDescent="0.2">
      <c r="A228" s="34"/>
      <c r="B228" s="34"/>
      <c r="C228" s="34"/>
      <c r="D228" s="34"/>
      <c r="E228" s="19"/>
      <c r="F228" s="19"/>
      <c r="G228" s="19"/>
      <c r="H228" s="19"/>
      <c r="I228" s="19"/>
      <c r="J228" s="19"/>
      <c r="K228" s="19"/>
      <c r="L228" s="19"/>
      <c r="M228" s="19"/>
      <c r="N228" s="19"/>
      <c r="O228" s="19"/>
      <c r="P228" s="20"/>
      <c r="Q228" s="20"/>
      <c r="R228" s="22"/>
      <c r="S228" s="22"/>
      <c r="T228" s="20"/>
      <c r="U228" s="20"/>
      <c r="V228" s="20"/>
      <c r="W228" s="19"/>
      <c r="X228" s="19"/>
      <c r="Y228" s="19"/>
      <c r="Z228" s="23"/>
    </row>
    <row r="229" spans="1:26" ht="15.75" customHeight="1" x14ac:dyDescent="0.2">
      <c r="A229" s="34"/>
      <c r="B229" s="34"/>
      <c r="C229" s="34"/>
      <c r="D229" s="34"/>
      <c r="E229" s="19"/>
      <c r="F229" s="19"/>
      <c r="G229" s="19"/>
      <c r="H229" s="19"/>
      <c r="I229" s="19"/>
      <c r="J229" s="19"/>
      <c r="K229" s="19"/>
      <c r="L229" s="19"/>
      <c r="M229" s="19"/>
      <c r="N229" s="19"/>
      <c r="O229" s="19"/>
      <c r="P229" s="20"/>
      <c r="Q229" s="20"/>
      <c r="R229" s="22"/>
      <c r="S229" s="22"/>
      <c r="T229" s="20"/>
      <c r="U229" s="20"/>
      <c r="V229" s="20"/>
      <c r="W229" s="19"/>
      <c r="X229" s="19"/>
      <c r="Y229" s="19"/>
      <c r="Z229" s="23"/>
    </row>
    <row r="230" spans="1:26" ht="15.75" customHeight="1" x14ac:dyDescent="0.2">
      <c r="A230" s="34"/>
      <c r="B230" s="34"/>
      <c r="C230" s="34"/>
      <c r="D230" s="34"/>
      <c r="E230" s="19"/>
      <c r="F230" s="19"/>
      <c r="G230" s="19"/>
      <c r="H230" s="19"/>
      <c r="I230" s="19"/>
      <c r="J230" s="19"/>
      <c r="K230" s="19"/>
      <c r="L230" s="19"/>
      <c r="M230" s="19"/>
      <c r="N230" s="19"/>
      <c r="O230" s="19"/>
      <c r="P230" s="20"/>
      <c r="Q230" s="20"/>
      <c r="R230" s="22"/>
      <c r="S230" s="22"/>
      <c r="T230" s="20"/>
      <c r="U230" s="20"/>
      <c r="V230" s="20"/>
      <c r="W230" s="19"/>
      <c r="X230" s="19"/>
      <c r="Y230" s="19"/>
      <c r="Z230" s="23"/>
    </row>
    <row r="231" spans="1:26" ht="15.75" customHeight="1" x14ac:dyDescent="0.2">
      <c r="A231" s="34"/>
      <c r="B231" s="34"/>
      <c r="C231" s="34"/>
      <c r="D231" s="34"/>
      <c r="E231" s="19"/>
      <c r="F231" s="19"/>
      <c r="G231" s="19"/>
      <c r="H231" s="19"/>
      <c r="I231" s="19"/>
      <c r="J231" s="19"/>
      <c r="K231" s="19"/>
      <c r="L231" s="19"/>
      <c r="M231" s="19"/>
      <c r="N231" s="19"/>
      <c r="O231" s="19"/>
      <c r="P231" s="20"/>
      <c r="Q231" s="20"/>
      <c r="R231" s="22"/>
      <c r="S231" s="22"/>
      <c r="T231" s="20"/>
      <c r="U231" s="20"/>
      <c r="V231" s="20"/>
      <c r="W231" s="19"/>
      <c r="X231" s="19"/>
      <c r="Y231" s="19"/>
      <c r="Z231" s="23"/>
    </row>
    <row r="232" spans="1:26" ht="15.75" customHeight="1" x14ac:dyDescent="0.2">
      <c r="A232" s="34"/>
      <c r="B232" s="34"/>
      <c r="C232" s="34"/>
      <c r="D232" s="34"/>
      <c r="E232" s="19"/>
      <c r="F232" s="19"/>
      <c r="G232" s="19"/>
      <c r="H232" s="19"/>
      <c r="I232" s="19"/>
      <c r="J232" s="19"/>
      <c r="K232" s="19"/>
      <c r="L232" s="19"/>
      <c r="M232" s="19"/>
      <c r="N232" s="19"/>
      <c r="O232" s="19"/>
      <c r="P232" s="20"/>
      <c r="Q232" s="20"/>
      <c r="R232" s="22"/>
      <c r="S232" s="22"/>
      <c r="T232" s="20"/>
      <c r="U232" s="20"/>
      <c r="V232" s="20"/>
      <c r="W232" s="19"/>
      <c r="X232" s="19"/>
      <c r="Y232" s="19"/>
      <c r="Z232" s="23"/>
    </row>
    <row r="233" spans="1:26" ht="15.75" customHeight="1" x14ac:dyDescent="0.2">
      <c r="A233" s="34"/>
      <c r="B233" s="34"/>
      <c r="C233" s="34"/>
      <c r="D233" s="34"/>
      <c r="E233" s="19"/>
      <c r="F233" s="19"/>
      <c r="G233" s="19"/>
      <c r="H233" s="19"/>
      <c r="I233" s="19"/>
      <c r="J233" s="19"/>
      <c r="K233" s="19"/>
      <c r="L233" s="19"/>
      <c r="M233" s="19"/>
      <c r="N233" s="19"/>
      <c r="O233" s="19"/>
      <c r="P233" s="20"/>
      <c r="Q233" s="20"/>
      <c r="R233" s="22"/>
      <c r="S233" s="22"/>
      <c r="T233" s="20"/>
      <c r="U233" s="20"/>
      <c r="V233" s="20"/>
      <c r="W233" s="19"/>
      <c r="X233" s="19"/>
      <c r="Y233" s="19"/>
      <c r="Z233" s="23"/>
    </row>
    <row r="234" spans="1:26" ht="15.75" customHeight="1" x14ac:dyDescent="0.2">
      <c r="A234" s="34"/>
      <c r="B234" s="34"/>
      <c r="C234" s="34"/>
      <c r="D234" s="34"/>
      <c r="E234" s="19"/>
      <c r="F234" s="19"/>
      <c r="G234" s="19"/>
      <c r="H234" s="19"/>
      <c r="I234" s="19"/>
      <c r="J234" s="19"/>
      <c r="K234" s="19"/>
      <c r="L234" s="19"/>
      <c r="M234" s="19"/>
      <c r="N234" s="19"/>
      <c r="O234" s="19"/>
      <c r="P234" s="20"/>
      <c r="Q234" s="20"/>
      <c r="R234" s="22"/>
      <c r="S234" s="22"/>
      <c r="T234" s="20"/>
      <c r="U234" s="20"/>
      <c r="V234" s="20"/>
      <c r="W234" s="19"/>
      <c r="X234" s="19"/>
      <c r="Y234" s="19"/>
      <c r="Z234" s="23"/>
    </row>
    <row r="235" spans="1:26" ht="15.75" customHeight="1" x14ac:dyDescent="0.2">
      <c r="A235" s="34"/>
      <c r="B235" s="34"/>
      <c r="C235" s="34"/>
      <c r="D235" s="34"/>
      <c r="E235" s="19"/>
      <c r="F235" s="19"/>
      <c r="G235" s="19"/>
      <c r="H235" s="19"/>
      <c r="I235" s="19"/>
      <c r="J235" s="19"/>
      <c r="K235" s="19"/>
      <c r="L235" s="19"/>
      <c r="M235" s="19"/>
      <c r="N235" s="19"/>
      <c r="O235" s="19"/>
      <c r="P235" s="20"/>
      <c r="Q235" s="20"/>
      <c r="R235" s="22"/>
      <c r="S235" s="22"/>
      <c r="T235" s="20"/>
      <c r="U235" s="20"/>
      <c r="V235" s="20"/>
      <c r="W235" s="19"/>
      <c r="X235" s="19"/>
      <c r="Y235" s="19"/>
      <c r="Z235" s="23"/>
    </row>
    <row r="236" spans="1:26" ht="15.75" customHeight="1" x14ac:dyDescent="0.2">
      <c r="A236" s="34"/>
      <c r="B236" s="34"/>
      <c r="C236" s="34"/>
      <c r="D236" s="34"/>
      <c r="E236" s="19"/>
      <c r="F236" s="19"/>
      <c r="G236" s="19"/>
      <c r="H236" s="19"/>
      <c r="I236" s="19"/>
      <c r="J236" s="19"/>
      <c r="K236" s="19"/>
      <c r="L236" s="19"/>
      <c r="M236" s="19"/>
      <c r="N236" s="19"/>
      <c r="O236" s="19"/>
      <c r="P236" s="20"/>
      <c r="Q236" s="20"/>
      <c r="R236" s="22"/>
      <c r="S236" s="22"/>
      <c r="T236" s="20"/>
      <c r="U236" s="20"/>
      <c r="V236" s="20"/>
      <c r="W236" s="19"/>
      <c r="X236" s="19"/>
      <c r="Y236" s="19"/>
      <c r="Z236" s="23"/>
    </row>
    <row r="237" spans="1:26" ht="15.75" customHeight="1" x14ac:dyDescent="0.2">
      <c r="A237" s="34"/>
      <c r="B237" s="34"/>
      <c r="C237" s="34"/>
      <c r="D237" s="34"/>
      <c r="E237" s="19"/>
      <c r="F237" s="19"/>
      <c r="G237" s="19"/>
      <c r="H237" s="19"/>
      <c r="I237" s="19"/>
      <c r="J237" s="19"/>
      <c r="K237" s="19"/>
      <c r="L237" s="19"/>
      <c r="M237" s="19"/>
      <c r="N237" s="19"/>
      <c r="O237" s="19"/>
      <c r="P237" s="20"/>
      <c r="Q237" s="20"/>
      <c r="R237" s="22"/>
      <c r="S237" s="22"/>
      <c r="T237" s="20"/>
      <c r="U237" s="20"/>
      <c r="V237" s="20"/>
      <c r="W237" s="19"/>
      <c r="X237" s="19"/>
      <c r="Y237" s="19"/>
      <c r="Z237" s="23"/>
    </row>
    <row r="238" spans="1:26" ht="15.75" customHeight="1" x14ac:dyDescent="0.2">
      <c r="A238" s="34"/>
      <c r="B238" s="34"/>
      <c r="C238" s="34"/>
      <c r="D238" s="34"/>
      <c r="E238" s="19"/>
      <c r="F238" s="19"/>
      <c r="G238" s="19"/>
      <c r="H238" s="19"/>
      <c r="I238" s="19"/>
      <c r="J238" s="19"/>
      <c r="K238" s="19"/>
      <c r="L238" s="19"/>
      <c r="M238" s="19"/>
      <c r="N238" s="19"/>
      <c r="O238" s="19"/>
      <c r="P238" s="20"/>
      <c r="Q238" s="20"/>
      <c r="R238" s="22"/>
      <c r="S238" s="22"/>
      <c r="T238" s="20"/>
      <c r="U238" s="20"/>
      <c r="V238" s="20"/>
      <c r="W238" s="19"/>
      <c r="X238" s="19"/>
      <c r="Y238" s="19"/>
      <c r="Z238" s="23"/>
    </row>
    <row r="239" spans="1:26" ht="15.75" customHeight="1" x14ac:dyDescent="0.2">
      <c r="A239" s="34"/>
      <c r="B239" s="34"/>
      <c r="C239" s="34"/>
      <c r="D239" s="34"/>
      <c r="E239" s="19"/>
      <c r="F239" s="19"/>
      <c r="G239" s="19"/>
      <c r="H239" s="19"/>
      <c r="I239" s="19"/>
      <c r="J239" s="19"/>
      <c r="K239" s="19"/>
      <c r="L239" s="19"/>
      <c r="M239" s="19"/>
      <c r="N239" s="19"/>
      <c r="O239" s="19"/>
      <c r="P239" s="20"/>
      <c r="Q239" s="20"/>
      <c r="R239" s="22"/>
      <c r="S239" s="22"/>
      <c r="T239" s="20"/>
      <c r="U239" s="20"/>
      <c r="V239" s="20"/>
      <c r="W239" s="19"/>
      <c r="X239" s="19"/>
      <c r="Y239" s="19"/>
      <c r="Z239" s="23"/>
    </row>
    <row r="240" spans="1:26" ht="15.75" customHeight="1" x14ac:dyDescent="0.2">
      <c r="A240" s="34"/>
      <c r="B240" s="34"/>
      <c r="C240" s="34"/>
      <c r="D240" s="34"/>
      <c r="E240" s="19"/>
      <c r="F240" s="19"/>
      <c r="G240" s="19"/>
      <c r="H240" s="19"/>
      <c r="I240" s="19"/>
      <c r="J240" s="19"/>
      <c r="K240" s="19"/>
      <c r="L240" s="19"/>
      <c r="M240" s="19"/>
      <c r="N240" s="19"/>
      <c r="O240" s="19"/>
      <c r="P240" s="20"/>
      <c r="Q240" s="20"/>
      <c r="R240" s="22"/>
      <c r="S240" s="22"/>
      <c r="T240" s="20"/>
      <c r="U240" s="20"/>
      <c r="V240" s="20"/>
      <c r="W240" s="19"/>
      <c r="X240" s="19"/>
      <c r="Y240" s="19"/>
      <c r="Z240" s="23"/>
    </row>
    <row r="241" spans="1:26" ht="15.75" customHeight="1" x14ac:dyDescent="0.2">
      <c r="A241" s="34"/>
      <c r="B241" s="34"/>
      <c r="C241" s="34"/>
      <c r="D241" s="34"/>
      <c r="E241" s="19"/>
      <c r="F241" s="19"/>
      <c r="G241" s="19"/>
      <c r="H241" s="19"/>
      <c r="I241" s="19"/>
      <c r="J241" s="19"/>
      <c r="K241" s="19"/>
      <c r="L241" s="19"/>
      <c r="M241" s="19"/>
      <c r="N241" s="19"/>
      <c r="O241" s="19"/>
      <c r="P241" s="20"/>
      <c r="Q241" s="20"/>
      <c r="R241" s="22"/>
      <c r="S241" s="22"/>
      <c r="T241" s="20"/>
      <c r="U241" s="20"/>
      <c r="V241" s="20"/>
      <c r="W241" s="19"/>
      <c r="X241" s="19"/>
      <c r="Y241" s="19"/>
      <c r="Z241" s="23"/>
    </row>
    <row r="242" spans="1:26" ht="15.75" customHeight="1" x14ac:dyDescent="0.2">
      <c r="A242" s="34"/>
      <c r="B242" s="34"/>
      <c r="C242" s="34"/>
      <c r="D242" s="34"/>
      <c r="E242" s="19"/>
      <c r="F242" s="19"/>
      <c r="G242" s="19"/>
      <c r="H242" s="19"/>
      <c r="I242" s="19"/>
      <c r="J242" s="19"/>
      <c r="K242" s="19"/>
      <c r="L242" s="19"/>
      <c r="M242" s="19"/>
      <c r="N242" s="19"/>
      <c r="O242" s="19"/>
      <c r="P242" s="20"/>
      <c r="Q242" s="20"/>
      <c r="R242" s="22"/>
      <c r="S242" s="22"/>
      <c r="T242" s="20"/>
      <c r="U242" s="20"/>
      <c r="V242" s="20"/>
      <c r="W242" s="19"/>
      <c r="X242" s="19"/>
      <c r="Y242" s="19"/>
      <c r="Z242" s="23"/>
    </row>
    <row r="243" spans="1:26" ht="15.75" customHeight="1" x14ac:dyDescent="0.2">
      <c r="A243" s="34"/>
      <c r="B243" s="34"/>
      <c r="C243" s="34"/>
      <c r="D243" s="34"/>
      <c r="E243" s="19"/>
      <c r="F243" s="19"/>
      <c r="G243" s="19"/>
      <c r="H243" s="19"/>
      <c r="I243" s="19"/>
      <c r="J243" s="19"/>
      <c r="K243" s="19"/>
      <c r="L243" s="19"/>
      <c r="M243" s="19"/>
      <c r="N243" s="19"/>
      <c r="O243" s="19"/>
      <c r="P243" s="20"/>
      <c r="Q243" s="20"/>
      <c r="R243" s="22"/>
      <c r="S243" s="22"/>
      <c r="T243" s="20"/>
      <c r="U243" s="20"/>
      <c r="V243" s="20"/>
      <c r="W243" s="19"/>
      <c r="X243" s="19"/>
      <c r="Y243" s="19"/>
      <c r="Z243" s="23"/>
    </row>
    <row r="244" spans="1:26" ht="15.75" customHeight="1" x14ac:dyDescent="0.2">
      <c r="A244" s="34"/>
      <c r="B244" s="34"/>
      <c r="C244" s="34"/>
      <c r="D244" s="34"/>
      <c r="E244" s="19"/>
      <c r="F244" s="19"/>
      <c r="G244" s="19"/>
      <c r="H244" s="19"/>
      <c r="I244" s="19"/>
      <c r="J244" s="19"/>
      <c r="K244" s="19"/>
      <c r="L244" s="19"/>
      <c r="M244" s="19"/>
      <c r="N244" s="19"/>
      <c r="O244" s="19"/>
      <c r="P244" s="20"/>
      <c r="Q244" s="20"/>
      <c r="R244" s="22"/>
      <c r="S244" s="22"/>
      <c r="T244" s="20"/>
      <c r="U244" s="20"/>
      <c r="V244" s="20"/>
      <c r="W244" s="19"/>
      <c r="X244" s="19"/>
      <c r="Y244" s="19"/>
      <c r="Z244" s="23"/>
    </row>
    <row r="245" spans="1:26" ht="15.75" customHeight="1" x14ac:dyDescent="0.2">
      <c r="A245" s="34"/>
      <c r="B245" s="34"/>
      <c r="C245" s="34"/>
      <c r="D245" s="34"/>
      <c r="E245" s="19"/>
      <c r="F245" s="19"/>
      <c r="G245" s="19"/>
      <c r="H245" s="19"/>
      <c r="I245" s="19"/>
      <c r="J245" s="19"/>
      <c r="K245" s="19"/>
      <c r="L245" s="19"/>
      <c r="M245" s="19"/>
      <c r="N245" s="19"/>
      <c r="O245" s="19"/>
      <c r="P245" s="20"/>
      <c r="Q245" s="20"/>
      <c r="R245" s="22"/>
      <c r="S245" s="22"/>
      <c r="T245" s="20"/>
      <c r="U245" s="20"/>
      <c r="V245" s="20"/>
      <c r="W245" s="19"/>
      <c r="X245" s="19"/>
      <c r="Y245" s="19"/>
      <c r="Z245" s="23"/>
    </row>
    <row r="246" spans="1:26" ht="15.75" customHeight="1" x14ac:dyDescent="0.2">
      <c r="A246" s="34"/>
      <c r="B246" s="34"/>
      <c r="C246" s="34"/>
      <c r="D246" s="34"/>
      <c r="E246" s="19"/>
      <c r="F246" s="19"/>
      <c r="G246" s="19"/>
      <c r="H246" s="19"/>
      <c r="I246" s="19"/>
      <c r="J246" s="19"/>
      <c r="K246" s="19"/>
      <c r="L246" s="19"/>
      <c r="M246" s="19"/>
      <c r="N246" s="19"/>
      <c r="O246" s="19"/>
      <c r="P246" s="20"/>
      <c r="Q246" s="20"/>
      <c r="R246" s="22"/>
      <c r="S246" s="22"/>
      <c r="T246" s="20"/>
      <c r="U246" s="20"/>
      <c r="V246" s="20"/>
      <c r="W246" s="19"/>
      <c r="X246" s="19"/>
      <c r="Y246" s="19"/>
      <c r="Z246" s="23"/>
    </row>
    <row r="247" spans="1:26" ht="15.75" customHeight="1" x14ac:dyDescent="0.2">
      <c r="A247" s="34"/>
      <c r="B247" s="34"/>
      <c r="C247" s="34"/>
      <c r="D247" s="34"/>
      <c r="E247" s="19"/>
      <c r="F247" s="19"/>
      <c r="G247" s="19"/>
      <c r="H247" s="19"/>
      <c r="I247" s="19"/>
      <c r="J247" s="19"/>
      <c r="K247" s="19"/>
      <c r="L247" s="19"/>
      <c r="M247" s="19"/>
      <c r="N247" s="19"/>
      <c r="O247" s="19"/>
      <c r="P247" s="20"/>
      <c r="Q247" s="20"/>
      <c r="R247" s="22"/>
      <c r="S247" s="22"/>
      <c r="T247" s="20"/>
      <c r="U247" s="20"/>
      <c r="V247" s="20"/>
      <c r="W247" s="19"/>
      <c r="X247" s="19"/>
      <c r="Y247" s="19"/>
      <c r="Z247" s="23"/>
    </row>
    <row r="248" spans="1:26" ht="15.75" customHeight="1" x14ac:dyDescent="0.2">
      <c r="A248" s="34"/>
      <c r="B248" s="34"/>
      <c r="C248" s="34"/>
      <c r="D248" s="34"/>
      <c r="E248" s="19"/>
      <c r="F248" s="19"/>
      <c r="G248" s="19"/>
      <c r="H248" s="19"/>
      <c r="I248" s="19"/>
      <c r="J248" s="19"/>
      <c r="K248" s="19"/>
      <c r="L248" s="19"/>
      <c r="M248" s="19"/>
      <c r="N248" s="19"/>
      <c r="O248" s="19"/>
      <c r="P248" s="20"/>
      <c r="Q248" s="20"/>
      <c r="R248" s="22"/>
      <c r="S248" s="22"/>
      <c r="T248" s="20"/>
      <c r="U248" s="20"/>
      <c r="V248" s="20"/>
      <c r="W248" s="19"/>
      <c r="X248" s="19"/>
      <c r="Y248" s="19"/>
      <c r="Z248" s="23"/>
    </row>
    <row r="249" spans="1:26" ht="15.75" customHeight="1" x14ac:dyDescent="0.2">
      <c r="A249" s="34"/>
      <c r="B249" s="34"/>
      <c r="C249" s="34"/>
      <c r="D249" s="34"/>
      <c r="E249" s="19"/>
      <c r="F249" s="19"/>
      <c r="G249" s="19"/>
      <c r="H249" s="19"/>
      <c r="I249" s="19"/>
      <c r="J249" s="19"/>
      <c r="K249" s="19"/>
      <c r="L249" s="19"/>
      <c r="M249" s="19"/>
      <c r="N249" s="19"/>
      <c r="O249" s="19"/>
      <c r="P249" s="20"/>
      <c r="Q249" s="20"/>
      <c r="R249" s="22"/>
      <c r="S249" s="22"/>
      <c r="T249" s="20"/>
      <c r="U249" s="20"/>
      <c r="V249" s="20"/>
      <c r="W249" s="19"/>
      <c r="X249" s="19"/>
      <c r="Y249" s="19"/>
      <c r="Z249" s="23"/>
    </row>
    <row r="250" spans="1:26" ht="15.75" customHeight="1" x14ac:dyDescent="0.2">
      <c r="A250" s="34"/>
      <c r="B250" s="34"/>
      <c r="C250" s="34"/>
      <c r="D250" s="34"/>
      <c r="E250" s="19"/>
      <c r="F250" s="19"/>
      <c r="G250" s="19"/>
      <c r="H250" s="19"/>
      <c r="I250" s="19"/>
      <c r="J250" s="19"/>
      <c r="K250" s="19"/>
      <c r="L250" s="19"/>
      <c r="M250" s="19"/>
      <c r="N250" s="19"/>
      <c r="O250" s="19"/>
      <c r="P250" s="20"/>
      <c r="Q250" s="20"/>
      <c r="R250" s="22"/>
      <c r="S250" s="22"/>
      <c r="T250" s="20"/>
      <c r="U250" s="20"/>
      <c r="V250" s="20"/>
      <c r="W250" s="19"/>
      <c r="X250" s="19"/>
      <c r="Y250" s="19"/>
      <c r="Z250" s="23"/>
    </row>
    <row r="251" spans="1:26" ht="15.75" customHeight="1" x14ac:dyDescent="0.2">
      <c r="A251" s="34"/>
      <c r="B251" s="34"/>
      <c r="C251" s="34"/>
      <c r="D251" s="34"/>
      <c r="E251" s="19"/>
      <c r="F251" s="19"/>
      <c r="G251" s="19"/>
      <c r="H251" s="19"/>
      <c r="I251" s="19"/>
      <c r="J251" s="19"/>
      <c r="K251" s="19"/>
      <c r="L251" s="19"/>
      <c r="M251" s="19"/>
      <c r="N251" s="19"/>
      <c r="O251" s="19"/>
      <c r="P251" s="20"/>
      <c r="Q251" s="20"/>
      <c r="R251" s="22"/>
      <c r="S251" s="22"/>
      <c r="T251" s="20"/>
      <c r="U251" s="20"/>
      <c r="V251" s="20"/>
      <c r="W251" s="19"/>
      <c r="X251" s="19"/>
      <c r="Y251" s="19"/>
      <c r="Z251" s="23"/>
    </row>
    <row r="252" spans="1:26" ht="15.75" customHeight="1" x14ac:dyDescent="0.2">
      <c r="A252" s="34"/>
      <c r="B252" s="34"/>
      <c r="C252" s="34"/>
      <c r="D252" s="34"/>
      <c r="E252" s="19"/>
      <c r="F252" s="19"/>
      <c r="G252" s="19"/>
      <c r="H252" s="19"/>
      <c r="I252" s="19"/>
      <c r="J252" s="19"/>
      <c r="K252" s="19"/>
      <c r="L252" s="19"/>
      <c r="M252" s="19"/>
      <c r="N252" s="19"/>
      <c r="O252" s="19"/>
      <c r="P252" s="20"/>
      <c r="Q252" s="20"/>
      <c r="R252" s="22"/>
      <c r="S252" s="22"/>
      <c r="T252" s="20"/>
      <c r="U252" s="20"/>
      <c r="V252" s="20"/>
      <c r="W252" s="19"/>
      <c r="X252" s="19"/>
      <c r="Y252" s="19"/>
      <c r="Z252" s="23"/>
    </row>
    <row r="253" spans="1:26" ht="15.75" customHeight="1" x14ac:dyDescent="0.2">
      <c r="A253" s="34"/>
      <c r="B253" s="34"/>
      <c r="C253" s="34"/>
      <c r="D253" s="34"/>
      <c r="E253" s="19"/>
      <c r="F253" s="19"/>
      <c r="G253" s="19"/>
      <c r="H253" s="19"/>
      <c r="I253" s="19"/>
      <c r="J253" s="19"/>
      <c r="K253" s="19"/>
      <c r="L253" s="19"/>
      <c r="M253" s="19"/>
      <c r="N253" s="19"/>
      <c r="O253" s="19"/>
      <c r="P253" s="20"/>
      <c r="Q253" s="20"/>
      <c r="R253" s="22"/>
      <c r="S253" s="22"/>
      <c r="T253" s="20"/>
      <c r="U253" s="20"/>
      <c r="V253" s="20"/>
      <c r="W253" s="19"/>
      <c r="X253" s="19"/>
      <c r="Y253" s="19"/>
      <c r="Z253" s="23"/>
    </row>
    <row r="254" spans="1:26" ht="15.75" customHeight="1" x14ac:dyDescent="0.2">
      <c r="A254" s="34"/>
      <c r="B254" s="34"/>
      <c r="C254" s="34"/>
      <c r="D254" s="34"/>
      <c r="E254" s="19"/>
      <c r="F254" s="19"/>
      <c r="G254" s="19"/>
      <c r="H254" s="19"/>
      <c r="I254" s="19"/>
      <c r="J254" s="19"/>
      <c r="K254" s="19"/>
      <c r="L254" s="19"/>
      <c r="M254" s="19"/>
      <c r="N254" s="19"/>
      <c r="O254" s="19"/>
      <c r="P254" s="20"/>
      <c r="Q254" s="20"/>
      <c r="R254" s="22"/>
      <c r="S254" s="22"/>
      <c r="T254" s="20"/>
      <c r="U254" s="20"/>
      <c r="V254" s="20"/>
      <c r="W254" s="19"/>
      <c r="X254" s="19"/>
      <c r="Y254" s="19"/>
      <c r="Z254" s="23"/>
    </row>
    <row r="255" spans="1:26" ht="15.75" customHeight="1" x14ac:dyDescent="0.2">
      <c r="A255" s="34"/>
      <c r="B255" s="34"/>
      <c r="C255" s="34"/>
      <c r="D255" s="34"/>
      <c r="E255" s="19"/>
      <c r="F255" s="19"/>
      <c r="G255" s="19"/>
      <c r="H255" s="19"/>
      <c r="I255" s="19"/>
      <c r="J255" s="19"/>
      <c r="K255" s="19"/>
      <c r="L255" s="19"/>
      <c r="M255" s="19"/>
      <c r="N255" s="19"/>
      <c r="O255" s="19"/>
      <c r="P255" s="20"/>
      <c r="Q255" s="20"/>
      <c r="R255" s="22"/>
      <c r="S255" s="22"/>
      <c r="T255" s="20"/>
      <c r="U255" s="20"/>
      <c r="V255" s="20"/>
      <c r="W255" s="19"/>
      <c r="X255" s="19"/>
      <c r="Y255" s="19"/>
      <c r="Z255" s="23"/>
    </row>
    <row r="256" spans="1:26" ht="15.75" customHeight="1" x14ac:dyDescent="0.2">
      <c r="A256" s="34"/>
      <c r="B256" s="34"/>
      <c r="C256" s="34"/>
      <c r="D256" s="34"/>
      <c r="E256" s="19"/>
      <c r="F256" s="19"/>
      <c r="G256" s="19"/>
      <c r="H256" s="19"/>
      <c r="I256" s="19"/>
      <c r="J256" s="19"/>
      <c r="K256" s="19"/>
      <c r="L256" s="19"/>
      <c r="M256" s="19"/>
      <c r="N256" s="19"/>
      <c r="O256" s="19"/>
      <c r="P256" s="20"/>
      <c r="Q256" s="20"/>
      <c r="R256" s="22"/>
      <c r="S256" s="22"/>
      <c r="T256" s="20"/>
      <c r="U256" s="20"/>
      <c r="V256" s="20"/>
      <c r="W256" s="19"/>
      <c r="X256" s="19"/>
      <c r="Y256" s="19"/>
      <c r="Z256" s="23"/>
    </row>
    <row r="257" spans="1:26" ht="15.75" customHeight="1" x14ac:dyDescent="0.2">
      <c r="A257" s="34"/>
      <c r="B257" s="34"/>
      <c r="C257" s="34"/>
      <c r="D257" s="34"/>
      <c r="E257" s="19"/>
      <c r="F257" s="19"/>
      <c r="G257" s="19"/>
      <c r="H257" s="19"/>
      <c r="I257" s="19"/>
      <c r="J257" s="19"/>
      <c r="K257" s="19"/>
      <c r="L257" s="19"/>
      <c r="M257" s="19"/>
      <c r="N257" s="19"/>
      <c r="O257" s="19"/>
      <c r="P257" s="20"/>
      <c r="Q257" s="20"/>
      <c r="R257" s="22"/>
      <c r="S257" s="22"/>
      <c r="T257" s="20"/>
      <c r="U257" s="20"/>
      <c r="V257" s="20"/>
      <c r="W257" s="19"/>
      <c r="X257" s="19"/>
      <c r="Y257" s="19"/>
      <c r="Z257" s="23"/>
    </row>
    <row r="258" spans="1:26" ht="15.75" customHeight="1" x14ac:dyDescent="0.2">
      <c r="A258" s="34"/>
      <c r="B258" s="34"/>
      <c r="C258" s="34"/>
      <c r="D258" s="34"/>
      <c r="E258" s="19"/>
      <c r="F258" s="19"/>
      <c r="G258" s="19"/>
      <c r="H258" s="19"/>
      <c r="I258" s="19"/>
      <c r="J258" s="19"/>
      <c r="K258" s="19"/>
      <c r="L258" s="19"/>
      <c r="M258" s="19"/>
      <c r="N258" s="19"/>
      <c r="O258" s="19"/>
      <c r="P258" s="20"/>
      <c r="Q258" s="20"/>
      <c r="R258" s="22"/>
      <c r="S258" s="22"/>
      <c r="T258" s="20"/>
      <c r="U258" s="20"/>
      <c r="V258" s="20"/>
      <c r="W258" s="19"/>
      <c r="X258" s="19"/>
      <c r="Y258" s="19"/>
      <c r="Z258" s="23"/>
    </row>
    <row r="259" spans="1:26" ht="15.75" customHeight="1" x14ac:dyDescent="0.2">
      <c r="A259" s="34"/>
      <c r="B259" s="34"/>
      <c r="C259" s="34"/>
      <c r="D259" s="34"/>
      <c r="E259" s="19"/>
      <c r="F259" s="19"/>
      <c r="G259" s="19"/>
      <c r="H259" s="19"/>
      <c r="I259" s="19"/>
      <c r="J259" s="19"/>
      <c r="K259" s="19"/>
      <c r="L259" s="19"/>
      <c r="M259" s="19"/>
      <c r="N259" s="19"/>
      <c r="O259" s="19"/>
      <c r="P259" s="20"/>
      <c r="Q259" s="20"/>
      <c r="R259" s="22"/>
      <c r="S259" s="22"/>
      <c r="T259" s="20"/>
      <c r="U259" s="20"/>
      <c r="V259" s="20"/>
      <c r="W259" s="19"/>
      <c r="X259" s="19"/>
      <c r="Y259" s="19"/>
      <c r="Z259" s="23"/>
    </row>
    <row r="260" spans="1:26" ht="15.75" customHeight="1" x14ac:dyDescent="0.2">
      <c r="A260" s="34"/>
      <c r="B260" s="34"/>
      <c r="C260" s="34"/>
      <c r="D260" s="34"/>
      <c r="E260" s="19"/>
      <c r="F260" s="19"/>
      <c r="G260" s="19"/>
      <c r="H260" s="19"/>
      <c r="I260" s="19"/>
      <c r="J260" s="19"/>
      <c r="K260" s="19"/>
      <c r="L260" s="19"/>
      <c r="M260" s="19"/>
      <c r="N260" s="19"/>
      <c r="O260" s="19"/>
      <c r="P260" s="20"/>
      <c r="Q260" s="20"/>
      <c r="R260" s="22"/>
      <c r="S260" s="22"/>
      <c r="T260" s="20"/>
      <c r="U260" s="20"/>
      <c r="V260" s="20"/>
      <c r="W260" s="19"/>
      <c r="X260" s="19"/>
      <c r="Y260" s="19"/>
      <c r="Z260" s="23"/>
    </row>
    <row r="261" spans="1:26" ht="15.75" customHeight="1" x14ac:dyDescent="0.2">
      <c r="A261" s="34"/>
      <c r="B261" s="34"/>
      <c r="C261" s="34"/>
      <c r="D261" s="34"/>
      <c r="E261" s="19"/>
      <c r="F261" s="19"/>
      <c r="G261" s="19"/>
      <c r="H261" s="19"/>
      <c r="I261" s="19"/>
      <c r="J261" s="19"/>
      <c r="K261" s="19"/>
      <c r="L261" s="19"/>
      <c r="M261" s="19"/>
      <c r="N261" s="19"/>
      <c r="O261" s="19"/>
      <c r="P261" s="20"/>
      <c r="Q261" s="20"/>
      <c r="R261" s="22"/>
      <c r="S261" s="22"/>
      <c r="T261" s="20"/>
      <c r="U261" s="20"/>
      <c r="V261" s="20"/>
      <c r="W261" s="19"/>
      <c r="X261" s="19"/>
      <c r="Y261" s="19"/>
      <c r="Z261" s="23"/>
    </row>
    <row r="262" spans="1:26" ht="15.75" customHeight="1" x14ac:dyDescent="0.2">
      <c r="A262" s="34"/>
      <c r="B262" s="34"/>
      <c r="C262" s="34"/>
      <c r="D262" s="34"/>
      <c r="E262" s="19"/>
      <c r="F262" s="19"/>
      <c r="G262" s="19"/>
      <c r="H262" s="19"/>
      <c r="I262" s="19"/>
      <c r="J262" s="19"/>
      <c r="K262" s="19"/>
      <c r="L262" s="19"/>
      <c r="M262" s="19"/>
      <c r="N262" s="19"/>
      <c r="O262" s="19"/>
      <c r="P262" s="20"/>
      <c r="Q262" s="20"/>
      <c r="R262" s="22"/>
      <c r="S262" s="22"/>
      <c r="T262" s="20"/>
      <c r="U262" s="20"/>
      <c r="V262" s="20"/>
      <c r="W262" s="19"/>
      <c r="X262" s="19"/>
      <c r="Y262" s="19"/>
      <c r="Z262" s="23"/>
    </row>
    <row r="263" spans="1:26" ht="15.75" customHeight="1" x14ac:dyDescent="0.2">
      <c r="A263" s="34"/>
      <c r="B263" s="34"/>
      <c r="C263" s="34"/>
      <c r="D263" s="34"/>
      <c r="E263" s="19"/>
      <c r="F263" s="19"/>
      <c r="G263" s="19"/>
      <c r="H263" s="19"/>
      <c r="I263" s="19"/>
      <c r="J263" s="19"/>
      <c r="K263" s="19"/>
      <c r="L263" s="19"/>
      <c r="M263" s="19"/>
      <c r="N263" s="19"/>
      <c r="O263" s="19"/>
      <c r="P263" s="20"/>
      <c r="Q263" s="20"/>
      <c r="R263" s="22"/>
      <c r="S263" s="22"/>
      <c r="T263" s="20"/>
      <c r="U263" s="20"/>
      <c r="V263" s="20"/>
      <c r="W263" s="19"/>
      <c r="X263" s="19"/>
      <c r="Y263" s="19"/>
      <c r="Z263" s="23"/>
    </row>
    <row r="264" spans="1:26" ht="15.75" customHeight="1" x14ac:dyDescent="0.2">
      <c r="A264" s="34"/>
      <c r="B264" s="34"/>
      <c r="C264" s="34"/>
      <c r="D264" s="34"/>
      <c r="E264" s="19"/>
      <c r="F264" s="19"/>
      <c r="G264" s="19"/>
      <c r="H264" s="19"/>
      <c r="I264" s="19"/>
      <c r="J264" s="19"/>
      <c r="K264" s="19"/>
      <c r="L264" s="19"/>
      <c r="M264" s="19"/>
      <c r="N264" s="19"/>
      <c r="O264" s="19"/>
      <c r="P264" s="20"/>
      <c r="Q264" s="20"/>
      <c r="R264" s="22"/>
      <c r="S264" s="22"/>
      <c r="T264" s="20"/>
      <c r="U264" s="20"/>
      <c r="V264" s="20"/>
      <c r="W264" s="19"/>
      <c r="X264" s="19"/>
      <c r="Y264" s="19"/>
      <c r="Z264" s="23"/>
    </row>
    <row r="265" spans="1:26" ht="15.75" customHeight="1" x14ac:dyDescent="0.2">
      <c r="A265" s="34"/>
      <c r="B265" s="34"/>
      <c r="C265" s="34"/>
      <c r="D265" s="34"/>
      <c r="E265" s="19"/>
      <c r="F265" s="19"/>
      <c r="G265" s="19"/>
      <c r="H265" s="19"/>
      <c r="I265" s="19"/>
      <c r="J265" s="19"/>
      <c r="K265" s="19"/>
      <c r="L265" s="19"/>
      <c r="M265" s="19"/>
      <c r="N265" s="19"/>
      <c r="O265" s="19"/>
      <c r="P265" s="20"/>
      <c r="Q265" s="20"/>
      <c r="R265" s="22"/>
      <c r="S265" s="22"/>
      <c r="T265" s="20"/>
      <c r="U265" s="20"/>
      <c r="V265" s="20"/>
      <c r="W265" s="19"/>
      <c r="X265" s="19"/>
      <c r="Y265" s="19"/>
      <c r="Z265" s="23"/>
    </row>
    <row r="266" spans="1:26" ht="15.75" customHeight="1" x14ac:dyDescent="0.2">
      <c r="A266" s="34"/>
      <c r="B266" s="34"/>
      <c r="C266" s="34"/>
      <c r="D266" s="34"/>
      <c r="E266" s="19"/>
      <c r="F266" s="19"/>
      <c r="G266" s="19"/>
      <c r="H266" s="19"/>
      <c r="I266" s="19"/>
      <c r="J266" s="19"/>
      <c r="K266" s="19"/>
      <c r="L266" s="19"/>
      <c r="M266" s="19"/>
      <c r="N266" s="19"/>
      <c r="O266" s="19"/>
      <c r="P266" s="20"/>
      <c r="Q266" s="20"/>
      <c r="R266" s="22"/>
      <c r="S266" s="22"/>
      <c r="T266" s="20"/>
      <c r="U266" s="20"/>
      <c r="V266" s="20"/>
      <c r="W266" s="19"/>
      <c r="X266" s="19"/>
      <c r="Y266" s="19"/>
      <c r="Z266" s="23"/>
    </row>
    <row r="267" spans="1:26" ht="15.75" customHeight="1" x14ac:dyDescent="0.2">
      <c r="A267" s="34"/>
      <c r="B267" s="34"/>
      <c r="C267" s="34"/>
      <c r="D267" s="34"/>
      <c r="E267" s="19"/>
      <c r="F267" s="19"/>
      <c r="G267" s="19"/>
      <c r="H267" s="19"/>
      <c r="I267" s="19"/>
      <c r="J267" s="19"/>
      <c r="K267" s="19"/>
      <c r="L267" s="19"/>
      <c r="M267" s="19"/>
      <c r="N267" s="19"/>
      <c r="O267" s="19"/>
      <c r="P267" s="20"/>
      <c r="Q267" s="20"/>
      <c r="R267" s="22"/>
      <c r="S267" s="22"/>
      <c r="T267" s="20"/>
      <c r="U267" s="20"/>
      <c r="V267" s="20"/>
      <c r="W267" s="19"/>
      <c r="X267" s="19"/>
      <c r="Y267" s="19"/>
      <c r="Z267" s="23"/>
    </row>
    <row r="268" spans="1:26" ht="15.75" customHeight="1" x14ac:dyDescent="0.2">
      <c r="A268" s="34"/>
      <c r="B268" s="34"/>
      <c r="C268" s="34"/>
      <c r="D268" s="34"/>
      <c r="E268" s="19"/>
      <c r="F268" s="19"/>
      <c r="G268" s="19"/>
      <c r="H268" s="19"/>
      <c r="I268" s="19"/>
      <c r="J268" s="19"/>
      <c r="K268" s="19"/>
      <c r="L268" s="19"/>
      <c r="M268" s="19"/>
      <c r="N268" s="19"/>
      <c r="O268" s="19"/>
      <c r="P268" s="20"/>
      <c r="Q268" s="20"/>
      <c r="R268" s="22"/>
      <c r="S268" s="22"/>
      <c r="T268" s="20"/>
      <c r="U268" s="20"/>
      <c r="V268" s="20"/>
      <c r="W268" s="19"/>
      <c r="X268" s="19"/>
      <c r="Y268" s="19"/>
      <c r="Z268" s="23"/>
    </row>
    <row r="269" spans="1:26" ht="15.75" customHeight="1" x14ac:dyDescent="0.2">
      <c r="A269" s="34"/>
      <c r="B269" s="34"/>
      <c r="C269" s="34"/>
      <c r="D269" s="34"/>
      <c r="E269" s="19"/>
      <c r="F269" s="19"/>
      <c r="G269" s="19"/>
      <c r="H269" s="19"/>
      <c r="I269" s="19"/>
      <c r="J269" s="19"/>
      <c r="K269" s="19"/>
      <c r="L269" s="19"/>
      <c r="M269" s="19"/>
      <c r="N269" s="19"/>
      <c r="O269" s="19"/>
      <c r="P269" s="20"/>
      <c r="Q269" s="20"/>
      <c r="R269" s="22"/>
      <c r="S269" s="22"/>
      <c r="T269" s="20"/>
      <c r="U269" s="20"/>
      <c r="V269" s="20"/>
      <c r="W269" s="19"/>
      <c r="X269" s="19"/>
      <c r="Y269" s="19"/>
      <c r="Z269" s="23"/>
    </row>
    <row r="270" spans="1:26" ht="15.75" customHeight="1" x14ac:dyDescent="0.2">
      <c r="A270" s="34"/>
      <c r="B270" s="34"/>
      <c r="C270" s="34"/>
      <c r="D270" s="34"/>
      <c r="E270" s="19"/>
      <c r="F270" s="19"/>
      <c r="G270" s="19"/>
      <c r="H270" s="19"/>
      <c r="I270" s="19"/>
      <c r="J270" s="19"/>
      <c r="K270" s="19"/>
      <c r="L270" s="19"/>
      <c r="M270" s="19"/>
      <c r="N270" s="19"/>
      <c r="O270" s="19"/>
      <c r="P270" s="20"/>
      <c r="Q270" s="20"/>
      <c r="R270" s="22"/>
      <c r="S270" s="22"/>
      <c r="T270" s="20"/>
      <c r="U270" s="20"/>
      <c r="V270" s="20"/>
      <c r="W270" s="19"/>
      <c r="X270" s="19"/>
      <c r="Y270" s="19"/>
      <c r="Z270" s="23"/>
    </row>
    <row r="271" spans="1:26" ht="15.75" customHeight="1" x14ac:dyDescent="0.2">
      <c r="A271" s="34"/>
      <c r="B271" s="34"/>
      <c r="C271" s="34"/>
      <c r="D271" s="34"/>
      <c r="E271" s="19"/>
      <c r="F271" s="19"/>
      <c r="G271" s="19"/>
      <c r="H271" s="19"/>
      <c r="I271" s="19"/>
      <c r="J271" s="19"/>
      <c r="K271" s="19"/>
      <c r="L271" s="19"/>
      <c r="M271" s="19"/>
      <c r="N271" s="19"/>
      <c r="O271" s="19"/>
      <c r="P271" s="20"/>
      <c r="Q271" s="20"/>
      <c r="R271" s="22"/>
      <c r="S271" s="22"/>
      <c r="T271" s="20"/>
      <c r="U271" s="20"/>
      <c r="V271" s="20"/>
      <c r="W271" s="19"/>
      <c r="X271" s="19"/>
      <c r="Y271" s="19"/>
      <c r="Z271" s="23"/>
    </row>
    <row r="272" spans="1:26" ht="15.75" customHeight="1" x14ac:dyDescent="0.2">
      <c r="A272" s="34"/>
      <c r="B272" s="34"/>
      <c r="C272" s="34"/>
      <c r="D272" s="34"/>
      <c r="E272" s="19"/>
      <c r="F272" s="19"/>
      <c r="G272" s="19"/>
      <c r="H272" s="19"/>
      <c r="I272" s="19"/>
      <c r="J272" s="19"/>
      <c r="K272" s="19"/>
      <c r="L272" s="19"/>
      <c r="M272" s="19"/>
      <c r="N272" s="19"/>
      <c r="O272" s="19"/>
      <c r="P272" s="20"/>
      <c r="Q272" s="20"/>
      <c r="R272" s="22"/>
      <c r="S272" s="22"/>
      <c r="T272" s="20"/>
      <c r="U272" s="20"/>
      <c r="V272" s="20"/>
      <c r="W272" s="19"/>
      <c r="X272" s="19"/>
      <c r="Y272" s="19"/>
      <c r="Z272" s="23"/>
    </row>
    <row r="273" spans="1:26" ht="15.75" customHeight="1" x14ac:dyDescent="0.2">
      <c r="A273" s="34"/>
      <c r="B273" s="34"/>
      <c r="C273" s="34"/>
      <c r="D273" s="34"/>
      <c r="E273" s="19"/>
      <c r="F273" s="19"/>
      <c r="G273" s="19"/>
      <c r="H273" s="19"/>
      <c r="I273" s="19"/>
      <c r="J273" s="19"/>
      <c r="K273" s="19"/>
      <c r="L273" s="19"/>
      <c r="M273" s="19"/>
      <c r="N273" s="19"/>
      <c r="O273" s="19"/>
      <c r="P273" s="20"/>
      <c r="Q273" s="20"/>
      <c r="R273" s="22"/>
      <c r="S273" s="22"/>
      <c r="T273" s="20"/>
      <c r="U273" s="20"/>
      <c r="V273" s="20"/>
      <c r="W273" s="19"/>
      <c r="X273" s="19"/>
      <c r="Y273" s="19"/>
      <c r="Z273" s="23"/>
    </row>
    <row r="274" spans="1:26" ht="15.75" customHeight="1" x14ac:dyDescent="0.2">
      <c r="A274" s="34"/>
      <c r="B274" s="34"/>
      <c r="C274" s="34"/>
      <c r="D274" s="34"/>
      <c r="E274" s="19"/>
      <c r="F274" s="19"/>
      <c r="G274" s="19"/>
      <c r="H274" s="19"/>
      <c r="I274" s="19"/>
      <c r="J274" s="19"/>
      <c r="K274" s="19"/>
      <c r="L274" s="19"/>
      <c r="M274" s="19"/>
      <c r="N274" s="19"/>
      <c r="O274" s="19"/>
      <c r="P274" s="20"/>
      <c r="Q274" s="20"/>
      <c r="R274" s="22"/>
      <c r="S274" s="22"/>
      <c r="T274" s="20"/>
      <c r="U274" s="20"/>
      <c r="V274" s="20"/>
      <c r="W274" s="19"/>
      <c r="X274" s="19"/>
      <c r="Y274" s="19"/>
      <c r="Z274" s="23"/>
    </row>
    <row r="275" spans="1:26" ht="15.75" customHeight="1" x14ac:dyDescent="0.2">
      <c r="A275" s="34"/>
      <c r="B275" s="34"/>
      <c r="C275" s="34"/>
      <c r="D275" s="34"/>
      <c r="E275" s="19"/>
      <c r="F275" s="19"/>
      <c r="G275" s="19"/>
      <c r="H275" s="19"/>
      <c r="I275" s="19"/>
      <c r="J275" s="19"/>
      <c r="K275" s="19"/>
      <c r="L275" s="19"/>
      <c r="M275" s="19"/>
      <c r="N275" s="19"/>
      <c r="O275" s="19"/>
      <c r="P275" s="20"/>
      <c r="Q275" s="20"/>
      <c r="R275" s="22"/>
      <c r="S275" s="22"/>
      <c r="T275" s="20"/>
      <c r="U275" s="20"/>
      <c r="V275" s="20"/>
      <c r="W275" s="19"/>
      <c r="X275" s="19"/>
      <c r="Y275" s="19"/>
      <c r="Z275" s="23"/>
    </row>
    <row r="276" spans="1:26" ht="15.75" customHeight="1" x14ac:dyDescent="0.2">
      <c r="A276" s="34"/>
      <c r="B276" s="34"/>
      <c r="C276" s="34"/>
      <c r="D276" s="34"/>
      <c r="E276" s="19"/>
      <c r="F276" s="19"/>
      <c r="G276" s="19"/>
      <c r="H276" s="19"/>
      <c r="I276" s="19"/>
      <c r="J276" s="19"/>
      <c r="K276" s="19"/>
      <c r="L276" s="19"/>
      <c r="M276" s="19"/>
      <c r="N276" s="19"/>
      <c r="O276" s="19"/>
      <c r="P276" s="20"/>
      <c r="Q276" s="20"/>
      <c r="R276" s="22"/>
      <c r="S276" s="22"/>
      <c r="T276" s="20"/>
      <c r="U276" s="20"/>
      <c r="V276" s="20"/>
      <c r="W276" s="19"/>
      <c r="X276" s="19"/>
      <c r="Y276" s="19"/>
      <c r="Z276" s="23"/>
    </row>
    <row r="277" spans="1:26" ht="15.75" customHeight="1" x14ac:dyDescent="0.2">
      <c r="A277" s="34"/>
      <c r="B277" s="34"/>
      <c r="C277" s="34"/>
      <c r="D277" s="34"/>
      <c r="E277" s="19"/>
      <c r="F277" s="19"/>
      <c r="G277" s="19"/>
      <c r="H277" s="19"/>
      <c r="I277" s="19"/>
      <c r="J277" s="19"/>
      <c r="K277" s="19"/>
      <c r="L277" s="19"/>
      <c r="M277" s="19"/>
      <c r="N277" s="19"/>
      <c r="O277" s="19"/>
      <c r="P277" s="20"/>
      <c r="Q277" s="20"/>
      <c r="R277" s="22"/>
      <c r="S277" s="22"/>
      <c r="T277" s="20"/>
      <c r="U277" s="20"/>
      <c r="V277" s="20"/>
      <c r="W277" s="19"/>
      <c r="X277" s="19"/>
      <c r="Y277" s="19"/>
      <c r="Z277" s="23"/>
    </row>
    <row r="278" spans="1:26" ht="15.75" customHeight="1" x14ac:dyDescent="0.2">
      <c r="A278" s="34"/>
      <c r="B278" s="34"/>
      <c r="C278" s="34"/>
      <c r="D278" s="34"/>
      <c r="E278" s="19"/>
      <c r="F278" s="19"/>
      <c r="G278" s="19"/>
      <c r="H278" s="19"/>
      <c r="I278" s="19"/>
      <c r="J278" s="19"/>
      <c r="K278" s="19"/>
      <c r="L278" s="19"/>
      <c r="M278" s="19"/>
      <c r="N278" s="19"/>
      <c r="O278" s="19"/>
      <c r="P278" s="20"/>
      <c r="Q278" s="20"/>
      <c r="R278" s="22"/>
      <c r="S278" s="22"/>
      <c r="T278" s="20"/>
      <c r="U278" s="20"/>
      <c r="V278" s="20"/>
      <c r="W278" s="19"/>
      <c r="X278" s="19"/>
      <c r="Y278" s="19"/>
      <c r="Z278" s="23"/>
    </row>
    <row r="279" spans="1:26" ht="15.75" customHeight="1" x14ac:dyDescent="0.2">
      <c r="A279" s="34"/>
      <c r="B279" s="34"/>
      <c r="C279" s="34"/>
      <c r="D279" s="34"/>
      <c r="E279" s="19"/>
      <c r="F279" s="19"/>
      <c r="G279" s="19"/>
      <c r="H279" s="19"/>
      <c r="I279" s="19"/>
      <c r="J279" s="19"/>
      <c r="K279" s="19"/>
      <c r="L279" s="19"/>
      <c r="M279" s="19"/>
      <c r="N279" s="19"/>
      <c r="O279" s="19"/>
      <c r="P279" s="20"/>
      <c r="Q279" s="20"/>
      <c r="R279" s="22"/>
      <c r="S279" s="22"/>
      <c r="T279" s="20"/>
      <c r="U279" s="20"/>
      <c r="V279" s="20"/>
      <c r="W279" s="19"/>
      <c r="X279" s="19"/>
      <c r="Y279" s="19"/>
      <c r="Z279" s="23"/>
    </row>
    <row r="280" spans="1:26" ht="15.75" customHeight="1" x14ac:dyDescent="0.2">
      <c r="A280" s="34"/>
      <c r="B280" s="34"/>
      <c r="C280" s="34"/>
      <c r="D280" s="34"/>
      <c r="E280" s="19"/>
      <c r="F280" s="19"/>
      <c r="G280" s="19"/>
      <c r="H280" s="19"/>
      <c r="I280" s="19"/>
      <c r="J280" s="19"/>
      <c r="K280" s="19"/>
      <c r="L280" s="19"/>
      <c r="M280" s="19"/>
      <c r="N280" s="19"/>
      <c r="O280" s="19"/>
      <c r="P280" s="20"/>
      <c r="Q280" s="20"/>
      <c r="R280" s="22"/>
      <c r="S280" s="22"/>
      <c r="T280" s="20"/>
      <c r="U280" s="20"/>
      <c r="V280" s="20"/>
      <c r="W280" s="19"/>
      <c r="X280" s="19"/>
      <c r="Y280" s="19"/>
      <c r="Z280" s="23"/>
    </row>
    <row r="281" spans="1:26" ht="15.75" customHeight="1" x14ac:dyDescent="0.2">
      <c r="A281" s="34"/>
      <c r="B281" s="34"/>
      <c r="C281" s="34"/>
      <c r="D281" s="34"/>
      <c r="E281" s="19"/>
      <c r="F281" s="19"/>
      <c r="G281" s="19"/>
      <c r="H281" s="19"/>
      <c r="I281" s="19"/>
      <c r="J281" s="19"/>
      <c r="K281" s="19"/>
      <c r="L281" s="19"/>
      <c r="M281" s="19"/>
      <c r="N281" s="19"/>
      <c r="O281" s="19"/>
      <c r="P281" s="20"/>
      <c r="Q281" s="20"/>
      <c r="R281" s="22"/>
      <c r="S281" s="22"/>
      <c r="T281" s="20"/>
      <c r="U281" s="20"/>
      <c r="V281" s="20"/>
      <c r="W281" s="19"/>
      <c r="X281" s="19"/>
      <c r="Y281" s="19"/>
      <c r="Z281" s="23"/>
    </row>
    <row r="282" spans="1:26" ht="15.75" customHeight="1" x14ac:dyDescent="0.2">
      <c r="A282" s="34"/>
      <c r="B282" s="34"/>
      <c r="C282" s="34"/>
      <c r="D282" s="34"/>
      <c r="E282" s="19"/>
      <c r="F282" s="19"/>
      <c r="G282" s="19"/>
      <c r="H282" s="19"/>
      <c r="I282" s="19"/>
      <c r="J282" s="19"/>
      <c r="K282" s="19"/>
      <c r="L282" s="19"/>
      <c r="M282" s="19"/>
      <c r="N282" s="19"/>
      <c r="O282" s="19"/>
      <c r="P282" s="20"/>
      <c r="Q282" s="20"/>
      <c r="R282" s="22"/>
      <c r="S282" s="22"/>
      <c r="T282" s="20"/>
      <c r="U282" s="20"/>
      <c r="V282" s="20"/>
      <c r="W282" s="19"/>
      <c r="X282" s="19"/>
      <c r="Y282" s="19"/>
      <c r="Z282" s="23"/>
    </row>
    <row r="283" spans="1:26" ht="15.75" customHeight="1" x14ac:dyDescent="0.2">
      <c r="A283" s="34"/>
      <c r="B283" s="34"/>
      <c r="C283" s="34"/>
      <c r="D283" s="34"/>
      <c r="E283" s="19"/>
      <c r="F283" s="19"/>
      <c r="G283" s="19"/>
      <c r="H283" s="19"/>
      <c r="I283" s="19"/>
      <c r="J283" s="19"/>
      <c r="K283" s="19"/>
      <c r="L283" s="19"/>
      <c r="M283" s="19"/>
      <c r="N283" s="19"/>
      <c r="O283" s="19"/>
      <c r="P283" s="20"/>
      <c r="Q283" s="20"/>
      <c r="R283" s="22"/>
      <c r="S283" s="22"/>
      <c r="T283" s="20"/>
      <c r="U283" s="20"/>
      <c r="V283" s="20"/>
      <c r="W283" s="19"/>
      <c r="X283" s="19"/>
      <c r="Y283" s="19"/>
      <c r="Z283" s="23"/>
    </row>
    <row r="284" spans="1:26" ht="15.75" customHeight="1" x14ac:dyDescent="0.2">
      <c r="A284" s="34"/>
      <c r="B284" s="34"/>
      <c r="C284" s="34"/>
      <c r="D284" s="34"/>
      <c r="E284" s="19"/>
      <c r="F284" s="19"/>
      <c r="G284" s="19"/>
      <c r="H284" s="19"/>
      <c r="I284" s="19"/>
      <c r="J284" s="19"/>
      <c r="K284" s="19"/>
      <c r="L284" s="19"/>
      <c r="M284" s="19"/>
      <c r="N284" s="19"/>
      <c r="O284" s="19"/>
      <c r="P284" s="20"/>
      <c r="Q284" s="20"/>
      <c r="R284" s="22"/>
      <c r="S284" s="22"/>
      <c r="T284" s="20"/>
      <c r="U284" s="20"/>
      <c r="V284" s="20"/>
      <c r="W284" s="19"/>
      <c r="X284" s="19"/>
      <c r="Y284" s="19"/>
      <c r="Z284" s="23"/>
    </row>
    <row r="285" spans="1:26" ht="15.75" customHeight="1" x14ac:dyDescent="0.2">
      <c r="A285" s="34"/>
      <c r="B285" s="34"/>
      <c r="C285" s="34"/>
      <c r="D285" s="34"/>
      <c r="E285" s="19"/>
      <c r="F285" s="19"/>
      <c r="G285" s="19"/>
      <c r="H285" s="19"/>
      <c r="I285" s="19"/>
      <c r="J285" s="19"/>
      <c r="K285" s="19"/>
      <c r="L285" s="19"/>
      <c r="M285" s="19"/>
      <c r="N285" s="19"/>
      <c r="O285" s="19"/>
      <c r="P285" s="20"/>
      <c r="Q285" s="20"/>
      <c r="R285" s="22"/>
      <c r="S285" s="22"/>
      <c r="T285" s="20"/>
      <c r="U285" s="20"/>
      <c r="V285" s="20"/>
      <c r="W285" s="19"/>
      <c r="X285" s="19"/>
      <c r="Y285" s="19"/>
      <c r="Z285" s="23"/>
    </row>
    <row r="286" spans="1:26" ht="15.75" customHeight="1" x14ac:dyDescent="0.2">
      <c r="A286" s="34"/>
      <c r="B286" s="34"/>
      <c r="C286" s="34"/>
      <c r="D286" s="34"/>
      <c r="E286" s="19"/>
      <c r="F286" s="19"/>
      <c r="G286" s="19"/>
      <c r="H286" s="19"/>
      <c r="I286" s="19"/>
      <c r="J286" s="19"/>
      <c r="K286" s="19"/>
      <c r="L286" s="19"/>
      <c r="M286" s="19"/>
      <c r="N286" s="19"/>
      <c r="O286" s="19"/>
      <c r="P286" s="20"/>
      <c r="Q286" s="20"/>
      <c r="R286" s="22"/>
      <c r="S286" s="22"/>
      <c r="T286" s="20"/>
      <c r="U286" s="20"/>
      <c r="V286" s="20"/>
      <c r="W286" s="19"/>
      <c r="X286" s="19"/>
      <c r="Y286" s="19"/>
      <c r="Z286" s="23"/>
    </row>
    <row r="287" spans="1:26" ht="15.75" customHeight="1" x14ac:dyDescent="0.2">
      <c r="A287" s="34"/>
      <c r="B287" s="34"/>
      <c r="C287" s="34"/>
      <c r="D287" s="34"/>
      <c r="E287" s="19"/>
      <c r="F287" s="19"/>
      <c r="G287" s="19"/>
      <c r="H287" s="19"/>
      <c r="I287" s="19"/>
      <c r="J287" s="19"/>
      <c r="K287" s="19"/>
      <c r="L287" s="19"/>
      <c r="M287" s="19"/>
      <c r="N287" s="19"/>
      <c r="O287" s="19"/>
      <c r="P287" s="20"/>
      <c r="Q287" s="20"/>
      <c r="R287" s="22"/>
      <c r="S287" s="22"/>
      <c r="T287" s="20"/>
      <c r="U287" s="20"/>
      <c r="V287" s="20"/>
      <c r="W287" s="19"/>
      <c r="X287" s="19"/>
      <c r="Y287" s="19"/>
      <c r="Z287" s="23"/>
    </row>
    <row r="288" spans="1:26" ht="15.75" customHeight="1" x14ac:dyDescent="0.2">
      <c r="A288" s="34"/>
      <c r="B288" s="34"/>
      <c r="C288" s="34"/>
      <c r="D288" s="34"/>
      <c r="E288" s="19"/>
      <c r="F288" s="19"/>
      <c r="G288" s="19"/>
      <c r="H288" s="19"/>
      <c r="I288" s="19"/>
      <c r="J288" s="19"/>
      <c r="K288" s="19"/>
      <c r="L288" s="19"/>
      <c r="M288" s="19"/>
      <c r="N288" s="19"/>
      <c r="O288" s="19"/>
      <c r="P288" s="20"/>
      <c r="Q288" s="20"/>
      <c r="R288" s="22"/>
      <c r="S288" s="22"/>
      <c r="T288" s="20"/>
      <c r="U288" s="20"/>
      <c r="V288" s="20"/>
      <c r="W288" s="19"/>
      <c r="X288" s="19"/>
      <c r="Y288" s="19"/>
      <c r="Z288" s="23"/>
    </row>
    <row r="289" spans="1:26" ht="15.75" customHeight="1" x14ac:dyDescent="0.2">
      <c r="A289" s="34"/>
      <c r="B289" s="34"/>
      <c r="C289" s="34"/>
      <c r="D289" s="34"/>
      <c r="E289" s="19"/>
      <c r="F289" s="19"/>
      <c r="G289" s="19"/>
      <c r="H289" s="19"/>
      <c r="I289" s="19"/>
      <c r="J289" s="19"/>
      <c r="K289" s="19"/>
      <c r="L289" s="19"/>
      <c r="M289" s="19"/>
      <c r="N289" s="19"/>
      <c r="O289" s="19"/>
      <c r="P289" s="20"/>
      <c r="Q289" s="20"/>
      <c r="R289" s="22"/>
      <c r="S289" s="22"/>
      <c r="T289" s="20"/>
      <c r="U289" s="20"/>
      <c r="V289" s="20"/>
      <c r="W289" s="19"/>
      <c r="X289" s="19"/>
      <c r="Y289" s="19"/>
      <c r="Z289" s="23"/>
    </row>
    <row r="290" spans="1:26" ht="15.75" customHeight="1" x14ac:dyDescent="0.2">
      <c r="A290" s="34"/>
      <c r="B290" s="34"/>
      <c r="C290" s="34"/>
      <c r="D290" s="34"/>
      <c r="E290" s="19"/>
      <c r="F290" s="19"/>
      <c r="G290" s="19"/>
      <c r="H290" s="19"/>
      <c r="I290" s="19"/>
      <c r="J290" s="19"/>
      <c r="K290" s="19"/>
      <c r="L290" s="19"/>
      <c r="M290" s="19"/>
      <c r="N290" s="19"/>
      <c r="O290" s="19"/>
      <c r="P290" s="20"/>
      <c r="Q290" s="20"/>
      <c r="R290" s="22"/>
      <c r="S290" s="22"/>
      <c r="T290" s="20"/>
      <c r="U290" s="20"/>
      <c r="V290" s="20"/>
      <c r="W290" s="19"/>
      <c r="X290" s="19"/>
      <c r="Y290" s="19"/>
      <c r="Z290" s="23"/>
    </row>
    <row r="291" spans="1:26" ht="15.75" customHeight="1" x14ac:dyDescent="0.2">
      <c r="A291" s="34"/>
      <c r="B291" s="34"/>
      <c r="C291" s="34"/>
      <c r="D291" s="34"/>
      <c r="E291" s="19"/>
      <c r="F291" s="19"/>
      <c r="G291" s="19"/>
      <c r="H291" s="19"/>
      <c r="I291" s="19"/>
      <c r="J291" s="19"/>
      <c r="K291" s="19"/>
      <c r="L291" s="19"/>
      <c r="M291" s="19"/>
      <c r="N291" s="19"/>
      <c r="O291" s="19"/>
      <c r="P291" s="20"/>
      <c r="Q291" s="20"/>
      <c r="R291" s="22"/>
      <c r="S291" s="22"/>
      <c r="T291" s="20"/>
      <c r="U291" s="20"/>
      <c r="V291" s="20"/>
      <c r="W291" s="19"/>
      <c r="X291" s="19"/>
      <c r="Y291" s="19"/>
      <c r="Z291" s="23"/>
    </row>
    <row r="292" spans="1:26" ht="15.75" customHeight="1" x14ac:dyDescent="0.2">
      <c r="A292" s="34"/>
      <c r="B292" s="34"/>
      <c r="C292" s="34"/>
      <c r="D292" s="34"/>
      <c r="E292" s="19"/>
      <c r="F292" s="19"/>
      <c r="G292" s="19"/>
      <c r="H292" s="19"/>
      <c r="I292" s="19"/>
      <c r="J292" s="19"/>
      <c r="K292" s="19"/>
      <c r="L292" s="19"/>
      <c r="M292" s="19"/>
      <c r="N292" s="19"/>
      <c r="O292" s="19"/>
      <c r="P292" s="20"/>
      <c r="Q292" s="20"/>
      <c r="R292" s="22"/>
      <c r="S292" s="22"/>
      <c r="T292" s="20"/>
      <c r="U292" s="20"/>
      <c r="V292" s="20"/>
      <c r="W292" s="19"/>
      <c r="X292" s="19"/>
      <c r="Y292" s="19"/>
      <c r="Z292" s="23"/>
    </row>
    <row r="293" spans="1:26" ht="15.75" customHeight="1" x14ac:dyDescent="0.2">
      <c r="A293" s="34"/>
      <c r="B293" s="34"/>
      <c r="C293" s="34"/>
      <c r="D293" s="34"/>
      <c r="E293" s="19"/>
      <c r="F293" s="19"/>
      <c r="G293" s="19"/>
      <c r="H293" s="19"/>
      <c r="I293" s="19"/>
      <c r="J293" s="19"/>
      <c r="K293" s="19"/>
      <c r="L293" s="19"/>
      <c r="M293" s="19"/>
      <c r="N293" s="19"/>
      <c r="O293" s="19"/>
      <c r="P293" s="20"/>
      <c r="Q293" s="20"/>
      <c r="R293" s="22"/>
      <c r="S293" s="22"/>
      <c r="T293" s="20"/>
      <c r="U293" s="20"/>
      <c r="V293" s="20"/>
      <c r="W293" s="19"/>
      <c r="X293" s="19"/>
      <c r="Y293" s="19"/>
      <c r="Z293" s="23"/>
    </row>
    <row r="294" spans="1:26" ht="15.75" customHeight="1" x14ac:dyDescent="0.2">
      <c r="A294" s="34"/>
      <c r="B294" s="34"/>
      <c r="C294" s="34"/>
      <c r="D294" s="34"/>
      <c r="E294" s="19"/>
      <c r="F294" s="19"/>
      <c r="G294" s="19"/>
      <c r="H294" s="19"/>
      <c r="I294" s="19"/>
      <c r="J294" s="19"/>
      <c r="K294" s="19"/>
      <c r="L294" s="19"/>
      <c r="M294" s="19"/>
      <c r="N294" s="19"/>
      <c r="O294" s="19"/>
      <c r="P294" s="20"/>
      <c r="Q294" s="20"/>
      <c r="R294" s="22"/>
      <c r="S294" s="22"/>
      <c r="T294" s="20"/>
      <c r="U294" s="20"/>
      <c r="V294" s="20"/>
      <c r="W294" s="19"/>
      <c r="X294" s="19"/>
      <c r="Y294" s="19"/>
      <c r="Z294" s="23"/>
    </row>
    <row r="295" spans="1:26" ht="15.75" customHeight="1" x14ac:dyDescent="0.2">
      <c r="A295" s="34"/>
      <c r="B295" s="34"/>
      <c r="C295" s="34"/>
      <c r="D295" s="34"/>
      <c r="E295" s="19"/>
      <c r="F295" s="19"/>
      <c r="G295" s="19"/>
      <c r="H295" s="19"/>
      <c r="I295" s="19"/>
      <c r="J295" s="19"/>
      <c r="K295" s="19"/>
      <c r="L295" s="19"/>
      <c r="M295" s="19"/>
      <c r="N295" s="19"/>
      <c r="O295" s="19"/>
      <c r="P295" s="20"/>
      <c r="Q295" s="20"/>
      <c r="R295" s="22"/>
      <c r="S295" s="22"/>
      <c r="T295" s="20"/>
      <c r="U295" s="20"/>
      <c r="V295" s="20"/>
      <c r="W295" s="19"/>
      <c r="X295" s="19"/>
      <c r="Y295" s="19"/>
      <c r="Z295" s="23"/>
    </row>
    <row r="296" spans="1:26" ht="15.75" customHeight="1" x14ac:dyDescent="0.2">
      <c r="A296" s="34"/>
      <c r="B296" s="34"/>
      <c r="C296" s="34"/>
      <c r="D296" s="34"/>
      <c r="E296" s="19"/>
      <c r="F296" s="19"/>
      <c r="G296" s="19"/>
      <c r="H296" s="19"/>
      <c r="I296" s="19"/>
      <c r="J296" s="19"/>
      <c r="K296" s="19"/>
      <c r="L296" s="19"/>
      <c r="M296" s="19"/>
      <c r="N296" s="19"/>
      <c r="O296" s="19"/>
      <c r="P296" s="20"/>
      <c r="Q296" s="20"/>
      <c r="R296" s="22"/>
      <c r="S296" s="22"/>
      <c r="T296" s="20"/>
      <c r="U296" s="20"/>
      <c r="V296" s="20"/>
      <c r="W296" s="19"/>
      <c r="X296" s="19"/>
      <c r="Y296" s="19"/>
      <c r="Z296" s="23"/>
    </row>
    <row r="297" spans="1:26" ht="15.75" customHeight="1" x14ac:dyDescent="0.2">
      <c r="A297" s="34"/>
      <c r="B297" s="34"/>
      <c r="C297" s="34"/>
      <c r="D297" s="34"/>
      <c r="E297" s="19"/>
      <c r="F297" s="19"/>
      <c r="G297" s="19"/>
      <c r="H297" s="19"/>
      <c r="I297" s="19"/>
      <c r="J297" s="19"/>
      <c r="K297" s="19"/>
      <c r="L297" s="19"/>
      <c r="M297" s="19"/>
      <c r="N297" s="19"/>
      <c r="O297" s="19"/>
      <c r="P297" s="20"/>
      <c r="Q297" s="20"/>
      <c r="R297" s="22"/>
      <c r="S297" s="22"/>
      <c r="T297" s="20"/>
      <c r="U297" s="20"/>
      <c r="V297" s="20"/>
      <c r="W297" s="19"/>
      <c r="X297" s="19"/>
      <c r="Y297" s="19"/>
      <c r="Z297" s="23"/>
    </row>
    <row r="298" spans="1:26" ht="15.75" customHeight="1" x14ac:dyDescent="0.2">
      <c r="A298" s="34"/>
      <c r="B298" s="34"/>
      <c r="C298" s="34"/>
      <c r="D298" s="34"/>
      <c r="E298" s="19"/>
      <c r="F298" s="19"/>
      <c r="G298" s="19"/>
      <c r="H298" s="19"/>
      <c r="I298" s="19"/>
      <c r="J298" s="19"/>
      <c r="K298" s="19"/>
      <c r="L298" s="19"/>
      <c r="M298" s="19"/>
      <c r="N298" s="19"/>
      <c r="O298" s="19"/>
      <c r="P298" s="20"/>
      <c r="Q298" s="20"/>
      <c r="R298" s="22"/>
      <c r="S298" s="22"/>
      <c r="T298" s="20"/>
      <c r="U298" s="20"/>
      <c r="V298" s="20"/>
      <c r="W298" s="19"/>
      <c r="X298" s="19"/>
      <c r="Y298" s="19"/>
      <c r="Z298" s="23"/>
    </row>
    <row r="299" spans="1:26" ht="15.75" customHeight="1" x14ac:dyDescent="0.2">
      <c r="A299" s="34"/>
      <c r="B299" s="34"/>
      <c r="C299" s="34"/>
      <c r="D299" s="34"/>
      <c r="E299" s="19"/>
      <c r="F299" s="19"/>
      <c r="G299" s="19"/>
      <c r="H299" s="19"/>
      <c r="I299" s="19"/>
      <c r="J299" s="19"/>
      <c r="K299" s="19"/>
      <c r="L299" s="19"/>
      <c r="M299" s="19"/>
      <c r="N299" s="19"/>
      <c r="O299" s="19"/>
      <c r="P299" s="20"/>
      <c r="Q299" s="20"/>
      <c r="R299" s="22"/>
      <c r="S299" s="22"/>
      <c r="T299" s="20"/>
      <c r="U299" s="20"/>
      <c r="V299" s="20"/>
      <c r="W299" s="19"/>
      <c r="X299" s="19"/>
      <c r="Y299" s="19"/>
      <c r="Z299" s="23"/>
    </row>
    <row r="300" spans="1:26" ht="15.75" customHeight="1" x14ac:dyDescent="0.2">
      <c r="A300" s="34"/>
      <c r="B300" s="34"/>
      <c r="C300" s="34"/>
      <c r="D300" s="34"/>
      <c r="E300" s="19"/>
      <c r="F300" s="19"/>
      <c r="G300" s="19"/>
      <c r="H300" s="19"/>
      <c r="I300" s="19"/>
      <c r="J300" s="19"/>
      <c r="K300" s="19"/>
      <c r="L300" s="19"/>
      <c r="M300" s="19"/>
      <c r="N300" s="19"/>
      <c r="O300" s="19"/>
      <c r="P300" s="20"/>
      <c r="Q300" s="20"/>
      <c r="R300" s="22"/>
      <c r="S300" s="22"/>
      <c r="T300" s="20"/>
      <c r="U300" s="20"/>
      <c r="V300" s="20"/>
      <c r="W300" s="19"/>
      <c r="X300" s="19"/>
      <c r="Y300" s="19"/>
      <c r="Z300" s="23"/>
    </row>
    <row r="301" spans="1:26" ht="15.75" customHeight="1" x14ac:dyDescent="0.2">
      <c r="A301" s="34"/>
      <c r="B301" s="34"/>
      <c r="C301" s="34"/>
      <c r="D301" s="34"/>
      <c r="E301" s="19"/>
      <c r="F301" s="19"/>
      <c r="G301" s="19"/>
      <c r="H301" s="19"/>
      <c r="I301" s="19"/>
      <c r="J301" s="19"/>
      <c r="K301" s="19"/>
      <c r="L301" s="19"/>
      <c r="M301" s="19"/>
      <c r="N301" s="19"/>
      <c r="O301" s="19"/>
      <c r="P301" s="20"/>
      <c r="Q301" s="20"/>
      <c r="R301" s="22"/>
      <c r="S301" s="22"/>
      <c r="T301" s="20"/>
      <c r="U301" s="20"/>
      <c r="V301" s="20"/>
      <c r="W301" s="19"/>
      <c r="X301" s="19"/>
      <c r="Y301" s="19"/>
      <c r="Z301" s="23"/>
    </row>
    <row r="302" spans="1:26" ht="15.75" customHeight="1" x14ac:dyDescent="0.2">
      <c r="A302" s="34"/>
      <c r="B302" s="34"/>
      <c r="C302" s="34"/>
      <c r="D302" s="34"/>
      <c r="E302" s="19"/>
      <c r="F302" s="19"/>
      <c r="G302" s="19"/>
      <c r="H302" s="19"/>
      <c r="I302" s="19"/>
      <c r="J302" s="19"/>
      <c r="K302" s="19"/>
      <c r="L302" s="19"/>
      <c r="M302" s="19"/>
      <c r="N302" s="19"/>
      <c r="O302" s="19"/>
      <c r="P302" s="20"/>
      <c r="Q302" s="20"/>
      <c r="R302" s="22"/>
      <c r="S302" s="22"/>
      <c r="T302" s="20"/>
      <c r="U302" s="20"/>
      <c r="V302" s="20"/>
      <c r="W302" s="19"/>
      <c r="X302" s="19"/>
      <c r="Y302" s="19"/>
      <c r="Z302" s="23"/>
    </row>
    <row r="303" spans="1:26" ht="15.75" customHeight="1" x14ac:dyDescent="0.2">
      <c r="A303" s="34"/>
      <c r="B303" s="34"/>
      <c r="C303" s="34"/>
      <c r="D303" s="34"/>
      <c r="E303" s="19"/>
      <c r="F303" s="19"/>
      <c r="G303" s="19"/>
      <c r="H303" s="19"/>
      <c r="I303" s="19"/>
      <c r="J303" s="19"/>
      <c r="K303" s="19"/>
      <c r="L303" s="19"/>
      <c r="M303" s="19"/>
      <c r="N303" s="19"/>
      <c r="O303" s="19"/>
      <c r="P303" s="20"/>
      <c r="Q303" s="20"/>
      <c r="R303" s="22"/>
      <c r="S303" s="22"/>
      <c r="T303" s="20"/>
      <c r="U303" s="20"/>
      <c r="V303" s="20"/>
      <c r="W303" s="19"/>
      <c r="X303" s="19"/>
      <c r="Y303" s="19"/>
      <c r="Z303" s="23"/>
    </row>
    <row r="304" spans="1:26" ht="15.75" customHeight="1" x14ac:dyDescent="0.2">
      <c r="A304" s="34"/>
      <c r="B304" s="34"/>
      <c r="C304" s="34"/>
      <c r="D304" s="34"/>
      <c r="E304" s="19"/>
      <c r="F304" s="19"/>
      <c r="G304" s="19"/>
      <c r="H304" s="19"/>
      <c r="I304" s="19"/>
      <c r="J304" s="19"/>
      <c r="K304" s="19"/>
      <c r="L304" s="19"/>
      <c r="M304" s="19"/>
      <c r="N304" s="19"/>
      <c r="O304" s="19"/>
      <c r="P304" s="20"/>
      <c r="Q304" s="20"/>
      <c r="R304" s="22"/>
      <c r="S304" s="22"/>
      <c r="T304" s="20"/>
      <c r="U304" s="20"/>
      <c r="V304" s="20"/>
      <c r="W304" s="19"/>
      <c r="X304" s="19"/>
      <c r="Y304" s="19"/>
      <c r="Z304" s="23"/>
    </row>
    <row r="305" spans="1:26" ht="15.75" customHeight="1" x14ac:dyDescent="0.2">
      <c r="A305" s="34"/>
      <c r="B305" s="34"/>
      <c r="C305" s="34"/>
      <c r="D305" s="34"/>
      <c r="E305" s="19"/>
      <c r="F305" s="19"/>
      <c r="G305" s="19"/>
      <c r="H305" s="19"/>
      <c r="I305" s="19"/>
      <c r="J305" s="19"/>
      <c r="K305" s="19"/>
      <c r="L305" s="19"/>
      <c r="M305" s="19"/>
      <c r="N305" s="19"/>
      <c r="O305" s="19"/>
      <c r="P305" s="20"/>
      <c r="Q305" s="20"/>
      <c r="R305" s="22"/>
      <c r="S305" s="22"/>
      <c r="T305" s="20"/>
      <c r="U305" s="20"/>
      <c r="V305" s="20"/>
      <c r="W305" s="19"/>
      <c r="X305" s="19"/>
      <c r="Y305" s="19"/>
      <c r="Z305" s="23"/>
    </row>
    <row r="306" spans="1:26" ht="15.75" customHeight="1" x14ac:dyDescent="0.2">
      <c r="A306" s="34"/>
      <c r="B306" s="34"/>
      <c r="C306" s="34"/>
      <c r="D306" s="34"/>
      <c r="E306" s="19"/>
      <c r="F306" s="19"/>
      <c r="G306" s="19"/>
      <c r="H306" s="19"/>
      <c r="I306" s="19"/>
      <c r="J306" s="19"/>
      <c r="K306" s="19"/>
      <c r="L306" s="19"/>
      <c r="M306" s="19"/>
      <c r="N306" s="19"/>
      <c r="O306" s="19"/>
      <c r="P306" s="20"/>
      <c r="Q306" s="20"/>
      <c r="R306" s="22"/>
      <c r="S306" s="22"/>
      <c r="T306" s="20"/>
      <c r="U306" s="20"/>
      <c r="V306" s="20"/>
      <c r="W306" s="19"/>
      <c r="X306" s="19"/>
      <c r="Y306" s="19"/>
      <c r="Z306" s="23"/>
    </row>
    <row r="307" spans="1:26" ht="15.75" customHeight="1" x14ac:dyDescent="0.2">
      <c r="A307" s="34"/>
      <c r="B307" s="34"/>
      <c r="C307" s="34"/>
      <c r="D307" s="34"/>
      <c r="E307" s="19"/>
      <c r="F307" s="19"/>
      <c r="G307" s="19"/>
      <c r="H307" s="19"/>
      <c r="I307" s="19"/>
      <c r="J307" s="19"/>
      <c r="K307" s="19"/>
      <c r="L307" s="19"/>
      <c r="M307" s="19"/>
      <c r="N307" s="19"/>
      <c r="O307" s="19"/>
      <c r="P307" s="20"/>
      <c r="Q307" s="20"/>
      <c r="R307" s="22"/>
      <c r="S307" s="22"/>
      <c r="T307" s="20"/>
      <c r="U307" s="20"/>
      <c r="V307" s="20"/>
      <c r="W307" s="19"/>
      <c r="X307" s="19"/>
      <c r="Y307" s="19"/>
      <c r="Z307" s="23"/>
    </row>
    <row r="308" spans="1:26" ht="15.75" customHeight="1" x14ac:dyDescent="0.2">
      <c r="A308" s="34"/>
      <c r="B308" s="34"/>
      <c r="C308" s="34"/>
      <c r="D308" s="34"/>
      <c r="E308" s="19"/>
      <c r="F308" s="19"/>
      <c r="G308" s="19"/>
      <c r="H308" s="19"/>
      <c r="I308" s="19"/>
      <c r="J308" s="19"/>
      <c r="K308" s="19"/>
      <c r="L308" s="19"/>
      <c r="M308" s="19"/>
      <c r="N308" s="19"/>
      <c r="O308" s="19"/>
      <c r="P308" s="20"/>
      <c r="Q308" s="20"/>
      <c r="R308" s="22"/>
      <c r="S308" s="22"/>
      <c r="T308" s="20"/>
      <c r="U308" s="20"/>
      <c r="V308" s="20"/>
      <c r="W308" s="19"/>
      <c r="X308" s="19"/>
      <c r="Y308" s="19"/>
      <c r="Z308" s="23"/>
    </row>
    <row r="309" spans="1:26" ht="15.75" customHeight="1" x14ac:dyDescent="0.2">
      <c r="A309" s="34"/>
      <c r="B309" s="34"/>
      <c r="C309" s="34"/>
      <c r="D309" s="34"/>
      <c r="E309" s="19"/>
      <c r="F309" s="19"/>
      <c r="G309" s="19"/>
      <c r="H309" s="19"/>
      <c r="I309" s="19"/>
      <c r="J309" s="19"/>
      <c r="K309" s="19"/>
      <c r="L309" s="19"/>
      <c r="M309" s="19"/>
      <c r="N309" s="19"/>
      <c r="O309" s="19"/>
      <c r="P309" s="20"/>
      <c r="Q309" s="20"/>
      <c r="R309" s="22"/>
      <c r="S309" s="22"/>
      <c r="T309" s="20"/>
      <c r="U309" s="20"/>
      <c r="V309" s="20"/>
      <c r="W309" s="19"/>
      <c r="X309" s="19"/>
      <c r="Y309" s="19"/>
      <c r="Z309" s="23"/>
    </row>
    <row r="310" spans="1:26" ht="15.75" customHeight="1" x14ac:dyDescent="0.2">
      <c r="A310" s="34"/>
      <c r="B310" s="34"/>
      <c r="C310" s="34"/>
      <c r="D310" s="34"/>
      <c r="E310" s="19"/>
      <c r="F310" s="19"/>
      <c r="G310" s="19"/>
      <c r="H310" s="19"/>
      <c r="I310" s="19"/>
      <c r="J310" s="19"/>
      <c r="K310" s="19"/>
      <c r="L310" s="19"/>
      <c r="M310" s="19"/>
      <c r="N310" s="19"/>
      <c r="O310" s="19"/>
      <c r="P310" s="20"/>
      <c r="Q310" s="20"/>
      <c r="R310" s="22"/>
      <c r="S310" s="22"/>
      <c r="T310" s="20"/>
      <c r="U310" s="20"/>
      <c r="V310" s="20"/>
      <c r="W310" s="19"/>
      <c r="X310" s="19"/>
      <c r="Y310" s="19"/>
      <c r="Z310" s="23"/>
    </row>
    <row r="311" spans="1:26" ht="15.75" customHeight="1" x14ac:dyDescent="0.2">
      <c r="A311" s="34"/>
      <c r="B311" s="34"/>
      <c r="C311" s="34"/>
      <c r="D311" s="34"/>
      <c r="E311" s="19"/>
      <c r="F311" s="19"/>
      <c r="G311" s="19"/>
      <c r="H311" s="19"/>
      <c r="I311" s="19"/>
      <c r="J311" s="19"/>
      <c r="K311" s="19"/>
      <c r="L311" s="19"/>
      <c r="M311" s="19"/>
      <c r="N311" s="19"/>
      <c r="O311" s="19"/>
      <c r="P311" s="20"/>
      <c r="Q311" s="20"/>
      <c r="R311" s="22"/>
      <c r="S311" s="22"/>
      <c r="T311" s="20"/>
      <c r="U311" s="20"/>
      <c r="V311" s="20"/>
      <c r="W311" s="19"/>
      <c r="X311" s="19"/>
      <c r="Y311" s="19"/>
      <c r="Z311" s="23"/>
    </row>
    <row r="312" spans="1:26" ht="15.75" customHeight="1" x14ac:dyDescent="0.2">
      <c r="A312" s="34"/>
      <c r="B312" s="34"/>
      <c r="C312" s="34"/>
      <c r="D312" s="34"/>
      <c r="E312" s="19"/>
      <c r="F312" s="19"/>
      <c r="G312" s="19"/>
      <c r="H312" s="19"/>
      <c r="I312" s="19"/>
      <c r="J312" s="19"/>
      <c r="K312" s="19"/>
      <c r="L312" s="19"/>
      <c r="M312" s="19"/>
      <c r="N312" s="19"/>
      <c r="O312" s="19"/>
      <c r="P312" s="20"/>
      <c r="Q312" s="20"/>
      <c r="R312" s="22"/>
      <c r="S312" s="22"/>
      <c r="T312" s="20"/>
      <c r="U312" s="20"/>
      <c r="V312" s="20"/>
      <c r="W312" s="19"/>
      <c r="X312" s="19"/>
      <c r="Y312" s="19"/>
      <c r="Z312" s="23"/>
    </row>
    <row r="313" spans="1:26" ht="15.75" customHeight="1" x14ac:dyDescent="0.2">
      <c r="A313" s="34"/>
      <c r="B313" s="34"/>
      <c r="C313" s="34"/>
      <c r="D313" s="34"/>
      <c r="E313" s="19"/>
      <c r="F313" s="19"/>
      <c r="G313" s="19"/>
      <c r="H313" s="19"/>
      <c r="I313" s="19"/>
      <c r="J313" s="19"/>
      <c r="K313" s="19"/>
      <c r="L313" s="19"/>
      <c r="M313" s="19"/>
      <c r="N313" s="19"/>
      <c r="O313" s="19"/>
      <c r="P313" s="20"/>
      <c r="Q313" s="20"/>
      <c r="R313" s="22"/>
      <c r="S313" s="22"/>
      <c r="T313" s="20"/>
      <c r="U313" s="20"/>
      <c r="V313" s="20"/>
      <c r="W313" s="19"/>
      <c r="X313" s="19"/>
      <c r="Y313" s="19"/>
      <c r="Z313" s="23"/>
    </row>
    <row r="314" spans="1:26" ht="15.75" customHeight="1" x14ac:dyDescent="0.2">
      <c r="A314" s="34"/>
      <c r="B314" s="34"/>
      <c r="C314" s="34"/>
      <c r="D314" s="34"/>
      <c r="E314" s="19"/>
      <c r="F314" s="19"/>
      <c r="G314" s="19"/>
      <c r="H314" s="19"/>
      <c r="I314" s="19"/>
      <c r="J314" s="19"/>
      <c r="K314" s="19"/>
      <c r="L314" s="19"/>
      <c r="M314" s="19"/>
      <c r="N314" s="19"/>
      <c r="O314" s="19"/>
      <c r="P314" s="20"/>
      <c r="Q314" s="20"/>
      <c r="R314" s="22"/>
      <c r="S314" s="22"/>
      <c r="T314" s="20"/>
      <c r="U314" s="20"/>
      <c r="V314" s="20"/>
      <c r="W314" s="19"/>
      <c r="X314" s="19"/>
      <c r="Y314" s="19"/>
      <c r="Z314" s="23"/>
    </row>
    <row r="315" spans="1:26" ht="15.75" customHeight="1" x14ac:dyDescent="0.2">
      <c r="A315" s="34"/>
      <c r="B315" s="34"/>
      <c r="C315" s="34"/>
      <c r="D315" s="34"/>
      <c r="E315" s="19"/>
      <c r="F315" s="19"/>
      <c r="G315" s="19"/>
      <c r="H315" s="19"/>
      <c r="I315" s="19"/>
      <c r="J315" s="19"/>
      <c r="K315" s="19"/>
      <c r="L315" s="19"/>
      <c r="M315" s="19"/>
      <c r="N315" s="19"/>
      <c r="O315" s="19"/>
      <c r="P315" s="20"/>
      <c r="Q315" s="20"/>
      <c r="R315" s="22"/>
      <c r="S315" s="22"/>
      <c r="T315" s="20"/>
      <c r="U315" s="20"/>
      <c r="V315" s="20"/>
      <c r="W315" s="19"/>
      <c r="X315" s="19"/>
      <c r="Y315" s="19"/>
      <c r="Z315" s="23"/>
    </row>
    <row r="316" spans="1:26" ht="15.75" customHeight="1" x14ac:dyDescent="0.2">
      <c r="A316" s="34"/>
      <c r="B316" s="34"/>
      <c r="C316" s="34"/>
      <c r="D316" s="34"/>
      <c r="E316" s="19"/>
      <c r="F316" s="19"/>
      <c r="G316" s="19"/>
      <c r="H316" s="19"/>
      <c r="I316" s="19"/>
      <c r="J316" s="19"/>
      <c r="K316" s="19"/>
      <c r="L316" s="19"/>
      <c r="M316" s="19"/>
      <c r="N316" s="19"/>
      <c r="O316" s="19"/>
      <c r="P316" s="20"/>
      <c r="Q316" s="20"/>
      <c r="R316" s="22"/>
      <c r="S316" s="22"/>
      <c r="T316" s="20"/>
      <c r="U316" s="20"/>
      <c r="V316" s="20"/>
      <c r="W316" s="19"/>
      <c r="X316" s="19"/>
      <c r="Y316" s="19"/>
      <c r="Z316" s="23"/>
    </row>
    <row r="317" spans="1:26" ht="15.75" customHeight="1" x14ac:dyDescent="0.2">
      <c r="A317" s="34"/>
      <c r="B317" s="34"/>
      <c r="C317" s="34"/>
      <c r="D317" s="34"/>
      <c r="E317" s="19"/>
      <c r="F317" s="19"/>
      <c r="G317" s="19"/>
      <c r="H317" s="19"/>
      <c r="I317" s="19"/>
      <c r="J317" s="19"/>
      <c r="K317" s="19"/>
      <c r="L317" s="19"/>
      <c r="M317" s="19"/>
      <c r="N317" s="19"/>
      <c r="O317" s="19"/>
      <c r="P317" s="20"/>
      <c r="Q317" s="20"/>
      <c r="R317" s="22"/>
      <c r="S317" s="22"/>
      <c r="T317" s="20"/>
      <c r="U317" s="20"/>
      <c r="V317" s="20"/>
      <c r="W317" s="19"/>
      <c r="X317" s="19"/>
      <c r="Y317" s="19"/>
      <c r="Z317" s="23"/>
    </row>
    <row r="318" spans="1:26" ht="15.75" customHeight="1" x14ac:dyDescent="0.2">
      <c r="A318" s="34"/>
      <c r="B318" s="34"/>
      <c r="C318" s="34"/>
      <c r="D318" s="34"/>
      <c r="E318" s="19"/>
      <c r="F318" s="19"/>
      <c r="G318" s="19"/>
      <c r="H318" s="19"/>
      <c r="I318" s="19"/>
      <c r="J318" s="19"/>
      <c r="K318" s="19"/>
      <c r="L318" s="19"/>
      <c r="M318" s="19"/>
      <c r="N318" s="19"/>
      <c r="O318" s="19"/>
      <c r="P318" s="20"/>
      <c r="Q318" s="20"/>
      <c r="R318" s="22"/>
      <c r="S318" s="22"/>
      <c r="T318" s="20"/>
      <c r="U318" s="20"/>
      <c r="V318" s="20"/>
      <c r="W318" s="19"/>
      <c r="X318" s="19"/>
      <c r="Y318" s="19"/>
      <c r="Z318" s="23"/>
    </row>
    <row r="319" spans="1:26" ht="15.75" customHeight="1" x14ac:dyDescent="0.2">
      <c r="A319" s="34"/>
      <c r="B319" s="34"/>
      <c r="C319" s="34"/>
      <c r="D319" s="34"/>
      <c r="E319" s="19"/>
      <c r="F319" s="19"/>
      <c r="G319" s="19"/>
      <c r="H319" s="19"/>
      <c r="I319" s="19"/>
      <c r="J319" s="19"/>
      <c r="K319" s="19"/>
      <c r="L319" s="19"/>
      <c r="M319" s="19"/>
      <c r="N319" s="19"/>
      <c r="O319" s="19"/>
      <c r="P319" s="20"/>
      <c r="Q319" s="20"/>
      <c r="R319" s="22"/>
      <c r="S319" s="22"/>
      <c r="T319" s="20"/>
      <c r="U319" s="20"/>
      <c r="V319" s="20"/>
      <c r="W319" s="19"/>
      <c r="X319" s="19"/>
      <c r="Y319" s="19"/>
      <c r="Z319" s="23"/>
    </row>
    <row r="320" spans="1:26" ht="15.75" customHeight="1" x14ac:dyDescent="0.2">
      <c r="A320" s="34"/>
      <c r="B320" s="34"/>
      <c r="C320" s="34"/>
      <c r="D320" s="34"/>
      <c r="E320" s="19"/>
      <c r="F320" s="19"/>
      <c r="G320" s="19"/>
      <c r="H320" s="19"/>
      <c r="I320" s="19"/>
      <c r="J320" s="19"/>
      <c r="K320" s="19"/>
      <c r="L320" s="19"/>
      <c r="M320" s="19"/>
      <c r="N320" s="19"/>
      <c r="O320" s="19"/>
      <c r="P320" s="20"/>
      <c r="Q320" s="20"/>
      <c r="R320" s="22"/>
      <c r="S320" s="22"/>
      <c r="T320" s="20"/>
      <c r="U320" s="20"/>
      <c r="V320" s="20"/>
      <c r="W320" s="19"/>
      <c r="X320" s="19"/>
      <c r="Y320" s="19"/>
      <c r="Z320" s="23"/>
    </row>
    <row r="321" spans="1:26" ht="15.75" customHeight="1" x14ac:dyDescent="0.2">
      <c r="A321" s="34"/>
      <c r="B321" s="34"/>
      <c r="C321" s="34"/>
      <c r="D321" s="34"/>
      <c r="E321" s="19"/>
      <c r="F321" s="19"/>
      <c r="G321" s="19"/>
      <c r="H321" s="19"/>
      <c r="I321" s="19"/>
      <c r="J321" s="19"/>
      <c r="K321" s="19"/>
      <c r="L321" s="19"/>
      <c r="M321" s="19"/>
      <c r="N321" s="19"/>
      <c r="O321" s="19"/>
      <c r="P321" s="20"/>
      <c r="Q321" s="20"/>
      <c r="R321" s="22"/>
      <c r="S321" s="22"/>
      <c r="T321" s="20"/>
      <c r="U321" s="20"/>
      <c r="V321" s="20"/>
      <c r="W321" s="19"/>
      <c r="X321" s="19"/>
      <c r="Y321" s="19"/>
      <c r="Z321" s="23"/>
    </row>
    <row r="322" spans="1:26" ht="15.75" customHeight="1" x14ac:dyDescent="0.2">
      <c r="A322" s="34"/>
      <c r="B322" s="34"/>
      <c r="C322" s="34"/>
      <c r="D322" s="34"/>
      <c r="E322" s="19"/>
      <c r="F322" s="19"/>
      <c r="G322" s="19"/>
      <c r="H322" s="19"/>
      <c r="I322" s="19"/>
      <c r="J322" s="19"/>
      <c r="K322" s="19"/>
      <c r="L322" s="19"/>
      <c r="M322" s="19"/>
      <c r="N322" s="19"/>
      <c r="O322" s="19"/>
      <c r="P322" s="20"/>
      <c r="Q322" s="20"/>
      <c r="R322" s="22"/>
      <c r="S322" s="22"/>
      <c r="T322" s="20"/>
      <c r="U322" s="20"/>
      <c r="V322" s="20"/>
      <c r="W322" s="19"/>
      <c r="X322" s="19"/>
      <c r="Y322" s="19"/>
      <c r="Z322" s="23"/>
    </row>
    <row r="323" spans="1:26" ht="15.75" customHeight="1" x14ac:dyDescent="0.2">
      <c r="A323" s="34"/>
      <c r="B323" s="34"/>
      <c r="C323" s="34"/>
      <c r="D323" s="34"/>
      <c r="E323" s="19"/>
      <c r="F323" s="19"/>
      <c r="G323" s="19"/>
      <c r="H323" s="19"/>
      <c r="I323" s="19"/>
      <c r="J323" s="19"/>
      <c r="K323" s="19"/>
      <c r="L323" s="19"/>
      <c r="M323" s="19"/>
      <c r="N323" s="19"/>
      <c r="O323" s="19"/>
      <c r="P323" s="20"/>
      <c r="Q323" s="20"/>
      <c r="R323" s="22"/>
      <c r="S323" s="22"/>
      <c r="T323" s="20"/>
      <c r="U323" s="20"/>
      <c r="V323" s="20"/>
      <c r="W323" s="19"/>
      <c r="X323" s="19"/>
      <c r="Y323" s="19"/>
      <c r="Z323" s="23"/>
    </row>
    <row r="324" spans="1:26" ht="15.75" customHeight="1" x14ac:dyDescent="0.2">
      <c r="A324" s="34"/>
      <c r="B324" s="34"/>
      <c r="C324" s="34"/>
      <c r="D324" s="34"/>
      <c r="E324" s="19"/>
      <c r="F324" s="19"/>
      <c r="G324" s="19"/>
      <c r="H324" s="19"/>
      <c r="I324" s="19"/>
      <c r="J324" s="19"/>
      <c r="K324" s="19"/>
      <c r="L324" s="19"/>
      <c r="M324" s="19"/>
      <c r="N324" s="19"/>
      <c r="O324" s="19"/>
      <c r="P324" s="20"/>
      <c r="Q324" s="20"/>
      <c r="R324" s="22"/>
      <c r="S324" s="22"/>
      <c r="T324" s="20"/>
      <c r="U324" s="20"/>
      <c r="V324" s="20"/>
      <c r="W324" s="19"/>
      <c r="X324" s="19"/>
      <c r="Y324" s="19"/>
      <c r="Z324" s="23"/>
    </row>
    <row r="325" spans="1:26" ht="15.75" customHeight="1" x14ac:dyDescent="0.2">
      <c r="A325" s="34"/>
      <c r="B325" s="34"/>
      <c r="C325" s="34"/>
      <c r="D325" s="34"/>
      <c r="E325" s="19"/>
      <c r="F325" s="19"/>
      <c r="G325" s="19"/>
      <c r="H325" s="19"/>
      <c r="I325" s="19"/>
      <c r="J325" s="19"/>
      <c r="K325" s="19"/>
      <c r="L325" s="19"/>
      <c r="M325" s="19"/>
      <c r="N325" s="19"/>
      <c r="O325" s="19"/>
      <c r="P325" s="20"/>
      <c r="Q325" s="20"/>
      <c r="R325" s="22"/>
      <c r="S325" s="22"/>
      <c r="T325" s="20"/>
      <c r="U325" s="20"/>
      <c r="V325" s="20"/>
      <c r="W325" s="19"/>
      <c r="X325" s="19"/>
      <c r="Y325" s="19"/>
      <c r="Z325" s="23"/>
    </row>
    <row r="326" spans="1:26" ht="15.75" customHeight="1" x14ac:dyDescent="0.2">
      <c r="A326" s="34"/>
      <c r="B326" s="34"/>
      <c r="C326" s="34"/>
      <c r="D326" s="34"/>
      <c r="E326" s="19"/>
      <c r="F326" s="19"/>
      <c r="G326" s="19"/>
      <c r="H326" s="19"/>
      <c r="I326" s="19"/>
      <c r="J326" s="19"/>
      <c r="K326" s="19"/>
      <c r="L326" s="19"/>
      <c r="M326" s="19"/>
      <c r="N326" s="19"/>
      <c r="O326" s="19"/>
      <c r="P326" s="20"/>
      <c r="Q326" s="20"/>
      <c r="R326" s="22"/>
      <c r="S326" s="22"/>
      <c r="T326" s="20"/>
      <c r="U326" s="20"/>
      <c r="V326" s="20"/>
      <c r="W326" s="19"/>
      <c r="X326" s="19"/>
      <c r="Y326" s="19"/>
      <c r="Z326" s="23"/>
    </row>
    <row r="327" spans="1:26" ht="15.75" customHeight="1" x14ac:dyDescent="0.2">
      <c r="A327" s="34"/>
      <c r="B327" s="34"/>
      <c r="C327" s="34"/>
      <c r="D327" s="34"/>
      <c r="E327" s="19"/>
      <c r="F327" s="19"/>
      <c r="G327" s="19"/>
      <c r="H327" s="19"/>
      <c r="I327" s="19"/>
      <c r="J327" s="19"/>
      <c r="K327" s="19"/>
      <c r="L327" s="19"/>
      <c r="M327" s="19"/>
      <c r="N327" s="19"/>
      <c r="O327" s="19"/>
      <c r="P327" s="20"/>
      <c r="Q327" s="20"/>
      <c r="R327" s="22"/>
      <c r="S327" s="22"/>
      <c r="T327" s="20"/>
      <c r="U327" s="20"/>
      <c r="V327" s="20"/>
      <c r="W327" s="19"/>
      <c r="X327" s="19"/>
      <c r="Y327" s="19"/>
      <c r="Z327" s="23"/>
    </row>
    <row r="328" spans="1:26" ht="15.75" customHeight="1" x14ac:dyDescent="0.2">
      <c r="A328" s="34"/>
      <c r="B328" s="34"/>
      <c r="C328" s="34"/>
      <c r="D328" s="34"/>
      <c r="E328" s="19"/>
      <c r="F328" s="19"/>
      <c r="G328" s="19"/>
      <c r="H328" s="19"/>
      <c r="I328" s="19"/>
      <c r="J328" s="19"/>
      <c r="K328" s="19"/>
      <c r="L328" s="19"/>
      <c r="M328" s="19"/>
      <c r="N328" s="19"/>
      <c r="O328" s="19"/>
      <c r="P328" s="20"/>
      <c r="Q328" s="20"/>
      <c r="R328" s="22"/>
      <c r="S328" s="22"/>
      <c r="T328" s="20"/>
      <c r="U328" s="20"/>
      <c r="V328" s="20"/>
      <c r="W328" s="19"/>
      <c r="X328" s="19"/>
      <c r="Y328" s="19"/>
      <c r="Z328" s="23"/>
    </row>
    <row r="329" spans="1:26" ht="15.75" customHeight="1" x14ac:dyDescent="0.2">
      <c r="A329" s="34"/>
      <c r="B329" s="34"/>
      <c r="C329" s="34"/>
      <c r="D329" s="34"/>
      <c r="E329" s="19"/>
      <c r="F329" s="19"/>
      <c r="G329" s="19"/>
      <c r="H329" s="19"/>
      <c r="I329" s="19"/>
      <c r="J329" s="19"/>
      <c r="K329" s="19"/>
      <c r="L329" s="19"/>
      <c r="M329" s="19"/>
      <c r="N329" s="19"/>
      <c r="O329" s="19"/>
      <c r="P329" s="20"/>
      <c r="Q329" s="20"/>
      <c r="R329" s="22"/>
      <c r="S329" s="22"/>
      <c r="T329" s="20"/>
      <c r="U329" s="20"/>
      <c r="V329" s="20"/>
      <c r="W329" s="19"/>
      <c r="X329" s="19"/>
      <c r="Y329" s="19"/>
      <c r="Z329" s="23"/>
    </row>
    <row r="330" spans="1:26" ht="15.75" customHeight="1" x14ac:dyDescent="0.2">
      <c r="A330" s="34"/>
      <c r="B330" s="34"/>
      <c r="C330" s="34"/>
      <c r="D330" s="34"/>
      <c r="E330" s="19"/>
      <c r="F330" s="19"/>
      <c r="G330" s="19"/>
      <c r="H330" s="19"/>
      <c r="I330" s="19"/>
      <c r="J330" s="19"/>
      <c r="K330" s="19"/>
      <c r="L330" s="19"/>
      <c r="M330" s="19"/>
      <c r="N330" s="19"/>
      <c r="O330" s="19"/>
      <c r="P330" s="20"/>
      <c r="Q330" s="20"/>
      <c r="R330" s="22"/>
      <c r="S330" s="22"/>
      <c r="T330" s="20"/>
      <c r="U330" s="20"/>
      <c r="V330" s="20"/>
      <c r="W330" s="19"/>
      <c r="X330" s="19"/>
      <c r="Y330" s="19"/>
      <c r="Z330" s="23"/>
    </row>
    <row r="331" spans="1:26" ht="15.75" customHeight="1" x14ac:dyDescent="0.2">
      <c r="A331" s="34"/>
      <c r="B331" s="34"/>
      <c r="C331" s="34"/>
      <c r="D331" s="34"/>
      <c r="E331" s="19"/>
      <c r="F331" s="19"/>
      <c r="G331" s="19"/>
      <c r="H331" s="19"/>
      <c r="I331" s="19"/>
      <c r="J331" s="19"/>
      <c r="K331" s="19"/>
      <c r="L331" s="19"/>
      <c r="M331" s="19"/>
      <c r="N331" s="19"/>
      <c r="O331" s="19"/>
      <c r="P331" s="20"/>
      <c r="Q331" s="20"/>
      <c r="R331" s="22"/>
      <c r="S331" s="22"/>
      <c r="T331" s="20"/>
      <c r="U331" s="20"/>
      <c r="V331" s="20"/>
      <c r="W331" s="19"/>
      <c r="X331" s="19"/>
      <c r="Y331" s="19"/>
      <c r="Z331" s="23"/>
    </row>
    <row r="332" spans="1:26" ht="15.75" customHeight="1" x14ac:dyDescent="0.2">
      <c r="A332" s="34"/>
      <c r="B332" s="34"/>
      <c r="C332" s="34"/>
      <c r="D332" s="34"/>
      <c r="E332" s="19"/>
      <c r="F332" s="19"/>
      <c r="G332" s="19"/>
      <c r="H332" s="19"/>
      <c r="I332" s="19"/>
      <c r="J332" s="19"/>
      <c r="K332" s="19"/>
      <c r="L332" s="19"/>
      <c r="M332" s="19"/>
      <c r="N332" s="19"/>
      <c r="O332" s="19"/>
      <c r="P332" s="20"/>
      <c r="Q332" s="20"/>
      <c r="R332" s="22"/>
      <c r="S332" s="22"/>
      <c r="T332" s="20"/>
      <c r="U332" s="20"/>
      <c r="V332" s="20"/>
      <c r="W332" s="19"/>
      <c r="X332" s="19"/>
      <c r="Y332" s="19"/>
      <c r="Z332" s="23"/>
    </row>
    <row r="333" spans="1:26" ht="15.75" customHeight="1" x14ac:dyDescent="0.2">
      <c r="A333" s="34"/>
      <c r="B333" s="34"/>
      <c r="C333" s="34"/>
      <c r="D333" s="34"/>
      <c r="E333" s="19"/>
      <c r="F333" s="19"/>
      <c r="G333" s="19"/>
      <c r="H333" s="19"/>
      <c r="I333" s="19"/>
      <c r="J333" s="19"/>
      <c r="K333" s="19"/>
      <c r="L333" s="19"/>
      <c r="M333" s="19"/>
      <c r="N333" s="19"/>
      <c r="O333" s="19"/>
      <c r="P333" s="20"/>
      <c r="Q333" s="20"/>
      <c r="R333" s="22"/>
      <c r="S333" s="22"/>
      <c r="T333" s="20"/>
      <c r="U333" s="20"/>
      <c r="V333" s="20"/>
      <c r="W333" s="19"/>
      <c r="X333" s="19"/>
      <c r="Y333" s="19"/>
      <c r="Z333" s="23"/>
    </row>
    <row r="334" spans="1:26" ht="15.75" customHeight="1" x14ac:dyDescent="0.2">
      <c r="A334" s="34"/>
      <c r="B334" s="34"/>
      <c r="C334" s="34"/>
      <c r="D334" s="34"/>
      <c r="E334" s="19"/>
      <c r="F334" s="19"/>
      <c r="G334" s="19"/>
      <c r="H334" s="19"/>
      <c r="I334" s="19"/>
      <c r="J334" s="19"/>
      <c r="K334" s="19"/>
      <c r="L334" s="19"/>
      <c r="M334" s="19"/>
      <c r="N334" s="19"/>
      <c r="O334" s="19"/>
      <c r="P334" s="20"/>
      <c r="Q334" s="20"/>
      <c r="R334" s="22"/>
      <c r="S334" s="22"/>
      <c r="T334" s="20"/>
      <c r="U334" s="20"/>
      <c r="V334" s="20"/>
      <c r="W334" s="19"/>
      <c r="X334" s="19"/>
      <c r="Y334" s="19"/>
      <c r="Z334" s="23"/>
    </row>
    <row r="335" spans="1:26" ht="15.75" customHeight="1" x14ac:dyDescent="0.2">
      <c r="A335" s="34"/>
      <c r="B335" s="34"/>
      <c r="C335" s="34"/>
      <c r="D335" s="34"/>
      <c r="E335" s="19"/>
      <c r="F335" s="19"/>
      <c r="G335" s="19"/>
      <c r="H335" s="19"/>
      <c r="I335" s="19"/>
      <c r="J335" s="19"/>
      <c r="K335" s="19"/>
      <c r="L335" s="19"/>
      <c r="M335" s="19"/>
      <c r="N335" s="19"/>
      <c r="O335" s="19"/>
      <c r="P335" s="20"/>
      <c r="Q335" s="20"/>
      <c r="R335" s="22"/>
      <c r="S335" s="22"/>
      <c r="T335" s="20"/>
      <c r="U335" s="20"/>
      <c r="V335" s="20"/>
      <c r="W335" s="19"/>
      <c r="X335" s="19"/>
      <c r="Y335" s="19"/>
      <c r="Z335" s="23"/>
    </row>
    <row r="336" spans="1:26" ht="15.75" customHeight="1" x14ac:dyDescent="0.2">
      <c r="A336" s="34"/>
      <c r="B336" s="34"/>
      <c r="C336" s="34"/>
      <c r="D336" s="34"/>
      <c r="E336" s="19"/>
      <c r="F336" s="19"/>
      <c r="G336" s="19"/>
      <c r="H336" s="19"/>
      <c r="I336" s="19"/>
      <c r="J336" s="19"/>
      <c r="K336" s="19"/>
      <c r="L336" s="19"/>
      <c r="M336" s="19"/>
      <c r="N336" s="19"/>
      <c r="O336" s="19"/>
      <c r="P336" s="20"/>
      <c r="Q336" s="20"/>
      <c r="R336" s="22"/>
      <c r="S336" s="22"/>
      <c r="T336" s="20"/>
      <c r="U336" s="20"/>
      <c r="V336" s="20"/>
      <c r="W336" s="19"/>
      <c r="X336" s="19"/>
      <c r="Y336" s="19"/>
      <c r="Z336" s="23"/>
    </row>
    <row r="337" spans="1:26" ht="15.75" customHeight="1" x14ac:dyDescent="0.2">
      <c r="A337" s="34"/>
      <c r="B337" s="34"/>
      <c r="C337" s="34"/>
      <c r="D337" s="34"/>
      <c r="E337" s="19"/>
      <c r="F337" s="19"/>
      <c r="G337" s="19"/>
      <c r="H337" s="19"/>
      <c r="I337" s="19"/>
      <c r="J337" s="19"/>
      <c r="K337" s="19"/>
      <c r="L337" s="19"/>
      <c r="M337" s="19"/>
      <c r="N337" s="19"/>
      <c r="O337" s="19"/>
      <c r="P337" s="20"/>
      <c r="Q337" s="20"/>
      <c r="R337" s="22"/>
      <c r="S337" s="22"/>
      <c r="T337" s="20"/>
      <c r="U337" s="20"/>
      <c r="V337" s="20"/>
      <c r="W337" s="19"/>
      <c r="X337" s="19"/>
      <c r="Y337" s="19"/>
      <c r="Z337" s="23"/>
    </row>
    <row r="338" spans="1:26" ht="15.75" customHeight="1" x14ac:dyDescent="0.2">
      <c r="A338" s="34"/>
      <c r="B338" s="34"/>
      <c r="C338" s="34"/>
      <c r="D338" s="34"/>
      <c r="E338" s="19"/>
      <c r="F338" s="19"/>
      <c r="G338" s="19"/>
      <c r="H338" s="19"/>
      <c r="I338" s="19"/>
      <c r="J338" s="19"/>
      <c r="K338" s="19"/>
      <c r="L338" s="19"/>
      <c r="M338" s="19"/>
      <c r="N338" s="19"/>
      <c r="O338" s="19"/>
      <c r="P338" s="20"/>
      <c r="Q338" s="20"/>
      <c r="R338" s="22"/>
      <c r="S338" s="22"/>
      <c r="T338" s="20"/>
      <c r="U338" s="20"/>
      <c r="V338" s="20"/>
      <c r="W338" s="19"/>
      <c r="X338" s="19"/>
      <c r="Y338" s="19"/>
      <c r="Z338" s="23"/>
    </row>
    <row r="339" spans="1:26" ht="15.75" customHeight="1" x14ac:dyDescent="0.2">
      <c r="A339" s="34"/>
      <c r="B339" s="34"/>
      <c r="C339" s="34"/>
      <c r="D339" s="34"/>
      <c r="E339" s="19"/>
      <c r="F339" s="19"/>
      <c r="G339" s="19"/>
      <c r="H339" s="19"/>
      <c r="I339" s="19"/>
      <c r="J339" s="19"/>
      <c r="K339" s="19"/>
      <c r="L339" s="19"/>
      <c r="M339" s="19"/>
      <c r="N339" s="19"/>
      <c r="O339" s="19"/>
      <c r="P339" s="20"/>
      <c r="Q339" s="20"/>
      <c r="R339" s="22"/>
      <c r="S339" s="22"/>
      <c r="T339" s="20"/>
      <c r="U339" s="20"/>
      <c r="V339" s="20"/>
      <c r="W339" s="19"/>
      <c r="X339" s="19"/>
      <c r="Y339" s="19"/>
      <c r="Z339" s="23"/>
    </row>
    <row r="340" spans="1:26" ht="15.75" customHeight="1" x14ac:dyDescent="0.2">
      <c r="A340" s="34"/>
      <c r="B340" s="34"/>
      <c r="C340" s="34"/>
      <c r="D340" s="34"/>
      <c r="E340" s="19"/>
      <c r="F340" s="19"/>
      <c r="G340" s="19"/>
      <c r="H340" s="19"/>
      <c r="I340" s="19"/>
      <c r="J340" s="19"/>
      <c r="K340" s="19"/>
      <c r="L340" s="19"/>
      <c r="M340" s="19"/>
      <c r="N340" s="19"/>
      <c r="O340" s="19"/>
      <c r="P340" s="20"/>
      <c r="Q340" s="20"/>
      <c r="R340" s="22"/>
      <c r="S340" s="22"/>
      <c r="T340" s="20"/>
      <c r="U340" s="20"/>
      <c r="V340" s="20"/>
      <c r="W340" s="19"/>
      <c r="X340" s="19"/>
      <c r="Y340" s="19"/>
      <c r="Z340" s="23"/>
    </row>
    <row r="341" spans="1:26" ht="15.75" customHeight="1" x14ac:dyDescent="0.2">
      <c r="A341" s="34"/>
      <c r="B341" s="34"/>
      <c r="C341" s="34"/>
      <c r="D341" s="34"/>
      <c r="E341" s="19"/>
      <c r="F341" s="19"/>
      <c r="G341" s="19"/>
      <c r="H341" s="19"/>
      <c r="I341" s="19"/>
      <c r="J341" s="19"/>
      <c r="K341" s="19"/>
      <c r="L341" s="19"/>
      <c r="M341" s="19"/>
      <c r="N341" s="19"/>
      <c r="O341" s="19"/>
      <c r="P341" s="20"/>
      <c r="Q341" s="20"/>
      <c r="R341" s="22"/>
      <c r="S341" s="22"/>
      <c r="T341" s="20"/>
      <c r="U341" s="20"/>
      <c r="V341" s="20"/>
      <c r="W341" s="19"/>
      <c r="X341" s="19"/>
      <c r="Y341" s="19"/>
      <c r="Z341" s="23"/>
    </row>
    <row r="342" spans="1:26" ht="15.75" customHeight="1" x14ac:dyDescent="0.2">
      <c r="A342" s="34"/>
      <c r="B342" s="34"/>
      <c r="C342" s="34"/>
      <c r="D342" s="34"/>
      <c r="E342" s="19"/>
      <c r="F342" s="19"/>
      <c r="G342" s="19"/>
      <c r="H342" s="19"/>
      <c r="I342" s="19"/>
      <c r="J342" s="19"/>
      <c r="K342" s="19"/>
      <c r="L342" s="19"/>
      <c r="M342" s="19"/>
      <c r="N342" s="19"/>
      <c r="O342" s="19"/>
      <c r="P342" s="20"/>
      <c r="Q342" s="20"/>
      <c r="R342" s="22"/>
      <c r="S342" s="22"/>
      <c r="T342" s="20"/>
      <c r="U342" s="20"/>
      <c r="V342" s="20"/>
      <c r="W342" s="19"/>
      <c r="X342" s="19"/>
      <c r="Y342" s="19"/>
      <c r="Z342" s="23"/>
    </row>
    <row r="343" spans="1:26" ht="15.75" customHeight="1" x14ac:dyDescent="0.2">
      <c r="A343" s="34"/>
      <c r="B343" s="34"/>
      <c r="C343" s="34"/>
      <c r="D343" s="34"/>
      <c r="E343" s="19"/>
      <c r="F343" s="19"/>
      <c r="G343" s="19"/>
      <c r="H343" s="19"/>
      <c r="I343" s="19"/>
      <c r="J343" s="19"/>
      <c r="K343" s="19"/>
      <c r="L343" s="19"/>
      <c r="M343" s="19"/>
      <c r="N343" s="19"/>
      <c r="O343" s="19"/>
      <c r="P343" s="20"/>
      <c r="Q343" s="20"/>
      <c r="R343" s="22"/>
      <c r="S343" s="22"/>
      <c r="T343" s="20"/>
      <c r="U343" s="20"/>
      <c r="V343" s="20"/>
      <c r="W343" s="19"/>
      <c r="X343" s="19"/>
      <c r="Y343" s="19"/>
      <c r="Z343" s="23"/>
    </row>
    <row r="344" spans="1:26" ht="15.75" customHeight="1" x14ac:dyDescent="0.2">
      <c r="A344" s="34"/>
      <c r="B344" s="34"/>
      <c r="C344" s="34"/>
      <c r="D344" s="34"/>
      <c r="E344" s="19"/>
      <c r="F344" s="19"/>
      <c r="G344" s="19"/>
      <c r="H344" s="19"/>
      <c r="I344" s="19"/>
      <c r="J344" s="19"/>
      <c r="K344" s="19"/>
      <c r="L344" s="19"/>
      <c r="M344" s="19"/>
      <c r="N344" s="19"/>
      <c r="O344" s="19"/>
      <c r="P344" s="20"/>
      <c r="Q344" s="20"/>
      <c r="R344" s="22"/>
      <c r="S344" s="22"/>
      <c r="T344" s="20"/>
      <c r="U344" s="20"/>
      <c r="V344" s="20"/>
      <c r="W344" s="19"/>
      <c r="X344" s="19"/>
      <c r="Y344" s="19"/>
      <c r="Z344" s="23"/>
    </row>
    <row r="345" spans="1:26" ht="15.75" customHeight="1" x14ac:dyDescent="0.2">
      <c r="A345" s="34"/>
      <c r="B345" s="34"/>
      <c r="C345" s="34"/>
      <c r="D345" s="34"/>
      <c r="E345" s="19"/>
      <c r="F345" s="19"/>
      <c r="G345" s="19"/>
      <c r="H345" s="19"/>
      <c r="I345" s="19"/>
      <c r="J345" s="19"/>
      <c r="K345" s="19"/>
      <c r="L345" s="19"/>
      <c r="M345" s="19"/>
      <c r="N345" s="19"/>
      <c r="O345" s="19"/>
      <c r="P345" s="20"/>
      <c r="Q345" s="20"/>
      <c r="R345" s="22"/>
      <c r="S345" s="22"/>
      <c r="T345" s="20"/>
      <c r="U345" s="20"/>
      <c r="V345" s="20"/>
      <c r="W345" s="19"/>
      <c r="X345" s="19"/>
      <c r="Y345" s="19"/>
      <c r="Z345" s="23"/>
    </row>
    <row r="346" spans="1:26" ht="15.75" customHeight="1" x14ac:dyDescent="0.2">
      <c r="A346" s="34"/>
      <c r="B346" s="34"/>
      <c r="C346" s="34"/>
      <c r="D346" s="34"/>
      <c r="E346" s="19"/>
      <c r="F346" s="19"/>
      <c r="G346" s="19"/>
      <c r="H346" s="19"/>
      <c r="I346" s="19"/>
      <c r="J346" s="19"/>
      <c r="K346" s="19"/>
      <c r="L346" s="19"/>
      <c r="M346" s="19"/>
      <c r="N346" s="19"/>
      <c r="O346" s="19"/>
      <c r="P346" s="20"/>
      <c r="Q346" s="20"/>
      <c r="R346" s="22"/>
      <c r="S346" s="22"/>
      <c r="T346" s="20"/>
      <c r="U346" s="20"/>
      <c r="V346" s="20"/>
      <c r="W346" s="19"/>
      <c r="X346" s="19"/>
      <c r="Y346" s="19"/>
      <c r="Z346" s="23"/>
    </row>
    <row r="347" spans="1:26" ht="15.75" customHeight="1" x14ac:dyDescent="0.2">
      <c r="A347" s="34"/>
      <c r="B347" s="34"/>
      <c r="C347" s="34"/>
      <c r="D347" s="34"/>
      <c r="E347" s="19"/>
      <c r="F347" s="19"/>
      <c r="G347" s="19"/>
      <c r="H347" s="19"/>
      <c r="I347" s="19"/>
      <c r="J347" s="19"/>
      <c r="K347" s="19"/>
      <c r="L347" s="19"/>
      <c r="M347" s="19"/>
      <c r="N347" s="19"/>
      <c r="O347" s="19"/>
      <c r="P347" s="20"/>
      <c r="Q347" s="20"/>
      <c r="R347" s="22"/>
      <c r="S347" s="22"/>
      <c r="T347" s="20"/>
      <c r="U347" s="20"/>
      <c r="V347" s="20"/>
      <c r="W347" s="19"/>
      <c r="X347" s="19"/>
      <c r="Y347" s="19"/>
      <c r="Z347" s="23"/>
    </row>
    <row r="348" spans="1:26" ht="15.75" customHeight="1" x14ac:dyDescent="0.2">
      <c r="A348" s="34"/>
      <c r="B348" s="34"/>
      <c r="C348" s="34"/>
      <c r="D348" s="34"/>
      <c r="E348" s="19"/>
      <c r="F348" s="19"/>
      <c r="G348" s="19"/>
      <c r="H348" s="19"/>
      <c r="I348" s="19"/>
      <c r="J348" s="19"/>
      <c r="K348" s="19"/>
      <c r="L348" s="19"/>
      <c r="M348" s="19"/>
      <c r="N348" s="19"/>
      <c r="O348" s="19"/>
      <c r="P348" s="20"/>
      <c r="Q348" s="20"/>
      <c r="R348" s="22"/>
      <c r="S348" s="22"/>
      <c r="T348" s="20"/>
      <c r="U348" s="20"/>
      <c r="V348" s="20"/>
      <c r="W348" s="19"/>
      <c r="X348" s="19"/>
      <c r="Y348" s="19"/>
      <c r="Z348" s="23"/>
    </row>
    <row r="349" spans="1:26" ht="15.75" customHeight="1" x14ac:dyDescent="0.2">
      <c r="A349" s="34"/>
      <c r="B349" s="34"/>
      <c r="C349" s="34"/>
      <c r="D349" s="34"/>
      <c r="E349" s="19"/>
      <c r="F349" s="19"/>
      <c r="G349" s="19"/>
      <c r="H349" s="19"/>
      <c r="I349" s="19"/>
      <c r="J349" s="19"/>
      <c r="K349" s="19"/>
      <c r="L349" s="19"/>
      <c r="M349" s="19"/>
      <c r="N349" s="19"/>
      <c r="O349" s="19"/>
      <c r="P349" s="20"/>
      <c r="Q349" s="20"/>
      <c r="R349" s="22"/>
      <c r="S349" s="22"/>
      <c r="T349" s="20"/>
      <c r="U349" s="20"/>
      <c r="V349" s="20"/>
      <c r="W349" s="19"/>
      <c r="X349" s="19"/>
      <c r="Y349" s="19"/>
      <c r="Z349" s="23"/>
    </row>
    <row r="350" spans="1:26" ht="15.75" customHeight="1" x14ac:dyDescent="0.2">
      <c r="A350" s="34"/>
      <c r="B350" s="34"/>
      <c r="C350" s="34"/>
      <c r="D350" s="34"/>
      <c r="E350" s="19"/>
      <c r="F350" s="19"/>
      <c r="G350" s="19"/>
      <c r="H350" s="19"/>
      <c r="I350" s="19"/>
      <c r="J350" s="19"/>
      <c r="K350" s="19"/>
      <c r="L350" s="19"/>
      <c r="M350" s="19"/>
      <c r="N350" s="19"/>
      <c r="O350" s="19"/>
      <c r="P350" s="20"/>
      <c r="Q350" s="20"/>
      <c r="R350" s="22"/>
      <c r="S350" s="22"/>
      <c r="T350" s="20"/>
      <c r="U350" s="20"/>
      <c r="V350" s="20"/>
      <c r="W350" s="19"/>
      <c r="X350" s="19"/>
      <c r="Y350" s="19"/>
      <c r="Z350" s="23"/>
    </row>
    <row r="351" spans="1:26" ht="15.75" customHeight="1" x14ac:dyDescent="0.2">
      <c r="A351" s="34"/>
      <c r="B351" s="34"/>
      <c r="C351" s="34"/>
      <c r="D351" s="34"/>
      <c r="E351" s="19"/>
      <c r="F351" s="19"/>
      <c r="G351" s="19"/>
      <c r="H351" s="19"/>
      <c r="I351" s="19"/>
      <c r="J351" s="19"/>
      <c r="K351" s="19"/>
      <c r="L351" s="19"/>
      <c r="M351" s="19"/>
      <c r="N351" s="19"/>
      <c r="O351" s="19"/>
      <c r="P351" s="20"/>
      <c r="Q351" s="20"/>
      <c r="R351" s="22"/>
      <c r="S351" s="22"/>
      <c r="T351" s="20"/>
      <c r="U351" s="20"/>
      <c r="V351" s="20"/>
      <c r="W351" s="19"/>
      <c r="X351" s="19"/>
      <c r="Y351" s="19"/>
      <c r="Z351" s="23"/>
    </row>
    <row r="352" spans="1:26" ht="15.75" customHeight="1" x14ac:dyDescent="0.2">
      <c r="A352" s="34"/>
      <c r="B352" s="34"/>
      <c r="C352" s="34"/>
      <c r="D352" s="34"/>
      <c r="E352" s="19"/>
      <c r="F352" s="19"/>
      <c r="G352" s="19"/>
      <c r="H352" s="19"/>
      <c r="I352" s="19"/>
      <c r="J352" s="19"/>
      <c r="K352" s="19"/>
      <c r="L352" s="19"/>
      <c r="M352" s="19"/>
      <c r="N352" s="19"/>
      <c r="O352" s="19"/>
      <c r="P352" s="20"/>
      <c r="Q352" s="20"/>
      <c r="R352" s="22"/>
      <c r="S352" s="22"/>
      <c r="T352" s="20"/>
      <c r="U352" s="20"/>
      <c r="V352" s="20"/>
      <c r="W352" s="19"/>
      <c r="X352" s="19"/>
      <c r="Y352" s="19"/>
      <c r="Z352" s="23"/>
    </row>
    <row r="353" spans="1:26" ht="15.75" customHeight="1" x14ac:dyDescent="0.2">
      <c r="A353" s="34"/>
      <c r="B353" s="34"/>
      <c r="C353" s="34"/>
      <c r="D353" s="34"/>
      <c r="E353" s="19"/>
      <c r="F353" s="19"/>
      <c r="G353" s="19"/>
      <c r="H353" s="19"/>
      <c r="I353" s="19"/>
      <c r="J353" s="19"/>
      <c r="K353" s="19"/>
      <c r="L353" s="19"/>
      <c r="M353" s="19"/>
      <c r="N353" s="19"/>
      <c r="O353" s="19"/>
      <c r="P353" s="20"/>
      <c r="Q353" s="20"/>
      <c r="R353" s="22"/>
      <c r="S353" s="22"/>
      <c r="T353" s="20"/>
      <c r="U353" s="20"/>
      <c r="V353" s="20"/>
      <c r="W353" s="19"/>
      <c r="X353" s="19"/>
      <c r="Y353" s="19"/>
      <c r="Z353" s="23"/>
    </row>
    <row r="354" spans="1:26" ht="15.75" customHeight="1" x14ac:dyDescent="0.2">
      <c r="A354" s="34"/>
      <c r="B354" s="34"/>
      <c r="C354" s="34"/>
      <c r="D354" s="34"/>
      <c r="E354" s="19"/>
      <c r="F354" s="19"/>
      <c r="G354" s="19"/>
      <c r="H354" s="19"/>
      <c r="I354" s="19"/>
      <c r="J354" s="19"/>
      <c r="K354" s="19"/>
      <c r="L354" s="19"/>
      <c r="M354" s="19"/>
      <c r="N354" s="19"/>
      <c r="O354" s="19"/>
      <c r="P354" s="20"/>
      <c r="Q354" s="20"/>
      <c r="R354" s="22"/>
      <c r="S354" s="22"/>
      <c r="T354" s="20"/>
      <c r="U354" s="20"/>
      <c r="V354" s="20"/>
      <c r="W354" s="19"/>
      <c r="X354" s="19"/>
      <c r="Y354" s="19"/>
      <c r="Z354" s="23"/>
    </row>
    <row r="355" spans="1:26" ht="15.75" customHeight="1" x14ac:dyDescent="0.2">
      <c r="A355" s="34"/>
      <c r="B355" s="34"/>
      <c r="C355" s="34"/>
      <c r="D355" s="34"/>
      <c r="E355" s="19"/>
      <c r="F355" s="19"/>
      <c r="G355" s="19"/>
      <c r="H355" s="19"/>
      <c r="I355" s="19"/>
      <c r="J355" s="19"/>
      <c r="K355" s="19"/>
      <c r="L355" s="19"/>
      <c r="M355" s="19"/>
      <c r="N355" s="19"/>
      <c r="O355" s="19"/>
      <c r="P355" s="20"/>
      <c r="Q355" s="20"/>
      <c r="R355" s="22"/>
      <c r="S355" s="22"/>
      <c r="T355" s="20"/>
      <c r="U355" s="20"/>
      <c r="V355" s="20"/>
      <c r="W355" s="19"/>
      <c r="X355" s="19"/>
      <c r="Y355" s="19"/>
      <c r="Z355" s="23"/>
    </row>
    <row r="356" spans="1:26" ht="15.75" customHeight="1" x14ac:dyDescent="0.2">
      <c r="A356" s="34"/>
      <c r="B356" s="34"/>
      <c r="C356" s="34"/>
      <c r="D356" s="34"/>
      <c r="E356" s="19"/>
      <c r="F356" s="19"/>
      <c r="G356" s="19"/>
      <c r="H356" s="19"/>
      <c r="I356" s="19"/>
      <c r="J356" s="19"/>
      <c r="K356" s="19"/>
      <c r="L356" s="19"/>
      <c r="M356" s="19"/>
      <c r="N356" s="19"/>
      <c r="O356" s="19"/>
      <c r="P356" s="20"/>
      <c r="Q356" s="20"/>
      <c r="R356" s="22"/>
      <c r="S356" s="22"/>
      <c r="T356" s="20"/>
      <c r="U356" s="20"/>
      <c r="V356" s="20"/>
      <c r="W356" s="19"/>
      <c r="X356" s="19"/>
      <c r="Y356" s="19"/>
      <c r="Z356" s="23"/>
    </row>
    <row r="357" spans="1:26" ht="15.75" customHeight="1" x14ac:dyDescent="0.2">
      <c r="A357" s="34"/>
      <c r="B357" s="34"/>
      <c r="C357" s="34"/>
      <c r="D357" s="34"/>
      <c r="E357" s="19"/>
      <c r="F357" s="19"/>
      <c r="G357" s="19"/>
      <c r="H357" s="19"/>
      <c r="I357" s="19"/>
      <c r="J357" s="19"/>
      <c r="K357" s="19"/>
      <c r="L357" s="19"/>
      <c r="M357" s="19"/>
      <c r="N357" s="19"/>
      <c r="O357" s="19"/>
      <c r="P357" s="20"/>
      <c r="Q357" s="20"/>
      <c r="R357" s="22"/>
      <c r="S357" s="22"/>
      <c r="T357" s="20"/>
      <c r="U357" s="20"/>
      <c r="V357" s="20"/>
      <c r="W357" s="19"/>
      <c r="X357" s="19"/>
      <c r="Y357" s="19"/>
      <c r="Z357" s="23"/>
    </row>
    <row r="358" spans="1:26" ht="15.75" customHeight="1" x14ac:dyDescent="0.2">
      <c r="A358" s="34"/>
      <c r="B358" s="34"/>
      <c r="C358" s="34"/>
      <c r="D358" s="34"/>
      <c r="E358" s="19"/>
      <c r="F358" s="19"/>
      <c r="G358" s="19"/>
      <c r="H358" s="19"/>
      <c r="I358" s="19"/>
      <c r="J358" s="19"/>
      <c r="K358" s="19"/>
      <c r="L358" s="19"/>
      <c r="M358" s="19"/>
      <c r="N358" s="19"/>
      <c r="O358" s="19"/>
      <c r="P358" s="20"/>
      <c r="Q358" s="20"/>
      <c r="R358" s="22"/>
      <c r="S358" s="22"/>
      <c r="T358" s="20"/>
      <c r="U358" s="20"/>
      <c r="V358" s="20"/>
      <c r="W358" s="19"/>
      <c r="X358" s="19"/>
      <c r="Y358" s="19"/>
      <c r="Z358" s="23"/>
    </row>
    <row r="359" spans="1:26" ht="15.75" customHeight="1" x14ac:dyDescent="0.2">
      <c r="A359" s="34"/>
      <c r="B359" s="34"/>
      <c r="C359" s="34"/>
      <c r="D359" s="34"/>
      <c r="E359" s="19"/>
      <c r="F359" s="19"/>
      <c r="G359" s="19"/>
      <c r="H359" s="19"/>
      <c r="I359" s="19"/>
      <c r="J359" s="19"/>
      <c r="K359" s="19"/>
      <c r="L359" s="19"/>
      <c r="M359" s="19"/>
      <c r="N359" s="19"/>
      <c r="O359" s="19"/>
      <c r="P359" s="20"/>
      <c r="Q359" s="20"/>
      <c r="R359" s="22"/>
      <c r="S359" s="22"/>
      <c r="T359" s="20"/>
      <c r="U359" s="20"/>
      <c r="V359" s="20"/>
      <c r="W359" s="19"/>
      <c r="X359" s="19"/>
      <c r="Y359" s="19"/>
      <c r="Z359" s="23"/>
    </row>
    <row r="360" spans="1:26" ht="15.75" customHeight="1" x14ac:dyDescent="0.2">
      <c r="A360" s="34"/>
      <c r="B360" s="34"/>
      <c r="C360" s="34"/>
      <c r="D360" s="34"/>
      <c r="E360" s="19"/>
      <c r="F360" s="19"/>
      <c r="G360" s="19"/>
      <c r="H360" s="19"/>
      <c r="I360" s="19"/>
      <c r="J360" s="19"/>
      <c r="K360" s="19"/>
      <c r="L360" s="19"/>
      <c r="M360" s="19"/>
      <c r="N360" s="19"/>
      <c r="O360" s="19"/>
      <c r="P360" s="20"/>
      <c r="Q360" s="20"/>
      <c r="R360" s="22"/>
      <c r="S360" s="22"/>
      <c r="T360" s="20"/>
      <c r="U360" s="20"/>
      <c r="V360" s="20"/>
      <c r="W360" s="19"/>
      <c r="X360" s="19"/>
      <c r="Y360" s="19"/>
      <c r="Z360" s="23"/>
    </row>
    <row r="361" spans="1:26" ht="15.75" customHeight="1" x14ac:dyDescent="0.2">
      <c r="A361" s="34"/>
      <c r="B361" s="34"/>
      <c r="C361" s="34"/>
      <c r="D361" s="34"/>
      <c r="E361" s="19"/>
      <c r="F361" s="19"/>
      <c r="G361" s="19"/>
      <c r="H361" s="19"/>
      <c r="I361" s="19"/>
      <c r="J361" s="19"/>
      <c r="K361" s="19"/>
      <c r="L361" s="19"/>
      <c r="M361" s="19"/>
      <c r="N361" s="19"/>
      <c r="O361" s="19"/>
      <c r="P361" s="20"/>
      <c r="Q361" s="20"/>
      <c r="R361" s="22"/>
      <c r="S361" s="22"/>
      <c r="T361" s="20"/>
      <c r="U361" s="20"/>
      <c r="V361" s="20"/>
      <c r="W361" s="19"/>
      <c r="X361" s="19"/>
      <c r="Y361" s="19"/>
      <c r="Z361" s="23"/>
    </row>
    <row r="362" spans="1:26" ht="15.75" customHeight="1" x14ac:dyDescent="0.2">
      <c r="A362" s="34"/>
      <c r="B362" s="34"/>
      <c r="C362" s="34"/>
      <c r="D362" s="34"/>
      <c r="E362" s="19"/>
      <c r="F362" s="19"/>
      <c r="G362" s="19"/>
      <c r="H362" s="19"/>
      <c r="I362" s="19"/>
      <c r="J362" s="19"/>
      <c r="K362" s="19"/>
      <c r="L362" s="19"/>
      <c r="M362" s="19"/>
      <c r="N362" s="19"/>
      <c r="O362" s="19"/>
      <c r="P362" s="20"/>
      <c r="Q362" s="20"/>
      <c r="R362" s="22"/>
      <c r="S362" s="22"/>
      <c r="T362" s="20"/>
      <c r="U362" s="20"/>
      <c r="V362" s="20"/>
      <c r="W362" s="19"/>
      <c r="X362" s="19"/>
      <c r="Y362" s="19"/>
      <c r="Z362" s="23"/>
    </row>
    <row r="363" spans="1:26" ht="15.75" customHeight="1" x14ac:dyDescent="0.2">
      <c r="A363" s="34"/>
      <c r="B363" s="34"/>
      <c r="C363" s="34"/>
      <c r="D363" s="34"/>
      <c r="E363" s="19"/>
      <c r="F363" s="19"/>
      <c r="G363" s="19"/>
      <c r="H363" s="19"/>
      <c r="I363" s="19"/>
      <c r="J363" s="19"/>
      <c r="K363" s="19"/>
      <c r="L363" s="19"/>
      <c r="M363" s="19"/>
      <c r="N363" s="19"/>
      <c r="O363" s="19"/>
      <c r="P363" s="20"/>
      <c r="Q363" s="20"/>
      <c r="R363" s="22"/>
      <c r="S363" s="22"/>
      <c r="T363" s="20"/>
      <c r="U363" s="20"/>
      <c r="V363" s="20"/>
      <c r="W363" s="19"/>
      <c r="X363" s="19"/>
      <c r="Y363" s="19"/>
      <c r="Z363" s="23"/>
    </row>
    <row r="364" spans="1:26" ht="15.75" customHeight="1" x14ac:dyDescent="0.2">
      <c r="A364" s="34"/>
      <c r="B364" s="34"/>
      <c r="C364" s="34"/>
      <c r="D364" s="34"/>
      <c r="E364" s="19"/>
      <c r="F364" s="19"/>
      <c r="G364" s="19"/>
      <c r="H364" s="19"/>
      <c r="I364" s="19"/>
      <c r="J364" s="19"/>
      <c r="K364" s="19"/>
      <c r="L364" s="19"/>
      <c r="M364" s="19"/>
      <c r="N364" s="19"/>
      <c r="O364" s="19"/>
      <c r="P364" s="20"/>
      <c r="Q364" s="20"/>
      <c r="R364" s="22"/>
      <c r="S364" s="22"/>
      <c r="T364" s="20"/>
      <c r="U364" s="20"/>
      <c r="V364" s="20"/>
      <c r="W364" s="19"/>
      <c r="X364" s="19"/>
      <c r="Y364" s="19"/>
      <c r="Z364" s="23"/>
    </row>
    <row r="365" spans="1:26" ht="15.75" customHeight="1" x14ac:dyDescent="0.2">
      <c r="A365" s="34"/>
      <c r="B365" s="34"/>
      <c r="C365" s="34"/>
      <c r="D365" s="34"/>
      <c r="E365" s="19"/>
      <c r="F365" s="19"/>
      <c r="G365" s="19"/>
      <c r="H365" s="19"/>
      <c r="I365" s="19"/>
      <c r="J365" s="19"/>
      <c r="K365" s="19"/>
      <c r="L365" s="19"/>
      <c r="M365" s="19"/>
      <c r="N365" s="19"/>
      <c r="O365" s="19"/>
      <c r="P365" s="20"/>
      <c r="Q365" s="20"/>
      <c r="R365" s="22"/>
      <c r="S365" s="22"/>
      <c r="T365" s="20"/>
      <c r="U365" s="20"/>
      <c r="V365" s="20"/>
      <c r="W365" s="19"/>
      <c r="X365" s="19"/>
      <c r="Y365" s="19"/>
      <c r="Z365" s="23"/>
    </row>
    <row r="366" spans="1:26" ht="15.75" customHeight="1" x14ac:dyDescent="0.2">
      <c r="A366" s="34"/>
      <c r="B366" s="34"/>
      <c r="C366" s="34"/>
      <c r="D366" s="34"/>
      <c r="E366" s="19"/>
      <c r="F366" s="19"/>
      <c r="G366" s="19"/>
      <c r="H366" s="19"/>
      <c r="I366" s="19"/>
      <c r="J366" s="19"/>
      <c r="K366" s="19"/>
      <c r="L366" s="19"/>
      <c r="M366" s="19"/>
      <c r="N366" s="19"/>
      <c r="O366" s="19"/>
      <c r="P366" s="20"/>
      <c r="Q366" s="20"/>
      <c r="R366" s="22"/>
      <c r="S366" s="22"/>
      <c r="T366" s="20"/>
      <c r="U366" s="20"/>
      <c r="V366" s="20"/>
      <c r="W366" s="19"/>
      <c r="X366" s="19"/>
      <c r="Y366" s="19"/>
      <c r="Z366" s="23"/>
    </row>
    <row r="367" spans="1:26" ht="15.75" customHeight="1" x14ac:dyDescent="0.2">
      <c r="A367" s="34"/>
      <c r="B367" s="34"/>
      <c r="C367" s="34"/>
      <c r="D367" s="34"/>
      <c r="E367" s="19"/>
      <c r="F367" s="19"/>
      <c r="G367" s="19"/>
      <c r="H367" s="19"/>
      <c r="I367" s="19"/>
      <c r="J367" s="19"/>
      <c r="K367" s="19"/>
      <c r="L367" s="19"/>
      <c r="M367" s="19"/>
      <c r="N367" s="19"/>
      <c r="O367" s="19"/>
      <c r="P367" s="20"/>
      <c r="Q367" s="20"/>
      <c r="R367" s="22"/>
      <c r="S367" s="22"/>
      <c r="T367" s="20"/>
      <c r="U367" s="20"/>
      <c r="V367" s="20"/>
      <c r="W367" s="19"/>
      <c r="X367" s="19"/>
      <c r="Y367" s="19"/>
      <c r="Z367" s="23"/>
    </row>
    <row r="368" spans="1:26" ht="15.75" customHeight="1" x14ac:dyDescent="0.2">
      <c r="A368" s="34"/>
      <c r="B368" s="34"/>
      <c r="C368" s="34"/>
      <c r="D368" s="34"/>
      <c r="E368" s="19"/>
      <c r="F368" s="19"/>
      <c r="G368" s="19"/>
      <c r="H368" s="19"/>
      <c r="I368" s="19"/>
      <c r="J368" s="19"/>
      <c r="K368" s="19"/>
      <c r="L368" s="19"/>
      <c r="M368" s="19"/>
      <c r="N368" s="19"/>
      <c r="O368" s="19"/>
      <c r="P368" s="20"/>
      <c r="Q368" s="20"/>
      <c r="R368" s="22"/>
      <c r="S368" s="22"/>
      <c r="T368" s="20"/>
      <c r="U368" s="20"/>
      <c r="V368" s="20"/>
      <c r="W368" s="19"/>
      <c r="X368" s="19"/>
      <c r="Y368" s="19"/>
      <c r="Z368" s="23"/>
    </row>
    <row r="369" spans="1:26" ht="15.75" customHeight="1" x14ac:dyDescent="0.2">
      <c r="A369" s="34"/>
      <c r="B369" s="34"/>
      <c r="C369" s="34"/>
      <c r="D369" s="34"/>
      <c r="E369" s="19"/>
      <c r="F369" s="19"/>
      <c r="G369" s="19"/>
      <c r="H369" s="19"/>
      <c r="I369" s="19"/>
      <c r="J369" s="19"/>
      <c r="K369" s="19"/>
      <c r="L369" s="19"/>
      <c r="M369" s="19"/>
      <c r="N369" s="19"/>
      <c r="O369" s="19"/>
      <c r="P369" s="20"/>
      <c r="Q369" s="20"/>
      <c r="R369" s="22"/>
      <c r="S369" s="22"/>
      <c r="T369" s="20"/>
      <c r="U369" s="20"/>
      <c r="V369" s="20"/>
      <c r="W369" s="19"/>
      <c r="X369" s="19"/>
      <c r="Y369" s="19"/>
      <c r="Z369" s="23"/>
    </row>
    <row r="370" spans="1:26" ht="15.75" customHeight="1" x14ac:dyDescent="0.2">
      <c r="A370" s="34"/>
      <c r="B370" s="34"/>
      <c r="C370" s="34"/>
      <c r="D370" s="34"/>
      <c r="E370" s="19"/>
      <c r="F370" s="19"/>
      <c r="G370" s="19"/>
      <c r="H370" s="19"/>
      <c r="I370" s="19"/>
      <c r="J370" s="19"/>
      <c r="K370" s="19"/>
      <c r="L370" s="19"/>
      <c r="M370" s="19"/>
      <c r="N370" s="19"/>
      <c r="O370" s="19"/>
      <c r="P370" s="20"/>
      <c r="Q370" s="20"/>
      <c r="R370" s="22"/>
      <c r="S370" s="22"/>
      <c r="T370" s="20"/>
      <c r="U370" s="20"/>
      <c r="V370" s="20"/>
      <c r="W370" s="19"/>
      <c r="X370" s="19"/>
      <c r="Y370" s="19"/>
      <c r="Z370" s="23"/>
    </row>
    <row r="371" spans="1:26" ht="15.75" customHeight="1" x14ac:dyDescent="0.2">
      <c r="A371" s="34"/>
      <c r="B371" s="34"/>
      <c r="C371" s="34"/>
      <c r="D371" s="34"/>
      <c r="E371" s="19"/>
      <c r="F371" s="19"/>
      <c r="G371" s="19"/>
      <c r="H371" s="19"/>
      <c r="I371" s="19"/>
      <c r="J371" s="19"/>
      <c r="K371" s="19"/>
      <c r="L371" s="19"/>
      <c r="M371" s="19"/>
      <c r="N371" s="19"/>
      <c r="O371" s="19"/>
      <c r="P371" s="20"/>
      <c r="Q371" s="20"/>
      <c r="R371" s="22"/>
      <c r="S371" s="22"/>
      <c r="T371" s="20"/>
      <c r="U371" s="20"/>
      <c r="V371" s="20"/>
      <c r="W371" s="19"/>
      <c r="X371" s="19"/>
      <c r="Y371" s="19"/>
      <c r="Z371" s="23"/>
    </row>
    <row r="372" spans="1:26" ht="15.75" customHeight="1" x14ac:dyDescent="0.2">
      <c r="A372" s="34"/>
      <c r="B372" s="34"/>
      <c r="C372" s="34"/>
      <c r="D372" s="34"/>
      <c r="E372" s="19"/>
      <c r="F372" s="19"/>
      <c r="G372" s="19"/>
      <c r="H372" s="19"/>
      <c r="I372" s="19"/>
      <c r="J372" s="19"/>
      <c r="K372" s="19"/>
      <c r="L372" s="19"/>
      <c r="M372" s="19"/>
      <c r="N372" s="19"/>
      <c r="O372" s="19"/>
      <c r="P372" s="20"/>
      <c r="Q372" s="20"/>
      <c r="R372" s="22"/>
      <c r="S372" s="22"/>
      <c r="T372" s="20"/>
      <c r="U372" s="20"/>
      <c r="V372" s="20"/>
      <c r="W372" s="19"/>
      <c r="X372" s="19"/>
      <c r="Y372" s="19"/>
      <c r="Z372" s="23"/>
    </row>
    <row r="373" spans="1:26" ht="15.75" customHeight="1" x14ac:dyDescent="0.2">
      <c r="A373" s="34"/>
      <c r="B373" s="34"/>
      <c r="C373" s="34"/>
      <c r="D373" s="34"/>
      <c r="E373" s="19"/>
      <c r="F373" s="19"/>
      <c r="G373" s="19"/>
      <c r="H373" s="19"/>
      <c r="I373" s="19"/>
      <c r="J373" s="19"/>
      <c r="K373" s="19"/>
      <c r="L373" s="19"/>
      <c r="M373" s="19"/>
      <c r="N373" s="19"/>
      <c r="O373" s="19"/>
      <c r="P373" s="20"/>
      <c r="Q373" s="20"/>
      <c r="R373" s="22"/>
      <c r="S373" s="22"/>
      <c r="T373" s="20"/>
      <c r="U373" s="20"/>
      <c r="V373" s="20"/>
      <c r="W373" s="19"/>
      <c r="X373" s="19"/>
      <c r="Y373" s="19"/>
      <c r="Z373" s="23"/>
    </row>
    <row r="374" spans="1:26" ht="15.75" customHeight="1" x14ac:dyDescent="0.2">
      <c r="A374" s="34"/>
      <c r="B374" s="34"/>
      <c r="C374" s="34"/>
      <c r="D374" s="34"/>
      <c r="E374" s="19"/>
      <c r="F374" s="19"/>
      <c r="G374" s="19"/>
      <c r="H374" s="19"/>
      <c r="I374" s="19"/>
      <c r="J374" s="19"/>
      <c r="K374" s="19"/>
      <c r="L374" s="19"/>
      <c r="M374" s="19"/>
      <c r="N374" s="19"/>
      <c r="O374" s="19"/>
      <c r="P374" s="20"/>
      <c r="Q374" s="20"/>
      <c r="R374" s="22"/>
      <c r="S374" s="22"/>
      <c r="T374" s="20"/>
      <c r="U374" s="20"/>
      <c r="V374" s="20"/>
      <c r="W374" s="19"/>
      <c r="X374" s="19"/>
      <c r="Y374" s="19"/>
      <c r="Z374" s="23"/>
    </row>
    <row r="375" spans="1:26" ht="15.75" customHeight="1" x14ac:dyDescent="0.2">
      <c r="A375" s="34"/>
      <c r="B375" s="34"/>
      <c r="C375" s="34"/>
      <c r="D375" s="34"/>
      <c r="E375" s="19"/>
      <c r="F375" s="19"/>
      <c r="G375" s="19"/>
      <c r="H375" s="19"/>
      <c r="I375" s="19"/>
      <c r="J375" s="19"/>
      <c r="K375" s="19"/>
      <c r="L375" s="19"/>
      <c r="M375" s="19"/>
      <c r="N375" s="19"/>
      <c r="O375" s="19"/>
      <c r="P375" s="20"/>
      <c r="Q375" s="20"/>
      <c r="R375" s="22"/>
      <c r="S375" s="22"/>
      <c r="T375" s="20"/>
      <c r="U375" s="20"/>
      <c r="V375" s="20"/>
      <c r="W375" s="19"/>
      <c r="X375" s="19"/>
      <c r="Y375" s="19"/>
      <c r="Z375" s="23"/>
    </row>
    <row r="376" spans="1:26" ht="15.75" customHeight="1" x14ac:dyDescent="0.2">
      <c r="A376" s="34"/>
      <c r="B376" s="34"/>
      <c r="C376" s="34"/>
      <c r="D376" s="34"/>
      <c r="E376" s="19"/>
      <c r="F376" s="19"/>
      <c r="G376" s="19"/>
      <c r="H376" s="19"/>
      <c r="I376" s="19"/>
      <c r="J376" s="19"/>
      <c r="K376" s="19"/>
      <c r="L376" s="19"/>
      <c r="M376" s="19"/>
      <c r="N376" s="19"/>
      <c r="O376" s="19"/>
      <c r="P376" s="20"/>
      <c r="Q376" s="20"/>
      <c r="R376" s="22"/>
      <c r="S376" s="22"/>
      <c r="T376" s="20"/>
      <c r="U376" s="20"/>
      <c r="V376" s="20"/>
      <c r="W376" s="19"/>
      <c r="X376" s="19"/>
      <c r="Y376" s="19"/>
      <c r="Z376" s="23"/>
    </row>
    <row r="377" spans="1:26" ht="15.75" customHeight="1" x14ac:dyDescent="0.2">
      <c r="A377" s="34"/>
      <c r="B377" s="34"/>
      <c r="C377" s="34"/>
      <c r="D377" s="34"/>
      <c r="E377" s="19"/>
      <c r="F377" s="19"/>
      <c r="G377" s="19"/>
      <c r="H377" s="19"/>
      <c r="I377" s="19"/>
      <c r="J377" s="19"/>
      <c r="K377" s="19"/>
      <c r="L377" s="19"/>
      <c r="M377" s="19"/>
      <c r="N377" s="19"/>
      <c r="O377" s="19"/>
      <c r="P377" s="20"/>
      <c r="Q377" s="20"/>
      <c r="R377" s="22"/>
      <c r="S377" s="22"/>
      <c r="T377" s="20"/>
      <c r="U377" s="20"/>
      <c r="V377" s="20"/>
      <c r="W377" s="19"/>
      <c r="X377" s="19"/>
      <c r="Y377" s="19"/>
      <c r="Z377" s="23"/>
    </row>
    <row r="378" spans="1:26" ht="15.75" customHeight="1" x14ac:dyDescent="0.2">
      <c r="A378" s="34"/>
      <c r="B378" s="34"/>
      <c r="C378" s="34"/>
      <c r="D378" s="34"/>
      <c r="E378" s="19"/>
      <c r="F378" s="19"/>
      <c r="G378" s="19"/>
      <c r="H378" s="19"/>
      <c r="I378" s="19"/>
      <c r="J378" s="19"/>
      <c r="K378" s="19"/>
      <c r="L378" s="19"/>
      <c r="M378" s="19"/>
      <c r="N378" s="19"/>
      <c r="O378" s="19"/>
      <c r="P378" s="20"/>
      <c r="Q378" s="20"/>
      <c r="R378" s="22"/>
      <c r="S378" s="22"/>
      <c r="T378" s="20"/>
      <c r="U378" s="20"/>
      <c r="V378" s="20"/>
      <c r="W378" s="19"/>
      <c r="X378" s="19"/>
      <c r="Y378" s="19"/>
      <c r="Z378" s="23"/>
    </row>
    <row r="379" spans="1:26" ht="15.75" customHeight="1" x14ac:dyDescent="0.2">
      <c r="A379" s="34"/>
      <c r="B379" s="34"/>
      <c r="C379" s="34"/>
      <c r="D379" s="34"/>
      <c r="E379" s="19"/>
      <c r="F379" s="19"/>
      <c r="G379" s="19"/>
      <c r="H379" s="19"/>
      <c r="I379" s="19"/>
      <c r="J379" s="19"/>
      <c r="K379" s="19"/>
      <c r="L379" s="19"/>
      <c r="M379" s="19"/>
      <c r="N379" s="19"/>
      <c r="O379" s="19"/>
      <c r="P379" s="20"/>
      <c r="Q379" s="20"/>
      <c r="R379" s="22"/>
      <c r="S379" s="22"/>
      <c r="T379" s="20"/>
      <c r="U379" s="20"/>
      <c r="V379" s="20"/>
      <c r="W379" s="19"/>
      <c r="X379" s="19"/>
      <c r="Y379" s="19"/>
      <c r="Z379" s="23"/>
    </row>
    <row r="380" spans="1:26" ht="15.75" customHeight="1" x14ac:dyDescent="0.2">
      <c r="A380" s="34"/>
      <c r="B380" s="34"/>
      <c r="C380" s="34"/>
      <c r="D380" s="34"/>
      <c r="E380" s="19"/>
      <c r="F380" s="19"/>
      <c r="G380" s="19"/>
      <c r="H380" s="19"/>
      <c r="I380" s="19"/>
      <c r="J380" s="19"/>
      <c r="K380" s="19"/>
      <c r="L380" s="19"/>
      <c r="M380" s="19"/>
      <c r="N380" s="19"/>
      <c r="O380" s="19"/>
      <c r="P380" s="20"/>
      <c r="Q380" s="20"/>
      <c r="R380" s="22"/>
      <c r="S380" s="22"/>
      <c r="T380" s="20"/>
      <c r="U380" s="20"/>
      <c r="V380" s="20"/>
      <c r="W380" s="19"/>
      <c r="X380" s="19"/>
      <c r="Y380" s="19"/>
      <c r="Z380" s="23"/>
    </row>
    <row r="381" spans="1:26" ht="15.75" customHeight="1" x14ac:dyDescent="0.2">
      <c r="A381" s="34"/>
      <c r="B381" s="34"/>
      <c r="C381" s="34"/>
      <c r="D381" s="34"/>
      <c r="E381" s="19"/>
      <c r="F381" s="19"/>
      <c r="G381" s="19"/>
      <c r="H381" s="19"/>
      <c r="I381" s="19"/>
      <c r="J381" s="19"/>
      <c r="K381" s="19"/>
      <c r="L381" s="19"/>
      <c r="M381" s="19"/>
      <c r="N381" s="19"/>
      <c r="O381" s="19"/>
      <c r="P381" s="20"/>
      <c r="Q381" s="20"/>
      <c r="R381" s="22"/>
      <c r="S381" s="22"/>
      <c r="T381" s="20"/>
      <c r="U381" s="20"/>
      <c r="V381" s="20"/>
      <c r="W381" s="19"/>
      <c r="X381" s="19"/>
      <c r="Y381" s="19"/>
      <c r="Z381" s="23"/>
    </row>
    <row r="382" spans="1:26" ht="15.75" customHeight="1" x14ac:dyDescent="0.2">
      <c r="A382" s="34"/>
      <c r="B382" s="34"/>
      <c r="C382" s="34"/>
      <c r="D382" s="34"/>
      <c r="E382" s="19"/>
      <c r="F382" s="19"/>
      <c r="G382" s="19"/>
      <c r="H382" s="19"/>
      <c r="I382" s="19"/>
      <c r="J382" s="19"/>
      <c r="K382" s="19"/>
      <c r="L382" s="19"/>
      <c r="M382" s="19"/>
      <c r="N382" s="19"/>
      <c r="O382" s="19"/>
      <c r="P382" s="20"/>
      <c r="Q382" s="20"/>
      <c r="R382" s="22"/>
      <c r="S382" s="22"/>
      <c r="T382" s="20"/>
      <c r="U382" s="20"/>
      <c r="V382" s="20"/>
      <c r="W382" s="19"/>
      <c r="X382" s="19"/>
      <c r="Y382" s="19"/>
      <c r="Z382" s="23"/>
    </row>
    <row r="383" spans="1:26" ht="15.75" customHeight="1" x14ac:dyDescent="0.2">
      <c r="A383" s="34"/>
      <c r="B383" s="34"/>
      <c r="C383" s="34"/>
      <c r="D383" s="34"/>
      <c r="E383" s="19"/>
      <c r="F383" s="19"/>
      <c r="G383" s="19"/>
      <c r="H383" s="19"/>
      <c r="I383" s="19"/>
      <c r="J383" s="19"/>
      <c r="K383" s="19"/>
      <c r="L383" s="19"/>
      <c r="M383" s="19"/>
      <c r="N383" s="19"/>
      <c r="O383" s="19"/>
      <c r="P383" s="20"/>
      <c r="Q383" s="20"/>
      <c r="R383" s="22"/>
      <c r="S383" s="22"/>
      <c r="T383" s="20"/>
      <c r="U383" s="20"/>
      <c r="V383" s="20"/>
      <c r="W383" s="19"/>
      <c r="X383" s="19"/>
      <c r="Y383" s="19"/>
      <c r="Z383" s="23"/>
    </row>
    <row r="384" spans="1:26" ht="15.75" customHeight="1" x14ac:dyDescent="0.2">
      <c r="A384" s="34"/>
      <c r="B384" s="34"/>
      <c r="C384" s="34"/>
      <c r="D384" s="34"/>
      <c r="E384" s="19"/>
      <c r="F384" s="19"/>
      <c r="G384" s="19"/>
      <c r="H384" s="19"/>
      <c r="I384" s="19"/>
      <c r="J384" s="19"/>
      <c r="K384" s="19"/>
      <c r="L384" s="19"/>
      <c r="M384" s="19"/>
      <c r="N384" s="19"/>
      <c r="O384" s="19"/>
      <c r="P384" s="20"/>
      <c r="Q384" s="20"/>
      <c r="R384" s="22"/>
      <c r="S384" s="22"/>
      <c r="T384" s="20"/>
      <c r="U384" s="20"/>
      <c r="V384" s="20"/>
      <c r="W384" s="19"/>
      <c r="X384" s="19"/>
      <c r="Y384" s="19"/>
      <c r="Z384" s="23"/>
    </row>
    <row r="385" spans="1:26" ht="15.75" customHeight="1" x14ac:dyDescent="0.2">
      <c r="A385" s="34"/>
      <c r="B385" s="34"/>
      <c r="C385" s="34"/>
      <c r="D385" s="34"/>
      <c r="E385" s="19"/>
      <c r="F385" s="19"/>
      <c r="G385" s="19"/>
      <c r="H385" s="19"/>
      <c r="I385" s="19"/>
      <c r="J385" s="19"/>
      <c r="K385" s="19"/>
      <c r="L385" s="19"/>
      <c r="M385" s="19"/>
      <c r="N385" s="19"/>
      <c r="O385" s="19"/>
      <c r="P385" s="20"/>
      <c r="Q385" s="20"/>
      <c r="R385" s="22"/>
      <c r="S385" s="22"/>
      <c r="T385" s="20"/>
      <c r="U385" s="20"/>
      <c r="V385" s="20"/>
      <c r="W385" s="19"/>
      <c r="X385" s="19"/>
      <c r="Y385" s="19"/>
      <c r="Z385" s="23"/>
    </row>
    <row r="386" spans="1:26" ht="15.75" customHeight="1" x14ac:dyDescent="0.2">
      <c r="A386" s="34"/>
      <c r="B386" s="34"/>
      <c r="C386" s="34"/>
      <c r="D386" s="34"/>
      <c r="E386" s="19"/>
      <c r="F386" s="19"/>
      <c r="G386" s="19"/>
      <c r="H386" s="19"/>
      <c r="I386" s="19"/>
      <c r="J386" s="19"/>
      <c r="K386" s="19"/>
      <c r="L386" s="19"/>
      <c r="M386" s="19"/>
      <c r="N386" s="19"/>
      <c r="O386" s="19"/>
      <c r="P386" s="20"/>
      <c r="Q386" s="20"/>
      <c r="R386" s="22"/>
      <c r="S386" s="22"/>
      <c r="T386" s="20"/>
      <c r="U386" s="20"/>
      <c r="V386" s="20"/>
      <c r="W386" s="19"/>
      <c r="X386" s="19"/>
      <c r="Y386" s="19"/>
      <c r="Z386" s="23"/>
    </row>
    <row r="387" spans="1:26" ht="15.75" customHeight="1" x14ac:dyDescent="0.2">
      <c r="A387" s="34"/>
      <c r="B387" s="34"/>
      <c r="C387" s="34"/>
      <c r="D387" s="34"/>
      <c r="E387" s="19"/>
      <c r="F387" s="19"/>
      <c r="G387" s="19"/>
      <c r="H387" s="19"/>
      <c r="I387" s="19"/>
      <c r="J387" s="19"/>
      <c r="K387" s="19"/>
      <c r="L387" s="19"/>
      <c r="M387" s="19"/>
      <c r="N387" s="19"/>
      <c r="O387" s="19"/>
      <c r="P387" s="20"/>
      <c r="Q387" s="20"/>
      <c r="R387" s="22"/>
      <c r="S387" s="22"/>
      <c r="T387" s="20"/>
      <c r="U387" s="20"/>
      <c r="V387" s="20"/>
      <c r="W387" s="19"/>
      <c r="X387" s="19"/>
      <c r="Y387" s="19"/>
      <c r="Z387" s="23"/>
    </row>
    <row r="388" spans="1:26" ht="15.75" customHeight="1" x14ac:dyDescent="0.2">
      <c r="A388" s="34"/>
      <c r="B388" s="34"/>
      <c r="C388" s="34"/>
      <c r="D388" s="34"/>
      <c r="E388" s="19"/>
      <c r="F388" s="19"/>
      <c r="G388" s="19"/>
      <c r="H388" s="19"/>
      <c r="I388" s="19"/>
      <c r="J388" s="19"/>
      <c r="K388" s="19"/>
      <c r="L388" s="19"/>
      <c r="M388" s="19"/>
      <c r="N388" s="19"/>
      <c r="O388" s="19"/>
      <c r="P388" s="20"/>
      <c r="Q388" s="20"/>
      <c r="R388" s="22"/>
      <c r="S388" s="22"/>
      <c r="T388" s="20"/>
      <c r="U388" s="20"/>
      <c r="V388" s="20"/>
      <c r="W388" s="19"/>
      <c r="X388" s="19"/>
      <c r="Y388" s="19"/>
      <c r="Z388" s="23"/>
    </row>
    <row r="389" spans="1:26" ht="15.75" customHeight="1" x14ac:dyDescent="0.2">
      <c r="A389" s="34"/>
      <c r="B389" s="34"/>
      <c r="C389" s="34"/>
      <c r="D389" s="34"/>
      <c r="E389" s="19"/>
      <c r="F389" s="19"/>
      <c r="G389" s="19"/>
      <c r="H389" s="19"/>
      <c r="I389" s="19"/>
      <c r="J389" s="19"/>
      <c r="K389" s="19"/>
      <c r="L389" s="19"/>
      <c r="M389" s="19"/>
      <c r="N389" s="19"/>
      <c r="O389" s="19"/>
      <c r="P389" s="20"/>
      <c r="Q389" s="20"/>
      <c r="R389" s="22"/>
      <c r="S389" s="22"/>
      <c r="T389" s="20"/>
      <c r="U389" s="20"/>
      <c r="V389" s="20"/>
      <c r="W389" s="19"/>
      <c r="X389" s="19"/>
      <c r="Y389" s="19"/>
      <c r="Z389" s="23"/>
    </row>
    <row r="390" spans="1:26" ht="15.75" customHeight="1" x14ac:dyDescent="0.2">
      <c r="A390" s="34"/>
      <c r="B390" s="34"/>
      <c r="C390" s="34"/>
      <c r="D390" s="34"/>
      <c r="E390" s="19"/>
      <c r="F390" s="19"/>
      <c r="G390" s="19"/>
      <c r="H390" s="19"/>
      <c r="I390" s="19"/>
      <c r="J390" s="19"/>
      <c r="K390" s="19"/>
      <c r="L390" s="19"/>
      <c r="M390" s="19"/>
      <c r="N390" s="19"/>
      <c r="O390" s="19"/>
      <c r="P390" s="20"/>
      <c r="Q390" s="20"/>
      <c r="R390" s="22"/>
      <c r="S390" s="22"/>
      <c r="T390" s="20"/>
      <c r="U390" s="20"/>
      <c r="V390" s="20"/>
      <c r="W390" s="19"/>
      <c r="X390" s="19"/>
      <c r="Y390" s="19"/>
      <c r="Z390" s="23"/>
    </row>
    <row r="391" spans="1:26" ht="15.75" customHeight="1" x14ac:dyDescent="0.2">
      <c r="A391" s="34"/>
      <c r="B391" s="34"/>
      <c r="C391" s="34"/>
      <c r="D391" s="34"/>
      <c r="E391" s="19"/>
      <c r="F391" s="19"/>
      <c r="G391" s="19"/>
      <c r="H391" s="19"/>
      <c r="I391" s="19"/>
      <c r="J391" s="19"/>
      <c r="K391" s="19"/>
      <c r="L391" s="19"/>
      <c r="M391" s="19"/>
      <c r="N391" s="19"/>
      <c r="O391" s="19"/>
      <c r="P391" s="20"/>
      <c r="Q391" s="20"/>
      <c r="R391" s="22"/>
      <c r="S391" s="22"/>
      <c r="T391" s="20"/>
      <c r="U391" s="20"/>
      <c r="V391" s="20"/>
      <c r="W391" s="19"/>
      <c r="X391" s="19"/>
      <c r="Y391" s="19"/>
      <c r="Z391" s="23"/>
    </row>
    <row r="392" spans="1:26" ht="15.75" customHeight="1" x14ac:dyDescent="0.2">
      <c r="A392" s="34"/>
      <c r="B392" s="34"/>
      <c r="C392" s="34"/>
      <c r="D392" s="34"/>
      <c r="E392" s="19"/>
      <c r="F392" s="19"/>
      <c r="G392" s="19"/>
      <c r="H392" s="19"/>
      <c r="I392" s="19"/>
      <c r="J392" s="19"/>
      <c r="K392" s="19"/>
      <c r="L392" s="19"/>
      <c r="M392" s="19"/>
      <c r="N392" s="19"/>
      <c r="O392" s="19"/>
      <c r="P392" s="20"/>
      <c r="Q392" s="20"/>
      <c r="R392" s="22"/>
      <c r="S392" s="22"/>
      <c r="T392" s="20"/>
      <c r="U392" s="20"/>
      <c r="V392" s="20"/>
      <c r="W392" s="19"/>
      <c r="X392" s="19"/>
      <c r="Y392" s="19"/>
      <c r="Z392" s="23"/>
    </row>
    <row r="393" spans="1:26" ht="15.75" customHeight="1" x14ac:dyDescent="0.2">
      <c r="A393" s="34"/>
      <c r="B393" s="34"/>
      <c r="C393" s="34"/>
      <c r="D393" s="34"/>
      <c r="E393" s="19"/>
      <c r="F393" s="19"/>
      <c r="G393" s="19"/>
      <c r="H393" s="19"/>
      <c r="I393" s="19"/>
      <c r="J393" s="19"/>
      <c r="K393" s="19"/>
      <c r="L393" s="19"/>
      <c r="M393" s="19"/>
      <c r="N393" s="19"/>
      <c r="O393" s="19"/>
      <c r="P393" s="20"/>
      <c r="Q393" s="20"/>
      <c r="R393" s="22"/>
      <c r="S393" s="22"/>
      <c r="T393" s="20"/>
      <c r="U393" s="20"/>
      <c r="V393" s="20"/>
      <c r="W393" s="19"/>
      <c r="X393" s="19"/>
      <c r="Y393" s="19"/>
      <c r="Z393" s="23"/>
    </row>
    <row r="394" spans="1:26" ht="15.75" customHeight="1" x14ac:dyDescent="0.2">
      <c r="A394" s="34"/>
      <c r="B394" s="34"/>
      <c r="C394" s="34"/>
      <c r="D394" s="34"/>
      <c r="E394" s="19"/>
      <c r="F394" s="19"/>
      <c r="G394" s="19"/>
      <c r="H394" s="19"/>
      <c r="I394" s="19"/>
      <c r="J394" s="19"/>
      <c r="K394" s="19"/>
      <c r="L394" s="19"/>
      <c r="M394" s="19"/>
      <c r="N394" s="19"/>
      <c r="O394" s="19"/>
      <c r="P394" s="20"/>
      <c r="Q394" s="20"/>
      <c r="R394" s="22"/>
      <c r="S394" s="22"/>
      <c r="T394" s="20"/>
      <c r="U394" s="20"/>
      <c r="V394" s="20"/>
      <c r="W394" s="19"/>
      <c r="X394" s="19"/>
      <c r="Y394" s="19"/>
      <c r="Z394" s="23"/>
    </row>
    <row r="395" spans="1:26" ht="15.75" customHeight="1" x14ac:dyDescent="0.2">
      <c r="A395" s="34"/>
      <c r="B395" s="34"/>
      <c r="C395" s="34"/>
      <c r="D395" s="34"/>
      <c r="E395" s="19"/>
      <c r="F395" s="19"/>
      <c r="G395" s="19"/>
      <c r="H395" s="19"/>
      <c r="I395" s="19"/>
      <c r="J395" s="19"/>
      <c r="K395" s="19"/>
      <c r="L395" s="19"/>
      <c r="M395" s="19"/>
      <c r="N395" s="19"/>
      <c r="O395" s="19"/>
      <c r="P395" s="20"/>
      <c r="Q395" s="20"/>
      <c r="R395" s="22"/>
      <c r="S395" s="22"/>
      <c r="T395" s="20"/>
      <c r="U395" s="20"/>
      <c r="V395" s="20"/>
      <c r="W395" s="19"/>
      <c r="X395" s="19"/>
      <c r="Y395" s="19"/>
      <c r="Z395" s="23"/>
    </row>
    <row r="396" spans="1:26" ht="15.75" customHeight="1" x14ac:dyDescent="0.2">
      <c r="A396" s="34"/>
      <c r="B396" s="34"/>
      <c r="C396" s="34"/>
      <c r="D396" s="34"/>
      <c r="E396" s="19"/>
      <c r="F396" s="19"/>
      <c r="G396" s="19"/>
      <c r="H396" s="19"/>
      <c r="I396" s="19"/>
      <c r="J396" s="19"/>
      <c r="K396" s="19"/>
      <c r="L396" s="19"/>
      <c r="M396" s="19"/>
      <c r="N396" s="19"/>
      <c r="O396" s="19"/>
      <c r="P396" s="20"/>
      <c r="Q396" s="20"/>
      <c r="R396" s="22"/>
      <c r="S396" s="22"/>
      <c r="T396" s="20"/>
      <c r="U396" s="20"/>
      <c r="V396" s="20"/>
      <c r="W396" s="19"/>
      <c r="X396" s="19"/>
      <c r="Y396" s="19"/>
      <c r="Z396" s="23"/>
    </row>
    <row r="397" spans="1:26" ht="15.75" customHeight="1" x14ac:dyDescent="0.2">
      <c r="A397" s="34"/>
      <c r="B397" s="34"/>
      <c r="C397" s="34"/>
      <c r="D397" s="34"/>
      <c r="E397" s="19"/>
      <c r="F397" s="19"/>
      <c r="G397" s="19"/>
      <c r="H397" s="19"/>
      <c r="I397" s="19"/>
      <c r="J397" s="19"/>
      <c r="K397" s="19"/>
      <c r="L397" s="19"/>
      <c r="M397" s="19"/>
      <c r="N397" s="19"/>
      <c r="O397" s="19"/>
      <c r="P397" s="20"/>
      <c r="Q397" s="20"/>
      <c r="R397" s="22"/>
      <c r="S397" s="22"/>
      <c r="T397" s="20"/>
      <c r="U397" s="20"/>
      <c r="V397" s="20"/>
      <c r="W397" s="19"/>
      <c r="X397" s="19"/>
      <c r="Y397" s="19"/>
      <c r="Z397" s="23"/>
    </row>
    <row r="398" spans="1:26" ht="15.75" customHeight="1" x14ac:dyDescent="0.2">
      <c r="A398" s="34"/>
      <c r="B398" s="34"/>
      <c r="C398" s="34"/>
      <c r="D398" s="34"/>
      <c r="E398" s="19"/>
      <c r="F398" s="19"/>
      <c r="G398" s="19"/>
      <c r="H398" s="19"/>
      <c r="I398" s="19"/>
      <c r="J398" s="19"/>
      <c r="K398" s="19"/>
      <c r="L398" s="19"/>
      <c r="M398" s="19"/>
      <c r="N398" s="19"/>
      <c r="O398" s="19"/>
      <c r="P398" s="20"/>
      <c r="Q398" s="20"/>
      <c r="R398" s="22"/>
      <c r="S398" s="22"/>
      <c r="T398" s="20"/>
      <c r="U398" s="20"/>
      <c r="V398" s="20"/>
      <c r="W398" s="19"/>
      <c r="X398" s="19"/>
      <c r="Y398" s="19"/>
      <c r="Z398" s="23"/>
    </row>
    <row r="399" spans="1:26" ht="15.75" customHeight="1" x14ac:dyDescent="0.2">
      <c r="A399" s="34"/>
      <c r="B399" s="34"/>
      <c r="C399" s="34"/>
      <c r="D399" s="34"/>
      <c r="E399" s="19"/>
      <c r="F399" s="19"/>
      <c r="G399" s="19"/>
      <c r="H399" s="19"/>
      <c r="I399" s="19"/>
      <c r="J399" s="19"/>
      <c r="K399" s="19"/>
      <c r="L399" s="19"/>
      <c r="M399" s="19"/>
      <c r="N399" s="19"/>
      <c r="O399" s="19"/>
      <c r="P399" s="20"/>
      <c r="Q399" s="20"/>
      <c r="R399" s="22"/>
      <c r="S399" s="22"/>
      <c r="T399" s="20"/>
      <c r="U399" s="20"/>
      <c r="V399" s="20"/>
      <c r="W399" s="19"/>
      <c r="X399" s="19"/>
      <c r="Y399" s="19"/>
      <c r="Z399" s="23"/>
    </row>
    <row r="400" spans="1:26" ht="15.75" customHeight="1" x14ac:dyDescent="0.2">
      <c r="A400" s="34"/>
      <c r="B400" s="34"/>
      <c r="C400" s="34"/>
      <c r="D400" s="34"/>
      <c r="E400" s="19"/>
      <c r="F400" s="19"/>
      <c r="G400" s="19"/>
      <c r="H400" s="19"/>
      <c r="I400" s="19"/>
      <c r="J400" s="19"/>
      <c r="K400" s="19"/>
      <c r="L400" s="19"/>
      <c r="M400" s="19"/>
      <c r="N400" s="19"/>
      <c r="O400" s="19"/>
      <c r="P400" s="20"/>
      <c r="Q400" s="20"/>
      <c r="R400" s="22"/>
      <c r="S400" s="22"/>
      <c r="T400" s="20"/>
      <c r="U400" s="20"/>
      <c r="V400" s="20"/>
      <c r="W400" s="19"/>
      <c r="X400" s="19"/>
      <c r="Y400" s="19"/>
      <c r="Z400" s="23"/>
    </row>
    <row r="401" spans="1:26" ht="15.75" customHeight="1" x14ac:dyDescent="0.2">
      <c r="A401" s="34"/>
      <c r="B401" s="34"/>
      <c r="C401" s="34"/>
      <c r="D401" s="34"/>
      <c r="E401" s="19"/>
      <c r="F401" s="19"/>
      <c r="G401" s="19"/>
      <c r="H401" s="19"/>
      <c r="I401" s="19"/>
      <c r="J401" s="19"/>
      <c r="K401" s="19"/>
      <c r="L401" s="19"/>
      <c r="M401" s="19"/>
      <c r="N401" s="19"/>
      <c r="O401" s="19"/>
      <c r="P401" s="20"/>
      <c r="Q401" s="20"/>
      <c r="R401" s="22"/>
      <c r="S401" s="22"/>
      <c r="T401" s="20"/>
      <c r="U401" s="20"/>
      <c r="V401" s="20"/>
      <c r="W401" s="19"/>
      <c r="X401" s="19"/>
      <c r="Y401" s="19"/>
      <c r="Z401" s="23"/>
    </row>
    <row r="402" spans="1:26" ht="15.75" customHeight="1" x14ac:dyDescent="0.2">
      <c r="A402" s="34"/>
      <c r="B402" s="34"/>
      <c r="C402" s="34"/>
      <c r="D402" s="34"/>
      <c r="E402" s="19"/>
      <c r="F402" s="19"/>
      <c r="G402" s="19"/>
      <c r="H402" s="19"/>
      <c r="I402" s="19"/>
      <c r="J402" s="19"/>
      <c r="K402" s="19"/>
      <c r="L402" s="19"/>
      <c r="M402" s="19"/>
      <c r="N402" s="19"/>
      <c r="O402" s="19"/>
      <c r="P402" s="20"/>
      <c r="Q402" s="20"/>
      <c r="R402" s="22"/>
      <c r="S402" s="22"/>
      <c r="T402" s="20"/>
      <c r="U402" s="20"/>
      <c r="V402" s="20"/>
      <c r="W402" s="19"/>
      <c r="X402" s="19"/>
      <c r="Y402" s="19"/>
      <c r="Z402" s="23"/>
    </row>
    <row r="403" spans="1:26" ht="15.75" customHeight="1" x14ac:dyDescent="0.2">
      <c r="A403" s="34"/>
      <c r="B403" s="34"/>
      <c r="C403" s="34"/>
      <c r="D403" s="34"/>
      <c r="E403" s="19"/>
      <c r="F403" s="19"/>
      <c r="G403" s="19"/>
      <c r="H403" s="19"/>
      <c r="I403" s="19"/>
      <c r="J403" s="19"/>
      <c r="K403" s="19"/>
      <c r="L403" s="19"/>
      <c r="M403" s="19"/>
      <c r="N403" s="19"/>
      <c r="O403" s="19"/>
      <c r="P403" s="20"/>
      <c r="Q403" s="20"/>
      <c r="R403" s="22"/>
      <c r="S403" s="22"/>
      <c r="T403" s="20"/>
      <c r="U403" s="20"/>
      <c r="V403" s="20"/>
      <c r="W403" s="19"/>
      <c r="X403" s="19"/>
      <c r="Y403" s="19"/>
      <c r="Z403" s="23"/>
    </row>
    <row r="404" spans="1:26" ht="15.75" customHeight="1" x14ac:dyDescent="0.2">
      <c r="A404" s="34"/>
      <c r="B404" s="34"/>
      <c r="C404" s="34"/>
      <c r="D404" s="34"/>
      <c r="E404" s="19"/>
      <c r="F404" s="19"/>
      <c r="G404" s="19"/>
      <c r="H404" s="19"/>
      <c r="I404" s="19"/>
      <c r="J404" s="19"/>
      <c r="K404" s="19"/>
      <c r="L404" s="19"/>
      <c r="M404" s="19"/>
      <c r="N404" s="19"/>
      <c r="O404" s="19"/>
      <c r="P404" s="20"/>
      <c r="Q404" s="20"/>
      <c r="R404" s="22"/>
      <c r="S404" s="22"/>
      <c r="T404" s="20"/>
      <c r="U404" s="20"/>
      <c r="V404" s="20"/>
      <c r="W404" s="19"/>
      <c r="X404" s="19"/>
      <c r="Y404" s="19"/>
      <c r="Z404" s="23"/>
    </row>
    <row r="405" spans="1:26" ht="15.75" customHeight="1" x14ac:dyDescent="0.2">
      <c r="A405" s="34"/>
      <c r="B405" s="34"/>
      <c r="C405" s="34"/>
      <c r="D405" s="34"/>
      <c r="E405" s="19"/>
      <c r="F405" s="19"/>
      <c r="G405" s="19"/>
      <c r="H405" s="19"/>
      <c r="I405" s="19"/>
      <c r="J405" s="19"/>
      <c r="K405" s="19"/>
      <c r="L405" s="19"/>
      <c r="M405" s="19"/>
      <c r="N405" s="19"/>
      <c r="O405" s="19"/>
      <c r="P405" s="20"/>
      <c r="Q405" s="20"/>
      <c r="R405" s="22"/>
      <c r="S405" s="22"/>
      <c r="T405" s="20"/>
      <c r="U405" s="20"/>
      <c r="V405" s="20"/>
      <c r="W405" s="19"/>
      <c r="X405" s="19"/>
      <c r="Y405" s="19"/>
      <c r="Z405" s="23"/>
    </row>
    <row r="406" spans="1:26" ht="15.75" customHeight="1" x14ac:dyDescent="0.2">
      <c r="A406" s="34"/>
      <c r="B406" s="34"/>
      <c r="C406" s="34"/>
      <c r="D406" s="34"/>
      <c r="E406" s="19"/>
      <c r="F406" s="19"/>
      <c r="G406" s="19"/>
      <c r="H406" s="19"/>
      <c r="I406" s="19"/>
      <c r="J406" s="19"/>
      <c r="K406" s="19"/>
      <c r="L406" s="19"/>
      <c r="M406" s="19"/>
      <c r="N406" s="19"/>
      <c r="O406" s="19"/>
      <c r="P406" s="20"/>
      <c r="Q406" s="20"/>
      <c r="R406" s="22"/>
      <c r="S406" s="22"/>
      <c r="T406" s="20"/>
      <c r="U406" s="20"/>
      <c r="V406" s="20"/>
      <c r="W406" s="19"/>
      <c r="X406" s="19"/>
      <c r="Y406" s="19"/>
      <c r="Z406" s="23"/>
    </row>
    <row r="407" spans="1:26" ht="15.75" customHeight="1" x14ac:dyDescent="0.2">
      <c r="A407" s="34"/>
      <c r="B407" s="34"/>
      <c r="C407" s="34"/>
      <c r="D407" s="34"/>
      <c r="E407" s="19"/>
      <c r="F407" s="19"/>
      <c r="G407" s="19"/>
      <c r="H407" s="19"/>
      <c r="I407" s="19"/>
      <c r="J407" s="19"/>
      <c r="K407" s="19"/>
      <c r="L407" s="19"/>
      <c r="M407" s="19"/>
      <c r="N407" s="19"/>
      <c r="O407" s="19"/>
      <c r="P407" s="20"/>
      <c r="Q407" s="20"/>
      <c r="R407" s="22"/>
      <c r="S407" s="22"/>
      <c r="T407" s="20"/>
      <c r="U407" s="20"/>
      <c r="V407" s="20"/>
      <c r="W407" s="19"/>
      <c r="X407" s="19"/>
      <c r="Y407" s="19"/>
      <c r="Z407" s="23"/>
    </row>
    <row r="408" spans="1:26" ht="15.75" customHeight="1" x14ac:dyDescent="0.2">
      <c r="A408" s="34"/>
      <c r="B408" s="34"/>
      <c r="C408" s="34"/>
      <c r="D408" s="34"/>
      <c r="E408" s="19"/>
      <c r="F408" s="19"/>
      <c r="G408" s="19"/>
      <c r="H408" s="19"/>
      <c r="I408" s="19"/>
      <c r="J408" s="19"/>
      <c r="K408" s="19"/>
      <c r="L408" s="19"/>
      <c r="M408" s="19"/>
      <c r="N408" s="19"/>
      <c r="O408" s="19"/>
      <c r="P408" s="20"/>
      <c r="Q408" s="20"/>
      <c r="R408" s="22"/>
      <c r="S408" s="22"/>
      <c r="T408" s="20"/>
      <c r="U408" s="20"/>
      <c r="V408" s="20"/>
      <c r="W408" s="19"/>
      <c r="X408" s="19"/>
      <c r="Y408" s="19"/>
      <c r="Z408" s="23"/>
    </row>
    <row r="409" spans="1:26" ht="15.75" customHeight="1" x14ac:dyDescent="0.2">
      <c r="A409" s="34"/>
      <c r="B409" s="34"/>
      <c r="C409" s="34"/>
      <c r="D409" s="34"/>
      <c r="E409" s="19"/>
      <c r="F409" s="19"/>
      <c r="G409" s="19"/>
      <c r="H409" s="19"/>
      <c r="I409" s="19"/>
      <c r="J409" s="19"/>
      <c r="K409" s="19"/>
      <c r="L409" s="19"/>
      <c r="M409" s="19"/>
      <c r="N409" s="19"/>
      <c r="O409" s="19"/>
      <c r="P409" s="20"/>
      <c r="Q409" s="20"/>
      <c r="R409" s="22"/>
      <c r="S409" s="22"/>
      <c r="T409" s="20"/>
      <c r="U409" s="20"/>
      <c r="V409" s="20"/>
      <c r="W409" s="19"/>
      <c r="X409" s="19"/>
      <c r="Y409" s="19"/>
      <c r="Z409" s="23"/>
    </row>
    <row r="410" spans="1:26" ht="15.75" customHeight="1" x14ac:dyDescent="0.2">
      <c r="A410" s="34"/>
      <c r="B410" s="34"/>
      <c r="C410" s="34"/>
      <c r="D410" s="34"/>
      <c r="E410" s="19"/>
      <c r="F410" s="19"/>
      <c r="G410" s="19"/>
      <c r="H410" s="19"/>
      <c r="I410" s="19"/>
      <c r="J410" s="19"/>
      <c r="K410" s="19"/>
      <c r="L410" s="19"/>
      <c r="M410" s="19"/>
      <c r="N410" s="19"/>
      <c r="O410" s="19"/>
      <c r="P410" s="20"/>
      <c r="Q410" s="20"/>
      <c r="R410" s="22"/>
      <c r="S410" s="22"/>
      <c r="T410" s="20"/>
      <c r="U410" s="20"/>
      <c r="V410" s="20"/>
      <c r="W410" s="19"/>
      <c r="X410" s="19"/>
      <c r="Y410" s="19"/>
      <c r="Z410" s="23"/>
    </row>
    <row r="411" spans="1:26" ht="15.75" customHeight="1" x14ac:dyDescent="0.2">
      <c r="A411" s="34"/>
      <c r="B411" s="34"/>
      <c r="C411" s="34"/>
      <c r="D411" s="34"/>
      <c r="E411" s="19"/>
      <c r="F411" s="19"/>
      <c r="G411" s="19"/>
      <c r="H411" s="19"/>
      <c r="I411" s="19"/>
      <c r="J411" s="19"/>
      <c r="K411" s="19"/>
      <c r="L411" s="19"/>
      <c r="M411" s="19"/>
      <c r="N411" s="19"/>
      <c r="O411" s="19"/>
      <c r="P411" s="20"/>
      <c r="Q411" s="20"/>
      <c r="R411" s="22"/>
      <c r="S411" s="22"/>
      <c r="T411" s="20"/>
      <c r="U411" s="20"/>
      <c r="V411" s="20"/>
      <c r="W411" s="19"/>
      <c r="X411" s="19"/>
      <c r="Y411" s="19"/>
      <c r="Z411" s="23"/>
    </row>
    <row r="412" spans="1:26" ht="15.75" customHeight="1" x14ac:dyDescent="0.2">
      <c r="A412" s="34"/>
      <c r="B412" s="34"/>
      <c r="C412" s="34"/>
      <c r="D412" s="34"/>
      <c r="E412" s="19"/>
      <c r="F412" s="19"/>
      <c r="G412" s="19"/>
      <c r="H412" s="19"/>
      <c r="I412" s="19"/>
      <c r="J412" s="19"/>
      <c r="K412" s="19"/>
      <c r="L412" s="19"/>
      <c r="M412" s="19"/>
      <c r="N412" s="19"/>
      <c r="O412" s="19"/>
      <c r="P412" s="20"/>
      <c r="Q412" s="20"/>
      <c r="R412" s="22"/>
      <c r="S412" s="22"/>
      <c r="T412" s="20"/>
      <c r="U412" s="20"/>
      <c r="V412" s="20"/>
      <c r="W412" s="19"/>
      <c r="X412" s="19"/>
      <c r="Y412" s="19"/>
      <c r="Z412" s="23"/>
    </row>
    <row r="413" spans="1:26" ht="15.75" customHeight="1" x14ac:dyDescent="0.2">
      <c r="A413" s="34"/>
      <c r="B413" s="34"/>
      <c r="C413" s="34"/>
      <c r="D413" s="34"/>
      <c r="E413" s="19"/>
      <c r="F413" s="19"/>
      <c r="G413" s="19"/>
      <c r="H413" s="19"/>
      <c r="I413" s="19"/>
      <c r="J413" s="19"/>
      <c r="K413" s="19"/>
      <c r="L413" s="19"/>
      <c r="M413" s="19"/>
      <c r="N413" s="19"/>
      <c r="O413" s="19"/>
      <c r="P413" s="20"/>
      <c r="Q413" s="20"/>
      <c r="R413" s="22"/>
      <c r="S413" s="22"/>
      <c r="T413" s="20"/>
      <c r="U413" s="20"/>
      <c r="V413" s="20"/>
      <c r="W413" s="19"/>
      <c r="X413" s="19"/>
      <c r="Y413" s="19"/>
      <c r="Z413" s="23"/>
    </row>
    <row r="414" spans="1:26" ht="15.75" customHeight="1" x14ac:dyDescent="0.2">
      <c r="A414" s="34"/>
      <c r="B414" s="34"/>
      <c r="C414" s="34"/>
      <c r="D414" s="34"/>
      <c r="E414" s="19"/>
      <c r="F414" s="19"/>
      <c r="G414" s="19"/>
      <c r="H414" s="19"/>
      <c r="I414" s="19"/>
      <c r="J414" s="19"/>
      <c r="K414" s="19"/>
      <c r="L414" s="19"/>
      <c r="M414" s="19"/>
      <c r="N414" s="19"/>
      <c r="O414" s="19"/>
      <c r="P414" s="20"/>
      <c r="Q414" s="20"/>
      <c r="R414" s="22"/>
      <c r="S414" s="22"/>
      <c r="T414" s="20"/>
      <c r="U414" s="20"/>
      <c r="V414" s="20"/>
      <c r="W414" s="19"/>
      <c r="X414" s="19"/>
      <c r="Y414" s="19"/>
      <c r="Z414" s="23"/>
    </row>
    <row r="415" spans="1:26" ht="15.75" customHeight="1" x14ac:dyDescent="0.2">
      <c r="A415" s="34"/>
      <c r="B415" s="34"/>
      <c r="C415" s="34"/>
      <c r="D415" s="34"/>
      <c r="E415" s="19"/>
      <c r="F415" s="19"/>
      <c r="G415" s="19"/>
      <c r="H415" s="19"/>
      <c r="I415" s="19"/>
      <c r="J415" s="19"/>
      <c r="K415" s="19"/>
      <c r="L415" s="19"/>
      <c r="M415" s="19"/>
      <c r="N415" s="19"/>
      <c r="O415" s="19"/>
      <c r="P415" s="20"/>
      <c r="Q415" s="20"/>
      <c r="R415" s="22"/>
      <c r="S415" s="22"/>
      <c r="T415" s="20"/>
      <c r="U415" s="20"/>
      <c r="V415" s="20"/>
      <c r="W415" s="19"/>
      <c r="X415" s="19"/>
      <c r="Y415" s="19"/>
      <c r="Z415" s="23"/>
    </row>
    <row r="416" spans="1:26" ht="15.75" customHeight="1" x14ac:dyDescent="0.2">
      <c r="A416" s="34"/>
      <c r="B416" s="34"/>
      <c r="C416" s="34"/>
      <c r="D416" s="34"/>
      <c r="E416" s="19"/>
      <c r="F416" s="19"/>
      <c r="G416" s="19"/>
      <c r="H416" s="19"/>
      <c r="I416" s="19"/>
      <c r="J416" s="19"/>
      <c r="K416" s="19"/>
      <c r="L416" s="19"/>
      <c r="M416" s="19"/>
      <c r="N416" s="19"/>
      <c r="O416" s="19"/>
      <c r="P416" s="20"/>
      <c r="Q416" s="20"/>
      <c r="R416" s="22"/>
      <c r="S416" s="22"/>
      <c r="T416" s="20"/>
      <c r="U416" s="20"/>
      <c r="V416" s="20"/>
      <c r="W416" s="19"/>
      <c r="X416" s="19"/>
      <c r="Y416" s="19"/>
      <c r="Z416" s="23"/>
    </row>
    <row r="417" spans="1:26" ht="15.75" customHeight="1" x14ac:dyDescent="0.2">
      <c r="A417" s="34"/>
      <c r="B417" s="34"/>
      <c r="C417" s="34"/>
      <c r="D417" s="34"/>
      <c r="E417" s="19"/>
      <c r="F417" s="19"/>
      <c r="G417" s="19"/>
      <c r="H417" s="19"/>
      <c r="I417" s="19"/>
      <c r="J417" s="19"/>
      <c r="K417" s="19"/>
      <c r="L417" s="19"/>
      <c r="M417" s="19"/>
      <c r="N417" s="19"/>
      <c r="O417" s="19"/>
      <c r="P417" s="20"/>
      <c r="Q417" s="20"/>
      <c r="R417" s="22"/>
      <c r="S417" s="22"/>
      <c r="T417" s="20"/>
      <c r="U417" s="20"/>
      <c r="V417" s="20"/>
      <c r="W417" s="19"/>
      <c r="X417" s="19"/>
      <c r="Y417" s="19"/>
      <c r="Z417" s="23"/>
    </row>
    <row r="418" spans="1:26" ht="15.75" customHeight="1" x14ac:dyDescent="0.2">
      <c r="A418" s="34"/>
      <c r="B418" s="34"/>
      <c r="C418" s="34"/>
      <c r="D418" s="34"/>
      <c r="E418" s="19"/>
      <c r="F418" s="19"/>
      <c r="G418" s="19"/>
      <c r="H418" s="19"/>
      <c r="I418" s="19"/>
      <c r="J418" s="19"/>
      <c r="K418" s="19"/>
      <c r="L418" s="19"/>
      <c r="M418" s="19"/>
      <c r="N418" s="19"/>
      <c r="O418" s="19"/>
      <c r="P418" s="20"/>
      <c r="Q418" s="20"/>
      <c r="R418" s="22"/>
      <c r="S418" s="22"/>
      <c r="T418" s="20"/>
      <c r="U418" s="20"/>
      <c r="V418" s="20"/>
      <c r="W418" s="19"/>
      <c r="X418" s="19"/>
      <c r="Y418" s="19"/>
      <c r="Z418" s="23"/>
    </row>
    <row r="419" spans="1:26" ht="15.75" customHeight="1" x14ac:dyDescent="0.2">
      <c r="A419" s="34"/>
      <c r="B419" s="34"/>
      <c r="C419" s="34"/>
      <c r="D419" s="34"/>
      <c r="E419" s="19"/>
      <c r="F419" s="19"/>
      <c r="G419" s="19"/>
      <c r="H419" s="19"/>
      <c r="I419" s="19"/>
      <c r="J419" s="19"/>
      <c r="K419" s="19"/>
      <c r="L419" s="19"/>
      <c r="M419" s="19"/>
      <c r="N419" s="19"/>
      <c r="O419" s="19"/>
      <c r="P419" s="20"/>
      <c r="Q419" s="20"/>
      <c r="R419" s="22"/>
      <c r="S419" s="22"/>
      <c r="T419" s="20"/>
      <c r="U419" s="20"/>
      <c r="V419" s="20"/>
      <c r="W419" s="19"/>
      <c r="X419" s="19"/>
      <c r="Y419" s="19"/>
      <c r="Z419" s="23"/>
    </row>
    <row r="420" spans="1:26" ht="15.75" customHeight="1" x14ac:dyDescent="0.2">
      <c r="A420" s="34"/>
      <c r="B420" s="34"/>
      <c r="C420" s="34"/>
      <c r="D420" s="34"/>
      <c r="E420" s="19"/>
      <c r="F420" s="19"/>
      <c r="G420" s="19"/>
      <c r="H420" s="19"/>
      <c r="I420" s="19"/>
      <c r="J420" s="19"/>
      <c r="K420" s="19"/>
      <c r="L420" s="19"/>
      <c r="M420" s="19"/>
      <c r="N420" s="19"/>
      <c r="O420" s="19"/>
      <c r="P420" s="20"/>
      <c r="Q420" s="20"/>
      <c r="R420" s="22"/>
      <c r="S420" s="22"/>
      <c r="T420" s="20"/>
      <c r="U420" s="20"/>
      <c r="V420" s="20"/>
      <c r="W420" s="19"/>
      <c r="X420" s="19"/>
      <c r="Y420" s="19"/>
      <c r="Z420" s="23"/>
    </row>
    <row r="421" spans="1:26" ht="15.75" customHeight="1" x14ac:dyDescent="0.2">
      <c r="A421" s="34"/>
      <c r="B421" s="34"/>
      <c r="C421" s="34"/>
      <c r="D421" s="34"/>
      <c r="E421" s="19"/>
      <c r="F421" s="19"/>
      <c r="G421" s="19"/>
      <c r="H421" s="19"/>
      <c r="I421" s="19"/>
      <c r="J421" s="19"/>
      <c r="K421" s="19"/>
      <c r="L421" s="19"/>
      <c r="M421" s="19"/>
      <c r="N421" s="19"/>
      <c r="O421" s="19"/>
      <c r="P421" s="20"/>
      <c r="Q421" s="20"/>
      <c r="R421" s="22"/>
      <c r="S421" s="22"/>
      <c r="T421" s="20"/>
      <c r="U421" s="20"/>
      <c r="V421" s="20"/>
      <c r="W421" s="19"/>
      <c r="X421" s="19"/>
      <c r="Y421" s="19"/>
      <c r="Z421" s="23"/>
    </row>
    <row r="422" spans="1:26" ht="15.75" customHeight="1" x14ac:dyDescent="0.2">
      <c r="A422" s="34"/>
      <c r="B422" s="34"/>
      <c r="C422" s="34"/>
      <c r="D422" s="34"/>
      <c r="E422" s="19"/>
      <c r="F422" s="19"/>
      <c r="G422" s="19"/>
      <c r="H422" s="19"/>
      <c r="I422" s="19"/>
      <c r="J422" s="19"/>
      <c r="K422" s="19"/>
      <c r="L422" s="19"/>
      <c r="M422" s="19"/>
      <c r="N422" s="19"/>
      <c r="O422" s="19"/>
      <c r="P422" s="20"/>
      <c r="Q422" s="20"/>
      <c r="R422" s="22"/>
      <c r="S422" s="22"/>
      <c r="T422" s="20"/>
      <c r="U422" s="20"/>
      <c r="V422" s="20"/>
      <c r="W422" s="19"/>
      <c r="X422" s="19"/>
      <c r="Y422" s="19"/>
      <c r="Z422" s="23"/>
    </row>
    <row r="423" spans="1:26" ht="15.75" customHeight="1" x14ac:dyDescent="0.2">
      <c r="A423" s="34"/>
      <c r="B423" s="34"/>
      <c r="C423" s="34"/>
      <c r="D423" s="34"/>
      <c r="E423" s="19"/>
      <c r="F423" s="19"/>
      <c r="G423" s="19"/>
      <c r="H423" s="19"/>
      <c r="I423" s="19"/>
      <c r="J423" s="19"/>
      <c r="K423" s="19"/>
      <c r="L423" s="19"/>
      <c r="M423" s="19"/>
      <c r="N423" s="19"/>
      <c r="O423" s="19"/>
      <c r="P423" s="20"/>
      <c r="Q423" s="20"/>
      <c r="R423" s="22"/>
      <c r="S423" s="22"/>
      <c r="T423" s="20"/>
      <c r="U423" s="20"/>
      <c r="V423" s="20"/>
      <c r="W423" s="19"/>
      <c r="X423" s="19"/>
      <c r="Y423" s="19"/>
      <c r="Z423" s="23"/>
    </row>
    <row r="424" spans="1:26" ht="15.75" customHeight="1" x14ac:dyDescent="0.2">
      <c r="A424" s="34"/>
      <c r="B424" s="34"/>
      <c r="C424" s="34"/>
      <c r="D424" s="34"/>
      <c r="E424" s="19"/>
      <c r="F424" s="19"/>
      <c r="G424" s="19"/>
      <c r="H424" s="19"/>
      <c r="I424" s="19"/>
      <c r="J424" s="19"/>
      <c r="K424" s="19"/>
      <c r="L424" s="19"/>
      <c r="M424" s="19"/>
      <c r="N424" s="19"/>
      <c r="O424" s="19"/>
      <c r="P424" s="20"/>
      <c r="Q424" s="20"/>
      <c r="R424" s="22"/>
      <c r="S424" s="22"/>
      <c r="T424" s="20"/>
      <c r="U424" s="20"/>
      <c r="V424" s="20"/>
      <c r="W424" s="19"/>
      <c r="X424" s="19"/>
      <c r="Y424" s="19"/>
      <c r="Z424" s="23"/>
    </row>
    <row r="425" spans="1:26" ht="15.75" customHeight="1" x14ac:dyDescent="0.2">
      <c r="A425" s="34"/>
      <c r="B425" s="34"/>
      <c r="C425" s="34"/>
      <c r="D425" s="34"/>
      <c r="E425" s="19"/>
      <c r="F425" s="19"/>
      <c r="G425" s="19"/>
      <c r="H425" s="19"/>
      <c r="I425" s="19"/>
      <c r="J425" s="19"/>
      <c r="K425" s="19"/>
      <c r="L425" s="19"/>
      <c r="M425" s="19"/>
      <c r="N425" s="19"/>
      <c r="O425" s="19"/>
      <c r="P425" s="20"/>
      <c r="Q425" s="20"/>
      <c r="R425" s="22"/>
      <c r="S425" s="22"/>
      <c r="T425" s="20"/>
      <c r="U425" s="20"/>
      <c r="V425" s="20"/>
      <c r="W425" s="19"/>
      <c r="X425" s="19"/>
      <c r="Y425" s="19"/>
      <c r="Z425" s="23"/>
    </row>
    <row r="426" spans="1:26" ht="15.75" customHeight="1" x14ac:dyDescent="0.2">
      <c r="A426" s="34"/>
      <c r="B426" s="34"/>
      <c r="C426" s="34"/>
      <c r="D426" s="34"/>
      <c r="E426" s="19"/>
      <c r="F426" s="19"/>
      <c r="G426" s="19"/>
      <c r="H426" s="19"/>
      <c r="I426" s="19"/>
      <c r="J426" s="19"/>
      <c r="K426" s="19"/>
      <c r="L426" s="19"/>
      <c r="M426" s="19"/>
      <c r="N426" s="19"/>
      <c r="O426" s="19"/>
      <c r="P426" s="20"/>
      <c r="Q426" s="20"/>
      <c r="R426" s="22"/>
      <c r="S426" s="22"/>
      <c r="T426" s="20"/>
      <c r="U426" s="20"/>
      <c r="V426" s="20"/>
      <c r="W426" s="19"/>
      <c r="X426" s="19"/>
      <c r="Y426" s="19"/>
      <c r="Z426" s="23"/>
    </row>
    <row r="427" spans="1:26" ht="15.75" customHeight="1" x14ac:dyDescent="0.2">
      <c r="A427" s="34"/>
      <c r="B427" s="34"/>
      <c r="C427" s="34"/>
      <c r="D427" s="34"/>
      <c r="E427" s="19"/>
      <c r="F427" s="19"/>
      <c r="G427" s="19"/>
      <c r="H427" s="19"/>
      <c r="I427" s="19"/>
      <c r="J427" s="19"/>
      <c r="K427" s="19"/>
      <c r="L427" s="19"/>
      <c r="M427" s="19"/>
      <c r="N427" s="19"/>
      <c r="O427" s="19"/>
      <c r="P427" s="20"/>
      <c r="Q427" s="20"/>
      <c r="R427" s="22"/>
      <c r="S427" s="22"/>
      <c r="T427" s="20"/>
      <c r="U427" s="20"/>
      <c r="V427" s="20"/>
      <c r="W427" s="19"/>
      <c r="X427" s="19"/>
      <c r="Y427" s="19"/>
      <c r="Z427" s="23"/>
    </row>
    <row r="428" spans="1:26" ht="15.75" customHeight="1" x14ac:dyDescent="0.2">
      <c r="A428" s="34"/>
      <c r="B428" s="34"/>
      <c r="C428" s="34"/>
      <c r="D428" s="34"/>
      <c r="E428" s="19"/>
      <c r="F428" s="19"/>
      <c r="G428" s="19"/>
      <c r="H428" s="19"/>
      <c r="I428" s="19"/>
      <c r="J428" s="19"/>
      <c r="K428" s="19"/>
      <c r="L428" s="19"/>
      <c r="M428" s="19"/>
      <c r="N428" s="19"/>
      <c r="O428" s="19"/>
      <c r="P428" s="20"/>
      <c r="Q428" s="20"/>
      <c r="R428" s="22"/>
      <c r="S428" s="22"/>
      <c r="T428" s="20"/>
      <c r="U428" s="20"/>
      <c r="V428" s="20"/>
      <c r="W428" s="19"/>
      <c r="X428" s="19"/>
      <c r="Y428" s="19"/>
      <c r="Z428" s="23"/>
    </row>
    <row r="429" spans="1:26" ht="15.75" customHeight="1" x14ac:dyDescent="0.2">
      <c r="A429" s="34"/>
      <c r="B429" s="34"/>
      <c r="C429" s="34"/>
      <c r="D429" s="34"/>
      <c r="E429" s="19"/>
      <c r="F429" s="19"/>
      <c r="G429" s="19"/>
      <c r="H429" s="19"/>
      <c r="I429" s="19"/>
      <c r="J429" s="19"/>
      <c r="K429" s="19"/>
      <c r="L429" s="19"/>
      <c r="M429" s="19"/>
      <c r="N429" s="19"/>
      <c r="O429" s="19"/>
      <c r="P429" s="20"/>
      <c r="Q429" s="20"/>
      <c r="R429" s="22"/>
      <c r="S429" s="22"/>
      <c r="T429" s="20"/>
      <c r="U429" s="20"/>
      <c r="V429" s="20"/>
      <c r="W429" s="19"/>
      <c r="X429" s="19"/>
      <c r="Y429" s="19"/>
      <c r="Z429" s="23"/>
    </row>
    <row r="430" spans="1:26" ht="15.75" customHeight="1" x14ac:dyDescent="0.2">
      <c r="A430" s="34"/>
      <c r="B430" s="34"/>
      <c r="C430" s="34"/>
      <c r="D430" s="34"/>
      <c r="E430" s="19"/>
      <c r="F430" s="19"/>
      <c r="G430" s="19"/>
      <c r="H430" s="19"/>
      <c r="I430" s="19"/>
      <c r="J430" s="19"/>
      <c r="K430" s="19"/>
      <c r="L430" s="19"/>
      <c r="M430" s="19"/>
      <c r="N430" s="19"/>
      <c r="O430" s="19"/>
      <c r="P430" s="20"/>
      <c r="Q430" s="20"/>
      <c r="R430" s="22"/>
      <c r="S430" s="22"/>
      <c r="T430" s="20"/>
      <c r="U430" s="20"/>
      <c r="V430" s="20"/>
      <c r="W430" s="19"/>
      <c r="X430" s="19"/>
      <c r="Y430" s="19"/>
      <c r="Z430" s="23"/>
    </row>
    <row r="431" spans="1:26" ht="15.75" customHeight="1" x14ac:dyDescent="0.2">
      <c r="A431" s="34"/>
      <c r="B431" s="34"/>
      <c r="C431" s="34"/>
      <c r="D431" s="34"/>
      <c r="E431" s="19"/>
      <c r="F431" s="19"/>
      <c r="G431" s="19"/>
      <c r="H431" s="19"/>
      <c r="I431" s="19"/>
      <c r="J431" s="19"/>
      <c r="K431" s="19"/>
      <c r="L431" s="19"/>
      <c r="M431" s="19"/>
      <c r="N431" s="19"/>
      <c r="O431" s="19"/>
      <c r="P431" s="20"/>
      <c r="Q431" s="20"/>
      <c r="R431" s="22"/>
      <c r="S431" s="22"/>
      <c r="T431" s="20"/>
      <c r="U431" s="20"/>
      <c r="V431" s="20"/>
      <c r="W431" s="19"/>
      <c r="X431" s="19"/>
      <c r="Y431" s="19"/>
      <c r="Z431" s="23"/>
    </row>
    <row r="432" spans="1:26" ht="15.75" customHeight="1" x14ac:dyDescent="0.2">
      <c r="A432" s="34"/>
      <c r="B432" s="34"/>
      <c r="C432" s="34"/>
      <c r="D432" s="34"/>
      <c r="E432" s="19"/>
      <c r="F432" s="19"/>
      <c r="G432" s="19"/>
      <c r="H432" s="19"/>
      <c r="I432" s="19"/>
      <c r="J432" s="19"/>
      <c r="K432" s="19"/>
      <c r="L432" s="19"/>
      <c r="M432" s="19"/>
      <c r="N432" s="19"/>
      <c r="O432" s="19"/>
      <c r="P432" s="20"/>
      <c r="Q432" s="20"/>
      <c r="R432" s="22"/>
      <c r="S432" s="22"/>
      <c r="T432" s="20"/>
      <c r="U432" s="20"/>
      <c r="V432" s="20"/>
      <c r="W432" s="19"/>
      <c r="X432" s="19"/>
      <c r="Y432" s="19"/>
      <c r="Z432" s="23"/>
    </row>
    <row r="433" spans="1:26" ht="15.75" customHeight="1" x14ac:dyDescent="0.2">
      <c r="A433" s="34"/>
      <c r="B433" s="34"/>
      <c r="C433" s="34"/>
      <c r="D433" s="34"/>
      <c r="E433" s="19"/>
      <c r="F433" s="19"/>
      <c r="G433" s="19"/>
      <c r="H433" s="19"/>
      <c r="I433" s="19"/>
      <c r="J433" s="19"/>
      <c r="K433" s="19"/>
      <c r="L433" s="19"/>
      <c r="M433" s="19"/>
      <c r="N433" s="19"/>
      <c r="O433" s="19"/>
      <c r="P433" s="20"/>
      <c r="Q433" s="20"/>
      <c r="R433" s="22"/>
      <c r="S433" s="22"/>
      <c r="T433" s="20"/>
      <c r="U433" s="20"/>
      <c r="V433" s="20"/>
      <c r="W433" s="19"/>
      <c r="X433" s="19"/>
      <c r="Y433" s="19"/>
      <c r="Z433" s="23"/>
    </row>
    <row r="434" spans="1:26" ht="15.75" customHeight="1" x14ac:dyDescent="0.2">
      <c r="A434" s="34"/>
      <c r="B434" s="34"/>
      <c r="C434" s="34"/>
      <c r="D434" s="34"/>
      <c r="E434" s="19"/>
      <c r="F434" s="19"/>
      <c r="G434" s="19"/>
      <c r="H434" s="19"/>
      <c r="I434" s="19"/>
      <c r="J434" s="19"/>
      <c r="K434" s="19"/>
      <c r="L434" s="19"/>
      <c r="M434" s="19"/>
      <c r="N434" s="19"/>
      <c r="O434" s="19"/>
      <c r="P434" s="20"/>
      <c r="Q434" s="20"/>
      <c r="R434" s="22"/>
      <c r="S434" s="22"/>
      <c r="T434" s="20"/>
      <c r="U434" s="20"/>
      <c r="V434" s="20"/>
      <c r="W434" s="19"/>
      <c r="X434" s="19"/>
      <c r="Y434" s="19"/>
      <c r="Z434" s="23"/>
    </row>
    <row r="435" spans="1:26" ht="15.75" customHeight="1" x14ac:dyDescent="0.2">
      <c r="A435" s="34"/>
      <c r="B435" s="34"/>
      <c r="C435" s="34"/>
      <c r="D435" s="34"/>
      <c r="E435" s="19"/>
      <c r="F435" s="19"/>
      <c r="G435" s="19"/>
      <c r="H435" s="19"/>
      <c r="I435" s="19"/>
      <c r="J435" s="19"/>
      <c r="K435" s="19"/>
      <c r="L435" s="19"/>
      <c r="M435" s="19"/>
      <c r="N435" s="19"/>
      <c r="O435" s="19"/>
      <c r="P435" s="20"/>
      <c r="Q435" s="20"/>
      <c r="R435" s="22"/>
      <c r="S435" s="22"/>
      <c r="T435" s="20"/>
      <c r="U435" s="20"/>
      <c r="V435" s="20"/>
      <c r="W435" s="19"/>
      <c r="X435" s="19"/>
      <c r="Y435" s="19"/>
      <c r="Z435" s="23"/>
    </row>
    <row r="436" spans="1:26" ht="15.75" customHeight="1" x14ac:dyDescent="0.2">
      <c r="A436" s="34"/>
      <c r="B436" s="34"/>
      <c r="C436" s="34"/>
      <c r="D436" s="34"/>
      <c r="E436" s="19"/>
      <c r="F436" s="19"/>
      <c r="G436" s="19"/>
      <c r="H436" s="19"/>
      <c r="I436" s="19"/>
      <c r="J436" s="19"/>
      <c r="K436" s="19"/>
      <c r="L436" s="19"/>
      <c r="M436" s="19"/>
      <c r="N436" s="19"/>
      <c r="O436" s="19"/>
      <c r="P436" s="20"/>
      <c r="Q436" s="20"/>
      <c r="R436" s="22"/>
      <c r="S436" s="22"/>
      <c r="T436" s="20"/>
      <c r="U436" s="20"/>
      <c r="V436" s="20"/>
      <c r="W436" s="19"/>
      <c r="X436" s="19"/>
      <c r="Y436" s="19"/>
      <c r="Z436" s="23"/>
    </row>
    <row r="437" spans="1:26" ht="15.75" customHeight="1" x14ac:dyDescent="0.2">
      <c r="A437" s="34"/>
      <c r="B437" s="34"/>
      <c r="C437" s="34"/>
      <c r="D437" s="34"/>
      <c r="E437" s="19"/>
      <c r="F437" s="19"/>
      <c r="G437" s="19"/>
      <c r="H437" s="19"/>
      <c r="I437" s="19"/>
      <c r="J437" s="19"/>
      <c r="K437" s="19"/>
      <c r="L437" s="19"/>
      <c r="M437" s="19"/>
      <c r="N437" s="19"/>
      <c r="O437" s="19"/>
      <c r="P437" s="20"/>
      <c r="Q437" s="20"/>
      <c r="R437" s="22"/>
      <c r="S437" s="22"/>
      <c r="T437" s="20"/>
      <c r="U437" s="20"/>
      <c r="V437" s="20"/>
      <c r="W437" s="19"/>
      <c r="X437" s="19"/>
      <c r="Y437" s="19"/>
      <c r="Z437" s="23"/>
    </row>
    <row r="438" spans="1:26" ht="15.75" customHeight="1" x14ac:dyDescent="0.2">
      <c r="A438" s="34"/>
      <c r="B438" s="34"/>
      <c r="C438" s="34"/>
      <c r="D438" s="34"/>
      <c r="E438" s="19"/>
      <c r="F438" s="19"/>
      <c r="G438" s="19"/>
      <c r="H438" s="19"/>
      <c r="I438" s="19"/>
      <c r="J438" s="19"/>
      <c r="K438" s="19"/>
      <c r="L438" s="19"/>
      <c r="M438" s="19"/>
      <c r="N438" s="19"/>
      <c r="O438" s="19"/>
      <c r="P438" s="20"/>
      <c r="Q438" s="20"/>
      <c r="R438" s="22"/>
      <c r="S438" s="22"/>
      <c r="T438" s="20"/>
      <c r="U438" s="20"/>
      <c r="V438" s="20"/>
      <c r="W438" s="19"/>
      <c r="X438" s="19"/>
      <c r="Y438" s="19"/>
      <c r="Z438" s="23"/>
    </row>
    <row r="439" spans="1:26" ht="15.75" customHeight="1" x14ac:dyDescent="0.2">
      <c r="A439" s="34"/>
      <c r="B439" s="34"/>
      <c r="C439" s="34"/>
      <c r="D439" s="34"/>
      <c r="E439" s="19"/>
      <c r="F439" s="19"/>
      <c r="G439" s="19"/>
      <c r="H439" s="19"/>
      <c r="I439" s="19"/>
      <c r="J439" s="19"/>
      <c r="K439" s="19"/>
      <c r="L439" s="19"/>
      <c r="M439" s="19"/>
      <c r="N439" s="19"/>
      <c r="O439" s="19"/>
      <c r="P439" s="20"/>
      <c r="Q439" s="20"/>
      <c r="R439" s="22"/>
      <c r="S439" s="22"/>
      <c r="T439" s="20"/>
      <c r="U439" s="20"/>
      <c r="V439" s="20"/>
      <c r="W439" s="19"/>
      <c r="X439" s="19"/>
      <c r="Y439" s="19"/>
      <c r="Z439" s="23"/>
    </row>
    <row r="440" spans="1:26" ht="15.75" customHeight="1" x14ac:dyDescent="0.2">
      <c r="A440" s="34"/>
      <c r="B440" s="34"/>
      <c r="C440" s="34"/>
      <c r="D440" s="34"/>
      <c r="E440" s="19"/>
      <c r="F440" s="19"/>
      <c r="G440" s="19"/>
      <c r="H440" s="19"/>
      <c r="I440" s="19"/>
      <c r="J440" s="19"/>
      <c r="K440" s="19"/>
      <c r="L440" s="19"/>
      <c r="M440" s="19"/>
      <c r="N440" s="19"/>
      <c r="O440" s="19"/>
      <c r="P440" s="20"/>
      <c r="Q440" s="20"/>
      <c r="R440" s="22"/>
      <c r="S440" s="22"/>
      <c r="T440" s="20"/>
      <c r="U440" s="20"/>
      <c r="V440" s="20"/>
      <c r="W440" s="19"/>
      <c r="X440" s="19"/>
      <c r="Y440" s="19"/>
      <c r="Z440" s="23"/>
    </row>
    <row r="441" spans="1:26" ht="15.75" customHeight="1" x14ac:dyDescent="0.2">
      <c r="A441" s="34"/>
      <c r="B441" s="34"/>
      <c r="C441" s="34"/>
      <c r="D441" s="34"/>
      <c r="E441" s="19"/>
      <c r="F441" s="19"/>
      <c r="G441" s="19"/>
      <c r="H441" s="19"/>
      <c r="I441" s="19"/>
      <c r="J441" s="19"/>
      <c r="K441" s="19"/>
      <c r="L441" s="19"/>
      <c r="M441" s="19"/>
      <c r="N441" s="19"/>
      <c r="O441" s="19"/>
      <c r="P441" s="20"/>
      <c r="Q441" s="20"/>
      <c r="R441" s="22"/>
      <c r="S441" s="22"/>
      <c r="T441" s="20"/>
      <c r="U441" s="20"/>
      <c r="V441" s="20"/>
      <c r="W441" s="19"/>
      <c r="X441" s="19"/>
      <c r="Y441" s="19"/>
      <c r="Z441" s="23"/>
    </row>
    <row r="442" spans="1:26" ht="15.75" customHeight="1" x14ac:dyDescent="0.2">
      <c r="A442" s="34"/>
      <c r="B442" s="34"/>
      <c r="C442" s="34"/>
      <c r="D442" s="34"/>
      <c r="E442" s="19"/>
      <c r="F442" s="19"/>
      <c r="G442" s="19"/>
      <c r="H442" s="19"/>
      <c r="I442" s="19"/>
      <c r="J442" s="19"/>
      <c r="K442" s="19"/>
      <c r="L442" s="19"/>
      <c r="M442" s="19"/>
      <c r="N442" s="19"/>
      <c r="O442" s="19"/>
      <c r="P442" s="20"/>
      <c r="Q442" s="20"/>
      <c r="R442" s="22"/>
      <c r="S442" s="22"/>
      <c r="T442" s="20"/>
      <c r="U442" s="20"/>
      <c r="V442" s="20"/>
      <c r="W442" s="19"/>
      <c r="X442" s="19"/>
      <c r="Y442" s="19"/>
      <c r="Z442" s="23"/>
    </row>
    <row r="443" spans="1:26" ht="15.75" customHeight="1" x14ac:dyDescent="0.2">
      <c r="A443" s="34"/>
      <c r="B443" s="34"/>
      <c r="C443" s="34"/>
      <c r="D443" s="34"/>
      <c r="E443" s="19"/>
      <c r="F443" s="19"/>
      <c r="G443" s="19"/>
      <c r="H443" s="19"/>
      <c r="I443" s="19"/>
      <c r="J443" s="19"/>
      <c r="K443" s="19"/>
      <c r="L443" s="19"/>
      <c r="M443" s="19"/>
      <c r="N443" s="19"/>
      <c r="O443" s="19"/>
      <c r="P443" s="20"/>
      <c r="Q443" s="20"/>
      <c r="R443" s="22"/>
      <c r="S443" s="22"/>
      <c r="T443" s="20"/>
      <c r="U443" s="20"/>
      <c r="V443" s="20"/>
      <c r="W443" s="19"/>
      <c r="X443" s="19"/>
      <c r="Y443" s="19"/>
      <c r="Z443" s="23"/>
    </row>
    <row r="444" spans="1:26" ht="15.75" customHeight="1" x14ac:dyDescent="0.2">
      <c r="A444" s="34"/>
      <c r="B444" s="34"/>
      <c r="C444" s="34"/>
      <c r="D444" s="34"/>
      <c r="E444" s="19"/>
      <c r="F444" s="19"/>
      <c r="G444" s="19"/>
      <c r="H444" s="19"/>
      <c r="I444" s="19"/>
      <c r="J444" s="19"/>
      <c r="K444" s="19"/>
      <c r="L444" s="19"/>
      <c r="M444" s="19"/>
      <c r="N444" s="19"/>
      <c r="O444" s="19"/>
      <c r="P444" s="20"/>
      <c r="Q444" s="20"/>
      <c r="R444" s="22"/>
      <c r="S444" s="22"/>
      <c r="T444" s="20"/>
      <c r="U444" s="20"/>
      <c r="V444" s="20"/>
      <c r="W444" s="19"/>
      <c r="X444" s="19"/>
      <c r="Y444" s="19"/>
      <c r="Z444" s="23"/>
    </row>
    <row r="445" spans="1:26" ht="15.75" customHeight="1" x14ac:dyDescent="0.2">
      <c r="A445" s="34"/>
      <c r="B445" s="34"/>
      <c r="C445" s="34"/>
      <c r="D445" s="34"/>
      <c r="E445" s="19"/>
      <c r="F445" s="19"/>
      <c r="G445" s="19"/>
      <c r="H445" s="19"/>
      <c r="I445" s="19"/>
      <c r="J445" s="19"/>
      <c r="K445" s="19"/>
      <c r="L445" s="19"/>
      <c r="M445" s="19"/>
      <c r="N445" s="19"/>
      <c r="O445" s="19"/>
      <c r="P445" s="20"/>
      <c r="Q445" s="20"/>
      <c r="R445" s="22"/>
      <c r="S445" s="22"/>
      <c r="T445" s="20"/>
      <c r="U445" s="20"/>
      <c r="V445" s="20"/>
      <c r="W445" s="19"/>
      <c r="X445" s="19"/>
      <c r="Y445" s="19"/>
      <c r="Z445" s="23"/>
    </row>
    <row r="446" spans="1:26" ht="15.75" customHeight="1" x14ac:dyDescent="0.2">
      <c r="A446" s="34"/>
      <c r="B446" s="34"/>
      <c r="C446" s="34"/>
      <c r="D446" s="34"/>
      <c r="E446" s="19"/>
      <c r="F446" s="19"/>
      <c r="G446" s="19"/>
      <c r="H446" s="19"/>
      <c r="I446" s="19"/>
      <c r="J446" s="19"/>
      <c r="K446" s="19"/>
      <c r="L446" s="19"/>
      <c r="M446" s="19"/>
      <c r="N446" s="19"/>
      <c r="O446" s="19"/>
      <c r="P446" s="20"/>
      <c r="Q446" s="20"/>
      <c r="R446" s="22"/>
      <c r="S446" s="22"/>
      <c r="T446" s="20"/>
      <c r="U446" s="20"/>
      <c r="V446" s="20"/>
      <c r="W446" s="19"/>
      <c r="X446" s="19"/>
      <c r="Y446" s="19"/>
      <c r="Z446" s="23"/>
    </row>
    <row r="447" spans="1:26" ht="15.75" customHeight="1" x14ac:dyDescent="0.2">
      <c r="A447" s="34"/>
      <c r="B447" s="34"/>
      <c r="C447" s="34"/>
      <c r="D447" s="34"/>
      <c r="E447" s="19"/>
      <c r="F447" s="19"/>
      <c r="G447" s="19"/>
      <c r="H447" s="19"/>
      <c r="I447" s="19"/>
      <c r="J447" s="19"/>
      <c r="K447" s="19"/>
      <c r="L447" s="19"/>
      <c r="M447" s="19"/>
      <c r="N447" s="19"/>
      <c r="O447" s="19"/>
      <c r="P447" s="20"/>
      <c r="Q447" s="20"/>
      <c r="R447" s="22"/>
      <c r="S447" s="22"/>
      <c r="T447" s="20"/>
      <c r="U447" s="20"/>
      <c r="V447" s="20"/>
      <c r="W447" s="19"/>
      <c r="X447" s="19"/>
      <c r="Y447" s="19"/>
      <c r="Z447" s="23"/>
    </row>
    <row r="448" spans="1:26" ht="15.75" customHeight="1" x14ac:dyDescent="0.2">
      <c r="A448" s="34"/>
      <c r="B448" s="34"/>
      <c r="C448" s="34"/>
      <c r="D448" s="34"/>
      <c r="E448" s="19"/>
      <c r="F448" s="19"/>
      <c r="G448" s="19"/>
      <c r="H448" s="19"/>
      <c r="I448" s="19"/>
      <c r="J448" s="19"/>
      <c r="K448" s="19"/>
      <c r="L448" s="19"/>
      <c r="M448" s="19"/>
      <c r="N448" s="19"/>
      <c r="O448" s="19"/>
      <c r="P448" s="20"/>
      <c r="Q448" s="20"/>
      <c r="R448" s="22"/>
      <c r="S448" s="22"/>
      <c r="T448" s="20"/>
      <c r="U448" s="20"/>
      <c r="V448" s="20"/>
      <c r="W448" s="19"/>
      <c r="X448" s="19"/>
      <c r="Y448" s="19"/>
      <c r="Z448" s="23"/>
    </row>
    <row r="449" spans="1:26" ht="15.75" customHeight="1" x14ac:dyDescent="0.2">
      <c r="A449" s="34"/>
      <c r="B449" s="34"/>
      <c r="C449" s="34"/>
      <c r="D449" s="34"/>
      <c r="E449" s="19"/>
      <c r="F449" s="19"/>
      <c r="G449" s="19"/>
      <c r="H449" s="19"/>
      <c r="I449" s="19"/>
      <c r="J449" s="19"/>
      <c r="K449" s="19"/>
      <c r="L449" s="19"/>
      <c r="M449" s="19"/>
      <c r="N449" s="19"/>
      <c r="O449" s="19"/>
      <c r="P449" s="20"/>
      <c r="Q449" s="20"/>
      <c r="R449" s="22"/>
      <c r="S449" s="22"/>
      <c r="T449" s="20"/>
      <c r="U449" s="20"/>
      <c r="V449" s="20"/>
      <c r="W449" s="19"/>
      <c r="X449" s="19"/>
      <c r="Y449" s="19"/>
      <c r="Z449" s="23"/>
    </row>
    <row r="450" spans="1:26" ht="15.75" customHeight="1" x14ac:dyDescent="0.2">
      <c r="A450" s="34"/>
      <c r="B450" s="34"/>
      <c r="C450" s="34"/>
      <c r="D450" s="34"/>
      <c r="E450" s="19"/>
      <c r="F450" s="19"/>
      <c r="G450" s="19"/>
      <c r="H450" s="19"/>
      <c r="I450" s="19"/>
      <c r="J450" s="19"/>
      <c r="K450" s="19"/>
      <c r="L450" s="19"/>
      <c r="M450" s="19"/>
      <c r="N450" s="19"/>
      <c r="O450" s="19"/>
      <c r="P450" s="20"/>
      <c r="Q450" s="20"/>
      <c r="R450" s="22"/>
      <c r="S450" s="22"/>
      <c r="T450" s="20"/>
      <c r="U450" s="20"/>
      <c r="V450" s="20"/>
      <c r="W450" s="19"/>
      <c r="X450" s="19"/>
      <c r="Y450" s="19"/>
      <c r="Z450" s="23"/>
    </row>
    <row r="451" spans="1:26" ht="15.75" customHeight="1" x14ac:dyDescent="0.2">
      <c r="A451" s="34"/>
      <c r="B451" s="34"/>
      <c r="C451" s="34"/>
      <c r="D451" s="34"/>
      <c r="E451" s="19"/>
      <c r="F451" s="19"/>
      <c r="G451" s="19"/>
      <c r="H451" s="19"/>
      <c r="I451" s="19"/>
      <c r="J451" s="19"/>
      <c r="K451" s="19"/>
      <c r="L451" s="19"/>
      <c r="M451" s="19"/>
      <c r="N451" s="19"/>
      <c r="O451" s="19"/>
      <c r="P451" s="20"/>
      <c r="Q451" s="20"/>
      <c r="R451" s="22"/>
      <c r="S451" s="22"/>
      <c r="T451" s="20"/>
      <c r="U451" s="20"/>
      <c r="V451" s="20"/>
      <c r="W451" s="19"/>
      <c r="X451" s="19"/>
      <c r="Y451" s="19"/>
      <c r="Z451" s="23"/>
    </row>
    <row r="452" spans="1:26" ht="15.75" customHeight="1" x14ac:dyDescent="0.2">
      <c r="A452" s="34"/>
      <c r="B452" s="34"/>
      <c r="C452" s="34"/>
      <c r="D452" s="34"/>
      <c r="E452" s="19"/>
      <c r="F452" s="19"/>
      <c r="G452" s="19"/>
      <c r="H452" s="19"/>
      <c r="I452" s="19"/>
      <c r="J452" s="19"/>
      <c r="K452" s="19"/>
      <c r="L452" s="19"/>
      <c r="M452" s="19"/>
      <c r="N452" s="19"/>
      <c r="O452" s="19"/>
      <c r="P452" s="20"/>
      <c r="Q452" s="20"/>
      <c r="R452" s="22"/>
      <c r="S452" s="22"/>
      <c r="T452" s="20"/>
      <c r="U452" s="20"/>
      <c r="V452" s="20"/>
      <c r="W452" s="19"/>
      <c r="X452" s="19"/>
      <c r="Y452" s="19"/>
      <c r="Z452" s="23"/>
    </row>
    <row r="453" spans="1:26" ht="15.75" customHeight="1" x14ac:dyDescent="0.2">
      <c r="A453" s="34"/>
      <c r="B453" s="34"/>
      <c r="C453" s="34"/>
      <c r="D453" s="34"/>
      <c r="E453" s="19"/>
      <c r="F453" s="19"/>
      <c r="G453" s="19"/>
      <c r="H453" s="19"/>
      <c r="I453" s="19"/>
      <c r="J453" s="19"/>
      <c r="K453" s="19"/>
      <c r="L453" s="19"/>
      <c r="M453" s="19"/>
      <c r="N453" s="19"/>
      <c r="O453" s="19"/>
      <c r="P453" s="20"/>
      <c r="Q453" s="20"/>
      <c r="R453" s="22"/>
      <c r="S453" s="22"/>
      <c r="T453" s="20"/>
      <c r="U453" s="20"/>
      <c r="V453" s="20"/>
      <c r="W453" s="19"/>
      <c r="X453" s="19"/>
      <c r="Y453" s="19"/>
      <c r="Z453" s="23"/>
    </row>
    <row r="454" spans="1:26" ht="15.75" customHeight="1" x14ac:dyDescent="0.2">
      <c r="A454" s="34"/>
      <c r="B454" s="34"/>
      <c r="C454" s="34"/>
      <c r="D454" s="34"/>
      <c r="E454" s="19"/>
      <c r="F454" s="19"/>
      <c r="G454" s="19"/>
      <c r="H454" s="19"/>
      <c r="I454" s="19"/>
      <c r="J454" s="19"/>
      <c r="K454" s="19"/>
      <c r="L454" s="19"/>
      <c r="M454" s="19"/>
      <c r="N454" s="19"/>
      <c r="O454" s="19"/>
      <c r="P454" s="20"/>
      <c r="Q454" s="20"/>
      <c r="R454" s="22"/>
      <c r="S454" s="22"/>
      <c r="T454" s="20"/>
      <c r="U454" s="20"/>
      <c r="V454" s="20"/>
      <c r="W454" s="19"/>
      <c r="X454" s="19"/>
      <c r="Y454" s="19"/>
      <c r="Z454" s="23"/>
    </row>
    <row r="455" spans="1:26" ht="15.75" customHeight="1" x14ac:dyDescent="0.2">
      <c r="A455" s="34"/>
      <c r="B455" s="34"/>
      <c r="C455" s="34"/>
      <c r="D455" s="34"/>
      <c r="E455" s="19"/>
      <c r="F455" s="19"/>
      <c r="G455" s="19"/>
      <c r="H455" s="19"/>
      <c r="I455" s="19"/>
      <c r="J455" s="19"/>
      <c r="K455" s="19"/>
      <c r="L455" s="19"/>
      <c r="M455" s="19"/>
      <c r="N455" s="19"/>
      <c r="O455" s="19"/>
      <c r="P455" s="20"/>
      <c r="Q455" s="20"/>
      <c r="R455" s="22"/>
      <c r="S455" s="22"/>
      <c r="T455" s="20"/>
      <c r="U455" s="20"/>
      <c r="V455" s="20"/>
      <c r="W455" s="19"/>
      <c r="X455" s="19"/>
      <c r="Y455" s="19"/>
      <c r="Z455" s="23"/>
    </row>
    <row r="456" spans="1:26" ht="15.75" customHeight="1" x14ac:dyDescent="0.2">
      <c r="A456" s="34"/>
      <c r="B456" s="34"/>
      <c r="C456" s="34"/>
      <c r="D456" s="34"/>
      <c r="E456" s="19"/>
      <c r="F456" s="19"/>
      <c r="G456" s="19"/>
      <c r="H456" s="19"/>
      <c r="I456" s="19"/>
      <c r="J456" s="19"/>
      <c r="K456" s="19"/>
      <c r="L456" s="19"/>
      <c r="M456" s="19"/>
      <c r="N456" s="19"/>
      <c r="O456" s="19"/>
      <c r="P456" s="20"/>
      <c r="Q456" s="20"/>
      <c r="R456" s="22"/>
      <c r="S456" s="22"/>
      <c r="T456" s="20"/>
      <c r="U456" s="20"/>
      <c r="V456" s="20"/>
      <c r="W456" s="19"/>
      <c r="X456" s="19"/>
      <c r="Y456" s="19"/>
      <c r="Z456" s="23"/>
    </row>
    <row r="457" spans="1:26" ht="15.75" customHeight="1" x14ac:dyDescent="0.2">
      <c r="A457" s="34"/>
      <c r="B457" s="34"/>
      <c r="C457" s="34"/>
      <c r="D457" s="34"/>
      <c r="E457" s="19"/>
      <c r="F457" s="19"/>
      <c r="G457" s="19"/>
      <c r="H457" s="19"/>
      <c r="I457" s="19"/>
      <c r="J457" s="19"/>
      <c r="K457" s="19"/>
      <c r="L457" s="19"/>
      <c r="M457" s="19"/>
      <c r="N457" s="19"/>
      <c r="O457" s="19"/>
      <c r="P457" s="20"/>
      <c r="Q457" s="20"/>
      <c r="R457" s="22"/>
      <c r="S457" s="22"/>
      <c r="T457" s="20"/>
      <c r="U457" s="20"/>
      <c r="V457" s="20"/>
      <c r="W457" s="19"/>
      <c r="X457" s="19"/>
      <c r="Y457" s="19"/>
      <c r="Z457" s="23"/>
    </row>
    <row r="458" spans="1:26" ht="15.75" customHeight="1" x14ac:dyDescent="0.2">
      <c r="A458" s="34"/>
      <c r="B458" s="34"/>
      <c r="C458" s="34"/>
      <c r="D458" s="34"/>
      <c r="E458" s="19"/>
      <c r="F458" s="19"/>
      <c r="G458" s="19"/>
      <c r="H458" s="19"/>
      <c r="I458" s="19"/>
      <c r="J458" s="19"/>
      <c r="K458" s="19"/>
      <c r="L458" s="19"/>
      <c r="M458" s="19"/>
      <c r="N458" s="19"/>
      <c r="O458" s="19"/>
      <c r="P458" s="20"/>
      <c r="Q458" s="20"/>
      <c r="R458" s="22"/>
      <c r="S458" s="22"/>
      <c r="T458" s="20"/>
      <c r="U458" s="20"/>
      <c r="V458" s="20"/>
      <c r="W458" s="19"/>
      <c r="X458" s="19"/>
      <c r="Y458" s="19"/>
      <c r="Z458" s="23"/>
    </row>
    <row r="459" spans="1:26" ht="15.75" customHeight="1" x14ac:dyDescent="0.2">
      <c r="A459" s="34"/>
      <c r="B459" s="34"/>
      <c r="C459" s="34"/>
      <c r="D459" s="34"/>
      <c r="E459" s="19"/>
      <c r="F459" s="19"/>
      <c r="G459" s="19"/>
      <c r="H459" s="19"/>
      <c r="I459" s="19"/>
      <c r="J459" s="19"/>
      <c r="K459" s="19"/>
      <c r="L459" s="19"/>
      <c r="M459" s="19"/>
      <c r="N459" s="19"/>
      <c r="O459" s="19"/>
      <c r="P459" s="20"/>
      <c r="Q459" s="20"/>
      <c r="R459" s="22"/>
      <c r="S459" s="22"/>
      <c r="T459" s="20"/>
      <c r="U459" s="20"/>
      <c r="V459" s="20"/>
      <c r="W459" s="19"/>
      <c r="X459" s="19"/>
      <c r="Y459" s="19"/>
      <c r="Z459" s="23"/>
    </row>
    <row r="460" spans="1:26" ht="15.75" customHeight="1" x14ac:dyDescent="0.2">
      <c r="A460" s="34"/>
      <c r="B460" s="34"/>
      <c r="C460" s="34"/>
      <c r="D460" s="34"/>
      <c r="E460" s="19"/>
      <c r="F460" s="19"/>
      <c r="G460" s="19"/>
      <c r="H460" s="19"/>
      <c r="I460" s="19"/>
      <c r="J460" s="19"/>
      <c r="K460" s="19"/>
      <c r="L460" s="19"/>
      <c r="M460" s="19"/>
      <c r="N460" s="19"/>
      <c r="O460" s="19"/>
      <c r="P460" s="20"/>
      <c r="Q460" s="20"/>
      <c r="R460" s="22"/>
      <c r="S460" s="22"/>
      <c r="T460" s="20"/>
      <c r="U460" s="20"/>
      <c r="V460" s="20"/>
      <c r="W460" s="19"/>
      <c r="X460" s="19"/>
      <c r="Y460" s="19"/>
      <c r="Z460" s="23"/>
    </row>
    <row r="461" spans="1:26" ht="15.75" customHeight="1" x14ac:dyDescent="0.2">
      <c r="A461" s="34"/>
      <c r="B461" s="34"/>
      <c r="C461" s="34"/>
      <c r="D461" s="34"/>
      <c r="E461" s="19"/>
      <c r="F461" s="19"/>
      <c r="G461" s="19"/>
      <c r="H461" s="19"/>
      <c r="I461" s="19"/>
      <c r="J461" s="19"/>
      <c r="K461" s="19"/>
      <c r="L461" s="19"/>
      <c r="M461" s="19"/>
      <c r="N461" s="19"/>
      <c r="O461" s="19"/>
      <c r="P461" s="20"/>
      <c r="Q461" s="20"/>
      <c r="R461" s="22"/>
      <c r="S461" s="22"/>
      <c r="T461" s="20"/>
      <c r="U461" s="20"/>
      <c r="V461" s="20"/>
      <c r="W461" s="19"/>
      <c r="X461" s="19"/>
      <c r="Y461" s="19"/>
      <c r="Z461" s="23"/>
    </row>
    <row r="462" spans="1:26" ht="15.75" customHeight="1" x14ac:dyDescent="0.2">
      <c r="A462" s="34"/>
      <c r="B462" s="34"/>
      <c r="C462" s="34"/>
      <c r="D462" s="34"/>
      <c r="E462" s="19"/>
      <c r="F462" s="19"/>
      <c r="G462" s="19"/>
      <c r="H462" s="19"/>
      <c r="I462" s="19"/>
      <c r="J462" s="19"/>
      <c r="K462" s="19"/>
      <c r="L462" s="19"/>
      <c r="M462" s="19"/>
      <c r="N462" s="19"/>
      <c r="O462" s="19"/>
      <c r="P462" s="20"/>
      <c r="Q462" s="20"/>
      <c r="R462" s="22"/>
      <c r="S462" s="22"/>
      <c r="T462" s="20"/>
      <c r="U462" s="20"/>
      <c r="V462" s="20"/>
      <c r="W462" s="19"/>
      <c r="X462" s="19"/>
      <c r="Y462" s="19"/>
      <c r="Z462" s="23"/>
    </row>
    <row r="463" spans="1:26" ht="15.75" customHeight="1" x14ac:dyDescent="0.2">
      <c r="A463" s="34"/>
      <c r="B463" s="34"/>
      <c r="C463" s="34"/>
      <c r="D463" s="34"/>
      <c r="E463" s="19"/>
      <c r="F463" s="19"/>
      <c r="G463" s="19"/>
      <c r="H463" s="19"/>
      <c r="I463" s="19"/>
      <c r="J463" s="19"/>
      <c r="K463" s="19"/>
      <c r="L463" s="19"/>
      <c r="M463" s="19"/>
      <c r="N463" s="19"/>
      <c r="O463" s="19"/>
      <c r="P463" s="20"/>
      <c r="Q463" s="20"/>
      <c r="R463" s="22"/>
      <c r="S463" s="22"/>
      <c r="T463" s="20"/>
      <c r="U463" s="20"/>
      <c r="V463" s="20"/>
      <c r="W463" s="19"/>
      <c r="X463" s="19"/>
      <c r="Y463" s="19"/>
      <c r="Z463" s="23"/>
    </row>
    <row r="464" spans="1:26" ht="15.75" customHeight="1" x14ac:dyDescent="0.2">
      <c r="A464" s="34"/>
      <c r="B464" s="34"/>
      <c r="C464" s="34"/>
      <c r="D464" s="34"/>
      <c r="E464" s="19"/>
      <c r="F464" s="19"/>
      <c r="G464" s="19"/>
      <c r="H464" s="19"/>
      <c r="I464" s="19"/>
      <c r="J464" s="19"/>
      <c r="K464" s="19"/>
      <c r="L464" s="19"/>
      <c r="M464" s="19"/>
      <c r="N464" s="19"/>
      <c r="O464" s="19"/>
      <c r="P464" s="20"/>
      <c r="Q464" s="20"/>
      <c r="R464" s="22"/>
      <c r="S464" s="22"/>
      <c r="T464" s="20"/>
      <c r="U464" s="20"/>
      <c r="V464" s="20"/>
      <c r="W464" s="19"/>
      <c r="X464" s="19"/>
      <c r="Y464" s="19"/>
      <c r="Z464" s="23"/>
    </row>
    <row r="465" spans="1:26" ht="15.75" customHeight="1" x14ac:dyDescent="0.2">
      <c r="A465" s="34"/>
      <c r="B465" s="34"/>
      <c r="C465" s="34"/>
      <c r="D465" s="34"/>
      <c r="E465" s="19"/>
      <c r="F465" s="19"/>
      <c r="G465" s="19"/>
      <c r="H465" s="19"/>
      <c r="I465" s="19"/>
      <c r="J465" s="19"/>
      <c r="K465" s="19"/>
      <c r="L465" s="19"/>
      <c r="M465" s="19"/>
      <c r="N465" s="19"/>
      <c r="O465" s="19"/>
      <c r="P465" s="20"/>
      <c r="Q465" s="20"/>
      <c r="R465" s="22"/>
      <c r="S465" s="22"/>
      <c r="T465" s="20"/>
      <c r="U465" s="20"/>
      <c r="V465" s="20"/>
      <c r="W465" s="19"/>
      <c r="X465" s="19"/>
      <c r="Y465" s="19"/>
      <c r="Z465" s="23"/>
    </row>
    <row r="466" spans="1:26" ht="15.75" customHeight="1" x14ac:dyDescent="0.2">
      <c r="A466" s="34"/>
      <c r="B466" s="34"/>
      <c r="C466" s="34"/>
      <c r="D466" s="34"/>
      <c r="E466" s="19"/>
      <c r="F466" s="19"/>
      <c r="G466" s="19"/>
      <c r="H466" s="19"/>
      <c r="I466" s="19"/>
      <c r="J466" s="19"/>
      <c r="K466" s="19"/>
      <c r="L466" s="19"/>
      <c r="M466" s="19"/>
      <c r="N466" s="19"/>
      <c r="O466" s="19"/>
      <c r="P466" s="20"/>
      <c r="Q466" s="20"/>
      <c r="R466" s="22"/>
      <c r="S466" s="22"/>
      <c r="T466" s="20"/>
      <c r="U466" s="20"/>
      <c r="V466" s="20"/>
      <c r="W466" s="19"/>
      <c r="X466" s="19"/>
      <c r="Y466" s="19"/>
      <c r="Z466" s="23"/>
    </row>
    <row r="467" spans="1:26" ht="15.75" customHeight="1" x14ac:dyDescent="0.2">
      <c r="A467" s="34"/>
      <c r="B467" s="34"/>
      <c r="C467" s="34"/>
      <c r="D467" s="34"/>
      <c r="E467" s="19"/>
      <c r="F467" s="19"/>
      <c r="G467" s="19"/>
      <c r="H467" s="19"/>
      <c r="I467" s="19"/>
      <c r="J467" s="19"/>
      <c r="K467" s="19"/>
      <c r="L467" s="19"/>
      <c r="M467" s="19"/>
      <c r="N467" s="19"/>
      <c r="O467" s="19"/>
      <c r="P467" s="20"/>
      <c r="Q467" s="20"/>
      <c r="R467" s="22"/>
      <c r="S467" s="22"/>
      <c r="T467" s="20"/>
      <c r="U467" s="20"/>
      <c r="V467" s="20"/>
      <c r="W467" s="19"/>
      <c r="X467" s="19"/>
      <c r="Y467" s="19"/>
      <c r="Z467" s="23"/>
    </row>
    <row r="468" spans="1:26" ht="15.75" customHeight="1" x14ac:dyDescent="0.2">
      <c r="A468" s="34"/>
      <c r="B468" s="34"/>
      <c r="C468" s="34"/>
      <c r="D468" s="34"/>
      <c r="E468" s="19"/>
      <c r="F468" s="19"/>
      <c r="G468" s="19"/>
      <c r="H468" s="19"/>
      <c r="I468" s="19"/>
      <c r="J468" s="19"/>
      <c r="K468" s="19"/>
      <c r="L468" s="19"/>
      <c r="M468" s="19"/>
      <c r="N468" s="19"/>
      <c r="O468" s="19"/>
      <c r="P468" s="20"/>
      <c r="Q468" s="20"/>
      <c r="R468" s="22"/>
      <c r="S468" s="22"/>
      <c r="T468" s="20"/>
      <c r="U468" s="20"/>
      <c r="V468" s="20"/>
      <c r="W468" s="19"/>
      <c r="X468" s="19"/>
      <c r="Y468" s="19"/>
      <c r="Z468" s="23"/>
    </row>
    <row r="469" spans="1:26" ht="15.75" customHeight="1" x14ac:dyDescent="0.2">
      <c r="A469" s="34"/>
      <c r="B469" s="34"/>
      <c r="C469" s="34"/>
      <c r="D469" s="34"/>
      <c r="E469" s="19"/>
      <c r="F469" s="19"/>
      <c r="G469" s="19"/>
      <c r="H469" s="19"/>
      <c r="I469" s="19"/>
      <c r="J469" s="19"/>
      <c r="K469" s="19"/>
      <c r="L469" s="19"/>
      <c r="M469" s="19"/>
      <c r="N469" s="19"/>
      <c r="O469" s="19"/>
      <c r="P469" s="20"/>
      <c r="Q469" s="20"/>
      <c r="R469" s="22"/>
      <c r="S469" s="22"/>
      <c r="T469" s="20"/>
      <c r="U469" s="20"/>
      <c r="V469" s="20"/>
      <c r="W469" s="19"/>
      <c r="X469" s="19"/>
      <c r="Y469" s="19"/>
      <c r="Z469" s="23"/>
    </row>
    <row r="470" spans="1:26" ht="15.75" customHeight="1" x14ac:dyDescent="0.2">
      <c r="A470" s="34"/>
      <c r="B470" s="34"/>
      <c r="C470" s="34"/>
      <c r="D470" s="34"/>
      <c r="E470" s="19"/>
      <c r="F470" s="19"/>
      <c r="G470" s="19"/>
      <c r="H470" s="19"/>
      <c r="I470" s="19"/>
      <c r="J470" s="19"/>
      <c r="K470" s="19"/>
      <c r="L470" s="19"/>
      <c r="M470" s="19"/>
      <c r="N470" s="19"/>
      <c r="O470" s="19"/>
      <c r="P470" s="20"/>
      <c r="Q470" s="20"/>
      <c r="R470" s="22"/>
      <c r="S470" s="22"/>
      <c r="T470" s="20"/>
      <c r="U470" s="20"/>
      <c r="V470" s="20"/>
      <c r="W470" s="19"/>
      <c r="X470" s="19"/>
      <c r="Y470" s="19"/>
      <c r="Z470" s="23"/>
    </row>
    <row r="471" spans="1:26" ht="15.75" customHeight="1" x14ac:dyDescent="0.2">
      <c r="A471" s="34"/>
      <c r="B471" s="34"/>
      <c r="C471" s="34"/>
      <c r="D471" s="34"/>
      <c r="E471" s="19"/>
      <c r="F471" s="19"/>
      <c r="G471" s="19"/>
      <c r="H471" s="19"/>
      <c r="I471" s="19"/>
      <c r="J471" s="19"/>
      <c r="K471" s="19"/>
      <c r="L471" s="19"/>
      <c r="M471" s="19"/>
      <c r="N471" s="19"/>
      <c r="O471" s="19"/>
      <c r="P471" s="20"/>
      <c r="Q471" s="20"/>
      <c r="R471" s="22"/>
      <c r="S471" s="22"/>
      <c r="T471" s="20"/>
      <c r="U471" s="20"/>
      <c r="V471" s="20"/>
      <c r="W471" s="19"/>
      <c r="X471" s="19"/>
      <c r="Y471" s="19"/>
      <c r="Z471" s="23"/>
    </row>
    <row r="472" spans="1:26" ht="15.75" customHeight="1" x14ac:dyDescent="0.2">
      <c r="A472" s="34"/>
      <c r="B472" s="34"/>
      <c r="C472" s="34"/>
      <c r="D472" s="34"/>
      <c r="E472" s="19"/>
      <c r="F472" s="19"/>
      <c r="G472" s="19"/>
      <c r="H472" s="19"/>
      <c r="I472" s="19"/>
      <c r="J472" s="19"/>
      <c r="K472" s="19"/>
      <c r="L472" s="19"/>
      <c r="M472" s="19"/>
      <c r="N472" s="19"/>
      <c r="O472" s="19"/>
      <c r="P472" s="20"/>
      <c r="Q472" s="20"/>
      <c r="R472" s="22"/>
      <c r="S472" s="22"/>
      <c r="T472" s="20"/>
      <c r="U472" s="20"/>
      <c r="V472" s="20"/>
      <c r="W472" s="19"/>
      <c r="X472" s="19"/>
      <c r="Y472" s="19"/>
      <c r="Z472" s="23"/>
    </row>
    <row r="473" spans="1:26" ht="15.75" customHeight="1" x14ac:dyDescent="0.2">
      <c r="A473" s="34"/>
      <c r="B473" s="34"/>
      <c r="C473" s="34"/>
      <c r="D473" s="34"/>
      <c r="E473" s="19"/>
      <c r="F473" s="19"/>
      <c r="G473" s="19"/>
      <c r="H473" s="19"/>
      <c r="I473" s="19"/>
      <c r="J473" s="19"/>
      <c r="K473" s="19"/>
      <c r="L473" s="19"/>
      <c r="M473" s="19"/>
      <c r="N473" s="19"/>
      <c r="O473" s="19"/>
      <c r="P473" s="20"/>
      <c r="Q473" s="20"/>
      <c r="R473" s="22"/>
      <c r="S473" s="22"/>
      <c r="T473" s="20"/>
      <c r="U473" s="20"/>
      <c r="V473" s="20"/>
      <c r="W473" s="19"/>
      <c r="X473" s="19"/>
      <c r="Y473" s="19"/>
      <c r="Z473" s="23"/>
    </row>
    <row r="474" spans="1:26" ht="15.75" customHeight="1" x14ac:dyDescent="0.2">
      <c r="A474" s="34"/>
      <c r="B474" s="34"/>
      <c r="C474" s="34"/>
      <c r="D474" s="34"/>
      <c r="E474" s="19"/>
      <c r="F474" s="19"/>
      <c r="G474" s="19"/>
      <c r="H474" s="19"/>
      <c r="I474" s="19"/>
      <c r="J474" s="19"/>
      <c r="K474" s="19"/>
      <c r="L474" s="19"/>
      <c r="M474" s="19"/>
      <c r="N474" s="19"/>
      <c r="O474" s="19"/>
      <c r="P474" s="20"/>
      <c r="Q474" s="20"/>
      <c r="R474" s="22"/>
      <c r="S474" s="22"/>
      <c r="T474" s="20"/>
      <c r="U474" s="20"/>
      <c r="V474" s="20"/>
      <c r="W474" s="19"/>
      <c r="X474" s="19"/>
      <c r="Y474" s="19"/>
      <c r="Z474" s="23"/>
    </row>
    <row r="475" spans="1:26" ht="15.75" customHeight="1" x14ac:dyDescent="0.2">
      <c r="A475" s="34"/>
      <c r="B475" s="34"/>
      <c r="C475" s="34"/>
      <c r="D475" s="34"/>
      <c r="E475" s="19"/>
      <c r="F475" s="19"/>
      <c r="G475" s="19"/>
      <c r="H475" s="19"/>
      <c r="I475" s="19"/>
      <c r="J475" s="19"/>
      <c r="K475" s="19"/>
      <c r="L475" s="19"/>
      <c r="M475" s="19"/>
      <c r="N475" s="19"/>
      <c r="O475" s="19"/>
      <c r="P475" s="20"/>
      <c r="Q475" s="20"/>
      <c r="R475" s="22"/>
      <c r="S475" s="22"/>
      <c r="T475" s="20"/>
      <c r="U475" s="20"/>
      <c r="V475" s="20"/>
      <c r="W475" s="19"/>
      <c r="X475" s="19"/>
      <c r="Y475" s="19"/>
      <c r="Z475" s="23"/>
    </row>
    <row r="476" spans="1:26" ht="15.75" customHeight="1" x14ac:dyDescent="0.2">
      <c r="A476" s="34"/>
      <c r="B476" s="34"/>
      <c r="C476" s="34"/>
      <c r="D476" s="34"/>
      <c r="E476" s="19"/>
      <c r="F476" s="19"/>
      <c r="G476" s="19"/>
      <c r="H476" s="19"/>
      <c r="I476" s="19"/>
      <c r="J476" s="19"/>
      <c r="K476" s="19"/>
      <c r="L476" s="19"/>
      <c r="M476" s="19"/>
      <c r="N476" s="19"/>
      <c r="O476" s="19"/>
      <c r="P476" s="20"/>
      <c r="Q476" s="20"/>
      <c r="R476" s="22"/>
      <c r="S476" s="22"/>
      <c r="T476" s="20"/>
      <c r="U476" s="20"/>
      <c r="V476" s="20"/>
      <c r="W476" s="19"/>
      <c r="X476" s="19"/>
      <c r="Y476" s="19"/>
      <c r="Z476" s="23"/>
    </row>
    <row r="477" spans="1:26" ht="15.75" customHeight="1" x14ac:dyDescent="0.2">
      <c r="A477" s="34"/>
      <c r="B477" s="34"/>
      <c r="C477" s="34"/>
      <c r="D477" s="34"/>
      <c r="E477" s="19"/>
      <c r="F477" s="19"/>
      <c r="G477" s="19"/>
      <c r="H477" s="19"/>
      <c r="I477" s="19"/>
      <c r="J477" s="19"/>
      <c r="K477" s="19"/>
      <c r="L477" s="19"/>
      <c r="M477" s="19"/>
      <c r="N477" s="19"/>
      <c r="O477" s="19"/>
      <c r="P477" s="20"/>
      <c r="Q477" s="20"/>
      <c r="R477" s="22"/>
      <c r="S477" s="22"/>
      <c r="T477" s="20"/>
      <c r="U477" s="20"/>
      <c r="V477" s="20"/>
      <c r="W477" s="19"/>
      <c r="X477" s="19"/>
      <c r="Y477" s="19"/>
      <c r="Z477" s="23"/>
    </row>
    <row r="478" spans="1:26" ht="15.75" customHeight="1" x14ac:dyDescent="0.2">
      <c r="A478" s="34"/>
      <c r="B478" s="34"/>
      <c r="C478" s="34"/>
      <c r="D478" s="34"/>
      <c r="E478" s="19"/>
      <c r="F478" s="19"/>
      <c r="G478" s="19"/>
      <c r="H478" s="19"/>
      <c r="I478" s="19"/>
      <c r="J478" s="19"/>
      <c r="K478" s="19"/>
      <c r="L478" s="19"/>
      <c r="M478" s="19"/>
      <c r="N478" s="19"/>
      <c r="O478" s="19"/>
      <c r="P478" s="20"/>
      <c r="Q478" s="20"/>
      <c r="R478" s="22"/>
      <c r="S478" s="22"/>
      <c r="T478" s="20"/>
      <c r="U478" s="20"/>
      <c r="V478" s="20"/>
      <c r="W478" s="19"/>
      <c r="X478" s="19"/>
      <c r="Y478" s="19"/>
      <c r="Z478" s="23"/>
    </row>
    <row r="479" spans="1:26" ht="15.75" customHeight="1" x14ac:dyDescent="0.2">
      <c r="A479" s="34"/>
      <c r="B479" s="34"/>
      <c r="C479" s="34"/>
      <c r="D479" s="34"/>
      <c r="E479" s="19"/>
      <c r="F479" s="19"/>
      <c r="G479" s="19"/>
      <c r="H479" s="19"/>
      <c r="I479" s="19"/>
      <c r="J479" s="19"/>
      <c r="K479" s="19"/>
      <c r="L479" s="19"/>
      <c r="M479" s="19"/>
      <c r="N479" s="19"/>
      <c r="O479" s="19"/>
      <c r="P479" s="20"/>
      <c r="Q479" s="20"/>
      <c r="R479" s="22"/>
      <c r="S479" s="22"/>
      <c r="T479" s="20"/>
      <c r="U479" s="20"/>
      <c r="V479" s="20"/>
      <c r="W479" s="19"/>
      <c r="X479" s="19"/>
      <c r="Y479" s="19"/>
      <c r="Z479" s="23"/>
    </row>
    <row r="480" spans="1:26" ht="15.75" customHeight="1" x14ac:dyDescent="0.2">
      <c r="A480" s="34"/>
      <c r="B480" s="34"/>
      <c r="C480" s="34"/>
      <c r="D480" s="34"/>
      <c r="E480" s="19"/>
      <c r="F480" s="19"/>
      <c r="G480" s="19"/>
      <c r="H480" s="19"/>
      <c r="I480" s="19"/>
      <c r="J480" s="19"/>
      <c r="K480" s="19"/>
      <c r="L480" s="19"/>
      <c r="M480" s="19"/>
      <c r="N480" s="19"/>
      <c r="O480" s="19"/>
      <c r="P480" s="20"/>
      <c r="Q480" s="20"/>
      <c r="R480" s="22"/>
      <c r="S480" s="22"/>
      <c r="T480" s="20"/>
      <c r="U480" s="20"/>
      <c r="V480" s="20"/>
      <c r="W480" s="19"/>
      <c r="X480" s="19"/>
      <c r="Y480" s="19"/>
      <c r="Z480" s="23"/>
    </row>
    <row r="481" spans="1:26" ht="15.75" customHeight="1" x14ac:dyDescent="0.2">
      <c r="A481" s="34"/>
      <c r="B481" s="34"/>
      <c r="C481" s="34"/>
      <c r="D481" s="34"/>
      <c r="E481" s="19"/>
      <c r="F481" s="19"/>
      <c r="G481" s="19"/>
      <c r="H481" s="19"/>
      <c r="I481" s="19"/>
      <c r="J481" s="19"/>
      <c r="K481" s="19"/>
      <c r="L481" s="19"/>
      <c r="M481" s="19"/>
      <c r="N481" s="19"/>
      <c r="O481" s="19"/>
      <c r="P481" s="20"/>
      <c r="Q481" s="20"/>
      <c r="R481" s="22"/>
      <c r="S481" s="22"/>
      <c r="T481" s="20"/>
      <c r="U481" s="20"/>
      <c r="V481" s="20"/>
      <c r="W481" s="19"/>
      <c r="X481" s="19"/>
      <c r="Y481" s="19"/>
      <c r="Z481" s="23"/>
    </row>
    <row r="482" spans="1:26" ht="15.75" customHeight="1" x14ac:dyDescent="0.2">
      <c r="A482" s="34"/>
      <c r="B482" s="34"/>
      <c r="C482" s="34"/>
      <c r="D482" s="34"/>
      <c r="E482" s="19"/>
      <c r="F482" s="19"/>
      <c r="G482" s="19"/>
      <c r="H482" s="19"/>
      <c r="I482" s="19"/>
      <c r="J482" s="19"/>
      <c r="K482" s="19"/>
      <c r="L482" s="19"/>
      <c r="M482" s="19"/>
      <c r="N482" s="19"/>
      <c r="O482" s="19"/>
      <c r="P482" s="20"/>
      <c r="Q482" s="20"/>
      <c r="R482" s="22"/>
      <c r="S482" s="22"/>
      <c r="T482" s="20"/>
      <c r="U482" s="20"/>
      <c r="V482" s="20"/>
      <c r="W482" s="19"/>
      <c r="X482" s="19"/>
      <c r="Y482" s="19"/>
      <c r="Z482" s="23"/>
    </row>
    <row r="483" spans="1:26" ht="15.75" customHeight="1" x14ac:dyDescent="0.2">
      <c r="A483" s="34"/>
      <c r="B483" s="34"/>
      <c r="C483" s="34"/>
      <c r="D483" s="34"/>
      <c r="E483" s="19"/>
      <c r="F483" s="19"/>
      <c r="G483" s="19"/>
      <c r="H483" s="19"/>
      <c r="I483" s="19"/>
      <c r="J483" s="19"/>
      <c r="K483" s="19"/>
      <c r="L483" s="19"/>
      <c r="M483" s="19"/>
      <c r="N483" s="19"/>
      <c r="O483" s="19"/>
      <c r="P483" s="20"/>
      <c r="Q483" s="20"/>
      <c r="R483" s="22"/>
      <c r="S483" s="22"/>
      <c r="T483" s="20"/>
      <c r="U483" s="20"/>
      <c r="V483" s="20"/>
      <c r="W483" s="19"/>
      <c r="X483" s="19"/>
      <c r="Y483" s="19"/>
      <c r="Z483" s="23"/>
    </row>
    <row r="484" spans="1:26" ht="15.75" customHeight="1" x14ac:dyDescent="0.2">
      <c r="A484" s="34"/>
      <c r="B484" s="34"/>
      <c r="C484" s="34"/>
      <c r="D484" s="34"/>
      <c r="E484" s="19"/>
      <c r="F484" s="19"/>
      <c r="G484" s="19"/>
      <c r="H484" s="19"/>
      <c r="I484" s="19"/>
      <c r="J484" s="19"/>
      <c r="K484" s="19"/>
      <c r="L484" s="19"/>
      <c r="M484" s="19"/>
      <c r="N484" s="19"/>
      <c r="O484" s="19"/>
      <c r="P484" s="20"/>
      <c r="Q484" s="20"/>
      <c r="R484" s="22"/>
      <c r="S484" s="22"/>
      <c r="T484" s="20"/>
      <c r="U484" s="20"/>
      <c r="V484" s="20"/>
      <c r="W484" s="19"/>
      <c r="X484" s="19"/>
      <c r="Y484" s="19"/>
      <c r="Z484" s="23"/>
    </row>
    <row r="485" spans="1:26" ht="15.75" customHeight="1" x14ac:dyDescent="0.2">
      <c r="A485" s="34"/>
      <c r="B485" s="34"/>
      <c r="C485" s="34"/>
      <c r="D485" s="34"/>
      <c r="E485" s="19"/>
      <c r="F485" s="19"/>
      <c r="G485" s="19"/>
      <c r="H485" s="19"/>
      <c r="I485" s="19"/>
      <c r="J485" s="19"/>
      <c r="K485" s="19"/>
      <c r="L485" s="19"/>
      <c r="M485" s="19"/>
      <c r="N485" s="19"/>
      <c r="O485" s="19"/>
      <c r="P485" s="20"/>
      <c r="Q485" s="20"/>
      <c r="R485" s="22"/>
      <c r="S485" s="22"/>
      <c r="T485" s="20"/>
      <c r="U485" s="20"/>
      <c r="V485" s="20"/>
      <c r="W485" s="19"/>
      <c r="X485" s="19"/>
      <c r="Y485" s="19"/>
      <c r="Z485" s="23"/>
    </row>
    <row r="486" spans="1:26" ht="15.75" customHeight="1" x14ac:dyDescent="0.2">
      <c r="A486" s="34"/>
      <c r="B486" s="34"/>
      <c r="C486" s="34"/>
      <c r="D486" s="34"/>
      <c r="E486" s="19"/>
      <c r="F486" s="19"/>
      <c r="G486" s="19"/>
      <c r="H486" s="19"/>
      <c r="I486" s="19"/>
      <c r="J486" s="19"/>
      <c r="K486" s="19"/>
      <c r="L486" s="19"/>
      <c r="M486" s="19"/>
      <c r="N486" s="19"/>
      <c r="O486" s="19"/>
      <c r="P486" s="20"/>
      <c r="Q486" s="20"/>
      <c r="R486" s="22"/>
      <c r="S486" s="22"/>
      <c r="T486" s="20"/>
      <c r="U486" s="20"/>
      <c r="V486" s="20"/>
      <c r="W486" s="19"/>
      <c r="X486" s="19"/>
      <c r="Y486" s="19"/>
      <c r="Z486" s="23"/>
    </row>
    <row r="487" spans="1:26" ht="15.75" customHeight="1" x14ac:dyDescent="0.2">
      <c r="A487" s="34"/>
      <c r="B487" s="34"/>
      <c r="C487" s="34"/>
      <c r="D487" s="34"/>
      <c r="E487" s="19"/>
      <c r="F487" s="19"/>
      <c r="G487" s="19"/>
      <c r="H487" s="19"/>
      <c r="I487" s="19"/>
      <c r="J487" s="19"/>
      <c r="K487" s="19"/>
      <c r="L487" s="19"/>
      <c r="M487" s="19"/>
      <c r="N487" s="19"/>
      <c r="O487" s="19"/>
      <c r="P487" s="20"/>
      <c r="Q487" s="20"/>
      <c r="R487" s="22"/>
      <c r="S487" s="22"/>
      <c r="T487" s="20"/>
      <c r="U487" s="20"/>
      <c r="V487" s="20"/>
      <c r="W487" s="19"/>
      <c r="X487" s="19"/>
      <c r="Y487" s="19"/>
      <c r="Z487" s="23"/>
    </row>
    <row r="488" spans="1:26" ht="15.75" customHeight="1" x14ac:dyDescent="0.2">
      <c r="A488" s="34"/>
      <c r="B488" s="34"/>
      <c r="C488" s="34"/>
      <c r="D488" s="34"/>
      <c r="E488" s="19"/>
      <c r="F488" s="19"/>
      <c r="G488" s="19"/>
      <c r="H488" s="19"/>
      <c r="I488" s="19"/>
      <c r="J488" s="19"/>
      <c r="K488" s="19"/>
      <c r="L488" s="19"/>
      <c r="M488" s="19"/>
      <c r="N488" s="19"/>
      <c r="O488" s="19"/>
      <c r="P488" s="20"/>
      <c r="Q488" s="20"/>
      <c r="R488" s="22"/>
      <c r="S488" s="22"/>
      <c r="T488" s="20"/>
      <c r="U488" s="20"/>
      <c r="V488" s="20"/>
      <c r="W488" s="19"/>
      <c r="X488" s="19"/>
      <c r="Y488" s="19"/>
      <c r="Z488" s="23"/>
    </row>
    <row r="489" spans="1:26" ht="15.75" customHeight="1" x14ac:dyDescent="0.2">
      <c r="A489" s="34"/>
      <c r="B489" s="34"/>
      <c r="C489" s="34"/>
      <c r="D489" s="34"/>
      <c r="E489" s="19"/>
      <c r="F489" s="19"/>
      <c r="G489" s="19"/>
      <c r="H489" s="19"/>
      <c r="I489" s="19"/>
      <c r="J489" s="19"/>
      <c r="K489" s="19"/>
      <c r="L489" s="19"/>
      <c r="M489" s="19"/>
      <c r="N489" s="19"/>
      <c r="O489" s="19"/>
      <c r="P489" s="20"/>
      <c r="Q489" s="20"/>
      <c r="R489" s="22"/>
      <c r="S489" s="22"/>
      <c r="T489" s="20"/>
      <c r="U489" s="20"/>
      <c r="V489" s="20"/>
      <c r="W489" s="19"/>
      <c r="X489" s="19"/>
      <c r="Y489" s="19"/>
      <c r="Z489" s="23"/>
    </row>
    <row r="490" spans="1:26" ht="15.75" customHeight="1" x14ac:dyDescent="0.2">
      <c r="A490" s="34"/>
      <c r="B490" s="34"/>
      <c r="C490" s="34"/>
      <c r="D490" s="34"/>
      <c r="E490" s="19"/>
      <c r="F490" s="19"/>
      <c r="G490" s="19"/>
      <c r="H490" s="19"/>
      <c r="I490" s="19"/>
      <c r="J490" s="19"/>
      <c r="K490" s="19"/>
      <c r="L490" s="19"/>
      <c r="M490" s="19"/>
      <c r="N490" s="19"/>
      <c r="O490" s="19"/>
      <c r="P490" s="20"/>
      <c r="Q490" s="20"/>
      <c r="R490" s="22"/>
      <c r="S490" s="22"/>
      <c r="T490" s="20"/>
      <c r="U490" s="20"/>
      <c r="V490" s="20"/>
      <c r="W490" s="19"/>
      <c r="X490" s="19"/>
      <c r="Y490" s="19"/>
      <c r="Z490" s="23"/>
    </row>
    <row r="491" spans="1:26" ht="15.75" customHeight="1" x14ac:dyDescent="0.2">
      <c r="A491" s="34"/>
      <c r="B491" s="34"/>
      <c r="C491" s="34"/>
      <c r="D491" s="34"/>
      <c r="E491" s="19"/>
      <c r="F491" s="19"/>
      <c r="G491" s="19"/>
      <c r="H491" s="19"/>
      <c r="I491" s="19"/>
      <c r="J491" s="19"/>
      <c r="K491" s="19"/>
      <c r="L491" s="19"/>
      <c r="M491" s="19"/>
      <c r="N491" s="19"/>
      <c r="O491" s="19"/>
      <c r="P491" s="20"/>
      <c r="Q491" s="20"/>
      <c r="R491" s="22"/>
      <c r="S491" s="22"/>
      <c r="T491" s="20"/>
      <c r="U491" s="20"/>
      <c r="V491" s="20"/>
      <c r="W491" s="19"/>
      <c r="X491" s="19"/>
      <c r="Y491" s="19"/>
      <c r="Z491" s="23"/>
    </row>
    <row r="492" spans="1:26" ht="15.75" customHeight="1" x14ac:dyDescent="0.2">
      <c r="A492" s="34"/>
      <c r="B492" s="34"/>
      <c r="C492" s="34"/>
      <c r="D492" s="34"/>
      <c r="E492" s="19"/>
      <c r="F492" s="19"/>
      <c r="G492" s="19"/>
      <c r="H492" s="19"/>
      <c r="I492" s="19"/>
      <c r="J492" s="19"/>
      <c r="K492" s="19"/>
      <c r="L492" s="19"/>
      <c r="M492" s="19"/>
      <c r="N492" s="19"/>
      <c r="O492" s="19"/>
      <c r="P492" s="20"/>
      <c r="Q492" s="20"/>
      <c r="R492" s="22"/>
      <c r="S492" s="22"/>
      <c r="T492" s="20"/>
      <c r="U492" s="20"/>
      <c r="V492" s="20"/>
      <c r="W492" s="19"/>
      <c r="X492" s="19"/>
      <c r="Y492" s="19"/>
      <c r="Z492" s="23"/>
    </row>
    <row r="493" spans="1:26" ht="15.75" customHeight="1" x14ac:dyDescent="0.2">
      <c r="A493" s="34"/>
      <c r="B493" s="34"/>
      <c r="C493" s="34"/>
      <c r="D493" s="34"/>
      <c r="E493" s="19"/>
      <c r="F493" s="19"/>
      <c r="G493" s="19"/>
      <c r="H493" s="19"/>
      <c r="I493" s="19"/>
      <c r="J493" s="19"/>
      <c r="K493" s="19"/>
      <c r="L493" s="19"/>
      <c r="M493" s="19"/>
      <c r="N493" s="19"/>
      <c r="O493" s="19"/>
      <c r="P493" s="20"/>
      <c r="Q493" s="20"/>
      <c r="R493" s="22"/>
      <c r="S493" s="22"/>
      <c r="T493" s="20"/>
      <c r="U493" s="20"/>
      <c r="V493" s="20"/>
      <c r="W493" s="19"/>
      <c r="X493" s="19"/>
      <c r="Y493" s="19"/>
      <c r="Z493" s="23"/>
    </row>
    <row r="494" spans="1:26" ht="15.75" customHeight="1" x14ac:dyDescent="0.2">
      <c r="A494" s="34"/>
      <c r="B494" s="34"/>
      <c r="C494" s="34"/>
      <c r="D494" s="34"/>
      <c r="E494" s="19"/>
      <c r="F494" s="19"/>
      <c r="G494" s="19"/>
      <c r="H494" s="19"/>
      <c r="I494" s="19"/>
      <c r="J494" s="19"/>
      <c r="K494" s="19"/>
      <c r="L494" s="19"/>
      <c r="M494" s="19"/>
      <c r="N494" s="19"/>
      <c r="O494" s="19"/>
      <c r="P494" s="20"/>
      <c r="Q494" s="20"/>
      <c r="R494" s="22"/>
      <c r="S494" s="22"/>
      <c r="T494" s="20"/>
      <c r="U494" s="20"/>
      <c r="V494" s="20"/>
      <c r="W494" s="19"/>
      <c r="X494" s="19"/>
      <c r="Y494" s="19"/>
      <c r="Z494" s="23"/>
    </row>
    <row r="495" spans="1:26" ht="15.75" customHeight="1" x14ac:dyDescent="0.2">
      <c r="A495" s="34"/>
      <c r="B495" s="34"/>
      <c r="C495" s="34"/>
      <c r="D495" s="34"/>
      <c r="E495" s="19"/>
      <c r="F495" s="19"/>
      <c r="G495" s="19"/>
      <c r="H495" s="19"/>
      <c r="I495" s="19"/>
      <c r="J495" s="19"/>
      <c r="K495" s="19"/>
      <c r="L495" s="19"/>
      <c r="M495" s="19"/>
      <c r="N495" s="19"/>
      <c r="O495" s="19"/>
      <c r="P495" s="20"/>
      <c r="Q495" s="20"/>
      <c r="R495" s="22"/>
      <c r="S495" s="22"/>
      <c r="T495" s="20"/>
      <c r="U495" s="20"/>
      <c r="V495" s="20"/>
      <c r="W495" s="19"/>
      <c r="X495" s="19"/>
      <c r="Y495" s="19"/>
      <c r="Z495" s="23"/>
    </row>
    <row r="496" spans="1:26" ht="15.75" customHeight="1" x14ac:dyDescent="0.2">
      <c r="A496" s="34"/>
      <c r="B496" s="34"/>
      <c r="C496" s="34"/>
      <c r="D496" s="34"/>
      <c r="E496" s="19"/>
      <c r="F496" s="19"/>
      <c r="G496" s="19"/>
      <c r="H496" s="19"/>
      <c r="I496" s="19"/>
      <c r="J496" s="19"/>
      <c r="K496" s="19"/>
      <c r="L496" s="19"/>
      <c r="M496" s="19"/>
      <c r="N496" s="19"/>
      <c r="O496" s="19"/>
      <c r="P496" s="20"/>
      <c r="Q496" s="20"/>
      <c r="R496" s="22"/>
      <c r="S496" s="22"/>
      <c r="T496" s="20"/>
      <c r="U496" s="20"/>
      <c r="V496" s="20"/>
      <c r="W496" s="19"/>
      <c r="X496" s="19"/>
      <c r="Y496" s="19"/>
      <c r="Z496" s="23"/>
    </row>
    <row r="497" spans="1:26" ht="15.75" customHeight="1" x14ac:dyDescent="0.2">
      <c r="A497" s="34"/>
      <c r="B497" s="34"/>
      <c r="C497" s="34"/>
      <c r="D497" s="34"/>
      <c r="E497" s="19"/>
      <c r="F497" s="19"/>
      <c r="G497" s="19"/>
      <c r="H497" s="19"/>
      <c r="I497" s="19"/>
      <c r="J497" s="19"/>
      <c r="K497" s="19"/>
      <c r="L497" s="19"/>
      <c r="M497" s="19"/>
      <c r="N497" s="19"/>
      <c r="O497" s="19"/>
      <c r="P497" s="20"/>
      <c r="Q497" s="20"/>
      <c r="R497" s="22"/>
      <c r="S497" s="22"/>
      <c r="T497" s="20"/>
      <c r="U497" s="20"/>
      <c r="V497" s="20"/>
      <c r="W497" s="19"/>
      <c r="X497" s="19"/>
      <c r="Y497" s="19"/>
      <c r="Z497" s="23"/>
    </row>
    <row r="498" spans="1:26" ht="15.75" customHeight="1" x14ac:dyDescent="0.2">
      <c r="A498" s="34"/>
      <c r="B498" s="34"/>
      <c r="C498" s="34"/>
      <c r="D498" s="34"/>
      <c r="E498" s="19"/>
      <c r="F498" s="19"/>
      <c r="G498" s="19"/>
      <c r="H498" s="19"/>
      <c r="I498" s="19"/>
      <c r="J498" s="19"/>
      <c r="K498" s="19"/>
      <c r="L498" s="19"/>
      <c r="M498" s="19"/>
      <c r="N498" s="19"/>
      <c r="O498" s="19"/>
      <c r="P498" s="20"/>
      <c r="Q498" s="20"/>
      <c r="R498" s="22"/>
      <c r="S498" s="22"/>
      <c r="T498" s="20"/>
      <c r="U498" s="20"/>
      <c r="V498" s="20"/>
      <c r="W498" s="19"/>
      <c r="X498" s="19"/>
      <c r="Y498" s="19"/>
      <c r="Z498" s="23"/>
    </row>
    <row r="499" spans="1:26" ht="15.75" customHeight="1" x14ac:dyDescent="0.2">
      <c r="A499" s="34"/>
      <c r="B499" s="34"/>
      <c r="C499" s="34"/>
      <c r="D499" s="34"/>
      <c r="E499" s="19"/>
      <c r="F499" s="19"/>
      <c r="G499" s="19"/>
      <c r="H499" s="19"/>
      <c r="I499" s="19"/>
      <c r="J499" s="19"/>
      <c r="K499" s="19"/>
      <c r="L499" s="19"/>
      <c r="M499" s="19"/>
      <c r="N499" s="19"/>
      <c r="O499" s="19"/>
      <c r="P499" s="20"/>
      <c r="Q499" s="20"/>
      <c r="R499" s="22"/>
      <c r="S499" s="22"/>
      <c r="T499" s="20"/>
      <c r="U499" s="20"/>
      <c r="V499" s="20"/>
      <c r="W499" s="19"/>
      <c r="X499" s="19"/>
      <c r="Y499" s="19"/>
      <c r="Z499" s="23"/>
    </row>
    <row r="500" spans="1:26" ht="15.75" customHeight="1" x14ac:dyDescent="0.2">
      <c r="A500" s="34"/>
      <c r="B500" s="34"/>
      <c r="C500" s="34"/>
      <c r="D500" s="34"/>
      <c r="E500" s="19"/>
      <c r="F500" s="19"/>
      <c r="G500" s="19"/>
      <c r="H500" s="19"/>
      <c r="I500" s="19"/>
      <c r="J500" s="19"/>
      <c r="K500" s="19"/>
      <c r="L500" s="19"/>
      <c r="M500" s="19"/>
      <c r="N500" s="19"/>
      <c r="O500" s="19"/>
      <c r="P500" s="20"/>
      <c r="Q500" s="20"/>
      <c r="R500" s="22"/>
      <c r="S500" s="22"/>
      <c r="T500" s="20"/>
      <c r="U500" s="20"/>
      <c r="V500" s="20"/>
      <c r="W500" s="19"/>
      <c r="X500" s="19"/>
      <c r="Y500" s="19"/>
      <c r="Z500" s="23"/>
    </row>
    <row r="501" spans="1:26" ht="15.75" customHeight="1" x14ac:dyDescent="0.2">
      <c r="A501" s="34"/>
      <c r="B501" s="34"/>
      <c r="C501" s="34"/>
      <c r="D501" s="34"/>
      <c r="E501" s="19"/>
      <c r="F501" s="19"/>
      <c r="G501" s="19"/>
      <c r="H501" s="19"/>
      <c r="I501" s="19"/>
      <c r="J501" s="19"/>
      <c r="K501" s="19"/>
      <c r="L501" s="19"/>
      <c r="M501" s="19"/>
      <c r="N501" s="19"/>
      <c r="O501" s="19"/>
      <c r="P501" s="20"/>
      <c r="Q501" s="20"/>
      <c r="R501" s="22"/>
      <c r="S501" s="22"/>
      <c r="T501" s="20"/>
      <c r="U501" s="20"/>
      <c r="V501" s="20"/>
      <c r="W501" s="19"/>
      <c r="X501" s="19"/>
      <c r="Y501" s="19"/>
      <c r="Z501" s="23"/>
    </row>
    <row r="502" spans="1:26" ht="15.75" customHeight="1" x14ac:dyDescent="0.2">
      <c r="A502" s="34"/>
      <c r="B502" s="34"/>
      <c r="C502" s="34"/>
      <c r="D502" s="34"/>
      <c r="E502" s="19"/>
      <c r="F502" s="19"/>
      <c r="G502" s="19"/>
      <c r="H502" s="19"/>
      <c r="I502" s="19"/>
      <c r="J502" s="19"/>
      <c r="K502" s="19"/>
      <c r="L502" s="19"/>
      <c r="M502" s="19"/>
      <c r="N502" s="19"/>
      <c r="O502" s="19"/>
      <c r="P502" s="20"/>
      <c r="Q502" s="20"/>
      <c r="R502" s="22"/>
      <c r="S502" s="22"/>
      <c r="T502" s="20"/>
      <c r="U502" s="20"/>
      <c r="V502" s="20"/>
      <c r="W502" s="19"/>
      <c r="X502" s="19"/>
      <c r="Y502" s="19"/>
      <c r="Z502" s="23"/>
    </row>
    <row r="503" spans="1:26" ht="15.75" customHeight="1" x14ac:dyDescent="0.2">
      <c r="A503" s="34"/>
      <c r="B503" s="34"/>
      <c r="C503" s="34"/>
      <c r="D503" s="34"/>
      <c r="E503" s="19"/>
      <c r="F503" s="19"/>
      <c r="G503" s="19"/>
      <c r="H503" s="19"/>
      <c r="I503" s="19"/>
      <c r="J503" s="19"/>
      <c r="K503" s="19"/>
      <c r="L503" s="19"/>
      <c r="M503" s="19"/>
      <c r="N503" s="19"/>
      <c r="O503" s="19"/>
      <c r="P503" s="20"/>
      <c r="Q503" s="20"/>
      <c r="R503" s="22"/>
      <c r="S503" s="22"/>
      <c r="T503" s="20"/>
      <c r="U503" s="20"/>
      <c r="V503" s="20"/>
      <c r="W503" s="19"/>
      <c r="X503" s="19"/>
      <c r="Y503" s="19"/>
      <c r="Z503" s="23"/>
    </row>
    <row r="504" spans="1:26" ht="15.75" customHeight="1" x14ac:dyDescent="0.2">
      <c r="A504" s="34"/>
      <c r="B504" s="34"/>
      <c r="C504" s="34"/>
      <c r="D504" s="34"/>
      <c r="E504" s="19"/>
      <c r="F504" s="19"/>
      <c r="G504" s="19"/>
      <c r="H504" s="19"/>
      <c r="I504" s="19"/>
      <c r="J504" s="19"/>
      <c r="K504" s="19"/>
      <c r="L504" s="19"/>
      <c r="M504" s="19"/>
      <c r="N504" s="19"/>
      <c r="O504" s="19"/>
      <c r="P504" s="20"/>
      <c r="Q504" s="20"/>
      <c r="R504" s="22"/>
      <c r="S504" s="22"/>
      <c r="T504" s="20"/>
      <c r="U504" s="20"/>
      <c r="V504" s="20"/>
      <c r="W504" s="19"/>
      <c r="X504" s="19"/>
      <c r="Y504" s="19"/>
      <c r="Z504" s="23"/>
    </row>
    <row r="505" spans="1:26" ht="15.75" customHeight="1" x14ac:dyDescent="0.2">
      <c r="A505" s="34"/>
      <c r="B505" s="34"/>
      <c r="C505" s="34"/>
      <c r="D505" s="34"/>
      <c r="E505" s="19"/>
      <c r="F505" s="19"/>
      <c r="G505" s="19"/>
      <c r="H505" s="19"/>
      <c r="I505" s="19"/>
      <c r="J505" s="19"/>
      <c r="K505" s="19"/>
      <c r="L505" s="19"/>
      <c r="M505" s="19"/>
      <c r="N505" s="19"/>
      <c r="O505" s="19"/>
      <c r="P505" s="20"/>
      <c r="Q505" s="20"/>
      <c r="R505" s="22"/>
      <c r="S505" s="22"/>
      <c r="T505" s="20"/>
      <c r="U505" s="20"/>
      <c r="V505" s="20"/>
      <c r="W505" s="19"/>
      <c r="X505" s="19"/>
      <c r="Y505" s="19"/>
      <c r="Z505" s="23"/>
    </row>
    <row r="506" spans="1:26" ht="15.75" customHeight="1" x14ac:dyDescent="0.2">
      <c r="A506" s="34"/>
      <c r="B506" s="34"/>
      <c r="C506" s="34"/>
      <c r="D506" s="34"/>
      <c r="E506" s="19"/>
      <c r="F506" s="19"/>
      <c r="G506" s="19"/>
      <c r="H506" s="19"/>
      <c r="I506" s="19"/>
      <c r="J506" s="19"/>
      <c r="K506" s="19"/>
      <c r="L506" s="19"/>
      <c r="M506" s="19"/>
      <c r="N506" s="19"/>
      <c r="O506" s="19"/>
      <c r="P506" s="20"/>
      <c r="Q506" s="20"/>
      <c r="R506" s="22"/>
      <c r="S506" s="22"/>
      <c r="T506" s="20"/>
      <c r="U506" s="20"/>
      <c r="V506" s="20"/>
      <c r="W506" s="19"/>
      <c r="X506" s="19"/>
      <c r="Y506" s="19"/>
      <c r="Z506" s="23"/>
    </row>
    <row r="507" spans="1:26" ht="15.75" customHeight="1" x14ac:dyDescent="0.2">
      <c r="A507" s="34"/>
      <c r="B507" s="34"/>
      <c r="C507" s="34"/>
      <c r="D507" s="34"/>
      <c r="E507" s="19"/>
      <c r="F507" s="19"/>
      <c r="G507" s="19"/>
      <c r="H507" s="19"/>
      <c r="I507" s="19"/>
      <c r="J507" s="19"/>
      <c r="K507" s="19"/>
      <c r="L507" s="19"/>
      <c r="M507" s="19"/>
      <c r="N507" s="19"/>
      <c r="O507" s="19"/>
      <c r="P507" s="20"/>
      <c r="Q507" s="20"/>
      <c r="R507" s="22"/>
      <c r="S507" s="22"/>
      <c r="T507" s="20"/>
      <c r="U507" s="20"/>
      <c r="V507" s="20"/>
      <c r="W507" s="19"/>
      <c r="X507" s="19"/>
      <c r="Y507" s="19"/>
      <c r="Z507" s="23"/>
    </row>
    <row r="508" spans="1:26" ht="15.75" customHeight="1" x14ac:dyDescent="0.2">
      <c r="A508" s="34"/>
      <c r="B508" s="34"/>
      <c r="C508" s="34"/>
      <c r="D508" s="34"/>
      <c r="E508" s="19"/>
      <c r="F508" s="19"/>
      <c r="G508" s="19"/>
      <c r="H508" s="19"/>
      <c r="I508" s="19"/>
      <c r="J508" s="19"/>
      <c r="K508" s="19"/>
      <c r="L508" s="19"/>
      <c r="M508" s="19"/>
      <c r="N508" s="19"/>
      <c r="O508" s="19"/>
      <c r="P508" s="20"/>
      <c r="Q508" s="20"/>
      <c r="R508" s="22"/>
      <c r="S508" s="22"/>
      <c r="T508" s="20"/>
      <c r="U508" s="20"/>
      <c r="V508" s="20"/>
      <c r="W508" s="19"/>
      <c r="X508" s="19"/>
      <c r="Y508" s="19"/>
      <c r="Z508" s="23"/>
    </row>
    <row r="509" spans="1:26" ht="15.75" customHeight="1" x14ac:dyDescent="0.2">
      <c r="A509" s="34"/>
      <c r="B509" s="34"/>
      <c r="C509" s="34"/>
      <c r="D509" s="34"/>
      <c r="E509" s="19"/>
      <c r="F509" s="19"/>
      <c r="G509" s="19"/>
      <c r="H509" s="19"/>
      <c r="I509" s="19"/>
      <c r="J509" s="19"/>
      <c r="K509" s="19"/>
      <c r="L509" s="19"/>
      <c r="M509" s="19"/>
      <c r="N509" s="19"/>
      <c r="O509" s="19"/>
      <c r="P509" s="20"/>
      <c r="Q509" s="20"/>
      <c r="R509" s="22"/>
      <c r="S509" s="22"/>
      <c r="T509" s="20"/>
      <c r="U509" s="20"/>
      <c r="V509" s="20"/>
      <c r="W509" s="19"/>
      <c r="X509" s="19"/>
      <c r="Y509" s="19"/>
      <c r="Z509" s="23"/>
    </row>
    <row r="510" spans="1:26" ht="15.75" customHeight="1" x14ac:dyDescent="0.2">
      <c r="A510" s="34"/>
      <c r="B510" s="34"/>
      <c r="C510" s="34"/>
      <c r="D510" s="34"/>
      <c r="E510" s="19"/>
      <c r="F510" s="19"/>
      <c r="G510" s="19"/>
      <c r="H510" s="19"/>
      <c r="I510" s="19"/>
      <c r="J510" s="19"/>
      <c r="K510" s="19"/>
      <c r="L510" s="19"/>
      <c r="M510" s="19"/>
      <c r="N510" s="19"/>
      <c r="O510" s="19"/>
      <c r="P510" s="20"/>
      <c r="Q510" s="20"/>
      <c r="R510" s="22"/>
      <c r="S510" s="22"/>
      <c r="T510" s="20"/>
      <c r="U510" s="20"/>
      <c r="V510" s="20"/>
      <c r="W510" s="19"/>
      <c r="X510" s="19"/>
      <c r="Y510" s="19"/>
      <c r="Z510" s="23"/>
    </row>
    <row r="511" spans="1:26" ht="15.75" customHeight="1" x14ac:dyDescent="0.2">
      <c r="A511" s="34"/>
      <c r="B511" s="34"/>
      <c r="C511" s="34"/>
      <c r="D511" s="34"/>
      <c r="E511" s="19"/>
      <c r="F511" s="19"/>
      <c r="G511" s="19"/>
      <c r="H511" s="19"/>
      <c r="I511" s="19"/>
      <c r="J511" s="19"/>
      <c r="K511" s="19"/>
      <c r="L511" s="19"/>
      <c r="M511" s="19"/>
      <c r="N511" s="19"/>
      <c r="O511" s="19"/>
      <c r="P511" s="20"/>
      <c r="Q511" s="20"/>
      <c r="R511" s="22"/>
      <c r="S511" s="22"/>
      <c r="T511" s="20"/>
      <c r="U511" s="20"/>
      <c r="V511" s="20"/>
      <c r="W511" s="19"/>
      <c r="X511" s="19"/>
      <c r="Y511" s="19"/>
      <c r="Z511" s="23"/>
    </row>
    <row r="512" spans="1:26" ht="15.75" customHeight="1" x14ac:dyDescent="0.2">
      <c r="A512" s="34"/>
      <c r="B512" s="34"/>
      <c r="C512" s="34"/>
      <c r="D512" s="34"/>
      <c r="E512" s="19"/>
      <c r="F512" s="19"/>
      <c r="G512" s="19"/>
      <c r="H512" s="19"/>
      <c r="I512" s="19"/>
      <c r="J512" s="19"/>
      <c r="K512" s="19"/>
      <c r="L512" s="19"/>
      <c r="M512" s="19"/>
      <c r="N512" s="19"/>
      <c r="O512" s="19"/>
      <c r="P512" s="20"/>
      <c r="Q512" s="20"/>
      <c r="R512" s="22"/>
      <c r="S512" s="22"/>
      <c r="T512" s="20"/>
      <c r="U512" s="20"/>
      <c r="V512" s="20"/>
      <c r="W512" s="19"/>
      <c r="X512" s="19"/>
      <c r="Y512" s="19"/>
      <c r="Z512" s="23"/>
    </row>
    <row r="513" spans="1:26" ht="15.75" customHeight="1" x14ac:dyDescent="0.2">
      <c r="A513" s="34"/>
      <c r="B513" s="34"/>
      <c r="C513" s="34"/>
      <c r="D513" s="34"/>
      <c r="E513" s="19"/>
      <c r="F513" s="19"/>
      <c r="G513" s="19"/>
      <c r="H513" s="19"/>
      <c r="I513" s="19"/>
      <c r="J513" s="19"/>
      <c r="K513" s="19"/>
      <c r="L513" s="19"/>
      <c r="M513" s="19"/>
      <c r="N513" s="19"/>
      <c r="O513" s="19"/>
      <c r="P513" s="20"/>
      <c r="Q513" s="20"/>
      <c r="R513" s="22"/>
      <c r="S513" s="22"/>
      <c r="T513" s="20"/>
      <c r="U513" s="20"/>
      <c r="V513" s="20"/>
      <c r="W513" s="19"/>
      <c r="X513" s="19"/>
      <c r="Y513" s="19"/>
      <c r="Z513" s="23"/>
    </row>
    <row r="514" spans="1:26" ht="15.75" customHeight="1" x14ac:dyDescent="0.2">
      <c r="A514" s="34"/>
      <c r="B514" s="34"/>
      <c r="C514" s="34"/>
      <c r="D514" s="34"/>
      <c r="E514" s="19"/>
      <c r="F514" s="19"/>
      <c r="G514" s="19"/>
      <c r="H514" s="19"/>
      <c r="I514" s="19"/>
      <c r="J514" s="19"/>
      <c r="K514" s="19"/>
      <c r="L514" s="19"/>
      <c r="M514" s="19"/>
      <c r="N514" s="19"/>
      <c r="O514" s="19"/>
      <c r="P514" s="20"/>
      <c r="Q514" s="20"/>
      <c r="R514" s="22"/>
      <c r="S514" s="22"/>
      <c r="T514" s="20"/>
      <c r="U514" s="20"/>
      <c r="V514" s="20"/>
      <c r="W514" s="19"/>
      <c r="X514" s="19"/>
      <c r="Y514" s="19"/>
      <c r="Z514" s="23"/>
    </row>
    <row r="515" spans="1:26" ht="15.75" customHeight="1" x14ac:dyDescent="0.2">
      <c r="A515" s="34"/>
      <c r="B515" s="34"/>
      <c r="C515" s="34"/>
      <c r="D515" s="34"/>
      <c r="E515" s="19"/>
      <c r="F515" s="19"/>
      <c r="G515" s="19"/>
      <c r="H515" s="19"/>
      <c r="I515" s="19"/>
      <c r="J515" s="19"/>
      <c r="K515" s="19"/>
      <c r="L515" s="19"/>
      <c r="M515" s="19"/>
      <c r="N515" s="19"/>
      <c r="O515" s="19"/>
      <c r="P515" s="20"/>
      <c r="Q515" s="20"/>
      <c r="R515" s="22"/>
      <c r="S515" s="22"/>
      <c r="T515" s="20"/>
      <c r="U515" s="20"/>
      <c r="V515" s="20"/>
      <c r="W515" s="19"/>
      <c r="X515" s="19"/>
      <c r="Y515" s="19"/>
      <c r="Z515" s="23"/>
    </row>
    <row r="516" spans="1:26" ht="15.75" customHeight="1" x14ac:dyDescent="0.2">
      <c r="A516" s="34"/>
      <c r="B516" s="34"/>
      <c r="C516" s="34"/>
      <c r="D516" s="34"/>
      <c r="E516" s="19"/>
      <c r="F516" s="19"/>
      <c r="G516" s="19"/>
      <c r="H516" s="19"/>
      <c r="I516" s="19"/>
      <c r="J516" s="19"/>
      <c r="K516" s="19"/>
      <c r="L516" s="19"/>
      <c r="M516" s="19"/>
      <c r="N516" s="19"/>
      <c r="O516" s="19"/>
      <c r="P516" s="20"/>
      <c r="Q516" s="20"/>
      <c r="R516" s="22"/>
      <c r="S516" s="22"/>
      <c r="T516" s="20"/>
      <c r="U516" s="20"/>
      <c r="V516" s="20"/>
      <c r="W516" s="19"/>
      <c r="X516" s="19"/>
      <c r="Y516" s="19"/>
      <c r="Z516" s="23"/>
    </row>
    <row r="517" spans="1:26" ht="15.75" customHeight="1" x14ac:dyDescent="0.2">
      <c r="A517" s="34"/>
      <c r="B517" s="34"/>
      <c r="C517" s="34"/>
      <c r="D517" s="34"/>
      <c r="E517" s="19"/>
      <c r="F517" s="19"/>
      <c r="G517" s="19"/>
      <c r="H517" s="19"/>
      <c r="I517" s="19"/>
      <c r="J517" s="19"/>
      <c r="K517" s="19"/>
      <c r="L517" s="19"/>
      <c r="M517" s="19"/>
      <c r="N517" s="19"/>
      <c r="O517" s="19"/>
      <c r="P517" s="20"/>
      <c r="Q517" s="20"/>
      <c r="R517" s="22"/>
      <c r="S517" s="22"/>
      <c r="T517" s="20"/>
      <c r="U517" s="20"/>
      <c r="V517" s="20"/>
      <c r="W517" s="19"/>
      <c r="X517" s="19"/>
      <c r="Y517" s="19"/>
      <c r="Z517" s="23"/>
    </row>
    <row r="518" spans="1:26" ht="15.75" customHeight="1" x14ac:dyDescent="0.2">
      <c r="A518" s="34"/>
      <c r="B518" s="34"/>
      <c r="C518" s="34"/>
      <c r="D518" s="34"/>
      <c r="E518" s="19"/>
      <c r="F518" s="19"/>
      <c r="G518" s="19"/>
      <c r="H518" s="19"/>
      <c r="I518" s="19"/>
      <c r="J518" s="19"/>
      <c r="K518" s="19"/>
      <c r="L518" s="19"/>
      <c r="M518" s="19"/>
      <c r="N518" s="19"/>
      <c r="O518" s="19"/>
      <c r="P518" s="20"/>
      <c r="Q518" s="20"/>
      <c r="R518" s="22"/>
      <c r="S518" s="22"/>
      <c r="T518" s="20"/>
      <c r="U518" s="20"/>
      <c r="V518" s="20"/>
      <c r="W518" s="19"/>
      <c r="X518" s="19"/>
      <c r="Y518" s="19"/>
      <c r="Z518" s="23"/>
    </row>
    <row r="519" spans="1:26" ht="15.75" customHeight="1" x14ac:dyDescent="0.2">
      <c r="A519" s="34"/>
      <c r="B519" s="34"/>
      <c r="C519" s="34"/>
      <c r="D519" s="34"/>
      <c r="E519" s="19"/>
      <c r="F519" s="19"/>
      <c r="G519" s="19"/>
      <c r="H519" s="19"/>
      <c r="I519" s="19"/>
      <c r="J519" s="19"/>
      <c r="K519" s="19"/>
      <c r="L519" s="19"/>
      <c r="M519" s="19"/>
      <c r="N519" s="19"/>
      <c r="O519" s="19"/>
      <c r="P519" s="20"/>
      <c r="Q519" s="20"/>
      <c r="R519" s="22"/>
      <c r="S519" s="22"/>
      <c r="T519" s="20"/>
      <c r="U519" s="20"/>
      <c r="V519" s="20"/>
      <c r="W519" s="19"/>
      <c r="X519" s="19"/>
      <c r="Y519" s="19"/>
      <c r="Z519" s="23"/>
    </row>
    <row r="520" spans="1:26" ht="15.75" customHeight="1" x14ac:dyDescent="0.2">
      <c r="A520" s="34"/>
      <c r="B520" s="34"/>
      <c r="C520" s="34"/>
      <c r="D520" s="34"/>
      <c r="E520" s="19"/>
      <c r="F520" s="19"/>
      <c r="G520" s="19"/>
      <c r="H520" s="19"/>
      <c r="I520" s="19"/>
      <c r="J520" s="19"/>
      <c r="K520" s="19"/>
      <c r="L520" s="19"/>
      <c r="M520" s="19"/>
      <c r="N520" s="19"/>
      <c r="O520" s="19"/>
      <c r="P520" s="20"/>
      <c r="Q520" s="20"/>
      <c r="R520" s="22"/>
      <c r="S520" s="22"/>
      <c r="T520" s="20"/>
      <c r="U520" s="20"/>
      <c r="V520" s="20"/>
      <c r="W520" s="19"/>
      <c r="X520" s="19"/>
      <c r="Y520" s="19"/>
      <c r="Z520" s="23"/>
    </row>
    <row r="521" spans="1:26" ht="15.75" customHeight="1" x14ac:dyDescent="0.2">
      <c r="A521" s="34"/>
      <c r="B521" s="34"/>
      <c r="C521" s="34"/>
      <c r="D521" s="34"/>
      <c r="E521" s="19"/>
      <c r="F521" s="19"/>
      <c r="G521" s="19"/>
      <c r="H521" s="19"/>
      <c r="I521" s="19"/>
      <c r="J521" s="19"/>
      <c r="K521" s="19"/>
      <c r="L521" s="19"/>
      <c r="M521" s="19"/>
      <c r="N521" s="19"/>
      <c r="O521" s="19"/>
      <c r="P521" s="20"/>
      <c r="Q521" s="20"/>
      <c r="R521" s="22"/>
      <c r="S521" s="22"/>
      <c r="T521" s="20"/>
      <c r="U521" s="20"/>
      <c r="V521" s="20"/>
      <c r="W521" s="19"/>
      <c r="X521" s="19"/>
      <c r="Y521" s="19"/>
      <c r="Z521" s="23"/>
    </row>
    <row r="522" spans="1:26" ht="15.75" customHeight="1" x14ac:dyDescent="0.2">
      <c r="A522" s="34"/>
      <c r="B522" s="34"/>
      <c r="C522" s="34"/>
      <c r="D522" s="34"/>
      <c r="E522" s="19"/>
      <c r="F522" s="19"/>
      <c r="G522" s="19"/>
      <c r="H522" s="19"/>
      <c r="I522" s="19"/>
      <c r="J522" s="19"/>
      <c r="K522" s="19"/>
      <c r="L522" s="19"/>
      <c r="M522" s="19"/>
      <c r="N522" s="19"/>
      <c r="O522" s="19"/>
      <c r="P522" s="20"/>
      <c r="Q522" s="20"/>
      <c r="R522" s="22"/>
      <c r="S522" s="22"/>
      <c r="T522" s="20"/>
      <c r="U522" s="20"/>
      <c r="V522" s="20"/>
      <c r="W522" s="19"/>
      <c r="X522" s="19"/>
      <c r="Y522" s="19"/>
      <c r="Z522" s="23"/>
    </row>
    <row r="523" spans="1:26" ht="15.75" customHeight="1" x14ac:dyDescent="0.2">
      <c r="A523" s="34"/>
      <c r="B523" s="34"/>
      <c r="C523" s="34"/>
      <c r="D523" s="34"/>
      <c r="E523" s="19"/>
      <c r="F523" s="19"/>
      <c r="G523" s="19"/>
      <c r="H523" s="19"/>
      <c r="I523" s="19"/>
      <c r="J523" s="19"/>
      <c r="K523" s="19"/>
      <c r="L523" s="19"/>
      <c r="M523" s="19"/>
      <c r="N523" s="19"/>
      <c r="O523" s="19"/>
      <c r="P523" s="20"/>
      <c r="Q523" s="20"/>
      <c r="R523" s="22"/>
      <c r="S523" s="22"/>
      <c r="T523" s="20"/>
      <c r="U523" s="20"/>
      <c r="V523" s="20"/>
      <c r="W523" s="19"/>
      <c r="X523" s="19"/>
      <c r="Y523" s="19"/>
      <c r="Z523" s="23"/>
    </row>
    <row r="524" spans="1:26" ht="15.75" customHeight="1" x14ac:dyDescent="0.2">
      <c r="A524" s="34"/>
      <c r="B524" s="34"/>
      <c r="C524" s="34"/>
      <c r="D524" s="34"/>
      <c r="E524" s="19"/>
      <c r="F524" s="19"/>
      <c r="G524" s="19"/>
      <c r="H524" s="19"/>
      <c r="I524" s="19"/>
      <c r="J524" s="19"/>
      <c r="K524" s="19"/>
      <c r="L524" s="19"/>
      <c r="M524" s="19"/>
      <c r="N524" s="19"/>
      <c r="O524" s="19"/>
      <c r="P524" s="20"/>
      <c r="Q524" s="20"/>
      <c r="R524" s="22"/>
      <c r="S524" s="22"/>
      <c r="T524" s="20"/>
      <c r="U524" s="20"/>
      <c r="V524" s="20"/>
      <c r="W524" s="19"/>
      <c r="X524" s="19"/>
      <c r="Y524" s="19"/>
      <c r="Z524" s="23"/>
    </row>
    <row r="525" spans="1:26" ht="15.75" customHeight="1" x14ac:dyDescent="0.2">
      <c r="A525" s="34"/>
      <c r="B525" s="34"/>
      <c r="C525" s="34"/>
      <c r="D525" s="34"/>
      <c r="E525" s="19"/>
      <c r="F525" s="19"/>
      <c r="G525" s="19"/>
      <c r="H525" s="19"/>
      <c r="I525" s="19"/>
      <c r="J525" s="19"/>
      <c r="K525" s="19"/>
      <c r="L525" s="19"/>
      <c r="M525" s="19"/>
      <c r="N525" s="19"/>
      <c r="O525" s="19"/>
      <c r="P525" s="20"/>
      <c r="Q525" s="20"/>
      <c r="R525" s="22"/>
      <c r="S525" s="22"/>
      <c r="T525" s="20"/>
      <c r="U525" s="20"/>
      <c r="V525" s="20"/>
      <c r="W525" s="19"/>
      <c r="X525" s="19"/>
      <c r="Y525" s="19"/>
      <c r="Z525" s="23"/>
    </row>
    <row r="526" spans="1:26" ht="15.75" customHeight="1" x14ac:dyDescent="0.2">
      <c r="A526" s="34"/>
      <c r="B526" s="34"/>
      <c r="C526" s="34"/>
      <c r="D526" s="34"/>
      <c r="E526" s="19"/>
      <c r="F526" s="19"/>
      <c r="G526" s="19"/>
      <c r="H526" s="19"/>
      <c r="I526" s="19"/>
      <c r="J526" s="19"/>
      <c r="K526" s="19"/>
      <c r="L526" s="19"/>
      <c r="M526" s="19"/>
      <c r="N526" s="19"/>
      <c r="O526" s="19"/>
      <c r="P526" s="20"/>
      <c r="Q526" s="20"/>
      <c r="R526" s="22"/>
      <c r="S526" s="22"/>
      <c r="T526" s="20"/>
      <c r="U526" s="20"/>
      <c r="V526" s="20"/>
      <c r="W526" s="19"/>
      <c r="X526" s="19"/>
      <c r="Y526" s="19"/>
      <c r="Z526" s="23"/>
    </row>
    <row r="527" spans="1:26" ht="15.75" customHeight="1" x14ac:dyDescent="0.2">
      <c r="A527" s="34"/>
      <c r="B527" s="34"/>
      <c r="C527" s="34"/>
      <c r="D527" s="34"/>
      <c r="E527" s="19"/>
      <c r="F527" s="19"/>
      <c r="G527" s="19"/>
      <c r="H527" s="19"/>
      <c r="I527" s="19"/>
      <c r="J527" s="19"/>
      <c r="K527" s="19"/>
      <c r="L527" s="19"/>
      <c r="M527" s="19"/>
      <c r="N527" s="19"/>
      <c r="O527" s="19"/>
      <c r="P527" s="20"/>
      <c r="Q527" s="20"/>
      <c r="R527" s="22"/>
      <c r="S527" s="22"/>
      <c r="T527" s="20"/>
      <c r="U527" s="20"/>
      <c r="V527" s="20"/>
      <c r="W527" s="19"/>
      <c r="X527" s="19"/>
      <c r="Y527" s="19"/>
      <c r="Z527" s="23"/>
    </row>
    <row r="528" spans="1:26" ht="15.75" customHeight="1" x14ac:dyDescent="0.2">
      <c r="A528" s="34"/>
      <c r="B528" s="34"/>
      <c r="C528" s="34"/>
      <c r="D528" s="34"/>
      <c r="E528" s="19"/>
      <c r="F528" s="19"/>
      <c r="G528" s="19"/>
      <c r="H528" s="19"/>
      <c r="I528" s="19"/>
      <c r="J528" s="19"/>
      <c r="K528" s="19"/>
      <c r="L528" s="19"/>
      <c r="M528" s="19"/>
      <c r="N528" s="19"/>
      <c r="O528" s="19"/>
      <c r="P528" s="20"/>
      <c r="Q528" s="20"/>
      <c r="R528" s="22"/>
      <c r="S528" s="22"/>
      <c r="T528" s="20"/>
      <c r="U528" s="20"/>
      <c r="V528" s="20"/>
      <c r="W528" s="19"/>
      <c r="X528" s="19"/>
      <c r="Y528" s="19"/>
      <c r="Z528" s="23"/>
    </row>
    <row r="529" spans="1:26" ht="15.75" customHeight="1" x14ac:dyDescent="0.2">
      <c r="A529" s="34"/>
      <c r="B529" s="34"/>
      <c r="C529" s="34"/>
      <c r="D529" s="34"/>
      <c r="E529" s="19"/>
      <c r="F529" s="19"/>
      <c r="G529" s="19"/>
      <c r="H529" s="19"/>
      <c r="I529" s="19"/>
      <c r="J529" s="19"/>
      <c r="K529" s="19"/>
      <c r="L529" s="19"/>
      <c r="M529" s="19"/>
      <c r="N529" s="19"/>
      <c r="O529" s="19"/>
      <c r="P529" s="20"/>
      <c r="Q529" s="20"/>
      <c r="R529" s="22"/>
      <c r="S529" s="22"/>
      <c r="T529" s="20"/>
      <c r="U529" s="20"/>
      <c r="V529" s="20"/>
      <c r="W529" s="19"/>
      <c r="X529" s="19"/>
      <c r="Y529" s="19"/>
      <c r="Z529" s="23"/>
    </row>
    <row r="530" spans="1:26" ht="15.75" customHeight="1" x14ac:dyDescent="0.2">
      <c r="A530" s="34"/>
      <c r="B530" s="34"/>
      <c r="C530" s="34"/>
      <c r="D530" s="34"/>
      <c r="E530" s="19"/>
      <c r="F530" s="19"/>
      <c r="G530" s="19"/>
      <c r="H530" s="19"/>
      <c r="I530" s="19"/>
      <c r="J530" s="19"/>
      <c r="K530" s="19"/>
      <c r="L530" s="19"/>
      <c r="M530" s="19"/>
      <c r="N530" s="19"/>
      <c r="O530" s="19"/>
      <c r="P530" s="20"/>
      <c r="Q530" s="20"/>
      <c r="R530" s="22"/>
      <c r="S530" s="22"/>
      <c r="T530" s="20"/>
      <c r="U530" s="20"/>
      <c r="V530" s="20"/>
      <c r="W530" s="19"/>
      <c r="X530" s="19"/>
      <c r="Y530" s="19"/>
      <c r="Z530" s="23"/>
    </row>
    <row r="531" spans="1:26" ht="15.75" customHeight="1" x14ac:dyDescent="0.2">
      <c r="A531" s="34"/>
      <c r="B531" s="34"/>
      <c r="C531" s="34"/>
      <c r="D531" s="34"/>
      <c r="E531" s="19"/>
      <c r="F531" s="19"/>
      <c r="G531" s="19"/>
      <c r="H531" s="19"/>
      <c r="I531" s="19"/>
      <c r="J531" s="19"/>
      <c r="K531" s="19"/>
      <c r="L531" s="19"/>
      <c r="M531" s="19"/>
      <c r="N531" s="19"/>
      <c r="O531" s="19"/>
      <c r="P531" s="20"/>
      <c r="Q531" s="20"/>
      <c r="R531" s="22"/>
      <c r="S531" s="22"/>
      <c r="T531" s="20"/>
      <c r="U531" s="20"/>
      <c r="V531" s="20"/>
      <c r="W531" s="19"/>
      <c r="X531" s="19"/>
      <c r="Y531" s="19"/>
      <c r="Z531" s="23"/>
    </row>
    <row r="532" spans="1:26" ht="15.75" customHeight="1" x14ac:dyDescent="0.2">
      <c r="A532" s="34"/>
      <c r="B532" s="34"/>
      <c r="C532" s="34"/>
      <c r="D532" s="34"/>
      <c r="E532" s="19"/>
      <c r="F532" s="19"/>
      <c r="G532" s="19"/>
      <c r="H532" s="19"/>
      <c r="I532" s="19"/>
      <c r="J532" s="19"/>
      <c r="K532" s="19"/>
      <c r="L532" s="19"/>
      <c r="M532" s="19"/>
      <c r="N532" s="19"/>
      <c r="O532" s="19"/>
      <c r="P532" s="20"/>
      <c r="Q532" s="20"/>
      <c r="R532" s="22"/>
      <c r="S532" s="22"/>
      <c r="T532" s="20"/>
      <c r="U532" s="20"/>
      <c r="V532" s="20"/>
      <c r="W532" s="19"/>
      <c r="X532" s="19"/>
      <c r="Y532" s="19"/>
      <c r="Z532" s="23"/>
    </row>
    <row r="533" spans="1:26" ht="15.75" customHeight="1" x14ac:dyDescent="0.2">
      <c r="A533" s="34"/>
      <c r="B533" s="34"/>
      <c r="C533" s="34"/>
      <c r="D533" s="34"/>
      <c r="E533" s="19"/>
      <c r="F533" s="19"/>
      <c r="G533" s="19"/>
      <c r="H533" s="19"/>
      <c r="I533" s="19"/>
      <c r="J533" s="19"/>
      <c r="K533" s="19"/>
      <c r="L533" s="19"/>
      <c r="M533" s="19"/>
      <c r="N533" s="19"/>
      <c r="O533" s="19"/>
      <c r="P533" s="20"/>
      <c r="Q533" s="20"/>
      <c r="R533" s="22"/>
      <c r="S533" s="22"/>
      <c r="T533" s="20"/>
      <c r="U533" s="20"/>
      <c r="V533" s="20"/>
      <c r="W533" s="19"/>
      <c r="X533" s="19"/>
      <c r="Y533" s="19"/>
      <c r="Z533" s="23"/>
    </row>
    <row r="534" spans="1:26" ht="15.75" customHeight="1" x14ac:dyDescent="0.2">
      <c r="A534" s="34"/>
      <c r="B534" s="34"/>
      <c r="C534" s="34"/>
      <c r="D534" s="34"/>
      <c r="E534" s="19"/>
      <c r="F534" s="19"/>
      <c r="G534" s="19"/>
      <c r="H534" s="19"/>
      <c r="I534" s="19"/>
      <c r="J534" s="19"/>
      <c r="K534" s="19"/>
      <c r="L534" s="19"/>
      <c r="M534" s="19"/>
      <c r="N534" s="19"/>
      <c r="O534" s="19"/>
      <c r="P534" s="20"/>
      <c r="Q534" s="20"/>
      <c r="R534" s="22"/>
      <c r="S534" s="22"/>
      <c r="T534" s="20"/>
      <c r="U534" s="20"/>
      <c r="V534" s="20"/>
      <c r="W534" s="19"/>
      <c r="X534" s="19"/>
      <c r="Y534" s="19"/>
      <c r="Z534" s="23"/>
    </row>
    <row r="535" spans="1:26" ht="15.75" customHeight="1" x14ac:dyDescent="0.2">
      <c r="A535" s="34"/>
      <c r="B535" s="34"/>
      <c r="C535" s="34"/>
      <c r="D535" s="34"/>
      <c r="E535" s="19"/>
      <c r="F535" s="19"/>
      <c r="G535" s="19"/>
      <c r="H535" s="19"/>
      <c r="I535" s="19"/>
      <c r="J535" s="19"/>
      <c r="K535" s="19"/>
      <c r="L535" s="19"/>
      <c r="M535" s="19"/>
      <c r="N535" s="19"/>
      <c r="O535" s="19"/>
      <c r="P535" s="20"/>
      <c r="Q535" s="20"/>
      <c r="R535" s="22"/>
      <c r="S535" s="22"/>
      <c r="T535" s="20"/>
      <c r="U535" s="20"/>
      <c r="V535" s="20"/>
      <c r="W535" s="19"/>
      <c r="X535" s="19"/>
      <c r="Y535" s="19"/>
      <c r="Z535" s="23"/>
    </row>
    <row r="536" spans="1:26" ht="15.75" customHeight="1" x14ac:dyDescent="0.2">
      <c r="A536" s="34"/>
      <c r="B536" s="34"/>
      <c r="C536" s="34"/>
      <c r="D536" s="34"/>
      <c r="E536" s="19"/>
      <c r="F536" s="19"/>
      <c r="G536" s="19"/>
      <c r="H536" s="19"/>
      <c r="I536" s="19"/>
      <c r="J536" s="19"/>
      <c r="K536" s="19"/>
      <c r="L536" s="19"/>
      <c r="M536" s="19"/>
      <c r="N536" s="19"/>
      <c r="O536" s="19"/>
      <c r="P536" s="20"/>
      <c r="Q536" s="20"/>
      <c r="R536" s="22"/>
      <c r="S536" s="22"/>
      <c r="T536" s="20"/>
      <c r="U536" s="20"/>
      <c r="V536" s="20"/>
      <c r="W536" s="19"/>
      <c r="X536" s="19"/>
      <c r="Y536" s="19"/>
      <c r="Z536" s="23"/>
    </row>
    <row r="537" spans="1:26" ht="15.75" customHeight="1" x14ac:dyDescent="0.2">
      <c r="A537" s="34"/>
      <c r="B537" s="34"/>
      <c r="C537" s="34"/>
      <c r="D537" s="34"/>
      <c r="E537" s="19"/>
      <c r="F537" s="19"/>
      <c r="G537" s="19"/>
      <c r="H537" s="19"/>
      <c r="I537" s="19"/>
      <c r="J537" s="19"/>
      <c r="K537" s="19"/>
      <c r="L537" s="19"/>
      <c r="M537" s="19"/>
      <c r="N537" s="19"/>
      <c r="O537" s="19"/>
      <c r="P537" s="20"/>
      <c r="Q537" s="20"/>
      <c r="R537" s="22"/>
      <c r="S537" s="22"/>
      <c r="T537" s="20"/>
      <c r="U537" s="20"/>
      <c r="V537" s="20"/>
      <c r="W537" s="19"/>
      <c r="X537" s="19"/>
      <c r="Y537" s="19"/>
      <c r="Z537" s="23"/>
    </row>
    <row r="538" spans="1:26" ht="15.75" customHeight="1" x14ac:dyDescent="0.2">
      <c r="A538" s="34"/>
      <c r="B538" s="34"/>
      <c r="C538" s="34"/>
      <c r="D538" s="34"/>
      <c r="E538" s="19"/>
      <c r="F538" s="19"/>
      <c r="G538" s="19"/>
      <c r="H538" s="19"/>
      <c r="I538" s="19"/>
      <c r="J538" s="19"/>
      <c r="K538" s="19"/>
      <c r="L538" s="19"/>
      <c r="M538" s="19"/>
      <c r="N538" s="19"/>
      <c r="O538" s="19"/>
      <c r="P538" s="20"/>
      <c r="Q538" s="20"/>
      <c r="R538" s="22"/>
      <c r="S538" s="22"/>
      <c r="T538" s="20"/>
      <c r="U538" s="20"/>
      <c r="V538" s="20"/>
      <c r="W538" s="19"/>
      <c r="X538" s="19"/>
      <c r="Y538" s="19"/>
      <c r="Z538" s="23"/>
    </row>
    <row r="539" spans="1:26" ht="15.75" customHeight="1" x14ac:dyDescent="0.2">
      <c r="A539" s="34"/>
      <c r="B539" s="34"/>
      <c r="C539" s="34"/>
      <c r="D539" s="34"/>
      <c r="E539" s="19"/>
      <c r="F539" s="19"/>
      <c r="G539" s="19"/>
      <c r="H539" s="19"/>
      <c r="I539" s="19"/>
      <c r="J539" s="19"/>
      <c r="K539" s="19"/>
      <c r="L539" s="19"/>
      <c r="M539" s="19"/>
      <c r="N539" s="19"/>
      <c r="O539" s="19"/>
      <c r="P539" s="20"/>
      <c r="Q539" s="20"/>
      <c r="R539" s="22"/>
      <c r="S539" s="22"/>
      <c r="T539" s="20"/>
      <c r="U539" s="20"/>
      <c r="V539" s="20"/>
      <c r="W539" s="19"/>
      <c r="X539" s="19"/>
      <c r="Y539" s="19"/>
      <c r="Z539" s="23"/>
    </row>
    <row r="540" spans="1:26" ht="15.75" customHeight="1" x14ac:dyDescent="0.2">
      <c r="A540" s="34"/>
      <c r="B540" s="34"/>
      <c r="C540" s="34"/>
      <c r="D540" s="34"/>
      <c r="E540" s="19"/>
      <c r="F540" s="19"/>
      <c r="G540" s="19"/>
      <c r="H540" s="19"/>
      <c r="I540" s="19"/>
      <c r="J540" s="19"/>
      <c r="K540" s="19"/>
      <c r="L540" s="19"/>
      <c r="M540" s="19"/>
      <c r="N540" s="19"/>
      <c r="O540" s="19"/>
      <c r="P540" s="20"/>
      <c r="Q540" s="20"/>
      <c r="R540" s="22"/>
      <c r="S540" s="22"/>
      <c r="T540" s="20"/>
      <c r="U540" s="20"/>
      <c r="V540" s="20"/>
      <c r="W540" s="19"/>
      <c r="X540" s="19"/>
      <c r="Y540" s="19"/>
      <c r="Z540" s="23"/>
    </row>
    <row r="541" spans="1:26" ht="15.75" customHeight="1" x14ac:dyDescent="0.2">
      <c r="A541" s="34"/>
      <c r="B541" s="34"/>
      <c r="C541" s="34"/>
      <c r="D541" s="34"/>
      <c r="E541" s="19"/>
      <c r="F541" s="19"/>
      <c r="G541" s="19"/>
      <c r="H541" s="19"/>
      <c r="I541" s="19"/>
      <c r="J541" s="19"/>
      <c r="K541" s="19"/>
      <c r="L541" s="19"/>
      <c r="M541" s="19"/>
      <c r="N541" s="19"/>
      <c r="O541" s="19"/>
      <c r="P541" s="20"/>
      <c r="Q541" s="20"/>
      <c r="R541" s="22"/>
      <c r="S541" s="22"/>
      <c r="T541" s="20"/>
      <c r="U541" s="20"/>
      <c r="V541" s="20"/>
      <c r="W541" s="19"/>
      <c r="X541" s="19"/>
      <c r="Y541" s="19"/>
      <c r="Z541" s="23"/>
    </row>
    <row r="542" spans="1:26" ht="15.75" customHeight="1" x14ac:dyDescent="0.2">
      <c r="A542" s="34"/>
      <c r="B542" s="34"/>
      <c r="C542" s="34"/>
      <c r="D542" s="34"/>
      <c r="E542" s="19"/>
      <c r="F542" s="19"/>
      <c r="G542" s="19"/>
      <c r="H542" s="19"/>
      <c r="I542" s="19"/>
      <c r="J542" s="19"/>
      <c r="K542" s="19"/>
      <c r="L542" s="19"/>
      <c r="M542" s="19"/>
      <c r="N542" s="19"/>
      <c r="O542" s="19"/>
      <c r="P542" s="20"/>
      <c r="Q542" s="20"/>
      <c r="R542" s="22"/>
      <c r="S542" s="22"/>
      <c r="T542" s="20"/>
      <c r="U542" s="20"/>
      <c r="V542" s="20"/>
      <c r="W542" s="19"/>
      <c r="X542" s="19"/>
      <c r="Y542" s="19"/>
      <c r="Z542" s="23"/>
    </row>
    <row r="543" spans="1:26" ht="15.75" customHeight="1" x14ac:dyDescent="0.2">
      <c r="A543" s="34"/>
      <c r="B543" s="34"/>
      <c r="C543" s="34"/>
      <c r="D543" s="34"/>
      <c r="E543" s="19"/>
      <c r="F543" s="19"/>
      <c r="G543" s="19"/>
      <c r="H543" s="19"/>
      <c r="I543" s="19"/>
      <c r="J543" s="19"/>
      <c r="K543" s="19"/>
      <c r="L543" s="19"/>
      <c r="M543" s="19"/>
      <c r="N543" s="19"/>
      <c r="O543" s="19"/>
      <c r="P543" s="20"/>
      <c r="Q543" s="20"/>
      <c r="R543" s="22"/>
      <c r="S543" s="22"/>
      <c r="T543" s="20"/>
      <c r="U543" s="20"/>
      <c r="V543" s="20"/>
      <c r="W543" s="19"/>
      <c r="X543" s="19"/>
      <c r="Y543" s="19"/>
      <c r="Z543" s="23"/>
    </row>
    <row r="544" spans="1:26" ht="15.75" customHeight="1" x14ac:dyDescent="0.2">
      <c r="A544" s="34"/>
      <c r="B544" s="34"/>
      <c r="C544" s="34"/>
      <c r="D544" s="34"/>
      <c r="E544" s="19"/>
      <c r="F544" s="19"/>
      <c r="G544" s="19"/>
      <c r="H544" s="19"/>
      <c r="I544" s="19"/>
      <c r="J544" s="19"/>
      <c r="K544" s="19"/>
      <c r="L544" s="19"/>
      <c r="M544" s="19"/>
      <c r="N544" s="19"/>
      <c r="O544" s="19"/>
      <c r="P544" s="20"/>
      <c r="Q544" s="20"/>
      <c r="R544" s="22"/>
      <c r="S544" s="22"/>
      <c r="T544" s="20"/>
      <c r="U544" s="20"/>
      <c r="V544" s="20"/>
      <c r="W544" s="19"/>
      <c r="X544" s="19"/>
      <c r="Y544" s="19"/>
      <c r="Z544" s="23"/>
    </row>
    <row r="545" spans="1:26" ht="15.75" customHeight="1" x14ac:dyDescent="0.2">
      <c r="A545" s="34"/>
      <c r="B545" s="34"/>
      <c r="C545" s="34"/>
      <c r="D545" s="34"/>
      <c r="E545" s="19"/>
      <c r="F545" s="19"/>
      <c r="G545" s="19"/>
      <c r="H545" s="19"/>
      <c r="I545" s="19"/>
      <c r="J545" s="19"/>
      <c r="K545" s="19"/>
      <c r="L545" s="19"/>
      <c r="M545" s="19"/>
      <c r="N545" s="19"/>
      <c r="O545" s="19"/>
      <c r="P545" s="20"/>
      <c r="Q545" s="20"/>
      <c r="R545" s="22"/>
      <c r="S545" s="22"/>
      <c r="T545" s="20"/>
      <c r="U545" s="20"/>
      <c r="V545" s="20"/>
      <c r="W545" s="19"/>
      <c r="X545" s="19"/>
      <c r="Y545" s="19"/>
      <c r="Z545" s="23"/>
    </row>
    <row r="546" spans="1:26" ht="15.75" customHeight="1" x14ac:dyDescent="0.2">
      <c r="A546" s="34"/>
      <c r="B546" s="34"/>
      <c r="C546" s="34"/>
      <c r="D546" s="34"/>
      <c r="E546" s="19"/>
      <c r="F546" s="19"/>
      <c r="G546" s="19"/>
      <c r="H546" s="19"/>
      <c r="I546" s="19"/>
      <c r="J546" s="19"/>
      <c r="K546" s="19"/>
      <c r="L546" s="19"/>
      <c r="M546" s="19"/>
      <c r="N546" s="19"/>
      <c r="O546" s="19"/>
      <c r="P546" s="20"/>
      <c r="Q546" s="20"/>
      <c r="R546" s="22"/>
      <c r="S546" s="22"/>
      <c r="T546" s="20"/>
      <c r="U546" s="20"/>
      <c r="V546" s="20"/>
      <c r="W546" s="19"/>
      <c r="X546" s="19"/>
      <c r="Y546" s="19"/>
      <c r="Z546" s="23"/>
    </row>
    <row r="547" spans="1:26" ht="15.75" customHeight="1" x14ac:dyDescent="0.2">
      <c r="A547" s="34"/>
      <c r="B547" s="34"/>
      <c r="C547" s="34"/>
      <c r="D547" s="34"/>
      <c r="E547" s="19"/>
      <c r="F547" s="19"/>
      <c r="G547" s="19"/>
      <c r="H547" s="19"/>
      <c r="I547" s="19"/>
      <c r="J547" s="19"/>
      <c r="K547" s="19"/>
      <c r="L547" s="19"/>
      <c r="M547" s="19"/>
      <c r="N547" s="19"/>
      <c r="O547" s="19"/>
      <c r="P547" s="20"/>
      <c r="Q547" s="20"/>
      <c r="R547" s="22"/>
      <c r="S547" s="22"/>
      <c r="T547" s="20"/>
      <c r="U547" s="20"/>
      <c r="V547" s="20"/>
      <c r="W547" s="19"/>
      <c r="X547" s="19"/>
      <c r="Y547" s="19"/>
      <c r="Z547" s="23"/>
    </row>
    <row r="548" spans="1:26" ht="15.75" customHeight="1" x14ac:dyDescent="0.2">
      <c r="A548" s="34"/>
      <c r="B548" s="34"/>
      <c r="C548" s="34"/>
      <c r="D548" s="34"/>
      <c r="E548" s="19"/>
      <c r="F548" s="19"/>
      <c r="G548" s="19"/>
      <c r="H548" s="19"/>
      <c r="I548" s="19"/>
      <c r="J548" s="19"/>
      <c r="K548" s="19"/>
      <c r="L548" s="19"/>
      <c r="M548" s="19"/>
      <c r="N548" s="19"/>
      <c r="O548" s="19"/>
      <c r="P548" s="20"/>
      <c r="Q548" s="20"/>
      <c r="R548" s="22"/>
      <c r="S548" s="22"/>
      <c r="T548" s="20"/>
      <c r="U548" s="20"/>
      <c r="V548" s="20"/>
      <c r="W548" s="19"/>
      <c r="X548" s="19"/>
      <c r="Y548" s="19"/>
      <c r="Z548" s="23"/>
    </row>
    <row r="549" spans="1:26" ht="15.75" customHeight="1" x14ac:dyDescent="0.2">
      <c r="A549" s="34"/>
      <c r="B549" s="34"/>
      <c r="C549" s="34"/>
      <c r="D549" s="34"/>
      <c r="E549" s="19"/>
      <c r="F549" s="19"/>
      <c r="G549" s="19"/>
      <c r="H549" s="19"/>
      <c r="I549" s="19"/>
      <c r="J549" s="19"/>
      <c r="K549" s="19"/>
      <c r="L549" s="19"/>
      <c r="M549" s="19"/>
      <c r="N549" s="19"/>
      <c r="O549" s="19"/>
      <c r="P549" s="20"/>
      <c r="Q549" s="20"/>
      <c r="R549" s="22"/>
      <c r="S549" s="22"/>
      <c r="T549" s="20"/>
      <c r="U549" s="20"/>
      <c r="V549" s="20"/>
      <c r="W549" s="19"/>
      <c r="X549" s="19"/>
      <c r="Y549" s="19"/>
      <c r="Z549" s="23"/>
    </row>
    <row r="550" spans="1:26" ht="15.75" customHeight="1" x14ac:dyDescent="0.2">
      <c r="A550" s="34"/>
      <c r="B550" s="34"/>
      <c r="C550" s="34"/>
      <c r="D550" s="34"/>
      <c r="E550" s="19"/>
      <c r="F550" s="19"/>
      <c r="G550" s="19"/>
      <c r="H550" s="19"/>
      <c r="I550" s="19"/>
      <c r="J550" s="19"/>
      <c r="K550" s="19"/>
      <c r="L550" s="19"/>
      <c r="M550" s="19"/>
      <c r="N550" s="19"/>
      <c r="O550" s="19"/>
      <c r="P550" s="20"/>
      <c r="Q550" s="20"/>
      <c r="R550" s="22"/>
      <c r="S550" s="22"/>
      <c r="T550" s="20"/>
      <c r="U550" s="20"/>
      <c r="V550" s="20"/>
      <c r="W550" s="19"/>
      <c r="X550" s="19"/>
      <c r="Y550" s="19"/>
      <c r="Z550" s="23"/>
    </row>
    <row r="551" spans="1:26" ht="15.75" customHeight="1" x14ac:dyDescent="0.2">
      <c r="A551" s="34"/>
      <c r="B551" s="34"/>
      <c r="C551" s="34"/>
      <c r="D551" s="34"/>
      <c r="E551" s="19"/>
      <c r="F551" s="19"/>
      <c r="G551" s="19"/>
      <c r="H551" s="19"/>
      <c r="I551" s="19"/>
      <c r="J551" s="19"/>
      <c r="K551" s="19"/>
      <c r="L551" s="19"/>
      <c r="M551" s="19"/>
      <c r="N551" s="19"/>
      <c r="O551" s="19"/>
      <c r="P551" s="20"/>
      <c r="Q551" s="20"/>
      <c r="R551" s="22"/>
      <c r="S551" s="22"/>
      <c r="T551" s="20"/>
      <c r="U551" s="20"/>
      <c r="V551" s="20"/>
      <c r="W551" s="19"/>
      <c r="X551" s="19"/>
      <c r="Y551" s="19"/>
      <c r="Z551" s="23"/>
    </row>
    <row r="552" spans="1:26" ht="15.75" customHeight="1" x14ac:dyDescent="0.2">
      <c r="A552" s="34"/>
      <c r="B552" s="34"/>
      <c r="C552" s="34"/>
      <c r="D552" s="34"/>
      <c r="E552" s="19"/>
      <c r="F552" s="19"/>
      <c r="G552" s="19"/>
      <c r="H552" s="19"/>
      <c r="I552" s="19"/>
      <c r="J552" s="19"/>
      <c r="K552" s="19"/>
      <c r="L552" s="19"/>
      <c r="M552" s="19"/>
      <c r="N552" s="19"/>
      <c r="O552" s="19"/>
      <c r="P552" s="20"/>
      <c r="Q552" s="20"/>
      <c r="R552" s="22"/>
      <c r="S552" s="22"/>
      <c r="T552" s="20"/>
      <c r="U552" s="20"/>
      <c r="V552" s="20"/>
      <c r="W552" s="19"/>
      <c r="X552" s="19"/>
      <c r="Y552" s="19"/>
      <c r="Z552" s="23"/>
    </row>
    <row r="553" spans="1:26" ht="15.75" customHeight="1" x14ac:dyDescent="0.2">
      <c r="A553" s="34"/>
      <c r="B553" s="34"/>
      <c r="C553" s="34"/>
      <c r="D553" s="34"/>
      <c r="E553" s="19"/>
      <c r="F553" s="19"/>
      <c r="G553" s="19"/>
      <c r="H553" s="19"/>
      <c r="I553" s="19"/>
      <c r="J553" s="19"/>
      <c r="K553" s="19"/>
      <c r="L553" s="19"/>
      <c r="M553" s="19"/>
      <c r="N553" s="19"/>
      <c r="O553" s="19"/>
      <c r="P553" s="20"/>
      <c r="Q553" s="20"/>
      <c r="R553" s="22"/>
      <c r="S553" s="22"/>
      <c r="T553" s="20"/>
      <c r="U553" s="20"/>
      <c r="V553" s="20"/>
      <c r="W553" s="19"/>
      <c r="X553" s="19"/>
      <c r="Y553" s="19"/>
      <c r="Z553" s="23"/>
    </row>
    <row r="554" spans="1:26" ht="15.75" customHeight="1" x14ac:dyDescent="0.2">
      <c r="A554" s="34"/>
      <c r="B554" s="34"/>
      <c r="C554" s="34"/>
      <c r="D554" s="34"/>
      <c r="E554" s="19"/>
      <c r="F554" s="19"/>
      <c r="G554" s="19"/>
      <c r="H554" s="19"/>
      <c r="I554" s="19"/>
      <c r="J554" s="19"/>
      <c r="K554" s="19"/>
      <c r="L554" s="19"/>
      <c r="M554" s="19"/>
      <c r="N554" s="19"/>
      <c r="O554" s="19"/>
      <c r="P554" s="20"/>
      <c r="Q554" s="20"/>
      <c r="R554" s="22"/>
      <c r="S554" s="22"/>
      <c r="T554" s="20"/>
      <c r="U554" s="20"/>
      <c r="V554" s="20"/>
      <c r="W554" s="19"/>
      <c r="X554" s="19"/>
      <c r="Y554" s="19"/>
      <c r="Z554" s="23"/>
    </row>
    <row r="555" spans="1:26" ht="15.75" customHeight="1" x14ac:dyDescent="0.2">
      <c r="A555" s="34"/>
      <c r="B555" s="34"/>
      <c r="C555" s="34"/>
      <c r="D555" s="34"/>
      <c r="E555" s="19"/>
      <c r="F555" s="19"/>
      <c r="G555" s="19"/>
      <c r="H555" s="19"/>
      <c r="I555" s="19"/>
      <c r="J555" s="19"/>
      <c r="K555" s="19"/>
      <c r="L555" s="19"/>
      <c r="M555" s="19"/>
      <c r="N555" s="19"/>
      <c r="O555" s="19"/>
      <c r="P555" s="20"/>
      <c r="Q555" s="20"/>
      <c r="R555" s="22"/>
      <c r="S555" s="22"/>
      <c r="T555" s="20"/>
      <c r="U555" s="20"/>
      <c r="V555" s="20"/>
      <c r="W555" s="19"/>
      <c r="X555" s="19"/>
      <c r="Y555" s="19"/>
      <c r="Z555" s="23"/>
    </row>
    <row r="556" spans="1:26" ht="15.75" customHeight="1" x14ac:dyDescent="0.2">
      <c r="A556" s="34"/>
      <c r="B556" s="34"/>
      <c r="C556" s="34"/>
      <c r="D556" s="34"/>
      <c r="E556" s="19"/>
      <c r="F556" s="19"/>
      <c r="G556" s="19"/>
      <c r="H556" s="19"/>
      <c r="I556" s="19"/>
      <c r="J556" s="19"/>
      <c r="K556" s="19"/>
      <c r="L556" s="19"/>
      <c r="M556" s="19"/>
      <c r="N556" s="19"/>
      <c r="O556" s="19"/>
      <c r="P556" s="20"/>
      <c r="Q556" s="20"/>
      <c r="R556" s="22"/>
      <c r="S556" s="22"/>
      <c r="T556" s="20"/>
      <c r="U556" s="20"/>
      <c r="V556" s="20"/>
      <c r="W556" s="19"/>
      <c r="X556" s="19"/>
      <c r="Y556" s="19"/>
      <c r="Z556" s="23"/>
    </row>
    <row r="557" spans="1:26" ht="15.75" customHeight="1" x14ac:dyDescent="0.2">
      <c r="A557" s="34"/>
      <c r="B557" s="34"/>
      <c r="C557" s="34"/>
      <c r="D557" s="34"/>
      <c r="E557" s="19"/>
      <c r="F557" s="19"/>
      <c r="G557" s="19"/>
      <c r="H557" s="19"/>
      <c r="I557" s="19"/>
      <c r="J557" s="19"/>
      <c r="K557" s="19"/>
      <c r="L557" s="19"/>
      <c r="M557" s="19"/>
      <c r="N557" s="19"/>
      <c r="O557" s="19"/>
      <c r="P557" s="20"/>
      <c r="Q557" s="20"/>
      <c r="R557" s="22"/>
      <c r="S557" s="22"/>
      <c r="T557" s="20"/>
      <c r="U557" s="20"/>
      <c r="V557" s="20"/>
      <c r="W557" s="19"/>
      <c r="X557" s="19"/>
      <c r="Y557" s="19"/>
      <c r="Z557" s="23"/>
    </row>
    <row r="558" spans="1:26" ht="15.75" customHeight="1" x14ac:dyDescent="0.2">
      <c r="A558" s="34"/>
      <c r="B558" s="34"/>
      <c r="C558" s="34"/>
      <c r="D558" s="34"/>
      <c r="E558" s="19"/>
      <c r="F558" s="19"/>
      <c r="G558" s="19"/>
      <c r="H558" s="19"/>
      <c r="I558" s="19"/>
      <c r="J558" s="19"/>
      <c r="K558" s="19"/>
      <c r="L558" s="19"/>
      <c r="M558" s="19"/>
      <c r="N558" s="19"/>
      <c r="O558" s="19"/>
      <c r="P558" s="20"/>
      <c r="Q558" s="20"/>
      <c r="R558" s="22"/>
      <c r="S558" s="22"/>
      <c r="T558" s="20"/>
      <c r="U558" s="20"/>
      <c r="V558" s="20"/>
      <c r="W558" s="19"/>
      <c r="X558" s="19"/>
      <c r="Y558" s="19"/>
      <c r="Z558" s="23"/>
    </row>
    <row r="559" spans="1:26" ht="15.75" customHeight="1" x14ac:dyDescent="0.2">
      <c r="A559" s="34"/>
      <c r="B559" s="34"/>
      <c r="C559" s="34"/>
      <c r="D559" s="34"/>
      <c r="E559" s="19"/>
      <c r="F559" s="19"/>
      <c r="G559" s="19"/>
      <c r="H559" s="19"/>
      <c r="I559" s="19"/>
      <c r="J559" s="19"/>
      <c r="K559" s="19"/>
      <c r="L559" s="19"/>
      <c r="M559" s="19"/>
      <c r="N559" s="19"/>
      <c r="O559" s="19"/>
      <c r="P559" s="20"/>
      <c r="Q559" s="20"/>
      <c r="R559" s="22"/>
      <c r="S559" s="22"/>
      <c r="T559" s="20"/>
      <c r="U559" s="20"/>
      <c r="V559" s="20"/>
      <c r="W559" s="19"/>
      <c r="X559" s="19"/>
      <c r="Y559" s="19"/>
      <c r="Z559" s="23"/>
    </row>
    <row r="560" spans="1:26" ht="15.75" customHeight="1" x14ac:dyDescent="0.2">
      <c r="A560" s="34"/>
      <c r="B560" s="34"/>
      <c r="C560" s="34"/>
      <c r="D560" s="34"/>
      <c r="E560" s="19"/>
      <c r="F560" s="19"/>
      <c r="G560" s="19"/>
      <c r="H560" s="19"/>
      <c r="I560" s="19"/>
      <c r="J560" s="19"/>
      <c r="K560" s="19"/>
      <c r="L560" s="19"/>
      <c r="M560" s="19"/>
      <c r="N560" s="19"/>
      <c r="O560" s="19"/>
      <c r="P560" s="20"/>
      <c r="Q560" s="20"/>
      <c r="R560" s="22"/>
      <c r="S560" s="22"/>
      <c r="T560" s="20"/>
      <c r="U560" s="20"/>
      <c r="V560" s="20"/>
      <c r="W560" s="19"/>
      <c r="X560" s="19"/>
      <c r="Y560" s="19"/>
      <c r="Z560" s="23"/>
    </row>
    <row r="561" spans="1:26" ht="15.75" customHeight="1" x14ac:dyDescent="0.2">
      <c r="A561" s="34"/>
      <c r="B561" s="34"/>
      <c r="C561" s="34"/>
      <c r="D561" s="34"/>
      <c r="E561" s="19"/>
      <c r="F561" s="19"/>
      <c r="G561" s="19"/>
      <c r="H561" s="19"/>
      <c r="I561" s="19"/>
      <c r="J561" s="19"/>
      <c r="K561" s="19"/>
      <c r="L561" s="19"/>
      <c r="M561" s="19"/>
      <c r="N561" s="19"/>
      <c r="O561" s="19"/>
      <c r="P561" s="20"/>
      <c r="Q561" s="20"/>
      <c r="R561" s="22"/>
      <c r="S561" s="22"/>
      <c r="T561" s="20"/>
      <c r="U561" s="20"/>
      <c r="V561" s="20"/>
      <c r="W561" s="19"/>
      <c r="X561" s="19"/>
      <c r="Y561" s="19"/>
      <c r="Z561" s="23"/>
    </row>
    <row r="562" spans="1:26" ht="15.75" customHeight="1" x14ac:dyDescent="0.2">
      <c r="A562" s="34"/>
      <c r="B562" s="34"/>
      <c r="C562" s="34"/>
      <c r="D562" s="34"/>
      <c r="E562" s="19"/>
      <c r="F562" s="19"/>
      <c r="G562" s="19"/>
      <c r="H562" s="19"/>
      <c r="I562" s="19"/>
      <c r="J562" s="19"/>
      <c r="K562" s="19"/>
      <c r="L562" s="19"/>
      <c r="M562" s="19"/>
      <c r="N562" s="19"/>
      <c r="O562" s="19"/>
      <c r="P562" s="20"/>
      <c r="Q562" s="20"/>
      <c r="R562" s="22"/>
      <c r="S562" s="22"/>
      <c r="T562" s="20"/>
      <c r="U562" s="20"/>
      <c r="V562" s="20"/>
      <c r="W562" s="19"/>
      <c r="X562" s="19"/>
      <c r="Y562" s="19"/>
      <c r="Z562" s="23"/>
    </row>
    <row r="563" spans="1:26" ht="15.75" customHeight="1" x14ac:dyDescent="0.2">
      <c r="A563" s="34"/>
      <c r="B563" s="34"/>
      <c r="C563" s="34"/>
      <c r="D563" s="34"/>
      <c r="E563" s="19"/>
      <c r="F563" s="19"/>
      <c r="G563" s="19"/>
      <c r="H563" s="19"/>
      <c r="I563" s="19"/>
      <c r="J563" s="19"/>
      <c r="K563" s="19"/>
      <c r="L563" s="19"/>
      <c r="M563" s="19"/>
      <c r="N563" s="19"/>
      <c r="O563" s="19"/>
      <c r="P563" s="20"/>
      <c r="Q563" s="20"/>
      <c r="R563" s="22"/>
      <c r="S563" s="22"/>
      <c r="T563" s="20"/>
      <c r="U563" s="20"/>
      <c r="V563" s="20"/>
      <c r="W563" s="19"/>
      <c r="X563" s="19"/>
      <c r="Y563" s="19"/>
      <c r="Z563" s="23"/>
    </row>
    <row r="564" spans="1:26" ht="15.75" customHeight="1" x14ac:dyDescent="0.2">
      <c r="A564" s="34"/>
      <c r="B564" s="34"/>
      <c r="C564" s="34"/>
      <c r="D564" s="34"/>
      <c r="E564" s="19"/>
      <c r="F564" s="19"/>
      <c r="G564" s="19"/>
      <c r="H564" s="19"/>
      <c r="I564" s="19"/>
      <c r="J564" s="19"/>
      <c r="K564" s="19"/>
      <c r="L564" s="19"/>
      <c r="M564" s="19"/>
      <c r="N564" s="19"/>
      <c r="O564" s="19"/>
      <c r="P564" s="20"/>
      <c r="Q564" s="20"/>
      <c r="R564" s="22"/>
      <c r="S564" s="22"/>
      <c r="T564" s="20"/>
      <c r="U564" s="20"/>
      <c r="V564" s="20"/>
      <c r="W564" s="19"/>
      <c r="X564" s="19"/>
      <c r="Y564" s="19"/>
      <c r="Z564" s="23"/>
    </row>
    <row r="565" spans="1:26" ht="15.75" customHeight="1" x14ac:dyDescent="0.2">
      <c r="A565" s="34"/>
      <c r="B565" s="34"/>
      <c r="C565" s="34"/>
      <c r="D565" s="34"/>
      <c r="E565" s="19"/>
      <c r="F565" s="19"/>
      <c r="G565" s="19"/>
      <c r="H565" s="19"/>
      <c r="I565" s="19"/>
      <c r="J565" s="19"/>
      <c r="K565" s="19"/>
      <c r="L565" s="19"/>
      <c r="M565" s="19"/>
      <c r="N565" s="19"/>
      <c r="O565" s="19"/>
      <c r="P565" s="20"/>
      <c r="Q565" s="20"/>
      <c r="R565" s="22"/>
      <c r="S565" s="22"/>
      <c r="T565" s="20"/>
      <c r="U565" s="20"/>
      <c r="V565" s="20"/>
      <c r="W565" s="19"/>
      <c r="X565" s="19"/>
      <c r="Y565" s="19"/>
      <c r="Z565" s="23"/>
    </row>
    <row r="566" spans="1:26" ht="15.75" customHeight="1" x14ac:dyDescent="0.2">
      <c r="A566" s="34"/>
      <c r="B566" s="34"/>
      <c r="C566" s="34"/>
      <c r="D566" s="34"/>
      <c r="E566" s="19"/>
      <c r="F566" s="19"/>
      <c r="G566" s="19"/>
      <c r="H566" s="19"/>
      <c r="I566" s="19"/>
      <c r="J566" s="19"/>
      <c r="K566" s="19"/>
      <c r="L566" s="19"/>
      <c r="M566" s="19"/>
      <c r="N566" s="19"/>
      <c r="O566" s="19"/>
      <c r="P566" s="20"/>
      <c r="Q566" s="20"/>
      <c r="R566" s="22"/>
      <c r="S566" s="22"/>
      <c r="T566" s="20"/>
      <c r="U566" s="20"/>
      <c r="V566" s="20"/>
      <c r="W566" s="19"/>
      <c r="X566" s="19"/>
      <c r="Y566" s="19"/>
      <c r="Z566" s="23"/>
    </row>
    <row r="567" spans="1:26" ht="15.75" customHeight="1" x14ac:dyDescent="0.2">
      <c r="A567" s="34"/>
      <c r="B567" s="34"/>
      <c r="C567" s="34"/>
      <c r="D567" s="34"/>
      <c r="E567" s="19"/>
      <c r="F567" s="19"/>
      <c r="G567" s="19"/>
      <c r="H567" s="19"/>
      <c r="I567" s="19"/>
      <c r="J567" s="19"/>
      <c r="K567" s="19"/>
      <c r="L567" s="19"/>
      <c r="M567" s="19"/>
      <c r="N567" s="19"/>
      <c r="O567" s="19"/>
      <c r="P567" s="20"/>
      <c r="Q567" s="20"/>
      <c r="R567" s="22"/>
      <c r="S567" s="22"/>
      <c r="T567" s="20"/>
      <c r="U567" s="20"/>
      <c r="V567" s="20"/>
      <c r="W567" s="19"/>
      <c r="X567" s="19"/>
      <c r="Y567" s="19"/>
      <c r="Z567" s="23"/>
    </row>
    <row r="568" spans="1:26" ht="15.75" customHeight="1" x14ac:dyDescent="0.2">
      <c r="A568" s="34"/>
      <c r="B568" s="34"/>
      <c r="C568" s="34"/>
      <c r="D568" s="34"/>
      <c r="E568" s="19"/>
      <c r="F568" s="19"/>
      <c r="G568" s="19"/>
      <c r="H568" s="19"/>
      <c r="I568" s="19"/>
      <c r="J568" s="19"/>
      <c r="K568" s="19"/>
      <c r="L568" s="19"/>
      <c r="M568" s="19"/>
      <c r="N568" s="19"/>
      <c r="O568" s="19"/>
      <c r="P568" s="20"/>
      <c r="Q568" s="20"/>
      <c r="R568" s="22"/>
      <c r="S568" s="22"/>
      <c r="T568" s="20"/>
      <c r="U568" s="20"/>
      <c r="V568" s="20"/>
      <c r="W568" s="19"/>
      <c r="X568" s="19"/>
      <c r="Y568" s="19"/>
      <c r="Z568" s="23"/>
    </row>
    <row r="569" spans="1:26" ht="15.75" customHeight="1" x14ac:dyDescent="0.2">
      <c r="A569" s="34"/>
      <c r="B569" s="34"/>
      <c r="C569" s="34"/>
      <c r="D569" s="34"/>
      <c r="E569" s="19"/>
      <c r="F569" s="19"/>
      <c r="G569" s="19"/>
      <c r="H569" s="19"/>
      <c r="I569" s="19"/>
      <c r="J569" s="19"/>
      <c r="K569" s="19"/>
      <c r="L569" s="19"/>
      <c r="M569" s="19"/>
      <c r="N569" s="19"/>
      <c r="O569" s="19"/>
      <c r="P569" s="20"/>
      <c r="Q569" s="20"/>
      <c r="R569" s="22"/>
      <c r="S569" s="22"/>
      <c r="T569" s="20"/>
      <c r="U569" s="20"/>
      <c r="V569" s="20"/>
      <c r="W569" s="19"/>
      <c r="X569" s="19"/>
      <c r="Y569" s="19"/>
      <c r="Z569" s="23"/>
    </row>
    <row r="570" spans="1:26" ht="15.75" customHeight="1" x14ac:dyDescent="0.2">
      <c r="A570" s="34"/>
      <c r="B570" s="34"/>
      <c r="C570" s="34"/>
      <c r="D570" s="34"/>
      <c r="E570" s="19"/>
      <c r="F570" s="19"/>
      <c r="G570" s="19"/>
      <c r="H570" s="19"/>
      <c r="I570" s="19"/>
      <c r="J570" s="19"/>
      <c r="K570" s="19"/>
      <c r="L570" s="19"/>
      <c r="M570" s="19"/>
      <c r="N570" s="19"/>
      <c r="O570" s="19"/>
      <c r="P570" s="20"/>
      <c r="Q570" s="20"/>
      <c r="R570" s="22"/>
      <c r="S570" s="22"/>
      <c r="T570" s="20"/>
      <c r="U570" s="20"/>
      <c r="V570" s="20"/>
      <c r="W570" s="19"/>
      <c r="X570" s="19"/>
      <c r="Y570" s="19"/>
      <c r="Z570" s="23"/>
    </row>
    <row r="571" spans="1:26" ht="15.75" customHeight="1" x14ac:dyDescent="0.2">
      <c r="A571" s="34"/>
      <c r="B571" s="34"/>
      <c r="C571" s="34"/>
      <c r="D571" s="34"/>
      <c r="E571" s="19"/>
      <c r="F571" s="19"/>
      <c r="G571" s="19"/>
      <c r="H571" s="19"/>
      <c r="I571" s="19"/>
      <c r="J571" s="19"/>
      <c r="K571" s="19"/>
      <c r="L571" s="19"/>
      <c r="M571" s="19"/>
      <c r="N571" s="19"/>
      <c r="O571" s="19"/>
      <c r="P571" s="20"/>
      <c r="Q571" s="20"/>
      <c r="R571" s="22"/>
      <c r="S571" s="22"/>
      <c r="T571" s="20"/>
      <c r="U571" s="20"/>
      <c r="V571" s="20"/>
      <c r="W571" s="19"/>
      <c r="X571" s="19"/>
      <c r="Y571" s="19"/>
      <c r="Z571" s="23"/>
    </row>
    <row r="572" spans="1:26" ht="15.75" customHeight="1" x14ac:dyDescent="0.2">
      <c r="A572" s="34"/>
      <c r="B572" s="34"/>
      <c r="C572" s="34"/>
      <c r="D572" s="34"/>
      <c r="E572" s="19"/>
      <c r="F572" s="19"/>
      <c r="G572" s="19"/>
      <c r="H572" s="19"/>
      <c r="I572" s="19"/>
      <c r="J572" s="19"/>
      <c r="K572" s="19"/>
      <c r="L572" s="19"/>
      <c r="M572" s="19"/>
      <c r="N572" s="19"/>
      <c r="O572" s="19"/>
      <c r="P572" s="20"/>
      <c r="Q572" s="20"/>
      <c r="R572" s="22"/>
      <c r="S572" s="22"/>
      <c r="T572" s="20"/>
      <c r="U572" s="20"/>
      <c r="V572" s="20"/>
      <c r="W572" s="19"/>
      <c r="X572" s="19"/>
      <c r="Y572" s="19"/>
      <c r="Z572" s="23"/>
    </row>
    <row r="573" spans="1:26" ht="15.75" customHeight="1" x14ac:dyDescent="0.2">
      <c r="A573" s="34"/>
      <c r="B573" s="34"/>
      <c r="C573" s="34"/>
      <c r="D573" s="34"/>
      <c r="E573" s="19"/>
      <c r="F573" s="19"/>
      <c r="G573" s="19"/>
      <c r="H573" s="19"/>
      <c r="I573" s="19"/>
      <c r="J573" s="19"/>
      <c r="K573" s="19"/>
      <c r="L573" s="19"/>
      <c r="M573" s="19"/>
      <c r="N573" s="19"/>
      <c r="O573" s="19"/>
      <c r="P573" s="20"/>
      <c r="Q573" s="20"/>
      <c r="R573" s="22"/>
      <c r="S573" s="22"/>
      <c r="T573" s="20"/>
      <c r="U573" s="20"/>
      <c r="V573" s="20"/>
      <c r="W573" s="19"/>
      <c r="X573" s="19"/>
      <c r="Y573" s="19"/>
      <c r="Z573" s="23"/>
    </row>
    <row r="574" spans="1:26" ht="15.75" customHeight="1" x14ac:dyDescent="0.2">
      <c r="A574" s="34"/>
      <c r="B574" s="34"/>
      <c r="C574" s="34"/>
      <c r="D574" s="34"/>
      <c r="E574" s="19"/>
      <c r="F574" s="19"/>
      <c r="G574" s="19"/>
      <c r="H574" s="19"/>
      <c r="I574" s="19"/>
      <c r="J574" s="19"/>
      <c r="K574" s="19"/>
      <c r="L574" s="19"/>
      <c r="M574" s="19"/>
      <c r="N574" s="19"/>
      <c r="O574" s="19"/>
      <c r="P574" s="20"/>
      <c r="Q574" s="20"/>
      <c r="R574" s="22"/>
      <c r="S574" s="22"/>
      <c r="T574" s="20"/>
      <c r="U574" s="20"/>
      <c r="V574" s="20"/>
      <c r="W574" s="19"/>
      <c r="X574" s="19"/>
      <c r="Y574" s="19"/>
      <c r="Z574" s="23"/>
    </row>
    <row r="575" spans="1:26" ht="15.75" customHeight="1" x14ac:dyDescent="0.2">
      <c r="A575" s="34"/>
      <c r="B575" s="34"/>
      <c r="C575" s="34"/>
      <c r="D575" s="34"/>
      <c r="E575" s="19"/>
      <c r="F575" s="19"/>
      <c r="G575" s="19"/>
      <c r="H575" s="19"/>
      <c r="I575" s="19"/>
      <c r="J575" s="19"/>
      <c r="K575" s="19"/>
      <c r="L575" s="19"/>
      <c r="M575" s="19"/>
      <c r="N575" s="19"/>
      <c r="O575" s="19"/>
      <c r="P575" s="20"/>
      <c r="Q575" s="20"/>
      <c r="R575" s="22"/>
      <c r="S575" s="22"/>
      <c r="T575" s="20"/>
      <c r="U575" s="20"/>
      <c r="V575" s="20"/>
      <c r="W575" s="19"/>
      <c r="X575" s="19"/>
      <c r="Y575" s="19"/>
      <c r="Z575" s="23"/>
    </row>
    <row r="576" spans="1:26" ht="15.75" customHeight="1" x14ac:dyDescent="0.2">
      <c r="A576" s="34"/>
      <c r="B576" s="34"/>
      <c r="C576" s="34"/>
      <c r="D576" s="34"/>
      <c r="E576" s="19"/>
      <c r="F576" s="19"/>
      <c r="G576" s="19"/>
      <c r="H576" s="19"/>
      <c r="I576" s="19"/>
      <c r="J576" s="19"/>
      <c r="K576" s="19"/>
      <c r="L576" s="19"/>
      <c r="M576" s="19"/>
      <c r="N576" s="19"/>
      <c r="O576" s="19"/>
      <c r="P576" s="20"/>
      <c r="Q576" s="20"/>
      <c r="R576" s="22"/>
      <c r="S576" s="22"/>
      <c r="T576" s="20"/>
      <c r="U576" s="20"/>
      <c r="V576" s="20"/>
      <c r="W576" s="19"/>
      <c r="X576" s="19"/>
      <c r="Y576" s="19"/>
      <c r="Z576" s="23"/>
    </row>
    <row r="577" spans="1:26" ht="15.75" customHeight="1" x14ac:dyDescent="0.2">
      <c r="A577" s="34"/>
      <c r="B577" s="34"/>
      <c r="C577" s="34"/>
      <c r="D577" s="34"/>
      <c r="E577" s="19"/>
      <c r="F577" s="19"/>
      <c r="G577" s="19"/>
      <c r="H577" s="19"/>
      <c r="I577" s="19"/>
      <c r="J577" s="19"/>
      <c r="K577" s="19"/>
      <c r="L577" s="19"/>
      <c r="M577" s="19"/>
      <c r="N577" s="19"/>
      <c r="O577" s="19"/>
      <c r="P577" s="20"/>
      <c r="Q577" s="20"/>
      <c r="R577" s="22"/>
      <c r="S577" s="22"/>
      <c r="T577" s="20"/>
      <c r="U577" s="20"/>
      <c r="V577" s="20"/>
      <c r="W577" s="19"/>
      <c r="X577" s="19"/>
      <c r="Y577" s="19"/>
      <c r="Z577" s="23"/>
    </row>
    <row r="578" spans="1:26" ht="15.75" customHeight="1" x14ac:dyDescent="0.2">
      <c r="A578" s="34"/>
      <c r="B578" s="34"/>
      <c r="C578" s="34"/>
      <c r="D578" s="34"/>
      <c r="E578" s="19"/>
      <c r="F578" s="19"/>
      <c r="G578" s="19"/>
      <c r="H578" s="19"/>
      <c r="I578" s="19"/>
      <c r="J578" s="19"/>
      <c r="K578" s="19"/>
      <c r="L578" s="19"/>
      <c r="M578" s="19"/>
      <c r="N578" s="19"/>
      <c r="O578" s="19"/>
      <c r="P578" s="20"/>
      <c r="Q578" s="20"/>
      <c r="R578" s="22"/>
      <c r="S578" s="22"/>
      <c r="T578" s="20"/>
      <c r="U578" s="20"/>
      <c r="V578" s="20"/>
      <c r="W578" s="19"/>
      <c r="X578" s="19"/>
      <c r="Y578" s="19"/>
      <c r="Z578" s="23"/>
    </row>
    <row r="579" spans="1:26" ht="15.75" customHeight="1" x14ac:dyDescent="0.2">
      <c r="A579" s="34"/>
      <c r="B579" s="34"/>
      <c r="C579" s="34"/>
      <c r="D579" s="34"/>
      <c r="E579" s="19"/>
      <c r="F579" s="19"/>
      <c r="G579" s="19"/>
      <c r="H579" s="19"/>
      <c r="I579" s="19"/>
      <c r="J579" s="19"/>
      <c r="K579" s="19"/>
      <c r="L579" s="19"/>
      <c r="M579" s="19"/>
      <c r="N579" s="19"/>
      <c r="O579" s="19"/>
      <c r="P579" s="20"/>
      <c r="Q579" s="20"/>
      <c r="R579" s="22"/>
      <c r="S579" s="22"/>
      <c r="T579" s="20"/>
      <c r="U579" s="20"/>
      <c r="V579" s="20"/>
      <c r="W579" s="19"/>
      <c r="X579" s="19"/>
      <c r="Y579" s="19"/>
      <c r="Z579" s="23"/>
    </row>
    <row r="580" spans="1:26" ht="15.75" customHeight="1" x14ac:dyDescent="0.2">
      <c r="A580" s="34"/>
      <c r="B580" s="34"/>
      <c r="C580" s="34"/>
      <c r="D580" s="34"/>
      <c r="E580" s="19"/>
      <c r="F580" s="19"/>
      <c r="G580" s="19"/>
      <c r="H580" s="19"/>
      <c r="I580" s="19"/>
      <c r="J580" s="19"/>
      <c r="K580" s="19"/>
      <c r="L580" s="19"/>
      <c r="M580" s="19"/>
      <c r="N580" s="19"/>
      <c r="O580" s="19"/>
      <c r="P580" s="20"/>
      <c r="Q580" s="20"/>
      <c r="R580" s="22"/>
      <c r="S580" s="22"/>
      <c r="T580" s="20"/>
      <c r="U580" s="20"/>
      <c r="V580" s="20"/>
      <c r="W580" s="19"/>
      <c r="X580" s="19"/>
      <c r="Y580" s="19"/>
      <c r="Z580" s="23"/>
    </row>
    <row r="581" spans="1:26" ht="15.75" customHeight="1" x14ac:dyDescent="0.2">
      <c r="A581" s="34"/>
      <c r="B581" s="34"/>
      <c r="C581" s="34"/>
      <c r="D581" s="34"/>
      <c r="E581" s="19"/>
      <c r="F581" s="19"/>
      <c r="G581" s="19"/>
      <c r="H581" s="19"/>
      <c r="I581" s="19"/>
      <c r="J581" s="19"/>
      <c r="K581" s="19"/>
      <c r="L581" s="19"/>
      <c r="M581" s="19"/>
      <c r="N581" s="19"/>
      <c r="O581" s="19"/>
      <c r="P581" s="20"/>
      <c r="Q581" s="20"/>
      <c r="R581" s="22"/>
      <c r="S581" s="22"/>
      <c r="T581" s="20"/>
      <c r="U581" s="20"/>
      <c r="V581" s="20"/>
      <c r="W581" s="19"/>
      <c r="X581" s="19"/>
      <c r="Y581" s="19"/>
      <c r="Z581" s="23"/>
    </row>
    <row r="582" spans="1:26" ht="15.75" customHeight="1" x14ac:dyDescent="0.2">
      <c r="A582" s="34"/>
      <c r="B582" s="34"/>
      <c r="C582" s="34"/>
      <c r="D582" s="34"/>
      <c r="E582" s="19"/>
      <c r="F582" s="19"/>
      <c r="G582" s="19"/>
      <c r="H582" s="19"/>
      <c r="I582" s="19"/>
      <c r="J582" s="19"/>
      <c r="K582" s="19"/>
      <c r="L582" s="19"/>
      <c r="M582" s="19"/>
      <c r="N582" s="19"/>
      <c r="O582" s="19"/>
      <c r="P582" s="20"/>
      <c r="Q582" s="20"/>
      <c r="R582" s="22"/>
      <c r="S582" s="22"/>
      <c r="T582" s="20"/>
      <c r="U582" s="20"/>
      <c r="V582" s="20"/>
      <c r="W582" s="19"/>
      <c r="X582" s="19"/>
      <c r="Y582" s="19"/>
      <c r="Z582" s="23"/>
    </row>
    <row r="583" spans="1:26" ht="15.75" customHeight="1" x14ac:dyDescent="0.2">
      <c r="A583" s="34"/>
      <c r="B583" s="34"/>
      <c r="C583" s="34"/>
      <c r="D583" s="34"/>
      <c r="E583" s="19"/>
      <c r="F583" s="19"/>
      <c r="G583" s="19"/>
      <c r="H583" s="19"/>
      <c r="I583" s="19"/>
      <c r="J583" s="19"/>
      <c r="K583" s="19"/>
      <c r="L583" s="19"/>
      <c r="M583" s="19"/>
      <c r="N583" s="19"/>
      <c r="O583" s="19"/>
      <c r="P583" s="20"/>
      <c r="Q583" s="20"/>
      <c r="R583" s="22"/>
      <c r="S583" s="22"/>
      <c r="T583" s="20"/>
      <c r="U583" s="20"/>
      <c r="V583" s="20"/>
      <c r="W583" s="19"/>
      <c r="X583" s="19"/>
      <c r="Y583" s="19"/>
      <c r="Z583" s="23"/>
    </row>
    <row r="584" spans="1:26" ht="15.75" customHeight="1" x14ac:dyDescent="0.2">
      <c r="A584" s="34"/>
      <c r="B584" s="34"/>
      <c r="C584" s="34"/>
      <c r="D584" s="34"/>
      <c r="E584" s="19"/>
      <c r="F584" s="19"/>
      <c r="G584" s="19"/>
      <c r="H584" s="19"/>
      <c r="I584" s="19"/>
      <c r="J584" s="19"/>
      <c r="K584" s="19"/>
      <c r="L584" s="19"/>
      <c r="M584" s="19"/>
      <c r="N584" s="19"/>
      <c r="O584" s="19"/>
      <c r="P584" s="20"/>
      <c r="Q584" s="20"/>
      <c r="R584" s="22"/>
      <c r="S584" s="22"/>
      <c r="T584" s="20"/>
      <c r="U584" s="20"/>
      <c r="V584" s="20"/>
      <c r="W584" s="19"/>
      <c r="X584" s="19"/>
      <c r="Y584" s="19"/>
      <c r="Z584" s="23"/>
    </row>
    <row r="585" spans="1:26" ht="15.75" customHeight="1" x14ac:dyDescent="0.2">
      <c r="A585" s="34"/>
      <c r="B585" s="34"/>
      <c r="C585" s="34"/>
      <c r="D585" s="34"/>
      <c r="E585" s="19"/>
      <c r="F585" s="19"/>
      <c r="G585" s="19"/>
      <c r="H585" s="19"/>
      <c r="I585" s="19"/>
      <c r="J585" s="19"/>
      <c r="K585" s="19"/>
      <c r="L585" s="19"/>
      <c r="M585" s="19"/>
      <c r="N585" s="19"/>
      <c r="O585" s="19"/>
      <c r="P585" s="20"/>
      <c r="Q585" s="20"/>
      <c r="R585" s="22"/>
      <c r="S585" s="22"/>
      <c r="T585" s="20"/>
      <c r="U585" s="20"/>
      <c r="V585" s="20"/>
      <c r="W585" s="19"/>
      <c r="X585" s="19"/>
      <c r="Y585" s="19"/>
      <c r="Z585" s="23"/>
    </row>
    <row r="586" spans="1:26" ht="15.75" customHeight="1" x14ac:dyDescent="0.2">
      <c r="A586" s="34"/>
      <c r="B586" s="34"/>
      <c r="C586" s="34"/>
      <c r="D586" s="34"/>
      <c r="E586" s="19"/>
      <c r="F586" s="19"/>
      <c r="G586" s="19"/>
      <c r="H586" s="19"/>
      <c r="I586" s="19"/>
      <c r="J586" s="19"/>
      <c r="K586" s="19"/>
      <c r="L586" s="19"/>
      <c r="M586" s="19"/>
      <c r="N586" s="19"/>
      <c r="O586" s="19"/>
      <c r="P586" s="20"/>
      <c r="Q586" s="20"/>
      <c r="R586" s="22"/>
      <c r="S586" s="22"/>
      <c r="T586" s="20"/>
      <c r="U586" s="20"/>
      <c r="V586" s="20"/>
      <c r="W586" s="19"/>
      <c r="X586" s="19"/>
      <c r="Y586" s="19"/>
      <c r="Z586" s="23"/>
    </row>
    <row r="587" spans="1:26" ht="15.75" customHeight="1" x14ac:dyDescent="0.2">
      <c r="A587" s="34"/>
      <c r="B587" s="34"/>
      <c r="C587" s="34"/>
      <c r="D587" s="34"/>
      <c r="E587" s="19"/>
      <c r="F587" s="19"/>
      <c r="G587" s="19"/>
      <c r="H587" s="19"/>
      <c r="I587" s="19"/>
      <c r="J587" s="19"/>
      <c r="K587" s="19"/>
      <c r="L587" s="19"/>
      <c r="M587" s="19"/>
      <c r="N587" s="19"/>
      <c r="O587" s="19"/>
      <c r="P587" s="20"/>
      <c r="Q587" s="20"/>
      <c r="R587" s="22"/>
      <c r="S587" s="22"/>
      <c r="T587" s="20"/>
      <c r="U587" s="20"/>
      <c r="V587" s="20"/>
      <c r="W587" s="19"/>
      <c r="X587" s="19"/>
      <c r="Y587" s="19"/>
      <c r="Z587" s="23"/>
    </row>
    <row r="588" spans="1:26" ht="15.75" customHeight="1" x14ac:dyDescent="0.2">
      <c r="A588" s="34"/>
      <c r="B588" s="34"/>
      <c r="C588" s="34"/>
      <c r="D588" s="34"/>
      <c r="E588" s="19"/>
      <c r="F588" s="19"/>
      <c r="G588" s="19"/>
      <c r="H588" s="19"/>
      <c r="I588" s="19"/>
      <c r="J588" s="19"/>
      <c r="K588" s="19"/>
      <c r="L588" s="19"/>
      <c r="M588" s="19"/>
      <c r="N588" s="19"/>
      <c r="O588" s="19"/>
      <c r="P588" s="20"/>
      <c r="Q588" s="20"/>
      <c r="R588" s="22"/>
      <c r="S588" s="22"/>
      <c r="T588" s="20"/>
      <c r="U588" s="20"/>
      <c r="V588" s="20"/>
      <c r="W588" s="19"/>
      <c r="X588" s="19"/>
      <c r="Y588" s="19"/>
      <c r="Z588" s="23"/>
    </row>
    <row r="589" spans="1:26" ht="15.75" customHeight="1" x14ac:dyDescent="0.2">
      <c r="A589" s="34"/>
      <c r="B589" s="34"/>
      <c r="C589" s="34"/>
      <c r="D589" s="34"/>
      <c r="E589" s="19"/>
      <c r="F589" s="19"/>
      <c r="G589" s="19"/>
      <c r="H589" s="19"/>
      <c r="I589" s="19"/>
      <c r="J589" s="19"/>
      <c r="K589" s="19"/>
      <c r="L589" s="19"/>
      <c r="M589" s="19"/>
      <c r="N589" s="19"/>
      <c r="O589" s="19"/>
      <c r="P589" s="20"/>
      <c r="Q589" s="20"/>
      <c r="R589" s="22"/>
      <c r="S589" s="22"/>
      <c r="T589" s="20"/>
      <c r="U589" s="20"/>
      <c r="V589" s="20"/>
      <c r="W589" s="19"/>
      <c r="X589" s="19"/>
      <c r="Y589" s="19"/>
      <c r="Z589" s="23"/>
    </row>
    <row r="590" spans="1:26" ht="15.75" customHeight="1" x14ac:dyDescent="0.2">
      <c r="A590" s="34"/>
      <c r="B590" s="34"/>
      <c r="C590" s="34"/>
      <c r="D590" s="34"/>
      <c r="E590" s="19"/>
      <c r="F590" s="19"/>
      <c r="G590" s="19"/>
      <c r="H590" s="19"/>
      <c r="I590" s="19"/>
      <c r="J590" s="19"/>
      <c r="K590" s="19"/>
      <c r="L590" s="19"/>
      <c r="M590" s="19"/>
      <c r="N590" s="19"/>
      <c r="O590" s="19"/>
      <c r="P590" s="20"/>
      <c r="Q590" s="20"/>
      <c r="R590" s="22"/>
      <c r="S590" s="22"/>
      <c r="T590" s="20"/>
      <c r="U590" s="20"/>
      <c r="V590" s="20"/>
      <c r="W590" s="19"/>
      <c r="X590" s="19"/>
      <c r="Y590" s="19"/>
      <c r="Z590" s="23"/>
    </row>
    <row r="591" spans="1:26" ht="15.75" customHeight="1" x14ac:dyDescent="0.2">
      <c r="A591" s="34"/>
      <c r="B591" s="34"/>
      <c r="C591" s="34"/>
      <c r="D591" s="34"/>
      <c r="E591" s="19"/>
      <c r="F591" s="19"/>
      <c r="G591" s="19"/>
      <c r="H591" s="19"/>
      <c r="I591" s="19"/>
      <c r="J591" s="19"/>
      <c r="K591" s="19"/>
      <c r="L591" s="19"/>
      <c r="M591" s="19"/>
      <c r="N591" s="19"/>
      <c r="O591" s="19"/>
      <c r="P591" s="20"/>
      <c r="Q591" s="20"/>
      <c r="R591" s="22"/>
      <c r="S591" s="22"/>
      <c r="T591" s="20"/>
      <c r="U591" s="20"/>
      <c r="V591" s="20"/>
      <c r="W591" s="19"/>
      <c r="X591" s="19"/>
      <c r="Y591" s="19"/>
      <c r="Z591" s="23"/>
    </row>
    <row r="592" spans="1:26" ht="15.75" customHeight="1" x14ac:dyDescent="0.2">
      <c r="A592" s="34"/>
      <c r="B592" s="34"/>
      <c r="C592" s="34"/>
      <c r="D592" s="34"/>
      <c r="E592" s="19"/>
      <c r="F592" s="19"/>
      <c r="G592" s="19"/>
      <c r="H592" s="19"/>
      <c r="I592" s="19"/>
      <c r="J592" s="19"/>
      <c r="K592" s="19"/>
      <c r="L592" s="19"/>
      <c r="M592" s="19"/>
      <c r="N592" s="19"/>
      <c r="O592" s="19"/>
      <c r="P592" s="20"/>
      <c r="Q592" s="20"/>
      <c r="R592" s="22"/>
      <c r="S592" s="22"/>
      <c r="T592" s="20"/>
      <c r="U592" s="20"/>
      <c r="V592" s="20"/>
      <c r="W592" s="19"/>
      <c r="X592" s="19"/>
      <c r="Y592" s="19"/>
      <c r="Z592" s="23"/>
    </row>
    <row r="593" spans="1:26" ht="15.75" customHeight="1" x14ac:dyDescent="0.2">
      <c r="A593" s="34"/>
      <c r="B593" s="34"/>
      <c r="C593" s="34"/>
      <c r="D593" s="34"/>
      <c r="E593" s="19"/>
      <c r="F593" s="19"/>
      <c r="G593" s="19"/>
      <c r="H593" s="19"/>
      <c r="I593" s="19"/>
      <c r="J593" s="19"/>
      <c r="K593" s="19"/>
      <c r="L593" s="19"/>
      <c r="M593" s="19"/>
      <c r="N593" s="19"/>
      <c r="O593" s="19"/>
      <c r="P593" s="20"/>
      <c r="Q593" s="20"/>
      <c r="R593" s="22"/>
      <c r="S593" s="22"/>
      <c r="T593" s="20"/>
      <c r="U593" s="20"/>
      <c r="V593" s="20"/>
      <c r="W593" s="19"/>
      <c r="X593" s="19"/>
      <c r="Y593" s="19"/>
      <c r="Z593" s="23"/>
    </row>
    <row r="594" spans="1:26" ht="15.75" customHeight="1" x14ac:dyDescent="0.2">
      <c r="A594" s="34"/>
      <c r="B594" s="34"/>
      <c r="C594" s="34"/>
      <c r="D594" s="34"/>
      <c r="E594" s="19"/>
      <c r="F594" s="19"/>
      <c r="G594" s="19"/>
      <c r="H594" s="19"/>
      <c r="I594" s="19"/>
      <c r="J594" s="19"/>
      <c r="K594" s="19"/>
      <c r="L594" s="19"/>
      <c r="M594" s="19"/>
      <c r="N594" s="19"/>
      <c r="O594" s="19"/>
      <c r="P594" s="20"/>
      <c r="Q594" s="20"/>
      <c r="R594" s="22"/>
      <c r="S594" s="22"/>
      <c r="T594" s="20"/>
      <c r="U594" s="20"/>
      <c r="V594" s="20"/>
      <c r="W594" s="19"/>
      <c r="X594" s="19"/>
      <c r="Y594" s="19"/>
      <c r="Z594" s="23"/>
    </row>
    <row r="595" spans="1:26" ht="15.75" customHeight="1" x14ac:dyDescent="0.2">
      <c r="A595" s="34"/>
      <c r="B595" s="34"/>
      <c r="C595" s="34"/>
      <c r="D595" s="34"/>
      <c r="E595" s="19"/>
      <c r="F595" s="19"/>
      <c r="G595" s="19"/>
      <c r="H595" s="19"/>
      <c r="I595" s="19"/>
      <c r="J595" s="19"/>
      <c r="K595" s="19"/>
      <c r="L595" s="19"/>
      <c r="M595" s="19"/>
      <c r="N595" s="19"/>
      <c r="O595" s="19"/>
      <c r="P595" s="20"/>
      <c r="Q595" s="20"/>
      <c r="R595" s="22"/>
      <c r="S595" s="22"/>
      <c r="T595" s="20"/>
      <c r="U595" s="20"/>
      <c r="V595" s="20"/>
      <c r="W595" s="19"/>
      <c r="X595" s="19"/>
      <c r="Y595" s="19"/>
      <c r="Z595" s="23"/>
    </row>
    <row r="596" spans="1:26" ht="15.75" customHeight="1" x14ac:dyDescent="0.2">
      <c r="A596" s="34"/>
      <c r="B596" s="34"/>
      <c r="C596" s="34"/>
      <c r="D596" s="34"/>
      <c r="E596" s="19"/>
      <c r="F596" s="19"/>
      <c r="G596" s="19"/>
      <c r="H596" s="19"/>
      <c r="I596" s="19"/>
      <c r="J596" s="19"/>
      <c r="K596" s="19"/>
      <c r="L596" s="19"/>
      <c r="M596" s="19"/>
      <c r="N596" s="19"/>
      <c r="O596" s="19"/>
      <c r="P596" s="20"/>
      <c r="Q596" s="20"/>
      <c r="R596" s="22"/>
      <c r="S596" s="22"/>
      <c r="T596" s="20"/>
      <c r="U596" s="20"/>
      <c r="V596" s="20"/>
      <c r="W596" s="19"/>
      <c r="X596" s="19"/>
      <c r="Y596" s="19"/>
      <c r="Z596" s="23"/>
    </row>
    <row r="597" spans="1:26" ht="15.75" customHeight="1" x14ac:dyDescent="0.2">
      <c r="A597" s="34"/>
      <c r="B597" s="34"/>
      <c r="C597" s="34"/>
      <c r="D597" s="34"/>
      <c r="E597" s="19"/>
      <c r="F597" s="19"/>
      <c r="G597" s="19"/>
      <c r="H597" s="19"/>
      <c r="I597" s="19"/>
      <c r="J597" s="19"/>
      <c r="K597" s="19"/>
      <c r="L597" s="19"/>
      <c r="M597" s="19"/>
      <c r="N597" s="19"/>
      <c r="O597" s="19"/>
      <c r="P597" s="20"/>
      <c r="Q597" s="20"/>
      <c r="R597" s="22"/>
      <c r="S597" s="22"/>
      <c r="T597" s="20"/>
      <c r="U597" s="20"/>
      <c r="V597" s="20"/>
      <c r="W597" s="19"/>
      <c r="X597" s="19"/>
      <c r="Y597" s="19"/>
      <c r="Z597" s="23"/>
    </row>
    <row r="598" spans="1:26" ht="15.75" customHeight="1" x14ac:dyDescent="0.2">
      <c r="A598" s="34"/>
      <c r="B598" s="34"/>
      <c r="C598" s="34"/>
      <c r="D598" s="34"/>
      <c r="E598" s="19"/>
      <c r="F598" s="19"/>
      <c r="G598" s="19"/>
      <c r="H598" s="19"/>
      <c r="I598" s="19"/>
      <c r="J598" s="19"/>
      <c r="K598" s="19"/>
      <c r="L598" s="19"/>
      <c r="M598" s="19"/>
      <c r="N598" s="19"/>
      <c r="O598" s="19"/>
      <c r="P598" s="20"/>
      <c r="Q598" s="20"/>
      <c r="R598" s="22"/>
      <c r="S598" s="22"/>
      <c r="T598" s="20"/>
      <c r="U598" s="20"/>
      <c r="V598" s="20"/>
      <c r="W598" s="19"/>
      <c r="X598" s="19"/>
      <c r="Y598" s="19"/>
      <c r="Z598" s="23"/>
    </row>
    <row r="599" spans="1:26" ht="15.75" customHeight="1" x14ac:dyDescent="0.2">
      <c r="A599" s="34"/>
      <c r="B599" s="34"/>
      <c r="C599" s="34"/>
      <c r="D599" s="34"/>
      <c r="E599" s="19"/>
      <c r="F599" s="19"/>
      <c r="G599" s="19"/>
      <c r="H599" s="19"/>
      <c r="I599" s="19"/>
      <c r="J599" s="19"/>
      <c r="K599" s="19"/>
      <c r="L599" s="19"/>
      <c r="M599" s="19"/>
      <c r="N599" s="19"/>
      <c r="O599" s="19"/>
      <c r="P599" s="20"/>
      <c r="Q599" s="20"/>
      <c r="R599" s="22"/>
      <c r="S599" s="22"/>
      <c r="T599" s="20"/>
      <c r="U599" s="20"/>
      <c r="V599" s="20"/>
      <c r="W599" s="19"/>
      <c r="X599" s="19"/>
      <c r="Y599" s="19"/>
      <c r="Z599" s="23"/>
    </row>
    <row r="600" spans="1:26" ht="15.75" customHeight="1" x14ac:dyDescent="0.2">
      <c r="A600" s="34"/>
      <c r="B600" s="34"/>
      <c r="C600" s="34"/>
      <c r="D600" s="34"/>
      <c r="E600" s="19"/>
      <c r="F600" s="19"/>
      <c r="G600" s="19"/>
      <c r="H600" s="19"/>
      <c r="I600" s="19"/>
      <c r="J600" s="19"/>
      <c r="K600" s="19"/>
      <c r="L600" s="19"/>
      <c r="M600" s="19"/>
      <c r="N600" s="19"/>
      <c r="O600" s="19"/>
      <c r="P600" s="20"/>
      <c r="Q600" s="20"/>
      <c r="R600" s="22"/>
      <c r="S600" s="22"/>
      <c r="T600" s="20"/>
      <c r="U600" s="20"/>
      <c r="V600" s="20"/>
      <c r="W600" s="19"/>
      <c r="X600" s="19"/>
      <c r="Y600" s="19"/>
      <c r="Z600" s="23"/>
    </row>
    <row r="601" spans="1:26" ht="15.75" customHeight="1" x14ac:dyDescent="0.2">
      <c r="A601" s="34"/>
      <c r="B601" s="34"/>
      <c r="C601" s="34"/>
      <c r="D601" s="34"/>
      <c r="E601" s="19"/>
      <c r="F601" s="19"/>
      <c r="G601" s="19"/>
      <c r="H601" s="19"/>
      <c r="I601" s="19"/>
      <c r="J601" s="19"/>
      <c r="K601" s="19"/>
      <c r="L601" s="19"/>
      <c r="M601" s="19"/>
      <c r="N601" s="19"/>
      <c r="O601" s="19"/>
      <c r="P601" s="20"/>
      <c r="Q601" s="20"/>
      <c r="R601" s="22"/>
      <c r="S601" s="22"/>
      <c r="T601" s="20"/>
      <c r="U601" s="20"/>
      <c r="V601" s="20"/>
      <c r="W601" s="19"/>
      <c r="X601" s="19"/>
      <c r="Y601" s="19"/>
      <c r="Z601" s="23"/>
    </row>
    <row r="602" spans="1:26" ht="15.75" customHeight="1" x14ac:dyDescent="0.2">
      <c r="A602" s="34"/>
      <c r="B602" s="34"/>
      <c r="C602" s="34"/>
      <c r="D602" s="34"/>
      <c r="E602" s="19"/>
      <c r="F602" s="19"/>
      <c r="G602" s="19"/>
      <c r="H602" s="19"/>
      <c r="I602" s="19"/>
      <c r="J602" s="19"/>
      <c r="K602" s="19"/>
      <c r="L602" s="19"/>
      <c r="M602" s="19"/>
      <c r="N602" s="19"/>
      <c r="O602" s="19"/>
      <c r="P602" s="20"/>
      <c r="Q602" s="20"/>
      <c r="R602" s="22"/>
      <c r="S602" s="22"/>
      <c r="T602" s="20"/>
      <c r="U602" s="20"/>
      <c r="V602" s="20"/>
      <c r="W602" s="19"/>
      <c r="X602" s="19"/>
      <c r="Y602" s="19"/>
      <c r="Z602" s="23"/>
    </row>
    <row r="603" spans="1:26" ht="15.75" customHeight="1" x14ac:dyDescent="0.2">
      <c r="A603" s="34"/>
      <c r="B603" s="34"/>
      <c r="C603" s="34"/>
      <c r="D603" s="34"/>
      <c r="E603" s="19"/>
      <c r="F603" s="19"/>
      <c r="G603" s="19"/>
      <c r="H603" s="19"/>
      <c r="I603" s="19"/>
      <c r="J603" s="19"/>
      <c r="K603" s="19"/>
      <c r="L603" s="19"/>
      <c r="M603" s="19"/>
      <c r="N603" s="19"/>
      <c r="O603" s="19"/>
      <c r="P603" s="20"/>
      <c r="Q603" s="20"/>
      <c r="R603" s="22"/>
      <c r="S603" s="22"/>
      <c r="T603" s="20"/>
      <c r="U603" s="20"/>
      <c r="V603" s="20"/>
      <c r="W603" s="19"/>
      <c r="X603" s="19"/>
      <c r="Y603" s="19"/>
      <c r="Z603" s="23"/>
    </row>
    <row r="604" spans="1:26" ht="15.75" customHeight="1" x14ac:dyDescent="0.2">
      <c r="A604" s="34"/>
      <c r="B604" s="34"/>
      <c r="C604" s="34"/>
      <c r="D604" s="34"/>
      <c r="E604" s="19"/>
      <c r="F604" s="19"/>
      <c r="G604" s="19"/>
      <c r="H604" s="19"/>
      <c r="I604" s="19"/>
      <c r="J604" s="19"/>
      <c r="K604" s="19"/>
      <c r="L604" s="19"/>
      <c r="M604" s="19"/>
      <c r="N604" s="19"/>
      <c r="O604" s="19"/>
      <c r="P604" s="20"/>
      <c r="Q604" s="20"/>
      <c r="R604" s="22"/>
      <c r="S604" s="22"/>
      <c r="T604" s="20"/>
      <c r="U604" s="20"/>
      <c r="V604" s="20"/>
      <c r="W604" s="19"/>
      <c r="X604" s="19"/>
      <c r="Y604" s="19"/>
      <c r="Z604" s="23"/>
    </row>
    <row r="605" spans="1:26" ht="15.75" customHeight="1" x14ac:dyDescent="0.2">
      <c r="A605" s="34"/>
      <c r="B605" s="34"/>
      <c r="C605" s="34"/>
      <c r="D605" s="34"/>
      <c r="E605" s="19"/>
      <c r="F605" s="19"/>
      <c r="G605" s="19"/>
      <c r="H605" s="19"/>
      <c r="I605" s="19"/>
      <c r="J605" s="19"/>
      <c r="K605" s="19"/>
      <c r="L605" s="19"/>
      <c r="M605" s="19"/>
      <c r="N605" s="19"/>
      <c r="O605" s="19"/>
      <c r="P605" s="20"/>
      <c r="Q605" s="20"/>
      <c r="R605" s="22"/>
      <c r="S605" s="22"/>
      <c r="T605" s="20"/>
      <c r="U605" s="20"/>
      <c r="V605" s="20"/>
      <c r="W605" s="19"/>
      <c r="X605" s="19"/>
      <c r="Y605" s="19"/>
      <c r="Z605" s="23"/>
    </row>
    <row r="606" spans="1:26" ht="15.75" customHeight="1" x14ac:dyDescent="0.2">
      <c r="A606" s="34"/>
      <c r="B606" s="34"/>
      <c r="C606" s="34"/>
      <c r="D606" s="34"/>
      <c r="E606" s="19"/>
      <c r="F606" s="19"/>
      <c r="G606" s="19"/>
      <c r="H606" s="19"/>
      <c r="I606" s="19"/>
      <c r="J606" s="19"/>
      <c r="K606" s="19"/>
      <c r="L606" s="19"/>
      <c r="M606" s="19"/>
      <c r="N606" s="19"/>
      <c r="O606" s="19"/>
      <c r="P606" s="20"/>
      <c r="Q606" s="20"/>
      <c r="R606" s="22"/>
      <c r="S606" s="22"/>
      <c r="T606" s="20"/>
      <c r="U606" s="20"/>
      <c r="V606" s="20"/>
      <c r="W606" s="19"/>
      <c r="X606" s="19"/>
      <c r="Y606" s="19"/>
      <c r="Z606" s="23"/>
    </row>
    <row r="607" spans="1:26" ht="15.75" customHeight="1" x14ac:dyDescent="0.2">
      <c r="A607" s="34"/>
      <c r="B607" s="34"/>
      <c r="C607" s="34"/>
      <c r="D607" s="34"/>
      <c r="E607" s="19"/>
      <c r="F607" s="19"/>
      <c r="G607" s="19"/>
      <c r="H607" s="19"/>
      <c r="I607" s="19"/>
      <c r="J607" s="19"/>
      <c r="K607" s="19"/>
      <c r="L607" s="19"/>
      <c r="M607" s="19"/>
      <c r="N607" s="19"/>
      <c r="O607" s="19"/>
      <c r="P607" s="20"/>
      <c r="Q607" s="20"/>
      <c r="R607" s="22"/>
      <c r="S607" s="22"/>
      <c r="T607" s="20"/>
      <c r="U607" s="20"/>
      <c r="V607" s="20"/>
      <c r="W607" s="19"/>
      <c r="X607" s="19"/>
      <c r="Y607" s="19"/>
      <c r="Z607" s="23"/>
    </row>
    <row r="608" spans="1:26" ht="15.75" customHeight="1" x14ac:dyDescent="0.2">
      <c r="A608" s="34"/>
      <c r="B608" s="34"/>
      <c r="C608" s="34"/>
      <c r="D608" s="34"/>
      <c r="E608" s="19"/>
      <c r="F608" s="19"/>
      <c r="G608" s="19"/>
      <c r="H608" s="19"/>
      <c r="I608" s="19"/>
      <c r="J608" s="19"/>
      <c r="K608" s="19"/>
      <c r="L608" s="19"/>
      <c r="M608" s="19"/>
      <c r="N608" s="19"/>
      <c r="O608" s="19"/>
      <c r="P608" s="20"/>
      <c r="Q608" s="20"/>
      <c r="R608" s="22"/>
      <c r="S608" s="22"/>
      <c r="T608" s="20"/>
      <c r="U608" s="20"/>
      <c r="V608" s="20"/>
      <c r="W608" s="19"/>
      <c r="X608" s="19"/>
      <c r="Y608" s="19"/>
      <c r="Z608" s="23"/>
    </row>
    <row r="609" spans="1:26" ht="15.75" customHeight="1" x14ac:dyDescent="0.2">
      <c r="A609" s="34"/>
      <c r="B609" s="34"/>
      <c r="C609" s="34"/>
      <c r="D609" s="34"/>
      <c r="E609" s="19"/>
      <c r="F609" s="19"/>
      <c r="G609" s="19"/>
      <c r="H609" s="19"/>
      <c r="I609" s="19"/>
      <c r="J609" s="19"/>
      <c r="K609" s="19"/>
      <c r="L609" s="19"/>
      <c r="M609" s="19"/>
      <c r="N609" s="19"/>
      <c r="O609" s="19"/>
      <c r="P609" s="20"/>
      <c r="Q609" s="20"/>
      <c r="R609" s="22"/>
      <c r="S609" s="22"/>
      <c r="T609" s="20"/>
      <c r="U609" s="20"/>
      <c r="V609" s="20"/>
      <c r="W609" s="19"/>
      <c r="X609" s="19"/>
      <c r="Y609" s="19"/>
      <c r="Z609" s="23"/>
    </row>
    <row r="610" spans="1:26" ht="15.75" customHeight="1" x14ac:dyDescent="0.2">
      <c r="A610" s="34"/>
      <c r="B610" s="34"/>
      <c r="C610" s="34"/>
      <c r="D610" s="34"/>
      <c r="E610" s="19"/>
      <c r="F610" s="19"/>
      <c r="G610" s="19"/>
      <c r="H610" s="19"/>
      <c r="I610" s="19"/>
      <c r="J610" s="19"/>
      <c r="K610" s="19"/>
      <c r="L610" s="19"/>
      <c r="M610" s="19"/>
      <c r="N610" s="19"/>
      <c r="O610" s="19"/>
      <c r="P610" s="20"/>
      <c r="Q610" s="20"/>
      <c r="R610" s="22"/>
      <c r="S610" s="22"/>
      <c r="T610" s="20"/>
      <c r="U610" s="20"/>
      <c r="V610" s="20"/>
      <c r="W610" s="19"/>
      <c r="X610" s="19"/>
      <c r="Y610" s="19"/>
      <c r="Z610" s="23"/>
    </row>
    <row r="611" spans="1:26" ht="15.75" customHeight="1" x14ac:dyDescent="0.2">
      <c r="A611" s="34"/>
      <c r="B611" s="34"/>
      <c r="C611" s="34"/>
      <c r="D611" s="34"/>
      <c r="E611" s="19"/>
      <c r="F611" s="19"/>
      <c r="G611" s="19"/>
      <c r="H611" s="19"/>
      <c r="I611" s="19"/>
      <c r="J611" s="19"/>
      <c r="K611" s="19"/>
      <c r="L611" s="19"/>
      <c r="M611" s="19"/>
      <c r="N611" s="19"/>
      <c r="O611" s="19"/>
      <c r="P611" s="20"/>
      <c r="Q611" s="20"/>
      <c r="R611" s="22"/>
      <c r="S611" s="22"/>
      <c r="T611" s="20"/>
      <c r="U611" s="20"/>
      <c r="V611" s="20"/>
      <c r="W611" s="19"/>
      <c r="X611" s="19"/>
      <c r="Y611" s="19"/>
      <c r="Z611" s="23"/>
    </row>
    <row r="612" spans="1:26" ht="15.75" customHeight="1" x14ac:dyDescent="0.2">
      <c r="A612" s="34"/>
      <c r="B612" s="34"/>
      <c r="C612" s="34"/>
      <c r="D612" s="34"/>
      <c r="E612" s="19"/>
      <c r="F612" s="19"/>
      <c r="G612" s="19"/>
      <c r="H612" s="19"/>
      <c r="I612" s="19"/>
      <c r="J612" s="19"/>
      <c r="K612" s="19"/>
      <c r="L612" s="19"/>
      <c r="M612" s="19"/>
      <c r="N612" s="19"/>
      <c r="O612" s="19"/>
      <c r="P612" s="20"/>
      <c r="Q612" s="20"/>
      <c r="R612" s="22"/>
      <c r="S612" s="22"/>
      <c r="T612" s="20"/>
      <c r="U612" s="20"/>
      <c r="V612" s="20"/>
      <c r="W612" s="19"/>
      <c r="X612" s="19"/>
      <c r="Y612" s="19"/>
      <c r="Z612" s="23"/>
    </row>
    <row r="613" spans="1:26" ht="15.75" customHeight="1" x14ac:dyDescent="0.2">
      <c r="A613" s="34"/>
      <c r="B613" s="34"/>
      <c r="C613" s="34"/>
      <c r="D613" s="34"/>
      <c r="E613" s="19"/>
      <c r="F613" s="19"/>
      <c r="G613" s="19"/>
      <c r="H613" s="19"/>
      <c r="I613" s="19"/>
      <c r="J613" s="19"/>
      <c r="K613" s="19"/>
      <c r="L613" s="19"/>
      <c r="M613" s="19"/>
      <c r="N613" s="19"/>
      <c r="O613" s="19"/>
      <c r="P613" s="20"/>
      <c r="Q613" s="20"/>
      <c r="R613" s="22"/>
      <c r="S613" s="22"/>
      <c r="T613" s="20"/>
      <c r="U613" s="20"/>
      <c r="V613" s="20"/>
      <c r="W613" s="19"/>
      <c r="X613" s="19"/>
      <c r="Y613" s="19"/>
      <c r="Z613" s="23"/>
    </row>
    <row r="614" spans="1:26" ht="15.75" customHeight="1" x14ac:dyDescent="0.2">
      <c r="A614" s="34"/>
      <c r="B614" s="34"/>
      <c r="C614" s="34"/>
      <c r="D614" s="34"/>
      <c r="E614" s="19"/>
      <c r="F614" s="19"/>
      <c r="G614" s="19"/>
      <c r="H614" s="19"/>
      <c r="I614" s="19"/>
      <c r="J614" s="19"/>
      <c r="K614" s="19"/>
      <c r="L614" s="19"/>
      <c r="M614" s="19"/>
      <c r="N614" s="19"/>
      <c r="O614" s="19"/>
      <c r="P614" s="20"/>
      <c r="Q614" s="20"/>
      <c r="R614" s="22"/>
      <c r="S614" s="22"/>
      <c r="T614" s="20"/>
      <c r="U614" s="20"/>
      <c r="V614" s="20"/>
      <c r="W614" s="19"/>
      <c r="X614" s="19"/>
      <c r="Y614" s="19"/>
      <c r="Z614" s="23"/>
    </row>
    <row r="615" spans="1:26" ht="15.75" customHeight="1" x14ac:dyDescent="0.2">
      <c r="A615" s="34"/>
      <c r="B615" s="34"/>
      <c r="C615" s="34"/>
      <c r="D615" s="34"/>
      <c r="E615" s="19"/>
      <c r="F615" s="19"/>
      <c r="G615" s="19"/>
      <c r="H615" s="19"/>
      <c r="I615" s="19"/>
      <c r="J615" s="19"/>
      <c r="K615" s="19"/>
      <c r="L615" s="19"/>
      <c r="M615" s="19"/>
      <c r="N615" s="19"/>
      <c r="O615" s="19"/>
      <c r="P615" s="20"/>
      <c r="Q615" s="20"/>
      <c r="R615" s="22"/>
      <c r="S615" s="22"/>
      <c r="T615" s="20"/>
      <c r="U615" s="20"/>
      <c r="V615" s="20"/>
      <c r="W615" s="19"/>
      <c r="X615" s="19"/>
      <c r="Y615" s="19"/>
      <c r="Z615" s="23"/>
    </row>
    <row r="616" spans="1:26" ht="15.75" customHeight="1" x14ac:dyDescent="0.2">
      <c r="A616" s="34"/>
      <c r="B616" s="34"/>
      <c r="C616" s="34"/>
      <c r="D616" s="34"/>
      <c r="E616" s="19"/>
      <c r="F616" s="19"/>
      <c r="G616" s="19"/>
      <c r="H616" s="19"/>
      <c r="I616" s="19"/>
      <c r="J616" s="19"/>
      <c r="K616" s="19"/>
      <c r="L616" s="19"/>
      <c r="M616" s="19"/>
      <c r="N616" s="19"/>
      <c r="O616" s="19"/>
      <c r="P616" s="20"/>
      <c r="Q616" s="20"/>
      <c r="R616" s="22"/>
      <c r="S616" s="22"/>
      <c r="T616" s="20"/>
      <c r="U616" s="20"/>
      <c r="V616" s="20"/>
      <c r="W616" s="19"/>
      <c r="X616" s="19"/>
      <c r="Y616" s="19"/>
      <c r="Z616" s="23"/>
    </row>
    <row r="617" spans="1:26" ht="15.75" customHeight="1" x14ac:dyDescent="0.2">
      <c r="A617" s="34"/>
      <c r="B617" s="34"/>
      <c r="C617" s="34"/>
      <c r="D617" s="34"/>
      <c r="E617" s="19"/>
      <c r="F617" s="19"/>
      <c r="G617" s="19"/>
      <c r="H617" s="19"/>
      <c r="I617" s="19"/>
      <c r="J617" s="19"/>
      <c r="K617" s="19"/>
      <c r="L617" s="19"/>
      <c r="M617" s="19"/>
      <c r="N617" s="19"/>
      <c r="O617" s="19"/>
      <c r="P617" s="20"/>
      <c r="Q617" s="20"/>
      <c r="R617" s="22"/>
      <c r="S617" s="22"/>
      <c r="T617" s="20"/>
      <c r="U617" s="20"/>
      <c r="V617" s="20"/>
      <c r="W617" s="19"/>
      <c r="X617" s="19"/>
      <c r="Y617" s="19"/>
      <c r="Z617" s="23"/>
    </row>
    <row r="618" spans="1:26" ht="15.75" customHeight="1" x14ac:dyDescent="0.2">
      <c r="A618" s="34"/>
      <c r="B618" s="34"/>
      <c r="C618" s="34"/>
      <c r="D618" s="34"/>
      <c r="E618" s="19"/>
      <c r="F618" s="19"/>
      <c r="G618" s="19"/>
      <c r="H618" s="19"/>
      <c r="I618" s="19"/>
      <c r="J618" s="19"/>
      <c r="K618" s="19"/>
      <c r="L618" s="19"/>
      <c r="M618" s="19"/>
      <c r="N618" s="19"/>
      <c r="O618" s="19"/>
      <c r="P618" s="20"/>
      <c r="Q618" s="20"/>
      <c r="R618" s="22"/>
      <c r="S618" s="22"/>
      <c r="T618" s="20"/>
      <c r="U618" s="20"/>
      <c r="V618" s="20"/>
      <c r="W618" s="19"/>
      <c r="X618" s="19"/>
      <c r="Y618" s="19"/>
      <c r="Z618" s="23"/>
    </row>
    <row r="619" spans="1:26" ht="15.75" customHeight="1" x14ac:dyDescent="0.2">
      <c r="A619" s="34"/>
      <c r="B619" s="34"/>
      <c r="C619" s="34"/>
      <c r="D619" s="34"/>
      <c r="E619" s="19"/>
      <c r="F619" s="19"/>
      <c r="G619" s="19"/>
      <c r="H619" s="19"/>
      <c r="I619" s="19"/>
      <c r="J619" s="19"/>
      <c r="K619" s="19"/>
      <c r="L619" s="19"/>
      <c r="M619" s="19"/>
      <c r="N619" s="19"/>
      <c r="O619" s="19"/>
      <c r="P619" s="20"/>
      <c r="Q619" s="20"/>
      <c r="R619" s="22"/>
      <c r="S619" s="22"/>
      <c r="T619" s="20"/>
      <c r="U619" s="20"/>
      <c r="V619" s="20"/>
      <c r="W619" s="19"/>
      <c r="X619" s="19"/>
      <c r="Y619" s="19"/>
      <c r="Z619" s="23"/>
    </row>
    <row r="620" spans="1:26" ht="15.75" customHeight="1" x14ac:dyDescent="0.2">
      <c r="A620" s="34"/>
      <c r="B620" s="34"/>
      <c r="C620" s="34"/>
      <c r="D620" s="34"/>
      <c r="E620" s="19"/>
      <c r="F620" s="19"/>
      <c r="G620" s="19"/>
      <c r="H620" s="19"/>
      <c r="I620" s="19"/>
      <c r="J620" s="19"/>
      <c r="K620" s="19"/>
      <c r="L620" s="19"/>
      <c r="M620" s="19"/>
      <c r="N620" s="19"/>
      <c r="O620" s="19"/>
      <c r="P620" s="20"/>
      <c r="Q620" s="20"/>
      <c r="R620" s="22"/>
      <c r="S620" s="22"/>
      <c r="T620" s="20"/>
      <c r="U620" s="20"/>
      <c r="V620" s="20"/>
      <c r="W620" s="19"/>
      <c r="X620" s="19"/>
      <c r="Y620" s="19"/>
      <c r="Z620" s="23"/>
    </row>
    <row r="621" spans="1:26" ht="15.75" customHeight="1" x14ac:dyDescent="0.2">
      <c r="A621" s="34"/>
      <c r="B621" s="34"/>
      <c r="C621" s="34"/>
      <c r="D621" s="34"/>
      <c r="E621" s="19"/>
      <c r="F621" s="19"/>
      <c r="G621" s="19"/>
      <c r="H621" s="19"/>
      <c r="I621" s="19"/>
      <c r="J621" s="19"/>
      <c r="K621" s="19"/>
      <c r="L621" s="19"/>
      <c r="M621" s="19"/>
      <c r="N621" s="19"/>
      <c r="O621" s="19"/>
      <c r="P621" s="20"/>
      <c r="Q621" s="20"/>
      <c r="R621" s="22"/>
      <c r="S621" s="22"/>
      <c r="T621" s="20"/>
      <c r="U621" s="20"/>
      <c r="V621" s="20"/>
      <c r="W621" s="19"/>
      <c r="X621" s="19"/>
      <c r="Y621" s="19"/>
      <c r="Z621" s="23"/>
    </row>
    <row r="622" spans="1:26" ht="15.75" customHeight="1" x14ac:dyDescent="0.2">
      <c r="A622" s="34"/>
      <c r="B622" s="34"/>
      <c r="C622" s="34"/>
      <c r="D622" s="34"/>
      <c r="E622" s="19"/>
      <c r="F622" s="19"/>
      <c r="G622" s="19"/>
      <c r="H622" s="19"/>
      <c r="I622" s="19"/>
      <c r="J622" s="19"/>
      <c r="K622" s="19"/>
      <c r="L622" s="19"/>
      <c r="M622" s="19"/>
      <c r="N622" s="19"/>
      <c r="O622" s="19"/>
      <c r="P622" s="20"/>
      <c r="Q622" s="20"/>
      <c r="R622" s="22"/>
      <c r="S622" s="22"/>
      <c r="T622" s="20"/>
      <c r="U622" s="20"/>
      <c r="V622" s="20"/>
      <c r="W622" s="19"/>
      <c r="X622" s="19"/>
      <c r="Y622" s="19"/>
      <c r="Z622" s="23"/>
    </row>
    <row r="623" spans="1:26" ht="15.75" customHeight="1" x14ac:dyDescent="0.2">
      <c r="A623" s="34"/>
      <c r="B623" s="34"/>
      <c r="C623" s="34"/>
      <c r="D623" s="34"/>
      <c r="E623" s="19"/>
      <c r="F623" s="19"/>
      <c r="G623" s="19"/>
      <c r="H623" s="19"/>
      <c r="I623" s="19"/>
      <c r="J623" s="19"/>
      <c r="K623" s="19"/>
      <c r="L623" s="19"/>
      <c r="M623" s="19"/>
      <c r="N623" s="19"/>
      <c r="O623" s="19"/>
      <c r="P623" s="20"/>
      <c r="Q623" s="20"/>
      <c r="R623" s="22"/>
      <c r="S623" s="22"/>
      <c r="T623" s="20"/>
      <c r="U623" s="20"/>
      <c r="V623" s="20"/>
      <c r="W623" s="19"/>
      <c r="X623" s="19"/>
      <c r="Y623" s="19"/>
      <c r="Z623" s="23"/>
    </row>
    <row r="624" spans="1:26" ht="15.75" customHeight="1" x14ac:dyDescent="0.2">
      <c r="A624" s="34"/>
      <c r="B624" s="34"/>
      <c r="C624" s="34"/>
      <c r="D624" s="34"/>
      <c r="E624" s="19"/>
      <c r="F624" s="19"/>
      <c r="G624" s="19"/>
      <c r="H624" s="19"/>
      <c r="I624" s="19"/>
      <c r="J624" s="19"/>
      <c r="K624" s="19"/>
      <c r="L624" s="19"/>
      <c r="M624" s="19"/>
      <c r="N624" s="19"/>
      <c r="O624" s="19"/>
      <c r="P624" s="20"/>
      <c r="Q624" s="20"/>
      <c r="R624" s="22"/>
      <c r="S624" s="22"/>
      <c r="T624" s="20"/>
      <c r="U624" s="20"/>
      <c r="V624" s="20"/>
      <c r="W624" s="19"/>
      <c r="X624" s="19"/>
      <c r="Y624" s="19"/>
      <c r="Z624" s="23"/>
    </row>
    <row r="625" spans="1:26" ht="15.75" customHeight="1" x14ac:dyDescent="0.2">
      <c r="A625" s="34"/>
      <c r="B625" s="34"/>
      <c r="C625" s="34"/>
      <c r="D625" s="34"/>
      <c r="E625" s="19"/>
      <c r="F625" s="19"/>
      <c r="G625" s="19"/>
      <c r="H625" s="19"/>
      <c r="I625" s="19"/>
      <c r="J625" s="19"/>
      <c r="K625" s="19"/>
      <c r="L625" s="19"/>
      <c r="M625" s="19"/>
      <c r="N625" s="19"/>
      <c r="O625" s="19"/>
      <c r="P625" s="20"/>
      <c r="Q625" s="20"/>
      <c r="R625" s="22"/>
      <c r="S625" s="22"/>
      <c r="T625" s="20"/>
      <c r="U625" s="20"/>
      <c r="V625" s="20"/>
      <c r="W625" s="19"/>
      <c r="X625" s="19"/>
      <c r="Y625" s="19"/>
      <c r="Z625" s="23"/>
    </row>
    <row r="626" spans="1:26" ht="15.75" customHeight="1" x14ac:dyDescent="0.2">
      <c r="A626" s="34"/>
      <c r="B626" s="34"/>
      <c r="C626" s="34"/>
      <c r="D626" s="34"/>
      <c r="E626" s="19"/>
      <c r="F626" s="19"/>
      <c r="G626" s="19"/>
      <c r="H626" s="19"/>
      <c r="I626" s="19"/>
      <c r="J626" s="19"/>
      <c r="K626" s="19"/>
      <c r="L626" s="19"/>
      <c r="M626" s="19"/>
      <c r="N626" s="19"/>
      <c r="O626" s="19"/>
      <c r="P626" s="20"/>
      <c r="Q626" s="20"/>
      <c r="R626" s="22"/>
      <c r="S626" s="22"/>
      <c r="T626" s="20"/>
      <c r="U626" s="20"/>
      <c r="V626" s="20"/>
      <c r="W626" s="19"/>
      <c r="X626" s="19"/>
      <c r="Y626" s="19"/>
      <c r="Z626" s="23"/>
    </row>
    <row r="627" spans="1:26" ht="15.75" customHeight="1" x14ac:dyDescent="0.2">
      <c r="A627" s="34"/>
      <c r="B627" s="34"/>
      <c r="C627" s="34"/>
      <c r="D627" s="34"/>
      <c r="E627" s="19"/>
      <c r="F627" s="19"/>
      <c r="G627" s="19"/>
      <c r="H627" s="19"/>
      <c r="I627" s="19"/>
      <c r="J627" s="19"/>
      <c r="K627" s="19"/>
      <c r="L627" s="19"/>
      <c r="M627" s="19"/>
      <c r="N627" s="19"/>
      <c r="O627" s="19"/>
      <c r="P627" s="20"/>
      <c r="Q627" s="20"/>
      <c r="R627" s="22"/>
      <c r="S627" s="22"/>
      <c r="T627" s="20"/>
      <c r="U627" s="20"/>
      <c r="V627" s="20"/>
      <c r="W627" s="19"/>
      <c r="X627" s="19"/>
      <c r="Y627" s="19"/>
      <c r="Z627" s="23"/>
    </row>
    <row r="628" spans="1:26" ht="15.75" customHeight="1" x14ac:dyDescent="0.2">
      <c r="A628" s="34"/>
      <c r="B628" s="34"/>
      <c r="C628" s="34"/>
      <c r="D628" s="34"/>
      <c r="E628" s="19"/>
      <c r="F628" s="19"/>
      <c r="G628" s="19"/>
      <c r="H628" s="19"/>
      <c r="I628" s="19"/>
      <c r="J628" s="19"/>
      <c r="K628" s="19"/>
      <c r="L628" s="19"/>
      <c r="M628" s="19"/>
      <c r="N628" s="19"/>
      <c r="O628" s="19"/>
      <c r="P628" s="20"/>
      <c r="Q628" s="20"/>
      <c r="R628" s="22"/>
      <c r="S628" s="22"/>
      <c r="T628" s="20"/>
      <c r="U628" s="20"/>
      <c r="V628" s="20"/>
      <c r="W628" s="19"/>
      <c r="X628" s="19"/>
      <c r="Y628" s="19"/>
      <c r="Z628" s="23"/>
    </row>
    <row r="629" spans="1:26" ht="15.75" customHeight="1" x14ac:dyDescent="0.2">
      <c r="A629" s="34"/>
      <c r="B629" s="34"/>
      <c r="C629" s="34"/>
      <c r="D629" s="34"/>
      <c r="E629" s="19"/>
      <c r="F629" s="19"/>
      <c r="G629" s="19"/>
      <c r="H629" s="19"/>
      <c r="I629" s="19"/>
      <c r="J629" s="19"/>
      <c r="K629" s="19"/>
      <c r="L629" s="19"/>
      <c r="M629" s="19"/>
      <c r="N629" s="19"/>
      <c r="O629" s="19"/>
      <c r="P629" s="20"/>
      <c r="Q629" s="20"/>
      <c r="R629" s="22"/>
      <c r="S629" s="22"/>
      <c r="T629" s="20"/>
      <c r="U629" s="20"/>
      <c r="V629" s="20"/>
      <c r="W629" s="19"/>
      <c r="X629" s="19"/>
      <c r="Y629" s="19"/>
      <c r="Z629" s="23"/>
    </row>
    <row r="630" spans="1:26" ht="15.75" customHeight="1" x14ac:dyDescent="0.2">
      <c r="A630" s="34"/>
      <c r="B630" s="34"/>
      <c r="C630" s="34"/>
      <c r="D630" s="34"/>
      <c r="E630" s="19"/>
      <c r="F630" s="19"/>
      <c r="G630" s="19"/>
      <c r="H630" s="19"/>
      <c r="I630" s="19"/>
      <c r="J630" s="19"/>
      <c r="K630" s="19"/>
      <c r="L630" s="19"/>
      <c r="M630" s="19"/>
      <c r="N630" s="19"/>
      <c r="O630" s="19"/>
      <c r="P630" s="20"/>
      <c r="Q630" s="20"/>
      <c r="R630" s="22"/>
      <c r="S630" s="22"/>
      <c r="T630" s="20"/>
      <c r="U630" s="20"/>
      <c r="V630" s="20"/>
      <c r="W630" s="19"/>
      <c r="X630" s="19"/>
      <c r="Y630" s="19"/>
      <c r="Z630" s="23"/>
    </row>
    <row r="631" spans="1:26" ht="15.75" customHeight="1" x14ac:dyDescent="0.2">
      <c r="A631" s="34"/>
      <c r="B631" s="34"/>
      <c r="C631" s="34"/>
      <c r="D631" s="34"/>
      <c r="E631" s="19"/>
      <c r="F631" s="19"/>
      <c r="G631" s="19"/>
      <c r="H631" s="19"/>
      <c r="I631" s="19"/>
      <c r="J631" s="19"/>
      <c r="K631" s="19"/>
      <c r="L631" s="19"/>
      <c r="M631" s="19"/>
      <c r="N631" s="19"/>
      <c r="O631" s="19"/>
      <c r="P631" s="20"/>
      <c r="Q631" s="20"/>
      <c r="R631" s="22"/>
      <c r="S631" s="22"/>
      <c r="T631" s="20"/>
      <c r="U631" s="20"/>
      <c r="V631" s="20"/>
      <c r="W631" s="19"/>
      <c r="X631" s="19"/>
      <c r="Y631" s="19"/>
      <c r="Z631" s="23"/>
    </row>
    <row r="632" spans="1:26" ht="15.75" customHeight="1" x14ac:dyDescent="0.2">
      <c r="A632" s="34"/>
      <c r="B632" s="34"/>
      <c r="C632" s="34"/>
      <c r="D632" s="34"/>
      <c r="E632" s="19"/>
      <c r="F632" s="19"/>
      <c r="G632" s="19"/>
      <c r="H632" s="19"/>
      <c r="I632" s="19"/>
      <c r="J632" s="19"/>
      <c r="K632" s="19"/>
      <c r="L632" s="19"/>
      <c r="M632" s="19"/>
      <c r="N632" s="19"/>
      <c r="O632" s="19"/>
      <c r="P632" s="20"/>
      <c r="Q632" s="20"/>
      <c r="R632" s="22"/>
      <c r="S632" s="22"/>
      <c r="T632" s="20"/>
      <c r="U632" s="20"/>
      <c r="V632" s="20"/>
      <c r="W632" s="19"/>
      <c r="X632" s="19"/>
      <c r="Y632" s="19"/>
      <c r="Z632" s="23"/>
    </row>
    <row r="633" spans="1:26" ht="15.75" customHeight="1" x14ac:dyDescent="0.2">
      <c r="A633" s="34"/>
      <c r="B633" s="34"/>
      <c r="C633" s="34"/>
      <c r="D633" s="34"/>
      <c r="E633" s="19"/>
      <c r="F633" s="19"/>
      <c r="G633" s="19"/>
      <c r="H633" s="19"/>
      <c r="I633" s="19"/>
      <c r="J633" s="19"/>
      <c r="K633" s="19"/>
      <c r="L633" s="19"/>
      <c r="M633" s="19"/>
      <c r="N633" s="19"/>
      <c r="O633" s="19"/>
      <c r="P633" s="20"/>
      <c r="Q633" s="20"/>
      <c r="R633" s="22"/>
      <c r="S633" s="22"/>
      <c r="T633" s="20"/>
      <c r="U633" s="20"/>
      <c r="V633" s="20"/>
      <c r="W633" s="19"/>
      <c r="X633" s="19"/>
      <c r="Y633" s="19"/>
      <c r="Z633" s="23"/>
    </row>
    <row r="634" spans="1:26" ht="15.75" customHeight="1" x14ac:dyDescent="0.2">
      <c r="A634" s="34"/>
      <c r="B634" s="34"/>
      <c r="C634" s="34"/>
      <c r="D634" s="34"/>
      <c r="E634" s="19"/>
      <c r="F634" s="19"/>
      <c r="G634" s="19"/>
      <c r="H634" s="19"/>
      <c r="I634" s="19"/>
      <c r="J634" s="19"/>
      <c r="K634" s="19"/>
      <c r="L634" s="19"/>
      <c r="M634" s="19"/>
      <c r="N634" s="19"/>
      <c r="O634" s="19"/>
      <c r="P634" s="20"/>
      <c r="Q634" s="20"/>
      <c r="R634" s="22"/>
      <c r="S634" s="22"/>
      <c r="T634" s="20"/>
      <c r="U634" s="20"/>
      <c r="V634" s="20"/>
      <c r="W634" s="19"/>
      <c r="X634" s="19"/>
      <c r="Y634" s="19"/>
      <c r="Z634" s="23"/>
    </row>
    <row r="635" spans="1:26" ht="15.75" customHeight="1" x14ac:dyDescent="0.2">
      <c r="A635" s="34"/>
      <c r="B635" s="34"/>
      <c r="C635" s="34"/>
      <c r="D635" s="34"/>
      <c r="E635" s="19"/>
      <c r="F635" s="19"/>
      <c r="G635" s="19"/>
      <c r="H635" s="19"/>
      <c r="I635" s="19"/>
      <c r="J635" s="19"/>
      <c r="K635" s="19"/>
      <c r="L635" s="19"/>
      <c r="M635" s="19"/>
      <c r="N635" s="19"/>
      <c r="O635" s="19"/>
      <c r="P635" s="20"/>
      <c r="Q635" s="20"/>
      <c r="R635" s="22"/>
      <c r="S635" s="22"/>
      <c r="T635" s="20"/>
      <c r="U635" s="20"/>
      <c r="V635" s="20"/>
      <c r="W635" s="19"/>
      <c r="X635" s="19"/>
      <c r="Y635" s="19"/>
      <c r="Z635" s="23"/>
    </row>
    <row r="636" spans="1:26" ht="15.75" customHeight="1" x14ac:dyDescent="0.2">
      <c r="A636" s="34"/>
      <c r="B636" s="34"/>
      <c r="C636" s="34"/>
      <c r="D636" s="34"/>
      <c r="E636" s="19"/>
      <c r="F636" s="19"/>
      <c r="G636" s="19"/>
      <c r="H636" s="19"/>
      <c r="I636" s="19"/>
      <c r="J636" s="19"/>
      <c r="K636" s="19"/>
      <c r="L636" s="19"/>
      <c r="M636" s="19"/>
      <c r="N636" s="19"/>
      <c r="O636" s="19"/>
      <c r="P636" s="20"/>
      <c r="Q636" s="20"/>
      <c r="R636" s="22"/>
      <c r="S636" s="22"/>
      <c r="T636" s="20"/>
      <c r="U636" s="20"/>
      <c r="V636" s="20"/>
      <c r="W636" s="19"/>
      <c r="X636" s="19"/>
      <c r="Y636" s="19"/>
      <c r="Z636" s="23"/>
    </row>
    <row r="637" spans="1:26" ht="15.75" customHeight="1" x14ac:dyDescent="0.2">
      <c r="A637" s="34"/>
      <c r="B637" s="34"/>
      <c r="C637" s="34"/>
      <c r="D637" s="34"/>
      <c r="E637" s="19"/>
      <c r="F637" s="19"/>
      <c r="G637" s="19"/>
      <c r="H637" s="19"/>
      <c r="I637" s="19"/>
      <c r="J637" s="19"/>
      <c r="K637" s="19"/>
      <c r="L637" s="19"/>
      <c r="M637" s="19"/>
      <c r="N637" s="19"/>
      <c r="O637" s="19"/>
      <c r="P637" s="20"/>
      <c r="Q637" s="20"/>
      <c r="R637" s="22"/>
      <c r="S637" s="22"/>
      <c r="T637" s="20"/>
      <c r="U637" s="20"/>
      <c r="V637" s="20"/>
      <c r="W637" s="19"/>
      <c r="X637" s="19"/>
      <c r="Y637" s="19"/>
      <c r="Z637" s="23"/>
    </row>
    <row r="638" spans="1:26" ht="15.75" customHeight="1" x14ac:dyDescent="0.2">
      <c r="A638" s="34"/>
      <c r="B638" s="34"/>
      <c r="C638" s="34"/>
      <c r="D638" s="34"/>
      <c r="E638" s="19"/>
      <c r="F638" s="19"/>
      <c r="G638" s="19"/>
      <c r="H638" s="19"/>
      <c r="I638" s="19"/>
      <c r="J638" s="19"/>
      <c r="K638" s="19"/>
      <c r="L638" s="19"/>
      <c r="M638" s="19"/>
      <c r="N638" s="19"/>
      <c r="O638" s="19"/>
      <c r="P638" s="20"/>
      <c r="Q638" s="20"/>
      <c r="R638" s="22"/>
      <c r="S638" s="22"/>
      <c r="T638" s="20"/>
      <c r="U638" s="20"/>
      <c r="V638" s="20"/>
      <c r="W638" s="19"/>
      <c r="X638" s="19"/>
      <c r="Y638" s="19"/>
      <c r="Z638" s="23"/>
    </row>
    <row r="639" spans="1:26" ht="15.75" customHeight="1" x14ac:dyDescent="0.2">
      <c r="A639" s="34"/>
      <c r="B639" s="34"/>
      <c r="C639" s="34"/>
      <c r="D639" s="34"/>
      <c r="E639" s="19"/>
      <c r="F639" s="19"/>
      <c r="G639" s="19"/>
      <c r="H639" s="19"/>
      <c r="I639" s="19"/>
      <c r="J639" s="19"/>
      <c r="K639" s="19"/>
      <c r="L639" s="19"/>
      <c r="M639" s="19"/>
      <c r="N639" s="19"/>
      <c r="O639" s="19"/>
      <c r="P639" s="20"/>
      <c r="Q639" s="20"/>
      <c r="R639" s="22"/>
      <c r="S639" s="22"/>
      <c r="T639" s="20"/>
      <c r="U639" s="20"/>
      <c r="V639" s="20"/>
      <c r="W639" s="19"/>
      <c r="X639" s="19"/>
      <c r="Y639" s="19"/>
      <c r="Z639" s="23"/>
    </row>
    <row r="640" spans="1:26" ht="15.75" customHeight="1" x14ac:dyDescent="0.2">
      <c r="A640" s="34"/>
      <c r="B640" s="34"/>
      <c r="C640" s="34"/>
      <c r="D640" s="34"/>
      <c r="E640" s="19"/>
      <c r="F640" s="19"/>
      <c r="G640" s="19"/>
      <c r="H640" s="19"/>
      <c r="I640" s="19"/>
      <c r="J640" s="19"/>
      <c r="K640" s="19"/>
      <c r="L640" s="19"/>
      <c r="M640" s="19"/>
      <c r="N640" s="19"/>
      <c r="O640" s="19"/>
      <c r="P640" s="20"/>
      <c r="Q640" s="20"/>
      <c r="R640" s="22"/>
      <c r="S640" s="22"/>
      <c r="T640" s="20"/>
      <c r="U640" s="20"/>
      <c r="V640" s="20"/>
      <c r="W640" s="19"/>
      <c r="X640" s="19"/>
      <c r="Y640" s="19"/>
      <c r="Z640" s="23"/>
    </row>
    <row r="641" spans="1:26" ht="15.75" customHeight="1" x14ac:dyDescent="0.2">
      <c r="A641" s="34"/>
      <c r="B641" s="34"/>
      <c r="C641" s="34"/>
      <c r="D641" s="34"/>
      <c r="E641" s="19"/>
      <c r="F641" s="19"/>
      <c r="G641" s="19"/>
      <c r="H641" s="19"/>
      <c r="I641" s="19"/>
      <c r="J641" s="19"/>
      <c r="K641" s="19"/>
      <c r="L641" s="19"/>
      <c r="M641" s="19"/>
      <c r="N641" s="19"/>
      <c r="O641" s="19"/>
      <c r="P641" s="20"/>
      <c r="Q641" s="20"/>
      <c r="R641" s="22"/>
      <c r="S641" s="22"/>
      <c r="T641" s="20"/>
      <c r="U641" s="20"/>
      <c r="V641" s="20"/>
      <c r="W641" s="19"/>
      <c r="X641" s="19"/>
      <c r="Y641" s="19"/>
      <c r="Z641" s="23"/>
    </row>
    <row r="642" spans="1:26" ht="15.75" customHeight="1" x14ac:dyDescent="0.2">
      <c r="A642" s="34"/>
      <c r="B642" s="34"/>
      <c r="C642" s="34"/>
      <c r="D642" s="34"/>
      <c r="E642" s="19"/>
      <c r="F642" s="19"/>
      <c r="G642" s="19"/>
      <c r="H642" s="19"/>
      <c r="I642" s="19"/>
      <c r="J642" s="19"/>
      <c r="K642" s="19"/>
      <c r="L642" s="19"/>
      <c r="M642" s="19"/>
      <c r="N642" s="19"/>
      <c r="O642" s="19"/>
      <c r="P642" s="20"/>
      <c r="Q642" s="20"/>
      <c r="R642" s="22"/>
      <c r="S642" s="22"/>
      <c r="T642" s="20"/>
      <c r="U642" s="20"/>
      <c r="V642" s="20"/>
      <c r="W642" s="19"/>
      <c r="X642" s="19"/>
      <c r="Y642" s="19"/>
      <c r="Z642" s="23"/>
    </row>
    <row r="643" spans="1:26" ht="15.75" customHeight="1" x14ac:dyDescent="0.2">
      <c r="A643" s="34"/>
      <c r="B643" s="34"/>
      <c r="C643" s="34"/>
      <c r="D643" s="34"/>
      <c r="E643" s="19"/>
      <c r="F643" s="19"/>
      <c r="G643" s="19"/>
      <c r="H643" s="19"/>
      <c r="I643" s="19"/>
      <c r="J643" s="19"/>
      <c r="K643" s="19"/>
      <c r="L643" s="19"/>
      <c r="M643" s="19"/>
      <c r="N643" s="19"/>
      <c r="O643" s="19"/>
      <c r="P643" s="20"/>
      <c r="Q643" s="20"/>
      <c r="R643" s="22"/>
      <c r="S643" s="22"/>
      <c r="T643" s="20"/>
      <c r="U643" s="20"/>
      <c r="V643" s="20"/>
      <c r="W643" s="19"/>
      <c r="X643" s="19"/>
      <c r="Y643" s="19"/>
      <c r="Z643" s="23"/>
    </row>
    <row r="644" spans="1:26" ht="15.75" customHeight="1" x14ac:dyDescent="0.2">
      <c r="A644" s="34"/>
      <c r="B644" s="34"/>
      <c r="C644" s="34"/>
      <c r="D644" s="34"/>
      <c r="E644" s="19"/>
      <c r="F644" s="19"/>
      <c r="G644" s="19"/>
      <c r="H644" s="19"/>
      <c r="I644" s="19"/>
      <c r="J644" s="19"/>
      <c r="K644" s="19"/>
      <c r="L644" s="19"/>
      <c r="M644" s="19"/>
      <c r="N644" s="19"/>
      <c r="O644" s="19"/>
      <c r="P644" s="20"/>
      <c r="Q644" s="20"/>
      <c r="R644" s="22"/>
      <c r="S644" s="22"/>
      <c r="T644" s="20"/>
      <c r="U644" s="20"/>
      <c r="V644" s="20"/>
      <c r="W644" s="19"/>
      <c r="X644" s="19"/>
      <c r="Y644" s="19"/>
      <c r="Z644" s="23"/>
    </row>
    <row r="645" spans="1:26" ht="15.75" customHeight="1" x14ac:dyDescent="0.2">
      <c r="A645" s="34"/>
      <c r="B645" s="34"/>
      <c r="C645" s="34"/>
      <c r="D645" s="34"/>
      <c r="E645" s="19"/>
      <c r="F645" s="19"/>
      <c r="G645" s="19"/>
      <c r="H645" s="19"/>
      <c r="I645" s="19"/>
      <c r="J645" s="19"/>
      <c r="K645" s="19"/>
      <c r="L645" s="19"/>
      <c r="M645" s="19"/>
      <c r="N645" s="19"/>
      <c r="O645" s="19"/>
      <c r="P645" s="20"/>
      <c r="Q645" s="20"/>
      <c r="R645" s="22"/>
      <c r="S645" s="22"/>
      <c r="T645" s="20"/>
      <c r="U645" s="20"/>
      <c r="V645" s="20"/>
      <c r="W645" s="19"/>
      <c r="X645" s="19"/>
      <c r="Y645" s="19"/>
      <c r="Z645" s="23"/>
    </row>
    <row r="646" spans="1:26" ht="15.75" customHeight="1" x14ac:dyDescent="0.2">
      <c r="A646" s="34"/>
      <c r="B646" s="34"/>
      <c r="C646" s="34"/>
      <c r="D646" s="34"/>
      <c r="E646" s="19"/>
      <c r="F646" s="19"/>
      <c r="G646" s="19"/>
      <c r="H646" s="19"/>
      <c r="I646" s="19"/>
      <c r="J646" s="19"/>
      <c r="K646" s="19"/>
      <c r="L646" s="19"/>
      <c r="M646" s="19"/>
      <c r="N646" s="19"/>
      <c r="O646" s="19"/>
      <c r="P646" s="20"/>
      <c r="Q646" s="20"/>
      <c r="R646" s="22"/>
      <c r="S646" s="22"/>
      <c r="T646" s="20"/>
      <c r="U646" s="20"/>
      <c r="V646" s="20"/>
      <c r="W646" s="19"/>
      <c r="X646" s="19"/>
      <c r="Y646" s="19"/>
      <c r="Z646" s="23"/>
    </row>
    <row r="647" spans="1:26" ht="15.75" customHeight="1" x14ac:dyDescent="0.2">
      <c r="A647" s="34"/>
      <c r="B647" s="34"/>
      <c r="C647" s="34"/>
      <c r="D647" s="34"/>
      <c r="E647" s="19"/>
      <c r="F647" s="19"/>
      <c r="G647" s="19"/>
      <c r="H647" s="19"/>
      <c r="I647" s="19"/>
      <c r="J647" s="19"/>
      <c r="K647" s="19"/>
      <c r="L647" s="19"/>
      <c r="M647" s="19"/>
      <c r="N647" s="19"/>
      <c r="O647" s="19"/>
      <c r="P647" s="20"/>
      <c r="Q647" s="20"/>
      <c r="R647" s="22"/>
      <c r="S647" s="22"/>
      <c r="T647" s="20"/>
      <c r="U647" s="20"/>
      <c r="V647" s="20"/>
      <c r="W647" s="19"/>
      <c r="X647" s="19"/>
      <c r="Y647" s="19"/>
      <c r="Z647" s="23"/>
    </row>
    <row r="648" spans="1:26" ht="15.75" customHeight="1" x14ac:dyDescent="0.2">
      <c r="A648" s="34"/>
      <c r="B648" s="34"/>
      <c r="C648" s="34"/>
      <c r="D648" s="34"/>
      <c r="E648" s="19"/>
      <c r="F648" s="19"/>
      <c r="G648" s="19"/>
      <c r="H648" s="19"/>
      <c r="I648" s="19"/>
      <c r="J648" s="19"/>
      <c r="K648" s="19"/>
      <c r="L648" s="19"/>
      <c r="M648" s="19"/>
      <c r="N648" s="19"/>
      <c r="O648" s="19"/>
      <c r="P648" s="20"/>
      <c r="Q648" s="20"/>
      <c r="R648" s="22"/>
      <c r="S648" s="22"/>
      <c r="T648" s="20"/>
      <c r="U648" s="20"/>
      <c r="V648" s="20"/>
      <c r="W648" s="19"/>
      <c r="X648" s="19"/>
      <c r="Y648" s="19"/>
      <c r="Z648" s="23"/>
    </row>
    <row r="649" spans="1:26" ht="15.75" customHeight="1" x14ac:dyDescent="0.2">
      <c r="A649" s="34"/>
      <c r="B649" s="34"/>
      <c r="C649" s="34"/>
      <c r="D649" s="34"/>
      <c r="E649" s="19"/>
      <c r="F649" s="19"/>
      <c r="G649" s="19"/>
      <c r="H649" s="19"/>
      <c r="I649" s="19"/>
      <c r="J649" s="19"/>
      <c r="K649" s="19"/>
      <c r="L649" s="19"/>
      <c r="M649" s="19"/>
      <c r="N649" s="19"/>
      <c r="O649" s="19"/>
      <c r="P649" s="20"/>
      <c r="Q649" s="20"/>
      <c r="R649" s="22"/>
      <c r="S649" s="22"/>
      <c r="T649" s="20"/>
      <c r="U649" s="20"/>
      <c r="V649" s="20"/>
      <c r="W649" s="19"/>
      <c r="X649" s="19"/>
      <c r="Y649" s="19"/>
      <c r="Z649" s="23"/>
    </row>
    <row r="650" spans="1:26" ht="15.75" customHeight="1" x14ac:dyDescent="0.2">
      <c r="A650" s="34"/>
      <c r="B650" s="34"/>
      <c r="C650" s="34"/>
      <c r="D650" s="34"/>
      <c r="E650" s="19"/>
      <c r="F650" s="19"/>
      <c r="G650" s="19"/>
      <c r="H650" s="19"/>
      <c r="I650" s="19"/>
      <c r="J650" s="19"/>
      <c r="K650" s="19"/>
      <c r="L650" s="19"/>
      <c r="M650" s="19"/>
      <c r="N650" s="19"/>
      <c r="O650" s="19"/>
      <c r="P650" s="20"/>
      <c r="Q650" s="20"/>
      <c r="R650" s="22"/>
      <c r="S650" s="22"/>
      <c r="T650" s="20"/>
      <c r="U650" s="20"/>
      <c r="V650" s="20"/>
      <c r="W650" s="19"/>
      <c r="X650" s="19"/>
      <c r="Y650" s="19"/>
      <c r="Z650" s="23"/>
    </row>
    <row r="651" spans="1:26" ht="15.75" customHeight="1" x14ac:dyDescent="0.2">
      <c r="A651" s="34"/>
      <c r="B651" s="34"/>
      <c r="C651" s="34"/>
      <c r="D651" s="34"/>
      <c r="E651" s="19"/>
      <c r="F651" s="19"/>
      <c r="G651" s="19"/>
      <c r="H651" s="19"/>
      <c r="I651" s="19"/>
      <c r="J651" s="19"/>
      <c r="K651" s="19"/>
      <c r="L651" s="19"/>
      <c r="M651" s="19"/>
      <c r="N651" s="19"/>
      <c r="O651" s="19"/>
      <c r="P651" s="20"/>
      <c r="Q651" s="20"/>
      <c r="R651" s="22"/>
      <c r="S651" s="22"/>
      <c r="T651" s="20"/>
      <c r="U651" s="20"/>
      <c r="V651" s="20"/>
      <c r="W651" s="19"/>
      <c r="X651" s="19"/>
      <c r="Y651" s="19"/>
      <c r="Z651" s="23"/>
    </row>
    <row r="652" spans="1:26" ht="15.75" customHeight="1" x14ac:dyDescent="0.2">
      <c r="A652" s="34"/>
      <c r="B652" s="34"/>
      <c r="C652" s="34"/>
      <c r="D652" s="34"/>
      <c r="E652" s="19"/>
      <c r="F652" s="19"/>
      <c r="G652" s="19"/>
      <c r="H652" s="19"/>
      <c r="I652" s="19"/>
      <c r="J652" s="19"/>
      <c r="K652" s="19"/>
      <c r="L652" s="19"/>
      <c r="M652" s="19"/>
      <c r="N652" s="19"/>
      <c r="O652" s="19"/>
      <c r="P652" s="20"/>
      <c r="Q652" s="20"/>
      <c r="R652" s="22"/>
      <c r="S652" s="22"/>
      <c r="T652" s="20"/>
      <c r="U652" s="20"/>
      <c r="V652" s="20"/>
      <c r="W652" s="19"/>
      <c r="X652" s="19"/>
      <c r="Y652" s="19"/>
      <c r="Z652" s="23"/>
    </row>
    <row r="653" spans="1:26" ht="15.75" customHeight="1" x14ac:dyDescent="0.2">
      <c r="A653" s="34"/>
      <c r="B653" s="34"/>
      <c r="C653" s="34"/>
      <c r="D653" s="34"/>
      <c r="E653" s="19"/>
      <c r="F653" s="19"/>
      <c r="G653" s="19"/>
      <c r="H653" s="19"/>
      <c r="I653" s="19"/>
      <c r="J653" s="19"/>
      <c r="K653" s="19"/>
      <c r="L653" s="19"/>
      <c r="M653" s="19"/>
      <c r="N653" s="19"/>
      <c r="O653" s="19"/>
      <c r="P653" s="20"/>
      <c r="Q653" s="20"/>
      <c r="R653" s="22"/>
      <c r="S653" s="22"/>
      <c r="T653" s="20"/>
      <c r="U653" s="20"/>
      <c r="V653" s="20"/>
      <c r="W653" s="19"/>
      <c r="X653" s="19"/>
      <c r="Y653" s="19"/>
      <c r="Z653" s="23"/>
    </row>
    <row r="654" spans="1:26" ht="15.75" customHeight="1" x14ac:dyDescent="0.2">
      <c r="A654" s="34"/>
      <c r="B654" s="34"/>
      <c r="C654" s="34"/>
      <c r="D654" s="34"/>
      <c r="E654" s="19"/>
      <c r="F654" s="19"/>
      <c r="G654" s="19"/>
      <c r="H654" s="19"/>
      <c r="I654" s="19"/>
      <c r="J654" s="19"/>
      <c r="K654" s="19"/>
      <c r="L654" s="19"/>
      <c r="M654" s="19"/>
      <c r="N654" s="19"/>
      <c r="O654" s="19"/>
      <c r="P654" s="20"/>
      <c r="Q654" s="20"/>
      <c r="R654" s="22"/>
      <c r="S654" s="22"/>
      <c r="T654" s="20"/>
      <c r="U654" s="20"/>
      <c r="V654" s="20"/>
      <c r="W654" s="19"/>
      <c r="X654" s="19"/>
      <c r="Y654" s="19"/>
      <c r="Z654" s="23"/>
    </row>
    <row r="655" spans="1:26" ht="15.75" customHeight="1" x14ac:dyDescent="0.2">
      <c r="A655" s="34"/>
      <c r="B655" s="34"/>
      <c r="C655" s="34"/>
      <c r="D655" s="34"/>
      <c r="E655" s="19"/>
      <c r="F655" s="19"/>
      <c r="G655" s="19"/>
      <c r="H655" s="19"/>
      <c r="I655" s="19"/>
      <c r="J655" s="19"/>
      <c r="K655" s="19"/>
      <c r="L655" s="19"/>
      <c r="M655" s="19"/>
      <c r="N655" s="19"/>
      <c r="O655" s="19"/>
      <c r="P655" s="20"/>
      <c r="Q655" s="20"/>
      <c r="R655" s="22"/>
      <c r="S655" s="22"/>
      <c r="T655" s="20"/>
      <c r="U655" s="20"/>
      <c r="V655" s="20"/>
      <c r="W655" s="19"/>
      <c r="X655" s="19"/>
      <c r="Y655" s="19"/>
      <c r="Z655" s="23"/>
    </row>
    <row r="656" spans="1:26" ht="15.75" customHeight="1" x14ac:dyDescent="0.2">
      <c r="A656" s="34"/>
      <c r="B656" s="34"/>
      <c r="C656" s="34"/>
      <c r="D656" s="34"/>
      <c r="E656" s="19"/>
      <c r="F656" s="19"/>
      <c r="G656" s="19"/>
      <c r="H656" s="19"/>
      <c r="I656" s="19"/>
      <c r="J656" s="19"/>
      <c r="K656" s="19"/>
      <c r="L656" s="19"/>
      <c r="M656" s="19"/>
      <c r="N656" s="19"/>
      <c r="O656" s="19"/>
      <c r="P656" s="20"/>
      <c r="Q656" s="20"/>
      <c r="R656" s="22"/>
      <c r="S656" s="22"/>
      <c r="T656" s="20"/>
      <c r="U656" s="20"/>
      <c r="V656" s="20"/>
      <c r="W656" s="19"/>
      <c r="X656" s="19"/>
      <c r="Y656" s="19"/>
      <c r="Z656" s="23"/>
    </row>
    <row r="657" spans="1:26" ht="15.75" customHeight="1" x14ac:dyDescent="0.2">
      <c r="A657" s="34"/>
      <c r="B657" s="34"/>
      <c r="C657" s="34"/>
      <c r="D657" s="34"/>
      <c r="E657" s="19"/>
      <c r="F657" s="19"/>
      <c r="G657" s="19"/>
      <c r="H657" s="19"/>
      <c r="I657" s="19"/>
      <c r="J657" s="19"/>
      <c r="K657" s="19"/>
      <c r="L657" s="19"/>
      <c r="M657" s="19"/>
      <c r="N657" s="19"/>
      <c r="O657" s="19"/>
      <c r="P657" s="20"/>
      <c r="Q657" s="20"/>
      <c r="R657" s="22"/>
      <c r="S657" s="22"/>
      <c r="T657" s="20"/>
      <c r="U657" s="20"/>
      <c r="V657" s="20"/>
      <c r="W657" s="19"/>
      <c r="X657" s="19"/>
      <c r="Y657" s="19"/>
      <c r="Z657" s="23"/>
    </row>
    <row r="658" spans="1:26" ht="15.75" customHeight="1" x14ac:dyDescent="0.2">
      <c r="A658" s="34"/>
      <c r="B658" s="34"/>
      <c r="C658" s="34"/>
      <c r="D658" s="34"/>
      <c r="E658" s="19"/>
      <c r="F658" s="19"/>
      <c r="G658" s="19"/>
      <c r="H658" s="19"/>
      <c r="I658" s="19"/>
      <c r="J658" s="19"/>
      <c r="K658" s="19"/>
      <c r="L658" s="19"/>
      <c r="M658" s="19"/>
      <c r="N658" s="19"/>
      <c r="O658" s="19"/>
      <c r="P658" s="20"/>
      <c r="Q658" s="20"/>
      <c r="R658" s="22"/>
      <c r="S658" s="22"/>
      <c r="T658" s="20"/>
      <c r="U658" s="20"/>
      <c r="V658" s="20"/>
      <c r="W658" s="19"/>
      <c r="X658" s="19"/>
      <c r="Y658" s="19"/>
      <c r="Z658" s="23"/>
    </row>
    <row r="659" spans="1:26" ht="15.75" customHeight="1" x14ac:dyDescent="0.2">
      <c r="A659" s="34"/>
      <c r="B659" s="34"/>
      <c r="C659" s="34"/>
      <c r="D659" s="34"/>
      <c r="E659" s="19"/>
      <c r="F659" s="19"/>
      <c r="G659" s="19"/>
      <c r="H659" s="19"/>
      <c r="I659" s="19"/>
      <c r="J659" s="19"/>
      <c r="K659" s="19"/>
      <c r="L659" s="19"/>
      <c r="M659" s="19"/>
      <c r="N659" s="19"/>
      <c r="O659" s="19"/>
      <c r="P659" s="20"/>
      <c r="Q659" s="20"/>
      <c r="R659" s="22"/>
      <c r="S659" s="22"/>
      <c r="T659" s="20"/>
      <c r="U659" s="20"/>
      <c r="V659" s="20"/>
      <c r="W659" s="19"/>
      <c r="X659" s="19"/>
      <c r="Y659" s="19"/>
      <c r="Z659" s="23"/>
    </row>
    <row r="660" spans="1:26" ht="15.75" customHeight="1" x14ac:dyDescent="0.2">
      <c r="A660" s="34"/>
      <c r="B660" s="34"/>
      <c r="C660" s="34"/>
      <c r="D660" s="34"/>
      <c r="E660" s="19"/>
      <c r="F660" s="19"/>
      <c r="G660" s="19"/>
      <c r="H660" s="19"/>
      <c r="I660" s="19"/>
      <c r="J660" s="19"/>
      <c r="K660" s="19"/>
      <c r="L660" s="19"/>
      <c r="M660" s="19"/>
      <c r="N660" s="19"/>
      <c r="O660" s="19"/>
      <c r="P660" s="20"/>
      <c r="Q660" s="20"/>
      <c r="R660" s="22"/>
      <c r="S660" s="22"/>
      <c r="T660" s="20"/>
      <c r="U660" s="20"/>
      <c r="V660" s="20"/>
      <c r="W660" s="19"/>
      <c r="X660" s="19"/>
      <c r="Y660" s="19"/>
      <c r="Z660" s="23"/>
    </row>
    <row r="661" spans="1:26" ht="15.75" customHeight="1" x14ac:dyDescent="0.2">
      <c r="A661" s="34"/>
      <c r="B661" s="34"/>
      <c r="C661" s="34"/>
      <c r="D661" s="34"/>
      <c r="E661" s="19"/>
      <c r="F661" s="19"/>
      <c r="G661" s="19"/>
      <c r="H661" s="19"/>
      <c r="I661" s="19"/>
      <c r="J661" s="19"/>
      <c r="K661" s="19"/>
      <c r="L661" s="19"/>
      <c r="M661" s="19"/>
      <c r="N661" s="19"/>
      <c r="O661" s="19"/>
      <c r="P661" s="20"/>
      <c r="Q661" s="20"/>
      <c r="R661" s="22"/>
      <c r="S661" s="22"/>
      <c r="T661" s="20"/>
      <c r="U661" s="20"/>
      <c r="V661" s="20"/>
      <c r="W661" s="19"/>
      <c r="X661" s="19"/>
      <c r="Y661" s="19"/>
      <c r="Z661" s="23"/>
    </row>
    <row r="662" spans="1:26" ht="15.75" customHeight="1" x14ac:dyDescent="0.2">
      <c r="A662" s="34"/>
      <c r="B662" s="34"/>
      <c r="C662" s="34"/>
      <c r="D662" s="34"/>
      <c r="E662" s="19"/>
      <c r="F662" s="19"/>
      <c r="G662" s="19"/>
      <c r="H662" s="19"/>
      <c r="I662" s="19"/>
      <c r="J662" s="19"/>
      <c r="K662" s="19"/>
      <c r="L662" s="19"/>
      <c r="M662" s="19"/>
      <c r="N662" s="19"/>
      <c r="O662" s="19"/>
      <c r="P662" s="20"/>
      <c r="Q662" s="20"/>
      <c r="R662" s="22"/>
      <c r="S662" s="22"/>
      <c r="T662" s="20"/>
      <c r="U662" s="20"/>
      <c r="V662" s="20"/>
      <c r="W662" s="19"/>
      <c r="X662" s="19"/>
      <c r="Y662" s="19"/>
      <c r="Z662" s="23"/>
    </row>
    <row r="663" spans="1:26" ht="15.75" customHeight="1" x14ac:dyDescent="0.2">
      <c r="A663" s="34"/>
      <c r="B663" s="34"/>
      <c r="C663" s="34"/>
      <c r="D663" s="34"/>
      <c r="E663" s="19"/>
      <c r="F663" s="19"/>
      <c r="G663" s="19"/>
      <c r="H663" s="19"/>
      <c r="I663" s="19"/>
      <c r="J663" s="19"/>
      <c r="K663" s="19"/>
      <c r="L663" s="19"/>
      <c r="M663" s="19"/>
      <c r="N663" s="19"/>
      <c r="O663" s="19"/>
      <c r="P663" s="20"/>
      <c r="Q663" s="20"/>
      <c r="R663" s="22"/>
      <c r="S663" s="22"/>
      <c r="T663" s="20"/>
      <c r="U663" s="20"/>
      <c r="V663" s="20"/>
      <c r="W663" s="19"/>
      <c r="X663" s="19"/>
      <c r="Y663" s="19"/>
      <c r="Z663" s="23"/>
    </row>
    <row r="664" spans="1:26" ht="15.75" customHeight="1" x14ac:dyDescent="0.2">
      <c r="A664" s="34"/>
      <c r="B664" s="34"/>
      <c r="C664" s="34"/>
      <c r="D664" s="34"/>
      <c r="E664" s="19"/>
      <c r="F664" s="19"/>
      <c r="G664" s="19"/>
      <c r="H664" s="19"/>
      <c r="I664" s="19"/>
      <c r="J664" s="19"/>
      <c r="K664" s="19"/>
      <c r="L664" s="19"/>
      <c r="M664" s="19"/>
      <c r="N664" s="19"/>
      <c r="O664" s="19"/>
      <c r="P664" s="20"/>
      <c r="Q664" s="20"/>
      <c r="R664" s="22"/>
      <c r="S664" s="22"/>
      <c r="T664" s="20"/>
      <c r="U664" s="20"/>
      <c r="V664" s="20"/>
      <c r="W664" s="19"/>
      <c r="X664" s="19"/>
      <c r="Y664" s="19"/>
      <c r="Z664" s="23"/>
    </row>
    <row r="665" spans="1:26" ht="15.75" customHeight="1" x14ac:dyDescent="0.2">
      <c r="A665" s="34"/>
      <c r="B665" s="34"/>
      <c r="C665" s="34"/>
      <c r="D665" s="34"/>
      <c r="E665" s="19"/>
      <c r="F665" s="19"/>
      <c r="G665" s="19"/>
      <c r="H665" s="19"/>
      <c r="I665" s="19"/>
      <c r="J665" s="19"/>
      <c r="K665" s="19"/>
      <c r="L665" s="19"/>
      <c r="M665" s="19"/>
      <c r="N665" s="19"/>
      <c r="O665" s="19"/>
      <c r="P665" s="20"/>
      <c r="Q665" s="20"/>
      <c r="R665" s="22"/>
      <c r="S665" s="22"/>
      <c r="T665" s="20"/>
      <c r="U665" s="20"/>
      <c r="V665" s="20"/>
      <c r="W665" s="19"/>
      <c r="X665" s="19"/>
      <c r="Y665" s="19"/>
      <c r="Z665" s="23"/>
    </row>
    <row r="666" spans="1:26" ht="15.75" customHeight="1" x14ac:dyDescent="0.2">
      <c r="A666" s="34"/>
      <c r="B666" s="34"/>
      <c r="C666" s="34"/>
      <c r="D666" s="34"/>
      <c r="E666" s="19"/>
      <c r="F666" s="19"/>
      <c r="G666" s="19"/>
      <c r="H666" s="19"/>
      <c r="I666" s="19"/>
      <c r="J666" s="19"/>
      <c r="K666" s="19"/>
      <c r="L666" s="19"/>
      <c r="M666" s="19"/>
      <c r="N666" s="19"/>
      <c r="O666" s="19"/>
      <c r="P666" s="20"/>
      <c r="Q666" s="20"/>
      <c r="R666" s="22"/>
      <c r="S666" s="22"/>
      <c r="T666" s="20"/>
      <c r="U666" s="20"/>
      <c r="V666" s="20"/>
      <c r="W666" s="19"/>
      <c r="X666" s="19"/>
      <c r="Y666" s="19"/>
      <c r="Z666" s="23"/>
    </row>
    <row r="667" spans="1:26" ht="15.75" customHeight="1" x14ac:dyDescent="0.2">
      <c r="A667" s="34"/>
      <c r="B667" s="34"/>
      <c r="C667" s="34"/>
      <c r="D667" s="34"/>
      <c r="E667" s="19"/>
      <c r="F667" s="19"/>
      <c r="G667" s="19"/>
      <c r="H667" s="19"/>
      <c r="I667" s="19"/>
      <c r="J667" s="19"/>
      <c r="K667" s="19"/>
      <c r="L667" s="19"/>
      <c r="M667" s="19"/>
      <c r="N667" s="19"/>
      <c r="O667" s="19"/>
      <c r="P667" s="20"/>
      <c r="Q667" s="20"/>
      <c r="R667" s="22"/>
      <c r="S667" s="22"/>
      <c r="T667" s="20"/>
      <c r="U667" s="20"/>
      <c r="V667" s="20"/>
      <c r="W667" s="19"/>
      <c r="X667" s="19"/>
      <c r="Y667" s="19"/>
      <c r="Z667" s="23"/>
    </row>
    <row r="668" spans="1:26" ht="15.75" customHeight="1" x14ac:dyDescent="0.2">
      <c r="A668" s="34"/>
      <c r="B668" s="34"/>
      <c r="C668" s="34"/>
      <c r="D668" s="34"/>
      <c r="E668" s="19"/>
      <c r="F668" s="19"/>
      <c r="G668" s="19"/>
      <c r="H668" s="19"/>
      <c r="I668" s="19"/>
      <c r="J668" s="19"/>
      <c r="K668" s="19"/>
      <c r="L668" s="19"/>
      <c r="M668" s="19"/>
      <c r="N668" s="19"/>
      <c r="O668" s="19"/>
      <c r="P668" s="20"/>
      <c r="Q668" s="20"/>
      <c r="R668" s="22"/>
      <c r="S668" s="22"/>
      <c r="T668" s="20"/>
      <c r="U668" s="20"/>
      <c r="V668" s="20"/>
      <c r="W668" s="19"/>
      <c r="X668" s="19"/>
      <c r="Y668" s="19"/>
      <c r="Z668" s="23"/>
    </row>
    <row r="669" spans="1:26" ht="15.75" customHeight="1" x14ac:dyDescent="0.2">
      <c r="A669" s="34"/>
      <c r="B669" s="34"/>
      <c r="C669" s="34"/>
      <c r="D669" s="34"/>
      <c r="E669" s="19"/>
      <c r="F669" s="19"/>
      <c r="G669" s="19"/>
      <c r="H669" s="19"/>
      <c r="I669" s="19"/>
      <c r="J669" s="19"/>
      <c r="K669" s="19"/>
      <c r="L669" s="19"/>
      <c r="M669" s="19"/>
      <c r="N669" s="19"/>
      <c r="O669" s="19"/>
      <c r="P669" s="20"/>
      <c r="Q669" s="20"/>
      <c r="R669" s="22"/>
      <c r="S669" s="22"/>
      <c r="T669" s="20"/>
      <c r="U669" s="20"/>
      <c r="V669" s="20"/>
      <c r="W669" s="19"/>
      <c r="X669" s="19"/>
      <c r="Y669" s="19"/>
      <c r="Z669" s="23"/>
    </row>
    <row r="670" spans="1:26" ht="15.75" customHeight="1" x14ac:dyDescent="0.2">
      <c r="A670" s="34"/>
      <c r="B670" s="34"/>
      <c r="C670" s="34"/>
      <c r="D670" s="34"/>
      <c r="E670" s="19"/>
      <c r="F670" s="19"/>
      <c r="G670" s="19"/>
      <c r="H670" s="19"/>
      <c r="I670" s="19"/>
      <c r="J670" s="19"/>
      <c r="K670" s="19"/>
      <c r="L670" s="19"/>
      <c r="M670" s="19"/>
      <c r="N670" s="19"/>
      <c r="O670" s="19"/>
      <c r="P670" s="20"/>
      <c r="Q670" s="20"/>
      <c r="R670" s="22"/>
      <c r="S670" s="22"/>
      <c r="T670" s="20"/>
      <c r="U670" s="20"/>
      <c r="V670" s="20"/>
      <c r="W670" s="19"/>
      <c r="X670" s="19"/>
      <c r="Y670" s="19"/>
      <c r="Z670" s="23"/>
    </row>
    <row r="671" spans="1:26" ht="15.75" customHeight="1" x14ac:dyDescent="0.2">
      <c r="A671" s="34"/>
      <c r="B671" s="34"/>
      <c r="C671" s="34"/>
      <c r="D671" s="34"/>
      <c r="E671" s="19"/>
      <c r="F671" s="19"/>
      <c r="G671" s="19"/>
      <c r="H671" s="19"/>
      <c r="I671" s="19"/>
      <c r="J671" s="19"/>
      <c r="K671" s="19"/>
      <c r="L671" s="19"/>
      <c r="M671" s="19"/>
      <c r="N671" s="19"/>
      <c r="O671" s="19"/>
      <c r="P671" s="20"/>
      <c r="Q671" s="20"/>
      <c r="R671" s="22"/>
      <c r="S671" s="22"/>
      <c r="T671" s="20"/>
      <c r="U671" s="20"/>
      <c r="V671" s="20"/>
      <c r="W671" s="19"/>
      <c r="X671" s="19"/>
      <c r="Y671" s="19"/>
      <c r="Z671" s="23"/>
    </row>
    <row r="672" spans="1:26" ht="15.75" customHeight="1" x14ac:dyDescent="0.2">
      <c r="A672" s="34"/>
      <c r="B672" s="34"/>
      <c r="C672" s="34"/>
      <c r="D672" s="34"/>
      <c r="E672" s="19"/>
      <c r="F672" s="19"/>
      <c r="G672" s="19"/>
      <c r="H672" s="19"/>
      <c r="I672" s="19"/>
      <c r="J672" s="19"/>
      <c r="K672" s="19"/>
      <c r="L672" s="19"/>
      <c r="M672" s="19"/>
      <c r="N672" s="19"/>
      <c r="O672" s="19"/>
      <c r="P672" s="20"/>
      <c r="Q672" s="20"/>
      <c r="R672" s="22"/>
      <c r="S672" s="22"/>
      <c r="T672" s="20"/>
      <c r="U672" s="20"/>
      <c r="V672" s="20"/>
      <c r="W672" s="19"/>
      <c r="X672" s="19"/>
      <c r="Y672" s="19"/>
      <c r="Z672" s="23"/>
    </row>
    <row r="673" spans="1:26" ht="15.75" customHeight="1" x14ac:dyDescent="0.2">
      <c r="A673" s="34"/>
      <c r="B673" s="34"/>
      <c r="C673" s="34"/>
      <c r="D673" s="34"/>
      <c r="E673" s="19"/>
      <c r="F673" s="19"/>
      <c r="G673" s="19"/>
      <c r="H673" s="19"/>
      <c r="I673" s="19"/>
      <c r="J673" s="19"/>
      <c r="K673" s="19"/>
      <c r="L673" s="19"/>
      <c r="M673" s="19"/>
      <c r="N673" s="19"/>
      <c r="O673" s="19"/>
      <c r="P673" s="20"/>
      <c r="Q673" s="20"/>
      <c r="R673" s="22"/>
      <c r="S673" s="22"/>
      <c r="T673" s="20"/>
      <c r="U673" s="20"/>
      <c r="V673" s="20"/>
      <c r="W673" s="19"/>
      <c r="X673" s="19"/>
      <c r="Y673" s="19"/>
      <c r="Z673" s="23"/>
    </row>
    <row r="674" spans="1:26" ht="15.75" customHeight="1" x14ac:dyDescent="0.2">
      <c r="A674" s="34"/>
      <c r="B674" s="34"/>
      <c r="C674" s="34"/>
      <c r="D674" s="34"/>
      <c r="E674" s="19"/>
      <c r="F674" s="19"/>
      <c r="G674" s="19"/>
      <c r="H674" s="19"/>
      <c r="I674" s="19"/>
      <c r="J674" s="19"/>
      <c r="K674" s="19"/>
      <c r="L674" s="19"/>
      <c r="M674" s="19"/>
      <c r="N674" s="19"/>
      <c r="O674" s="19"/>
      <c r="P674" s="20"/>
      <c r="Q674" s="20"/>
      <c r="R674" s="22"/>
      <c r="S674" s="22"/>
      <c r="T674" s="20"/>
      <c r="U674" s="20"/>
      <c r="V674" s="20"/>
      <c r="W674" s="19"/>
      <c r="X674" s="19"/>
      <c r="Y674" s="19"/>
      <c r="Z674" s="23"/>
    </row>
    <row r="675" spans="1:26" ht="15.75" customHeight="1" x14ac:dyDescent="0.2">
      <c r="A675" s="34"/>
      <c r="B675" s="34"/>
      <c r="C675" s="34"/>
      <c r="D675" s="34"/>
      <c r="E675" s="19"/>
      <c r="F675" s="19"/>
      <c r="G675" s="19"/>
      <c r="H675" s="19"/>
      <c r="I675" s="19"/>
      <c r="J675" s="19"/>
      <c r="K675" s="19"/>
      <c r="L675" s="19"/>
      <c r="M675" s="19"/>
      <c r="N675" s="19"/>
      <c r="O675" s="19"/>
      <c r="P675" s="20"/>
      <c r="Q675" s="20"/>
      <c r="R675" s="22"/>
      <c r="S675" s="22"/>
      <c r="T675" s="20"/>
      <c r="U675" s="20"/>
      <c r="V675" s="20"/>
      <c r="W675" s="19"/>
      <c r="X675" s="19"/>
      <c r="Y675" s="19"/>
      <c r="Z675" s="23"/>
    </row>
    <row r="676" spans="1:26" ht="15.75" customHeight="1" x14ac:dyDescent="0.2">
      <c r="A676" s="34"/>
      <c r="B676" s="34"/>
      <c r="C676" s="34"/>
      <c r="D676" s="34"/>
      <c r="E676" s="19"/>
      <c r="F676" s="19"/>
      <c r="G676" s="19"/>
      <c r="H676" s="19"/>
      <c r="I676" s="19"/>
      <c r="J676" s="19"/>
      <c r="K676" s="19"/>
      <c r="L676" s="19"/>
      <c r="M676" s="19"/>
      <c r="N676" s="19"/>
      <c r="O676" s="19"/>
      <c r="P676" s="20"/>
      <c r="Q676" s="20"/>
      <c r="R676" s="22"/>
      <c r="S676" s="22"/>
      <c r="T676" s="20"/>
      <c r="U676" s="20"/>
      <c r="V676" s="20"/>
      <c r="W676" s="19"/>
      <c r="X676" s="19"/>
      <c r="Y676" s="19"/>
      <c r="Z676" s="23"/>
    </row>
    <row r="677" spans="1:26" ht="15.75" customHeight="1" x14ac:dyDescent="0.2">
      <c r="A677" s="34"/>
      <c r="B677" s="34"/>
      <c r="C677" s="34"/>
      <c r="D677" s="34"/>
      <c r="E677" s="19"/>
      <c r="F677" s="19"/>
      <c r="G677" s="19"/>
      <c r="H677" s="19"/>
      <c r="I677" s="19"/>
      <c r="J677" s="19"/>
      <c r="K677" s="19"/>
      <c r="L677" s="19"/>
      <c r="M677" s="19"/>
      <c r="N677" s="19"/>
      <c r="O677" s="19"/>
      <c r="P677" s="20"/>
      <c r="Q677" s="20"/>
      <c r="R677" s="22"/>
      <c r="S677" s="22"/>
      <c r="T677" s="20"/>
      <c r="U677" s="20"/>
      <c r="V677" s="20"/>
      <c r="W677" s="19"/>
      <c r="X677" s="19"/>
      <c r="Y677" s="19"/>
      <c r="Z677" s="23"/>
    </row>
    <row r="678" spans="1:26" ht="15.75" customHeight="1" x14ac:dyDescent="0.2">
      <c r="A678" s="34"/>
      <c r="B678" s="34"/>
      <c r="C678" s="34"/>
      <c r="D678" s="34"/>
      <c r="E678" s="19"/>
      <c r="F678" s="19"/>
      <c r="G678" s="19"/>
      <c r="H678" s="19"/>
      <c r="I678" s="19"/>
      <c r="J678" s="19"/>
      <c r="K678" s="19"/>
      <c r="L678" s="19"/>
      <c r="M678" s="19"/>
      <c r="N678" s="19"/>
      <c r="O678" s="19"/>
      <c r="P678" s="20"/>
      <c r="Q678" s="20"/>
      <c r="R678" s="22"/>
      <c r="S678" s="22"/>
      <c r="T678" s="20"/>
      <c r="U678" s="20"/>
      <c r="V678" s="20"/>
      <c r="W678" s="19"/>
      <c r="X678" s="19"/>
      <c r="Y678" s="19"/>
      <c r="Z678" s="23"/>
    </row>
    <row r="679" spans="1:26" ht="15.75" customHeight="1" x14ac:dyDescent="0.2">
      <c r="A679" s="34"/>
      <c r="B679" s="34"/>
      <c r="C679" s="34"/>
      <c r="D679" s="34"/>
      <c r="E679" s="19"/>
      <c r="F679" s="19"/>
      <c r="G679" s="19"/>
      <c r="H679" s="19"/>
      <c r="I679" s="19"/>
      <c r="J679" s="19"/>
      <c r="K679" s="19"/>
      <c r="L679" s="19"/>
      <c r="M679" s="19"/>
      <c r="N679" s="19"/>
      <c r="O679" s="19"/>
      <c r="P679" s="20"/>
      <c r="Q679" s="20"/>
      <c r="R679" s="22"/>
      <c r="S679" s="22"/>
      <c r="T679" s="20"/>
      <c r="U679" s="20"/>
      <c r="V679" s="20"/>
      <c r="W679" s="19"/>
      <c r="X679" s="19"/>
      <c r="Y679" s="19"/>
      <c r="Z679" s="23"/>
    </row>
    <row r="680" spans="1:26" ht="15.75" customHeight="1" x14ac:dyDescent="0.2">
      <c r="A680" s="34"/>
      <c r="B680" s="34"/>
      <c r="C680" s="34"/>
      <c r="D680" s="34"/>
      <c r="E680" s="19"/>
      <c r="F680" s="19"/>
      <c r="G680" s="19"/>
      <c r="H680" s="19"/>
      <c r="I680" s="19"/>
      <c r="J680" s="19"/>
      <c r="K680" s="19"/>
      <c r="L680" s="19"/>
      <c r="M680" s="19"/>
      <c r="N680" s="19"/>
      <c r="O680" s="19"/>
      <c r="P680" s="20"/>
      <c r="Q680" s="20"/>
      <c r="R680" s="22"/>
      <c r="S680" s="22"/>
      <c r="T680" s="20"/>
      <c r="U680" s="20"/>
      <c r="V680" s="20"/>
      <c r="W680" s="19"/>
      <c r="X680" s="19"/>
      <c r="Y680" s="19"/>
      <c r="Z680" s="23"/>
    </row>
    <row r="681" spans="1:26" ht="15.75" customHeight="1" x14ac:dyDescent="0.2">
      <c r="A681" s="34"/>
      <c r="B681" s="34"/>
      <c r="C681" s="34"/>
      <c r="D681" s="34"/>
      <c r="E681" s="19"/>
      <c r="F681" s="19"/>
      <c r="G681" s="19"/>
      <c r="H681" s="19"/>
      <c r="I681" s="19"/>
      <c r="J681" s="19"/>
      <c r="K681" s="19"/>
      <c r="L681" s="19"/>
      <c r="M681" s="19"/>
      <c r="N681" s="19"/>
      <c r="O681" s="19"/>
      <c r="P681" s="20"/>
      <c r="Q681" s="20"/>
      <c r="R681" s="22"/>
      <c r="S681" s="22"/>
      <c r="T681" s="20"/>
      <c r="U681" s="20"/>
      <c r="V681" s="20"/>
      <c r="W681" s="19"/>
      <c r="X681" s="19"/>
      <c r="Y681" s="19"/>
      <c r="Z681" s="23"/>
    </row>
    <row r="682" spans="1:26" ht="15.75" customHeight="1" x14ac:dyDescent="0.2">
      <c r="A682" s="34"/>
      <c r="B682" s="34"/>
      <c r="C682" s="34"/>
      <c r="D682" s="34"/>
      <c r="E682" s="19"/>
      <c r="F682" s="19"/>
      <c r="G682" s="19"/>
      <c r="H682" s="19"/>
      <c r="I682" s="19"/>
      <c r="J682" s="19"/>
      <c r="K682" s="19"/>
      <c r="L682" s="19"/>
      <c r="M682" s="19"/>
      <c r="N682" s="19"/>
      <c r="O682" s="19"/>
      <c r="P682" s="20"/>
      <c r="Q682" s="20"/>
      <c r="R682" s="22"/>
      <c r="S682" s="22"/>
      <c r="T682" s="20"/>
      <c r="U682" s="20"/>
      <c r="V682" s="20"/>
      <c r="W682" s="19"/>
      <c r="X682" s="19"/>
      <c r="Y682" s="19"/>
      <c r="Z682" s="23"/>
    </row>
    <row r="683" spans="1:26" ht="15.75" customHeight="1" x14ac:dyDescent="0.2">
      <c r="A683" s="34"/>
      <c r="B683" s="34"/>
      <c r="C683" s="34"/>
      <c r="D683" s="34"/>
      <c r="E683" s="19"/>
      <c r="F683" s="19"/>
      <c r="G683" s="19"/>
      <c r="H683" s="19"/>
      <c r="I683" s="19"/>
      <c r="J683" s="19"/>
      <c r="K683" s="19"/>
      <c r="L683" s="19"/>
      <c r="M683" s="19"/>
      <c r="N683" s="19"/>
      <c r="O683" s="19"/>
      <c r="P683" s="20"/>
      <c r="Q683" s="20"/>
      <c r="R683" s="22"/>
      <c r="S683" s="22"/>
      <c r="T683" s="20"/>
      <c r="U683" s="20"/>
      <c r="V683" s="20"/>
      <c r="W683" s="19"/>
      <c r="X683" s="19"/>
      <c r="Y683" s="19"/>
      <c r="Z683" s="23"/>
    </row>
    <row r="684" spans="1:26" ht="15.75" customHeight="1" x14ac:dyDescent="0.2">
      <c r="A684" s="34"/>
      <c r="B684" s="34"/>
      <c r="C684" s="34"/>
      <c r="D684" s="34"/>
      <c r="E684" s="19"/>
      <c r="F684" s="19"/>
      <c r="G684" s="19"/>
      <c r="H684" s="19"/>
      <c r="I684" s="19"/>
      <c r="J684" s="19"/>
      <c r="K684" s="19"/>
      <c r="L684" s="19"/>
      <c r="M684" s="19"/>
      <c r="N684" s="19"/>
      <c r="O684" s="19"/>
      <c r="P684" s="20"/>
      <c r="Q684" s="20"/>
      <c r="R684" s="22"/>
      <c r="S684" s="22"/>
      <c r="T684" s="20"/>
      <c r="U684" s="20"/>
      <c r="V684" s="20"/>
      <c r="W684" s="19"/>
      <c r="X684" s="19"/>
      <c r="Y684" s="19"/>
      <c r="Z684" s="23"/>
    </row>
    <row r="685" spans="1:26" ht="15.75" customHeight="1" x14ac:dyDescent="0.2">
      <c r="A685" s="34"/>
      <c r="B685" s="34"/>
      <c r="C685" s="34"/>
      <c r="D685" s="34"/>
      <c r="E685" s="19"/>
      <c r="F685" s="19"/>
      <c r="G685" s="19"/>
      <c r="H685" s="19"/>
      <c r="I685" s="19"/>
      <c r="J685" s="19"/>
      <c r="K685" s="19"/>
      <c r="L685" s="19"/>
      <c r="M685" s="19"/>
      <c r="N685" s="19"/>
      <c r="O685" s="19"/>
      <c r="P685" s="20"/>
      <c r="Q685" s="20"/>
      <c r="R685" s="22"/>
      <c r="S685" s="22"/>
      <c r="T685" s="20"/>
      <c r="U685" s="20"/>
      <c r="V685" s="20"/>
      <c r="W685" s="19"/>
      <c r="X685" s="19"/>
      <c r="Y685" s="19"/>
      <c r="Z685" s="23"/>
    </row>
    <row r="686" spans="1:26" ht="15.75" customHeight="1" x14ac:dyDescent="0.2">
      <c r="A686" s="34"/>
      <c r="B686" s="34"/>
      <c r="C686" s="34"/>
      <c r="D686" s="34"/>
      <c r="E686" s="19"/>
      <c r="F686" s="19"/>
      <c r="G686" s="19"/>
      <c r="H686" s="19"/>
      <c r="I686" s="19"/>
      <c r="J686" s="19"/>
      <c r="K686" s="19"/>
      <c r="L686" s="19"/>
      <c r="M686" s="19"/>
      <c r="N686" s="19"/>
      <c r="O686" s="19"/>
      <c r="P686" s="20"/>
      <c r="Q686" s="20"/>
      <c r="R686" s="22"/>
      <c r="S686" s="22"/>
      <c r="T686" s="20"/>
      <c r="U686" s="20"/>
      <c r="V686" s="20"/>
      <c r="W686" s="19"/>
      <c r="X686" s="19"/>
      <c r="Y686" s="19"/>
      <c r="Z686" s="23"/>
    </row>
    <row r="687" spans="1:26" ht="15.75" customHeight="1" x14ac:dyDescent="0.2">
      <c r="A687" s="34"/>
      <c r="B687" s="34"/>
      <c r="C687" s="34"/>
      <c r="D687" s="34"/>
      <c r="E687" s="19"/>
      <c r="F687" s="19"/>
      <c r="G687" s="19"/>
      <c r="H687" s="19"/>
      <c r="I687" s="19"/>
      <c r="J687" s="19"/>
      <c r="K687" s="19"/>
      <c r="L687" s="19"/>
      <c r="M687" s="19"/>
      <c r="N687" s="19"/>
      <c r="O687" s="19"/>
      <c r="P687" s="20"/>
      <c r="Q687" s="20"/>
      <c r="R687" s="22"/>
      <c r="S687" s="22"/>
      <c r="T687" s="20"/>
      <c r="U687" s="20"/>
      <c r="V687" s="20"/>
      <c r="W687" s="19"/>
      <c r="X687" s="19"/>
      <c r="Y687" s="19"/>
      <c r="Z687" s="23"/>
    </row>
    <row r="688" spans="1:26" ht="15.75" customHeight="1" x14ac:dyDescent="0.2">
      <c r="A688" s="34"/>
      <c r="B688" s="34"/>
      <c r="C688" s="34"/>
      <c r="D688" s="34"/>
      <c r="E688" s="19"/>
      <c r="F688" s="19"/>
      <c r="G688" s="19"/>
      <c r="H688" s="19"/>
      <c r="I688" s="19"/>
      <c r="J688" s="19"/>
      <c r="K688" s="19"/>
      <c r="L688" s="19"/>
      <c r="M688" s="19"/>
      <c r="N688" s="19"/>
      <c r="O688" s="19"/>
      <c r="P688" s="20"/>
      <c r="Q688" s="20"/>
      <c r="R688" s="22"/>
      <c r="S688" s="22"/>
      <c r="T688" s="20"/>
      <c r="U688" s="20"/>
      <c r="V688" s="20"/>
      <c r="W688" s="19"/>
      <c r="X688" s="19"/>
      <c r="Y688" s="19"/>
      <c r="Z688" s="23"/>
    </row>
    <row r="689" spans="1:26" ht="15.75" customHeight="1" x14ac:dyDescent="0.2">
      <c r="A689" s="34"/>
      <c r="B689" s="34"/>
      <c r="C689" s="34"/>
      <c r="D689" s="34"/>
      <c r="E689" s="19"/>
      <c r="F689" s="19"/>
      <c r="G689" s="19"/>
      <c r="H689" s="19"/>
      <c r="I689" s="19"/>
      <c r="J689" s="19"/>
      <c r="K689" s="19"/>
      <c r="L689" s="19"/>
      <c r="M689" s="19"/>
      <c r="N689" s="19"/>
      <c r="O689" s="19"/>
      <c r="P689" s="20"/>
      <c r="Q689" s="20"/>
      <c r="R689" s="22"/>
      <c r="S689" s="22"/>
      <c r="T689" s="20"/>
      <c r="U689" s="20"/>
      <c r="V689" s="20"/>
      <c r="W689" s="19"/>
      <c r="X689" s="19"/>
      <c r="Y689" s="19"/>
      <c r="Z689" s="23"/>
    </row>
    <row r="690" spans="1:26" ht="15.75" customHeight="1" x14ac:dyDescent="0.2">
      <c r="A690" s="34"/>
      <c r="B690" s="34"/>
      <c r="C690" s="34"/>
      <c r="D690" s="34"/>
      <c r="E690" s="19"/>
      <c r="F690" s="19"/>
      <c r="G690" s="19"/>
      <c r="H690" s="19"/>
      <c r="I690" s="19"/>
      <c r="J690" s="19"/>
      <c r="K690" s="19"/>
      <c r="L690" s="19"/>
      <c r="M690" s="19"/>
      <c r="N690" s="19"/>
      <c r="O690" s="19"/>
      <c r="P690" s="20"/>
      <c r="Q690" s="20"/>
      <c r="R690" s="22"/>
      <c r="S690" s="22"/>
      <c r="T690" s="20"/>
      <c r="U690" s="20"/>
      <c r="V690" s="20"/>
      <c r="W690" s="19"/>
      <c r="X690" s="19"/>
      <c r="Y690" s="19"/>
      <c r="Z690" s="23"/>
    </row>
    <row r="691" spans="1:26" ht="15.75" customHeight="1" x14ac:dyDescent="0.2">
      <c r="A691" s="34"/>
      <c r="B691" s="34"/>
      <c r="C691" s="34"/>
      <c r="D691" s="34"/>
      <c r="E691" s="19"/>
      <c r="F691" s="19"/>
      <c r="G691" s="19"/>
      <c r="H691" s="19"/>
      <c r="I691" s="19"/>
      <c r="J691" s="19"/>
      <c r="K691" s="19"/>
      <c r="L691" s="19"/>
      <c r="M691" s="19"/>
      <c r="N691" s="19"/>
      <c r="O691" s="19"/>
      <c r="P691" s="20"/>
      <c r="Q691" s="20"/>
      <c r="R691" s="22"/>
      <c r="S691" s="22"/>
      <c r="T691" s="20"/>
      <c r="U691" s="20"/>
      <c r="V691" s="20"/>
      <c r="W691" s="19"/>
      <c r="X691" s="19"/>
      <c r="Y691" s="19"/>
      <c r="Z691" s="23"/>
    </row>
    <row r="692" spans="1:26" ht="15.75" customHeight="1" x14ac:dyDescent="0.2">
      <c r="A692" s="34"/>
      <c r="B692" s="34"/>
      <c r="C692" s="34"/>
      <c r="D692" s="34"/>
      <c r="E692" s="19"/>
      <c r="F692" s="19"/>
      <c r="G692" s="19"/>
      <c r="H692" s="19"/>
      <c r="I692" s="19"/>
      <c r="J692" s="19"/>
      <c r="K692" s="19"/>
      <c r="L692" s="19"/>
      <c r="M692" s="19"/>
      <c r="N692" s="19"/>
      <c r="O692" s="19"/>
      <c r="P692" s="20"/>
      <c r="Q692" s="20"/>
      <c r="R692" s="22"/>
      <c r="S692" s="22"/>
      <c r="T692" s="20"/>
      <c r="U692" s="20"/>
      <c r="V692" s="20"/>
      <c r="W692" s="19"/>
      <c r="X692" s="19"/>
      <c r="Y692" s="19"/>
      <c r="Z692" s="23"/>
    </row>
    <row r="693" spans="1:26" ht="15.75" customHeight="1" x14ac:dyDescent="0.2">
      <c r="A693" s="34"/>
      <c r="B693" s="34"/>
      <c r="C693" s="34"/>
      <c r="D693" s="34"/>
      <c r="E693" s="19"/>
      <c r="F693" s="19"/>
      <c r="G693" s="19"/>
      <c r="H693" s="19"/>
      <c r="I693" s="19"/>
      <c r="J693" s="19"/>
      <c r="K693" s="19"/>
      <c r="L693" s="19"/>
      <c r="M693" s="19"/>
      <c r="N693" s="19"/>
      <c r="O693" s="19"/>
      <c r="P693" s="20"/>
      <c r="Q693" s="20"/>
      <c r="R693" s="22"/>
      <c r="S693" s="22"/>
      <c r="T693" s="20"/>
      <c r="U693" s="20"/>
      <c r="V693" s="20"/>
      <c r="W693" s="19"/>
      <c r="X693" s="19"/>
      <c r="Y693" s="19"/>
      <c r="Z693" s="23"/>
    </row>
    <row r="694" spans="1:26" ht="15.75" customHeight="1" x14ac:dyDescent="0.2">
      <c r="A694" s="34"/>
      <c r="B694" s="34"/>
      <c r="C694" s="34"/>
      <c r="D694" s="34"/>
      <c r="E694" s="19"/>
      <c r="F694" s="19"/>
      <c r="G694" s="19"/>
      <c r="H694" s="19"/>
      <c r="I694" s="19"/>
      <c r="J694" s="19"/>
      <c r="K694" s="19"/>
      <c r="L694" s="19"/>
      <c r="M694" s="19"/>
      <c r="N694" s="19"/>
      <c r="O694" s="19"/>
      <c r="P694" s="20"/>
      <c r="Q694" s="20"/>
      <c r="R694" s="22"/>
      <c r="S694" s="22"/>
      <c r="T694" s="20"/>
      <c r="U694" s="20"/>
      <c r="V694" s="20"/>
      <c r="W694" s="19"/>
      <c r="X694" s="19"/>
      <c r="Y694" s="19"/>
      <c r="Z694" s="23"/>
    </row>
    <row r="695" spans="1:26" ht="15.75" customHeight="1" x14ac:dyDescent="0.2">
      <c r="A695" s="34"/>
      <c r="B695" s="34"/>
      <c r="C695" s="34"/>
      <c r="D695" s="34"/>
      <c r="E695" s="19"/>
      <c r="F695" s="19"/>
      <c r="G695" s="19"/>
      <c r="H695" s="19"/>
      <c r="I695" s="19"/>
      <c r="J695" s="19"/>
      <c r="K695" s="19"/>
      <c r="L695" s="19"/>
      <c r="M695" s="19"/>
      <c r="N695" s="19"/>
      <c r="O695" s="19"/>
      <c r="P695" s="20"/>
      <c r="Q695" s="20"/>
      <c r="R695" s="22"/>
      <c r="S695" s="22"/>
      <c r="T695" s="20"/>
      <c r="U695" s="20"/>
      <c r="V695" s="20"/>
      <c r="W695" s="19"/>
      <c r="X695" s="19"/>
      <c r="Y695" s="19"/>
      <c r="Z695" s="23"/>
    </row>
    <row r="696" spans="1:26" ht="15.75" customHeight="1" x14ac:dyDescent="0.2">
      <c r="A696" s="34"/>
      <c r="B696" s="34"/>
      <c r="C696" s="34"/>
      <c r="D696" s="34"/>
      <c r="E696" s="19"/>
      <c r="F696" s="19"/>
      <c r="G696" s="19"/>
      <c r="H696" s="19"/>
      <c r="I696" s="19"/>
      <c r="J696" s="19"/>
      <c r="K696" s="19"/>
      <c r="L696" s="19"/>
      <c r="M696" s="19"/>
      <c r="N696" s="19"/>
      <c r="O696" s="19"/>
      <c r="P696" s="20"/>
      <c r="Q696" s="20"/>
      <c r="R696" s="22"/>
      <c r="S696" s="22"/>
      <c r="T696" s="20"/>
      <c r="U696" s="20"/>
      <c r="V696" s="20"/>
      <c r="W696" s="19"/>
      <c r="X696" s="19"/>
      <c r="Y696" s="19"/>
      <c r="Z696" s="23"/>
    </row>
    <row r="697" spans="1:26" ht="15.75" customHeight="1" x14ac:dyDescent="0.2">
      <c r="A697" s="34"/>
      <c r="B697" s="34"/>
      <c r="C697" s="34"/>
      <c r="D697" s="34"/>
      <c r="E697" s="19"/>
      <c r="F697" s="19"/>
      <c r="G697" s="19"/>
      <c r="H697" s="19"/>
      <c r="I697" s="19"/>
      <c r="J697" s="19"/>
      <c r="K697" s="19"/>
      <c r="L697" s="19"/>
      <c r="M697" s="19"/>
      <c r="N697" s="19"/>
      <c r="O697" s="19"/>
      <c r="P697" s="20"/>
      <c r="Q697" s="20"/>
      <c r="R697" s="22"/>
      <c r="S697" s="22"/>
      <c r="T697" s="20"/>
      <c r="U697" s="20"/>
      <c r="V697" s="20"/>
      <c r="W697" s="19"/>
      <c r="X697" s="19"/>
      <c r="Y697" s="19"/>
      <c r="Z697" s="23"/>
    </row>
    <row r="698" spans="1:26" ht="15.75" customHeight="1" x14ac:dyDescent="0.2">
      <c r="A698" s="34"/>
      <c r="B698" s="34"/>
      <c r="C698" s="34"/>
      <c r="D698" s="34"/>
      <c r="E698" s="19"/>
      <c r="F698" s="19"/>
      <c r="G698" s="19"/>
      <c r="H698" s="19"/>
      <c r="I698" s="19"/>
      <c r="J698" s="19"/>
      <c r="K698" s="19"/>
      <c r="L698" s="19"/>
      <c r="M698" s="19"/>
      <c r="N698" s="19"/>
      <c r="O698" s="19"/>
      <c r="P698" s="20"/>
      <c r="Q698" s="20"/>
      <c r="R698" s="22"/>
      <c r="S698" s="22"/>
      <c r="T698" s="20"/>
      <c r="U698" s="20"/>
      <c r="V698" s="20"/>
      <c r="W698" s="19"/>
      <c r="X698" s="19"/>
      <c r="Y698" s="19"/>
      <c r="Z698" s="23"/>
    </row>
    <row r="699" spans="1:26" ht="15.75" customHeight="1" x14ac:dyDescent="0.2">
      <c r="A699" s="34"/>
      <c r="B699" s="34"/>
      <c r="C699" s="34"/>
      <c r="D699" s="34"/>
      <c r="E699" s="19"/>
      <c r="F699" s="19"/>
      <c r="G699" s="19"/>
      <c r="H699" s="19"/>
      <c r="I699" s="19"/>
      <c r="J699" s="19"/>
      <c r="K699" s="19"/>
      <c r="L699" s="19"/>
      <c r="M699" s="19"/>
      <c r="N699" s="19"/>
      <c r="O699" s="19"/>
      <c r="P699" s="20"/>
      <c r="Q699" s="20"/>
      <c r="R699" s="22"/>
      <c r="S699" s="22"/>
      <c r="T699" s="20"/>
      <c r="U699" s="20"/>
      <c r="V699" s="20"/>
      <c r="W699" s="19"/>
      <c r="X699" s="19"/>
      <c r="Y699" s="19"/>
      <c r="Z699" s="23"/>
    </row>
    <row r="700" spans="1:26" ht="15.75" customHeight="1" x14ac:dyDescent="0.2">
      <c r="A700" s="34"/>
      <c r="B700" s="34"/>
      <c r="C700" s="34"/>
      <c r="D700" s="34"/>
      <c r="E700" s="19"/>
      <c r="F700" s="19"/>
      <c r="G700" s="19"/>
      <c r="H700" s="19"/>
      <c r="I700" s="19"/>
      <c r="J700" s="19"/>
      <c r="K700" s="19"/>
      <c r="L700" s="19"/>
      <c r="M700" s="19"/>
      <c r="N700" s="19"/>
      <c r="O700" s="19"/>
      <c r="P700" s="20"/>
      <c r="Q700" s="20"/>
      <c r="R700" s="22"/>
      <c r="S700" s="22"/>
      <c r="T700" s="20"/>
      <c r="U700" s="20"/>
      <c r="V700" s="20"/>
      <c r="W700" s="19"/>
      <c r="X700" s="19"/>
      <c r="Y700" s="19"/>
      <c r="Z700" s="23"/>
    </row>
    <row r="701" spans="1:26" ht="15.75" customHeight="1" x14ac:dyDescent="0.2">
      <c r="A701" s="34"/>
      <c r="B701" s="34"/>
      <c r="C701" s="34"/>
      <c r="D701" s="34"/>
      <c r="E701" s="19"/>
      <c r="F701" s="19"/>
      <c r="G701" s="19"/>
      <c r="H701" s="19"/>
      <c r="I701" s="19"/>
      <c r="J701" s="19"/>
      <c r="K701" s="19"/>
      <c r="L701" s="19"/>
      <c r="M701" s="19"/>
      <c r="N701" s="19"/>
      <c r="O701" s="19"/>
      <c r="P701" s="20"/>
      <c r="Q701" s="20"/>
      <c r="R701" s="22"/>
      <c r="S701" s="22"/>
      <c r="T701" s="20"/>
      <c r="U701" s="20"/>
      <c r="V701" s="20"/>
      <c r="W701" s="19"/>
      <c r="X701" s="19"/>
      <c r="Y701" s="19"/>
      <c r="Z701" s="23"/>
    </row>
    <row r="702" spans="1:26" ht="15.75" customHeight="1" x14ac:dyDescent="0.2">
      <c r="A702" s="34"/>
      <c r="B702" s="34"/>
      <c r="C702" s="34"/>
      <c r="D702" s="34"/>
      <c r="E702" s="19"/>
      <c r="F702" s="19"/>
      <c r="G702" s="19"/>
      <c r="H702" s="19"/>
      <c r="I702" s="19"/>
      <c r="J702" s="19"/>
      <c r="K702" s="19"/>
      <c r="L702" s="19"/>
      <c r="M702" s="19"/>
      <c r="N702" s="19"/>
      <c r="O702" s="19"/>
      <c r="P702" s="20"/>
      <c r="Q702" s="20"/>
      <c r="R702" s="22"/>
      <c r="S702" s="22"/>
      <c r="T702" s="20"/>
      <c r="U702" s="20"/>
      <c r="V702" s="20"/>
      <c r="W702" s="19"/>
      <c r="X702" s="19"/>
      <c r="Y702" s="19"/>
      <c r="Z702" s="23"/>
    </row>
    <row r="703" spans="1:26" ht="15.75" customHeight="1" x14ac:dyDescent="0.2">
      <c r="A703" s="34"/>
      <c r="B703" s="34"/>
      <c r="C703" s="34"/>
      <c r="D703" s="34"/>
      <c r="E703" s="19"/>
      <c r="F703" s="19"/>
      <c r="G703" s="19"/>
      <c r="H703" s="19"/>
      <c r="I703" s="19"/>
      <c r="J703" s="19"/>
      <c r="K703" s="19"/>
      <c r="L703" s="19"/>
      <c r="M703" s="19"/>
      <c r="N703" s="19"/>
      <c r="O703" s="19"/>
      <c r="P703" s="20"/>
      <c r="Q703" s="20"/>
      <c r="R703" s="22"/>
      <c r="S703" s="22"/>
      <c r="T703" s="20"/>
      <c r="U703" s="20"/>
      <c r="V703" s="20"/>
      <c r="W703" s="19"/>
      <c r="X703" s="19"/>
      <c r="Y703" s="19"/>
      <c r="Z703" s="23"/>
    </row>
    <row r="704" spans="1:26" ht="15.75" customHeight="1" x14ac:dyDescent="0.2">
      <c r="A704" s="34"/>
      <c r="B704" s="34"/>
      <c r="C704" s="34"/>
      <c r="D704" s="34"/>
      <c r="E704" s="19"/>
      <c r="F704" s="19"/>
      <c r="G704" s="19"/>
      <c r="H704" s="19"/>
      <c r="I704" s="19"/>
      <c r="J704" s="19"/>
      <c r="K704" s="19"/>
      <c r="L704" s="19"/>
      <c r="M704" s="19"/>
      <c r="N704" s="19"/>
      <c r="O704" s="19"/>
      <c r="P704" s="20"/>
      <c r="Q704" s="20"/>
      <c r="R704" s="22"/>
      <c r="S704" s="22"/>
      <c r="T704" s="20"/>
      <c r="U704" s="20"/>
      <c r="V704" s="20"/>
      <c r="W704" s="19"/>
      <c r="X704" s="19"/>
      <c r="Y704" s="19"/>
      <c r="Z704" s="23"/>
    </row>
    <row r="705" spans="1:26" ht="15.75" customHeight="1" x14ac:dyDescent="0.2">
      <c r="A705" s="34"/>
      <c r="B705" s="34"/>
      <c r="C705" s="34"/>
      <c r="D705" s="34"/>
      <c r="E705" s="19"/>
      <c r="F705" s="19"/>
      <c r="G705" s="19"/>
      <c r="H705" s="19"/>
      <c r="I705" s="19"/>
      <c r="J705" s="19"/>
      <c r="K705" s="19"/>
      <c r="L705" s="19"/>
      <c r="M705" s="19"/>
      <c r="N705" s="19"/>
      <c r="O705" s="19"/>
      <c r="P705" s="20"/>
      <c r="Q705" s="20"/>
      <c r="R705" s="22"/>
      <c r="S705" s="22"/>
      <c r="T705" s="20"/>
      <c r="U705" s="20"/>
      <c r="V705" s="20"/>
      <c r="W705" s="19"/>
      <c r="X705" s="19"/>
      <c r="Y705" s="19"/>
      <c r="Z705" s="23"/>
    </row>
    <row r="706" spans="1:26" ht="15.75" customHeight="1" x14ac:dyDescent="0.2">
      <c r="A706" s="34"/>
      <c r="B706" s="34"/>
      <c r="C706" s="34"/>
      <c r="D706" s="34"/>
      <c r="E706" s="19"/>
      <c r="F706" s="19"/>
      <c r="G706" s="19"/>
      <c r="H706" s="19"/>
      <c r="I706" s="19"/>
      <c r="J706" s="19"/>
      <c r="K706" s="19"/>
      <c r="L706" s="19"/>
      <c r="M706" s="19"/>
      <c r="N706" s="19"/>
      <c r="O706" s="19"/>
      <c r="P706" s="20"/>
      <c r="Q706" s="20"/>
      <c r="R706" s="22"/>
      <c r="S706" s="22"/>
      <c r="T706" s="20"/>
      <c r="U706" s="20"/>
      <c r="V706" s="20"/>
      <c r="W706" s="19"/>
      <c r="X706" s="19"/>
      <c r="Y706" s="19"/>
      <c r="Z706" s="23"/>
    </row>
    <row r="707" spans="1:26" ht="15.75" customHeight="1" x14ac:dyDescent="0.2">
      <c r="A707" s="34"/>
      <c r="B707" s="34"/>
      <c r="C707" s="34"/>
      <c r="D707" s="34"/>
      <c r="E707" s="19"/>
      <c r="F707" s="19"/>
      <c r="G707" s="19"/>
      <c r="H707" s="19"/>
      <c r="I707" s="19"/>
      <c r="J707" s="19"/>
      <c r="K707" s="19"/>
      <c r="L707" s="19"/>
      <c r="M707" s="19"/>
      <c r="N707" s="19"/>
      <c r="O707" s="19"/>
      <c r="P707" s="20"/>
      <c r="Q707" s="20"/>
      <c r="R707" s="22"/>
      <c r="S707" s="22"/>
      <c r="T707" s="20"/>
      <c r="U707" s="20"/>
      <c r="V707" s="20"/>
      <c r="W707" s="19"/>
      <c r="X707" s="19"/>
      <c r="Y707" s="19"/>
      <c r="Z707" s="23"/>
    </row>
    <row r="708" spans="1:26" ht="15.75" customHeight="1" x14ac:dyDescent="0.2">
      <c r="A708" s="34"/>
      <c r="B708" s="34"/>
      <c r="C708" s="34"/>
      <c r="D708" s="34"/>
      <c r="E708" s="19"/>
      <c r="F708" s="19"/>
      <c r="G708" s="19"/>
      <c r="H708" s="19"/>
      <c r="I708" s="19"/>
      <c r="J708" s="19"/>
      <c r="K708" s="19"/>
      <c r="L708" s="19"/>
      <c r="M708" s="19"/>
      <c r="N708" s="19"/>
      <c r="O708" s="19"/>
      <c r="P708" s="20"/>
      <c r="Q708" s="20"/>
      <c r="R708" s="22"/>
      <c r="S708" s="22"/>
      <c r="T708" s="20"/>
      <c r="U708" s="20"/>
      <c r="V708" s="20"/>
      <c r="W708" s="19"/>
      <c r="X708" s="19"/>
      <c r="Y708" s="19"/>
      <c r="Z708" s="23"/>
    </row>
    <row r="709" spans="1:26" ht="15.75" customHeight="1" x14ac:dyDescent="0.2">
      <c r="A709" s="34"/>
      <c r="B709" s="34"/>
      <c r="C709" s="34"/>
      <c r="D709" s="34"/>
      <c r="E709" s="19"/>
      <c r="F709" s="19"/>
      <c r="G709" s="19"/>
      <c r="H709" s="19"/>
      <c r="I709" s="19"/>
      <c r="J709" s="19"/>
      <c r="K709" s="19"/>
      <c r="L709" s="19"/>
      <c r="M709" s="19"/>
      <c r="N709" s="19"/>
      <c r="O709" s="19"/>
      <c r="P709" s="20"/>
      <c r="Q709" s="20"/>
      <c r="R709" s="22"/>
      <c r="S709" s="22"/>
      <c r="T709" s="20"/>
      <c r="U709" s="20"/>
      <c r="V709" s="20"/>
      <c r="W709" s="19"/>
      <c r="X709" s="19"/>
      <c r="Y709" s="19"/>
      <c r="Z709" s="23"/>
    </row>
    <row r="710" spans="1:26" ht="15.75" customHeight="1" x14ac:dyDescent="0.2">
      <c r="A710" s="34"/>
      <c r="B710" s="34"/>
      <c r="C710" s="34"/>
      <c r="D710" s="34"/>
      <c r="E710" s="19"/>
      <c r="F710" s="19"/>
      <c r="G710" s="19"/>
      <c r="H710" s="19"/>
      <c r="I710" s="19"/>
      <c r="J710" s="19"/>
      <c r="K710" s="19"/>
      <c r="L710" s="19"/>
      <c r="M710" s="19"/>
      <c r="N710" s="19"/>
      <c r="O710" s="19"/>
      <c r="P710" s="20"/>
      <c r="Q710" s="20"/>
      <c r="R710" s="22"/>
      <c r="S710" s="22"/>
      <c r="T710" s="20"/>
      <c r="U710" s="20"/>
      <c r="V710" s="20"/>
      <c r="W710" s="19"/>
      <c r="X710" s="19"/>
      <c r="Y710" s="19"/>
      <c r="Z710" s="23"/>
    </row>
    <row r="711" spans="1:26" ht="15.75" customHeight="1" x14ac:dyDescent="0.2">
      <c r="A711" s="34"/>
      <c r="B711" s="34"/>
      <c r="C711" s="34"/>
      <c r="D711" s="34"/>
      <c r="E711" s="19"/>
      <c r="F711" s="19"/>
      <c r="G711" s="19"/>
      <c r="H711" s="19"/>
      <c r="I711" s="19"/>
      <c r="J711" s="19"/>
      <c r="K711" s="19"/>
      <c r="L711" s="19"/>
      <c r="M711" s="19"/>
      <c r="N711" s="19"/>
      <c r="O711" s="19"/>
      <c r="P711" s="20"/>
      <c r="Q711" s="20"/>
      <c r="R711" s="22"/>
      <c r="S711" s="22"/>
      <c r="T711" s="20"/>
      <c r="U711" s="20"/>
      <c r="V711" s="20"/>
      <c r="W711" s="19"/>
      <c r="X711" s="19"/>
      <c r="Y711" s="19"/>
      <c r="Z711" s="23"/>
    </row>
    <row r="712" spans="1:26" ht="15.75" customHeight="1" x14ac:dyDescent="0.2">
      <c r="A712" s="34"/>
      <c r="B712" s="34"/>
      <c r="C712" s="34"/>
      <c r="D712" s="34"/>
      <c r="E712" s="19"/>
      <c r="F712" s="19"/>
      <c r="G712" s="19"/>
      <c r="H712" s="19"/>
      <c r="I712" s="19"/>
      <c r="J712" s="19"/>
      <c r="K712" s="19"/>
      <c r="L712" s="19"/>
      <c r="M712" s="19"/>
      <c r="N712" s="19"/>
      <c r="O712" s="19"/>
      <c r="P712" s="20"/>
      <c r="Q712" s="20"/>
      <c r="R712" s="22"/>
      <c r="S712" s="22"/>
      <c r="T712" s="20"/>
      <c r="U712" s="20"/>
      <c r="V712" s="20"/>
      <c r="W712" s="19"/>
      <c r="X712" s="19"/>
      <c r="Y712" s="19"/>
      <c r="Z712" s="23"/>
    </row>
    <row r="713" spans="1:26" ht="15.75" customHeight="1" x14ac:dyDescent="0.2">
      <c r="A713" s="34"/>
      <c r="B713" s="34"/>
      <c r="C713" s="34"/>
      <c r="D713" s="34"/>
      <c r="E713" s="19"/>
      <c r="F713" s="19"/>
      <c r="G713" s="19"/>
      <c r="H713" s="19"/>
      <c r="I713" s="19"/>
      <c r="J713" s="19"/>
      <c r="K713" s="19"/>
      <c r="L713" s="19"/>
      <c r="M713" s="19"/>
      <c r="N713" s="19"/>
      <c r="O713" s="19"/>
      <c r="P713" s="20"/>
      <c r="Q713" s="20"/>
      <c r="R713" s="22"/>
      <c r="S713" s="22"/>
      <c r="T713" s="20"/>
      <c r="U713" s="20"/>
      <c r="V713" s="20"/>
      <c r="W713" s="19"/>
      <c r="X713" s="19"/>
      <c r="Y713" s="19"/>
      <c r="Z713" s="23"/>
    </row>
    <row r="714" spans="1:26" ht="15.75" customHeight="1" x14ac:dyDescent="0.2">
      <c r="A714" s="34"/>
      <c r="B714" s="34"/>
      <c r="C714" s="34"/>
      <c r="D714" s="34"/>
      <c r="E714" s="19"/>
      <c r="F714" s="19"/>
      <c r="G714" s="19"/>
      <c r="H714" s="19"/>
      <c r="I714" s="19"/>
      <c r="J714" s="19"/>
      <c r="K714" s="19"/>
      <c r="L714" s="19"/>
      <c r="M714" s="19"/>
      <c r="N714" s="19"/>
      <c r="O714" s="19"/>
      <c r="P714" s="20"/>
      <c r="Q714" s="20"/>
      <c r="R714" s="22"/>
      <c r="S714" s="22"/>
      <c r="T714" s="20"/>
      <c r="U714" s="20"/>
      <c r="V714" s="20"/>
      <c r="W714" s="19"/>
      <c r="X714" s="19"/>
      <c r="Y714" s="19"/>
      <c r="Z714" s="23"/>
    </row>
    <row r="715" spans="1:26" ht="15.75" customHeight="1" x14ac:dyDescent="0.2">
      <c r="A715" s="34"/>
      <c r="B715" s="34"/>
      <c r="C715" s="34"/>
      <c r="D715" s="34"/>
      <c r="E715" s="19"/>
      <c r="F715" s="19"/>
      <c r="G715" s="19"/>
      <c r="H715" s="19"/>
      <c r="I715" s="19"/>
      <c r="J715" s="19"/>
      <c r="K715" s="19"/>
      <c r="L715" s="19"/>
      <c r="M715" s="19"/>
      <c r="N715" s="19"/>
      <c r="O715" s="19"/>
      <c r="P715" s="20"/>
      <c r="Q715" s="20"/>
      <c r="R715" s="22"/>
      <c r="S715" s="22"/>
      <c r="T715" s="20"/>
      <c r="U715" s="20"/>
      <c r="V715" s="20"/>
      <c r="W715" s="19"/>
      <c r="X715" s="19"/>
      <c r="Y715" s="19"/>
      <c r="Z715" s="23"/>
    </row>
    <row r="716" spans="1:26" ht="15.75" customHeight="1" x14ac:dyDescent="0.2">
      <c r="A716" s="34"/>
      <c r="B716" s="34"/>
      <c r="C716" s="34"/>
      <c r="D716" s="34"/>
      <c r="E716" s="19"/>
      <c r="F716" s="19"/>
      <c r="G716" s="19"/>
      <c r="H716" s="19"/>
      <c r="I716" s="19"/>
      <c r="J716" s="19"/>
      <c r="K716" s="19"/>
      <c r="L716" s="19"/>
      <c r="M716" s="19"/>
      <c r="N716" s="19"/>
      <c r="O716" s="19"/>
      <c r="P716" s="20"/>
      <c r="Q716" s="20"/>
      <c r="R716" s="22"/>
      <c r="S716" s="22"/>
      <c r="T716" s="20"/>
      <c r="U716" s="20"/>
      <c r="V716" s="20"/>
      <c r="W716" s="19"/>
      <c r="X716" s="19"/>
      <c r="Y716" s="19"/>
      <c r="Z716" s="23"/>
    </row>
    <row r="717" spans="1:26" ht="15.75" customHeight="1" x14ac:dyDescent="0.2">
      <c r="A717" s="34"/>
      <c r="B717" s="34"/>
      <c r="C717" s="34"/>
      <c r="D717" s="34"/>
      <c r="E717" s="19"/>
      <c r="F717" s="19"/>
      <c r="G717" s="19"/>
      <c r="H717" s="19"/>
      <c r="I717" s="19"/>
      <c r="J717" s="19"/>
      <c r="K717" s="19"/>
      <c r="L717" s="19"/>
      <c r="M717" s="19"/>
      <c r="N717" s="19"/>
      <c r="O717" s="19"/>
      <c r="P717" s="20"/>
      <c r="Q717" s="20"/>
      <c r="R717" s="22"/>
      <c r="S717" s="22"/>
      <c r="T717" s="20"/>
      <c r="U717" s="20"/>
      <c r="V717" s="20"/>
      <c r="W717" s="19"/>
      <c r="X717" s="19"/>
      <c r="Y717" s="19"/>
      <c r="Z717" s="23"/>
    </row>
    <row r="718" spans="1:26" ht="15.75" customHeight="1" x14ac:dyDescent="0.2">
      <c r="A718" s="34"/>
      <c r="B718" s="34"/>
      <c r="C718" s="34"/>
      <c r="D718" s="34"/>
      <c r="E718" s="19"/>
      <c r="F718" s="19"/>
      <c r="G718" s="19"/>
      <c r="H718" s="19"/>
      <c r="I718" s="19"/>
      <c r="J718" s="19"/>
      <c r="K718" s="19"/>
      <c r="L718" s="19"/>
      <c r="M718" s="19"/>
      <c r="N718" s="19"/>
      <c r="O718" s="19"/>
      <c r="P718" s="20"/>
      <c r="Q718" s="20"/>
      <c r="R718" s="22"/>
      <c r="S718" s="22"/>
      <c r="T718" s="20"/>
      <c r="U718" s="20"/>
      <c r="V718" s="20"/>
      <c r="W718" s="19"/>
      <c r="X718" s="19"/>
      <c r="Y718" s="19"/>
      <c r="Z718" s="23"/>
    </row>
    <row r="719" spans="1:26" ht="15.75" customHeight="1" x14ac:dyDescent="0.2">
      <c r="A719" s="34"/>
      <c r="B719" s="34"/>
      <c r="C719" s="34"/>
      <c r="D719" s="34"/>
      <c r="E719" s="19"/>
      <c r="F719" s="19"/>
      <c r="G719" s="19"/>
      <c r="H719" s="19"/>
      <c r="I719" s="19"/>
      <c r="J719" s="19"/>
      <c r="K719" s="19"/>
      <c r="L719" s="19"/>
      <c r="M719" s="19"/>
      <c r="N719" s="19"/>
      <c r="O719" s="19"/>
      <c r="P719" s="20"/>
      <c r="Q719" s="20"/>
      <c r="R719" s="22"/>
      <c r="S719" s="22"/>
      <c r="T719" s="20"/>
      <c r="U719" s="20"/>
      <c r="V719" s="20"/>
      <c r="W719" s="19"/>
      <c r="X719" s="19"/>
      <c r="Y719" s="19"/>
      <c r="Z719" s="23"/>
    </row>
    <row r="720" spans="1:26" ht="15.75" customHeight="1" x14ac:dyDescent="0.2">
      <c r="A720" s="34"/>
      <c r="B720" s="34"/>
      <c r="C720" s="34"/>
      <c r="D720" s="34"/>
      <c r="E720" s="19"/>
      <c r="F720" s="19"/>
      <c r="G720" s="19"/>
      <c r="H720" s="19"/>
      <c r="I720" s="19"/>
      <c r="J720" s="19"/>
      <c r="K720" s="19"/>
      <c r="L720" s="19"/>
      <c r="M720" s="19"/>
      <c r="N720" s="19"/>
      <c r="O720" s="19"/>
      <c r="P720" s="20"/>
      <c r="Q720" s="20"/>
      <c r="R720" s="22"/>
      <c r="S720" s="22"/>
      <c r="T720" s="20"/>
      <c r="U720" s="20"/>
      <c r="V720" s="20"/>
      <c r="W720" s="19"/>
      <c r="X720" s="19"/>
      <c r="Y720" s="19"/>
      <c r="Z720" s="23"/>
    </row>
    <row r="721" spans="1:26" ht="15.75" customHeight="1" x14ac:dyDescent="0.2">
      <c r="A721" s="34"/>
      <c r="B721" s="34"/>
      <c r="C721" s="34"/>
      <c r="D721" s="34"/>
      <c r="E721" s="19"/>
      <c r="F721" s="19"/>
      <c r="G721" s="19"/>
      <c r="H721" s="19"/>
      <c r="I721" s="19"/>
      <c r="J721" s="19"/>
      <c r="K721" s="19"/>
      <c r="L721" s="19"/>
      <c r="M721" s="19"/>
      <c r="N721" s="19"/>
      <c r="O721" s="19"/>
      <c r="P721" s="20"/>
      <c r="Q721" s="20"/>
      <c r="R721" s="22"/>
      <c r="S721" s="22"/>
      <c r="T721" s="20"/>
      <c r="U721" s="20"/>
      <c r="V721" s="20"/>
      <c r="W721" s="19"/>
      <c r="X721" s="19"/>
      <c r="Y721" s="19"/>
      <c r="Z721" s="23"/>
    </row>
    <row r="722" spans="1:26" ht="15.75" customHeight="1" x14ac:dyDescent="0.2">
      <c r="A722" s="34"/>
      <c r="B722" s="34"/>
      <c r="C722" s="34"/>
      <c r="D722" s="34"/>
      <c r="E722" s="19"/>
      <c r="F722" s="19"/>
      <c r="G722" s="19"/>
      <c r="H722" s="19"/>
      <c r="I722" s="19"/>
      <c r="J722" s="19"/>
      <c r="K722" s="19"/>
      <c r="L722" s="19"/>
      <c r="M722" s="19"/>
      <c r="N722" s="19"/>
      <c r="O722" s="19"/>
      <c r="P722" s="20"/>
      <c r="Q722" s="20"/>
      <c r="R722" s="22"/>
      <c r="S722" s="22"/>
      <c r="T722" s="20"/>
      <c r="U722" s="20"/>
      <c r="V722" s="20"/>
      <c r="W722" s="19"/>
      <c r="X722" s="19"/>
      <c r="Y722" s="19"/>
      <c r="Z722" s="23"/>
    </row>
    <row r="723" spans="1:26" ht="15.75" customHeight="1" x14ac:dyDescent="0.2">
      <c r="A723" s="34"/>
      <c r="B723" s="34"/>
      <c r="C723" s="34"/>
      <c r="D723" s="34"/>
      <c r="E723" s="19"/>
      <c r="F723" s="19"/>
      <c r="G723" s="19"/>
      <c r="H723" s="19"/>
      <c r="I723" s="19"/>
      <c r="J723" s="19"/>
      <c r="K723" s="19"/>
      <c r="L723" s="19"/>
      <c r="M723" s="19"/>
      <c r="N723" s="19"/>
      <c r="O723" s="19"/>
      <c r="P723" s="20"/>
      <c r="Q723" s="20"/>
      <c r="R723" s="22"/>
      <c r="S723" s="22"/>
      <c r="T723" s="20"/>
      <c r="U723" s="20"/>
      <c r="V723" s="20"/>
      <c r="W723" s="19"/>
      <c r="X723" s="19"/>
      <c r="Y723" s="19"/>
      <c r="Z723" s="23"/>
    </row>
    <row r="724" spans="1:26" ht="15.75" customHeight="1" x14ac:dyDescent="0.2">
      <c r="A724" s="34"/>
      <c r="B724" s="34"/>
      <c r="C724" s="34"/>
      <c r="D724" s="34"/>
      <c r="E724" s="19"/>
      <c r="F724" s="19"/>
      <c r="G724" s="19"/>
      <c r="H724" s="19"/>
      <c r="I724" s="19"/>
      <c r="J724" s="19"/>
      <c r="K724" s="19"/>
      <c r="L724" s="19"/>
      <c r="M724" s="19"/>
      <c r="N724" s="19"/>
      <c r="O724" s="19"/>
      <c r="P724" s="20"/>
      <c r="Q724" s="20"/>
      <c r="R724" s="22"/>
      <c r="S724" s="22"/>
      <c r="T724" s="20"/>
      <c r="U724" s="20"/>
      <c r="V724" s="20"/>
      <c r="W724" s="19"/>
      <c r="X724" s="19"/>
      <c r="Y724" s="19"/>
      <c r="Z724" s="23"/>
    </row>
    <row r="725" spans="1:26" ht="15.75" customHeight="1" x14ac:dyDescent="0.2">
      <c r="A725" s="34"/>
      <c r="B725" s="34"/>
      <c r="C725" s="34"/>
      <c r="D725" s="34"/>
      <c r="E725" s="19"/>
      <c r="F725" s="19"/>
      <c r="G725" s="19"/>
      <c r="H725" s="19"/>
      <c r="I725" s="19"/>
      <c r="J725" s="19"/>
      <c r="K725" s="19"/>
      <c r="L725" s="19"/>
      <c r="M725" s="19"/>
      <c r="N725" s="19"/>
      <c r="O725" s="19"/>
      <c r="P725" s="20"/>
      <c r="Q725" s="20"/>
      <c r="R725" s="22"/>
      <c r="S725" s="22"/>
      <c r="T725" s="20"/>
      <c r="U725" s="20"/>
      <c r="V725" s="20"/>
      <c r="W725" s="19"/>
      <c r="X725" s="19"/>
      <c r="Y725" s="19"/>
      <c r="Z725" s="23"/>
    </row>
    <row r="726" spans="1:26" ht="15.75" customHeight="1" x14ac:dyDescent="0.2">
      <c r="A726" s="34"/>
      <c r="B726" s="34"/>
      <c r="C726" s="34"/>
      <c r="D726" s="34"/>
      <c r="E726" s="19"/>
      <c r="F726" s="19"/>
      <c r="G726" s="19"/>
      <c r="H726" s="19"/>
      <c r="I726" s="19"/>
      <c r="J726" s="19"/>
      <c r="K726" s="19"/>
      <c r="L726" s="19"/>
      <c r="M726" s="19"/>
      <c r="N726" s="19"/>
      <c r="O726" s="19"/>
      <c r="P726" s="20"/>
      <c r="Q726" s="20"/>
      <c r="R726" s="22"/>
      <c r="S726" s="22"/>
      <c r="T726" s="20"/>
      <c r="U726" s="20"/>
      <c r="V726" s="20"/>
      <c r="W726" s="19"/>
      <c r="X726" s="19"/>
      <c r="Y726" s="19"/>
      <c r="Z726" s="23"/>
    </row>
    <row r="727" spans="1:26" ht="15.75" customHeight="1" x14ac:dyDescent="0.2">
      <c r="A727" s="34"/>
      <c r="B727" s="34"/>
      <c r="C727" s="34"/>
      <c r="D727" s="34"/>
      <c r="E727" s="19"/>
      <c r="F727" s="19"/>
      <c r="G727" s="19"/>
      <c r="H727" s="19"/>
      <c r="I727" s="19"/>
      <c r="J727" s="19"/>
      <c r="K727" s="19"/>
      <c r="L727" s="19"/>
      <c r="M727" s="19"/>
      <c r="N727" s="19"/>
      <c r="O727" s="19"/>
      <c r="P727" s="20"/>
      <c r="Q727" s="20"/>
      <c r="R727" s="22"/>
      <c r="S727" s="22"/>
      <c r="T727" s="20"/>
      <c r="U727" s="20"/>
      <c r="V727" s="20"/>
      <c r="W727" s="19"/>
      <c r="X727" s="19"/>
      <c r="Y727" s="19"/>
      <c r="Z727" s="23"/>
    </row>
    <row r="728" spans="1:26" ht="15.75" customHeight="1" x14ac:dyDescent="0.2">
      <c r="A728" s="34"/>
      <c r="B728" s="34"/>
      <c r="C728" s="34"/>
      <c r="D728" s="34"/>
      <c r="E728" s="19"/>
      <c r="F728" s="19"/>
      <c r="G728" s="19"/>
      <c r="H728" s="19"/>
      <c r="I728" s="19"/>
      <c r="J728" s="19"/>
      <c r="K728" s="19"/>
      <c r="L728" s="19"/>
      <c r="M728" s="19"/>
      <c r="N728" s="19"/>
      <c r="O728" s="19"/>
      <c r="P728" s="20"/>
      <c r="Q728" s="20"/>
      <c r="R728" s="22"/>
      <c r="S728" s="22"/>
      <c r="T728" s="20"/>
      <c r="U728" s="20"/>
      <c r="V728" s="20"/>
      <c r="W728" s="19"/>
      <c r="X728" s="19"/>
      <c r="Y728" s="19"/>
      <c r="Z728" s="23"/>
    </row>
    <row r="729" spans="1:26" ht="15.75" customHeight="1" x14ac:dyDescent="0.2">
      <c r="A729" s="34"/>
      <c r="B729" s="34"/>
      <c r="C729" s="34"/>
      <c r="D729" s="34"/>
      <c r="E729" s="19"/>
      <c r="F729" s="19"/>
      <c r="G729" s="19"/>
      <c r="H729" s="19"/>
      <c r="I729" s="19"/>
      <c r="J729" s="19"/>
      <c r="K729" s="19"/>
      <c r="L729" s="19"/>
      <c r="M729" s="19"/>
      <c r="N729" s="19"/>
      <c r="O729" s="19"/>
      <c r="P729" s="20"/>
      <c r="Q729" s="20"/>
      <c r="R729" s="22"/>
      <c r="S729" s="22"/>
      <c r="T729" s="20"/>
      <c r="U729" s="20"/>
      <c r="V729" s="20"/>
      <c r="W729" s="19"/>
      <c r="X729" s="19"/>
      <c r="Y729" s="19"/>
      <c r="Z729" s="23"/>
    </row>
    <row r="730" spans="1:26" ht="15.75" customHeight="1" x14ac:dyDescent="0.2">
      <c r="A730" s="34"/>
      <c r="B730" s="34"/>
      <c r="C730" s="34"/>
      <c r="D730" s="34"/>
      <c r="E730" s="19"/>
      <c r="F730" s="19"/>
      <c r="G730" s="19"/>
      <c r="H730" s="19"/>
      <c r="I730" s="19"/>
      <c r="J730" s="19"/>
      <c r="K730" s="19"/>
      <c r="L730" s="19"/>
      <c r="M730" s="19"/>
      <c r="N730" s="19"/>
      <c r="O730" s="19"/>
      <c r="P730" s="20"/>
      <c r="Q730" s="20"/>
      <c r="R730" s="22"/>
      <c r="S730" s="22"/>
      <c r="T730" s="20"/>
      <c r="U730" s="20"/>
      <c r="V730" s="20"/>
      <c r="W730" s="19"/>
      <c r="X730" s="19"/>
      <c r="Y730" s="19"/>
      <c r="Z730" s="23"/>
    </row>
    <row r="731" spans="1:26" ht="15.75" customHeight="1" x14ac:dyDescent="0.2">
      <c r="A731" s="34"/>
      <c r="B731" s="34"/>
      <c r="C731" s="34"/>
      <c r="D731" s="34"/>
      <c r="E731" s="19"/>
      <c r="F731" s="19"/>
      <c r="G731" s="19"/>
      <c r="H731" s="19"/>
      <c r="I731" s="19"/>
      <c r="J731" s="19"/>
      <c r="K731" s="19"/>
      <c r="L731" s="19"/>
      <c r="M731" s="19"/>
      <c r="N731" s="19"/>
      <c r="O731" s="19"/>
      <c r="P731" s="20"/>
      <c r="Q731" s="20"/>
      <c r="R731" s="22"/>
      <c r="S731" s="22"/>
      <c r="T731" s="20"/>
      <c r="U731" s="20"/>
      <c r="V731" s="20"/>
      <c r="W731" s="19"/>
      <c r="X731" s="19"/>
      <c r="Y731" s="19"/>
      <c r="Z731" s="23"/>
    </row>
    <row r="732" spans="1:26" ht="15.75" customHeight="1" x14ac:dyDescent="0.2">
      <c r="A732" s="34"/>
      <c r="B732" s="34"/>
      <c r="C732" s="34"/>
      <c r="D732" s="34"/>
      <c r="E732" s="19"/>
      <c r="F732" s="19"/>
      <c r="G732" s="19"/>
      <c r="H732" s="19"/>
      <c r="I732" s="19"/>
      <c r="J732" s="19"/>
      <c r="K732" s="19"/>
      <c r="L732" s="19"/>
      <c r="M732" s="19"/>
      <c r="N732" s="19"/>
      <c r="O732" s="19"/>
      <c r="P732" s="20"/>
      <c r="Q732" s="20"/>
      <c r="R732" s="22"/>
      <c r="S732" s="22"/>
      <c r="T732" s="20"/>
      <c r="U732" s="20"/>
      <c r="V732" s="20"/>
      <c r="W732" s="19"/>
      <c r="X732" s="19"/>
      <c r="Y732" s="19"/>
      <c r="Z732" s="23"/>
    </row>
    <row r="733" spans="1:26" ht="15.75" customHeight="1" x14ac:dyDescent="0.2">
      <c r="A733" s="34"/>
      <c r="B733" s="34"/>
      <c r="C733" s="34"/>
      <c r="D733" s="34"/>
      <c r="E733" s="19"/>
      <c r="F733" s="19"/>
      <c r="G733" s="19"/>
      <c r="H733" s="19"/>
      <c r="I733" s="19"/>
      <c r="J733" s="19"/>
      <c r="K733" s="19"/>
      <c r="L733" s="19"/>
      <c r="M733" s="19"/>
      <c r="N733" s="19"/>
      <c r="O733" s="19"/>
      <c r="P733" s="20"/>
      <c r="Q733" s="20"/>
      <c r="R733" s="22"/>
      <c r="S733" s="22"/>
      <c r="T733" s="20"/>
      <c r="U733" s="20"/>
      <c r="V733" s="20"/>
      <c r="W733" s="19"/>
      <c r="X733" s="19"/>
      <c r="Y733" s="19"/>
      <c r="Z733" s="23"/>
    </row>
    <row r="734" spans="1:26" ht="15.75" customHeight="1" x14ac:dyDescent="0.2">
      <c r="A734" s="34"/>
      <c r="B734" s="34"/>
      <c r="C734" s="34"/>
      <c r="D734" s="34"/>
      <c r="E734" s="19"/>
      <c r="F734" s="19"/>
      <c r="G734" s="19"/>
      <c r="H734" s="19"/>
      <c r="I734" s="19"/>
      <c r="J734" s="19"/>
      <c r="K734" s="19"/>
      <c r="L734" s="19"/>
      <c r="M734" s="19"/>
      <c r="N734" s="19"/>
      <c r="O734" s="19"/>
      <c r="P734" s="20"/>
      <c r="Q734" s="20"/>
      <c r="R734" s="22"/>
      <c r="S734" s="22"/>
      <c r="T734" s="20"/>
      <c r="U734" s="20"/>
      <c r="V734" s="20"/>
      <c r="W734" s="19"/>
      <c r="X734" s="19"/>
      <c r="Y734" s="19"/>
      <c r="Z734" s="23"/>
    </row>
    <row r="735" spans="1:26" ht="15.75" customHeight="1" x14ac:dyDescent="0.2">
      <c r="A735" s="34"/>
      <c r="B735" s="34"/>
      <c r="C735" s="34"/>
      <c r="D735" s="34"/>
      <c r="E735" s="19"/>
      <c r="F735" s="19"/>
      <c r="G735" s="19"/>
      <c r="H735" s="19"/>
      <c r="I735" s="19"/>
      <c r="J735" s="19"/>
      <c r="K735" s="19"/>
      <c r="L735" s="19"/>
      <c r="M735" s="19"/>
      <c r="N735" s="19"/>
      <c r="O735" s="19"/>
      <c r="P735" s="20"/>
      <c r="Q735" s="20"/>
      <c r="R735" s="22"/>
      <c r="S735" s="22"/>
      <c r="T735" s="20"/>
      <c r="U735" s="20"/>
      <c r="V735" s="20"/>
      <c r="W735" s="19"/>
      <c r="X735" s="19"/>
      <c r="Y735" s="19"/>
      <c r="Z735" s="23"/>
    </row>
    <row r="736" spans="1:26" ht="15.75" customHeight="1" x14ac:dyDescent="0.2">
      <c r="A736" s="34"/>
      <c r="B736" s="34"/>
      <c r="C736" s="34"/>
      <c r="D736" s="34"/>
      <c r="E736" s="19"/>
      <c r="F736" s="19"/>
      <c r="G736" s="19"/>
      <c r="H736" s="19"/>
      <c r="I736" s="19"/>
      <c r="J736" s="19"/>
      <c r="K736" s="19"/>
      <c r="L736" s="19"/>
      <c r="M736" s="19"/>
      <c r="N736" s="19"/>
      <c r="O736" s="19"/>
      <c r="P736" s="20"/>
      <c r="Q736" s="20"/>
      <c r="R736" s="22"/>
      <c r="S736" s="22"/>
      <c r="T736" s="20"/>
      <c r="U736" s="20"/>
      <c r="V736" s="20"/>
      <c r="W736" s="19"/>
      <c r="X736" s="19"/>
      <c r="Y736" s="19"/>
      <c r="Z736" s="23"/>
    </row>
    <row r="737" spans="1:26" ht="15.75" customHeight="1" x14ac:dyDescent="0.2">
      <c r="A737" s="34"/>
      <c r="B737" s="34"/>
      <c r="C737" s="34"/>
      <c r="D737" s="34"/>
      <c r="E737" s="19"/>
      <c r="F737" s="19"/>
      <c r="G737" s="19"/>
      <c r="H737" s="19"/>
      <c r="I737" s="19"/>
      <c r="J737" s="19"/>
      <c r="K737" s="19"/>
      <c r="L737" s="19"/>
      <c r="M737" s="19"/>
      <c r="N737" s="19"/>
      <c r="O737" s="19"/>
      <c r="P737" s="20"/>
      <c r="Q737" s="20"/>
      <c r="R737" s="22"/>
      <c r="S737" s="22"/>
      <c r="T737" s="20"/>
      <c r="U737" s="20"/>
      <c r="V737" s="20"/>
      <c r="W737" s="19"/>
      <c r="X737" s="19"/>
      <c r="Y737" s="19"/>
      <c r="Z737" s="23"/>
    </row>
    <row r="738" spans="1:26" ht="15.75" customHeight="1" x14ac:dyDescent="0.2">
      <c r="A738" s="34"/>
      <c r="B738" s="34"/>
      <c r="C738" s="34"/>
      <c r="D738" s="34"/>
      <c r="E738" s="19"/>
      <c r="F738" s="19"/>
      <c r="G738" s="19"/>
      <c r="H738" s="19"/>
      <c r="I738" s="19"/>
      <c r="J738" s="19"/>
      <c r="K738" s="19"/>
      <c r="L738" s="19"/>
      <c r="M738" s="19"/>
      <c r="N738" s="19"/>
      <c r="O738" s="19"/>
      <c r="P738" s="20"/>
      <c r="Q738" s="20"/>
      <c r="R738" s="22"/>
      <c r="S738" s="22"/>
      <c r="T738" s="20"/>
      <c r="U738" s="20"/>
      <c r="V738" s="20"/>
      <c r="W738" s="19"/>
      <c r="X738" s="19"/>
      <c r="Y738" s="19"/>
      <c r="Z738" s="23"/>
    </row>
    <row r="739" spans="1:26" ht="15.75" customHeight="1" x14ac:dyDescent="0.2">
      <c r="A739" s="34"/>
      <c r="B739" s="34"/>
      <c r="C739" s="34"/>
      <c r="D739" s="34"/>
      <c r="E739" s="19"/>
      <c r="F739" s="19"/>
      <c r="G739" s="19"/>
      <c r="H739" s="19"/>
      <c r="I739" s="19"/>
      <c r="J739" s="19"/>
      <c r="K739" s="19"/>
      <c r="L739" s="19"/>
      <c r="M739" s="19"/>
      <c r="N739" s="19"/>
      <c r="O739" s="19"/>
      <c r="P739" s="20"/>
      <c r="Q739" s="20"/>
      <c r="R739" s="22"/>
      <c r="S739" s="22"/>
      <c r="T739" s="20"/>
      <c r="U739" s="20"/>
      <c r="V739" s="20"/>
      <c r="W739" s="19"/>
      <c r="X739" s="19"/>
      <c r="Y739" s="19"/>
      <c r="Z739" s="23"/>
    </row>
    <row r="740" spans="1:26" ht="15.75" customHeight="1" x14ac:dyDescent="0.2">
      <c r="A740" s="34"/>
      <c r="B740" s="34"/>
      <c r="C740" s="34"/>
      <c r="D740" s="34"/>
      <c r="E740" s="19"/>
      <c r="F740" s="19"/>
      <c r="G740" s="19"/>
      <c r="H740" s="19"/>
      <c r="I740" s="19"/>
      <c r="J740" s="19"/>
      <c r="K740" s="19"/>
      <c r="L740" s="19"/>
      <c r="M740" s="19"/>
      <c r="N740" s="19"/>
      <c r="O740" s="19"/>
      <c r="P740" s="20"/>
      <c r="Q740" s="20"/>
      <c r="R740" s="22"/>
      <c r="S740" s="22"/>
      <c r="T740" s="20"/>
      <c r="U740" s="20"/>
      <c r="V740" s="20"/>
      <c r="W740" s="19"/>
      <c r="X740" s="19"/>
      <c r="Y740" s="19"/>
      <c r="Z740" s="23"/>
    </row>
    <row r="741" spans="1:26" ht="15.75" customHeight="1" x14ac:dyDescent="0.2">
      <c r="A741" s="34"/>
      <c r="B741" s="34"/>
      <c r="C741" s="34"/>
      <c r="D741" s="34"/>
      <c r="E741" s="19"/>
      <c r="F741" s="19"/>
      <c r="G741" s="19"/>
      <c r="H741" s="19"/>
      <c r="I741" s="19"/>
      <c r="J741" s="19"/>
      <c r="K741" s="19"/>
      <c r="L741" s="19"/>
      <c r="M741" s="19"/>
      <c r="N741" s="19"/>
      <c r="O741" s="19"/>
      <c r="P741" s="20"/>
      <c r="Q741" s="20"/>
      <c r="R741" s="22"/>
      <c r="S741" s="22"/>
      <c r="T741" s="20"/>
      <c r="U741" s="20"/>
      <c r="V741" s="20"/>
      <c r="W741" s="19"/>
      <c r="X741" s="19"/>
      <c r="Y741" s="19"/>
      <c r="Z741" s="23"/>
    </row>
    <row r="742" spans="1:26" ht="15.75" customHeight="1" x14ac:dyDescent="0.2">
      <c r="A742" s="34"/>
      <c r="B742" s="34"/>
      <c r="C742" s="34"/>
      <c r="D742" s="34"/>
      <c r="E742" s="19"/>
      <c r="F742" s="19"/>
      <c r="G742" s="19"/>
      <c r="H742" s="19"/>
      <c r="I742" s="19"/>
      <c r="J742" s="19"/>
      <c r="K742" s="19"/>
      <c r="L742" s="19"/>
      <c r="M742" s="19"/>
      <c r="N742" s="19"/>
      <c r="O742" s="19"/>
      <c r="P742" s="20"/>
      <c r="Q742" s="20"/>
      <c r="R742" s="22"/>
      <c r="S742" s="22"/>
      <c r="T742" s="20"/>
      <c r="U742" s="20"/>
      <c r="V742" s="20"/>
      <c r="W742" s="19"/>
      <c r="X742" s="19"/>
      <c r="Y742" s="19"/>
      <c r="Z742" s="23"/>
    </row>
    <row r="743" spans="1:26" ht="15.75" customHeight="1" x14ac:dyDescent="0.2">
      <c r="A743" s="34"/>
      <c r="B743" s="34"/>
      <c r="C743" s="34"/>
      <c r="D743" s="34"/>
      <c r="E743" s="19"/>
      <c r="F743" s="19"/>
      <c r="G743" s="19"/>
      <c r="H743" s="19"/>
      <c r="I743" s="19"/>
      <c r="J743" s="19"/>
      <c r="K743" s="19"/>
      <c r="L743" s="19"/>
      <c r="M743" s="19"/>
      <c r="N743" s="19"/>
      <c r="O743" s="19"/>
      <c r="P743" s="20"/>
      <c r="Q743" s="20"/>
      <c r="R743" s="22"/>
      <c r="S743" s="22"/>
      <c r="T743" s="20"/>
      <c r="U743" s="20"/>
      <c r="V743" s="20"/>
      <c r="W743" s="19"/>
      <c r="X743" s="19"/>
      <c r="Y743" s="19"/>
      <c r="Z743" s="23"/>
    </row>
    <row r="744" spans="1:26" ht="15.75" customHeight="1" x14ac:dyDescent="0.2">
      <c r="A744" s="34"/>
      <c r="B744" s="34"/>
      <c r="C744" s="34"/>
      <c r="D744" s="34"/>
      <c r="E744" s="19"/>
      <c r="F744" s="19"/>
      <c r="G744" s="19"/>
      <c r="H744" s="19"/>
      <c r="I744" s="19"/>
      <c r="J744" s="19"/>
      <c r="K744" s="19"/>
      <c r="L744" s="19"/>
      <c r="M744" s="19"/>
      <c r="N744" s="19"/>
      <c r="O744" s="19"/>
      <c r="P744" s="20"/>
      <c r="Q744" s="20"/>
      <c r="R744" s="22"/>
      <c r="S744" s="22"/>
      <c r="T744" s="20"/>
      <c r="U744" s="20"/>
      <c r="V744" s="20"/>
      <c r="W744" s="19"/>
      <c r="X744" s="19"/>
      <c r="Y744" s="19"/>
      <c r="Z744" s="23"/>
    </row>
    <row r="745" spans="1:26" ht="15.75" customHeight="1" x14ac:dyDescent="0.2">
      <c r="A745" s="34"/>
      <c r="B745" s="34"/>
      <c r="C745" s="34"/>
      <c r="D745" s="34"/>
      <c r="E745" s="19"/>
      <c r="F745" s="19"/>
      <c r="G745" s="19"/>
      <c r="H745" s="19"/>
      <c r="I745" s="19"/>
      <c r="J745" s="19"/>
      <c r="K745" s="19"/>
      <c r="L745" s="19"/>
      <c r="M745" s="19"/>
      <c r="N745" s="19"/>
      <c r="O745" s="19"/>
      <c r="P745" s="20"/>
      <c r="Q745" s="20"/>
      <c r="R745" s="22"/>
      <c r="S745" s="22"/>
      <c r="T745" s="20"/>
      <c r="U745" s="20"/>
      <c r="V745" s="20"/>
      <c r="W745" s="19"/>
      <c r="X745" s="19"/>
      <c r="Y745" s="19"/>
      <c r="Z745" s="23"/>
    </row>
    <row r="746" spans="1:26" ht="15.75" customHeight="1" x14ac:dyDescent="0.2">
      <c r="A746" s="34"/>
      <c r="B746" s="34"/>
      <c r="C746" s="34"/>
      <c r="D746" s="34"/>
      <c r="E746" s="19"/>
      <c r="F746" s="19"/>
      <c r="G746" s="19"/>
      <c r="H746" s="19"/>
      <c r="I746" s="19"/>
      <c r="J746" s="19"/>
      <c r="K746" s="19"/>
      <c r="L746" s="19"/>
      <c r="M746" s="19"/>
      <c r="N746" s="19"/>
      <c r="O746" s="19"/>
      <c r="P746" s="20"/>
      <c r="Q746" s="20"/>
      <c r="R746" s="22"/>
      <c r="S746" s="22"/>
      <c r="T746" s="20"/>
      <c r="U746" s="20"/>
      <c r="V746" s="20"/>
      <c r="W746" s="19"/>
      <c r="X746" s="19"/>
      <c r="Y746" s="19"/>
      <c r="Z746" s="23"/>
    </row>
    <row r="747" spans="1:26" ht="15.75" customHeight="1" x14ac:dyDescent="0.2">
      <c r="A747" s="34"/>
      <c r="B747" s="34"/>
      <c r="C747" s="34"/>
      <c r="D747" s="34"/>
      <c r="E747" s="19"/>
      <c r="F747" s="19"/>
      <c r="G747" s="19"/>
      <c r="H747" s="19"/>
      <c r="I747" s="19"/>
      <c r="J747" s="19"/>
      <c r="K747" s="19"/>
      <c r="L747" s="19"/>
      <c r="M747" s="19"/>
      <c r="N747" s="19"/>
      <c r="O747" s="19"/>
      <c r="P747" s="20"/>
      <c r="Q747" s="20"/>
      <c r="R747" s="22"/>
      <c r="S747" s="22"/>
      <c r="T747" s="20"/>
      <c r="U747" s="20"/>
      <c r="V747" s="20"/>
      <c r="W747" s="19"/>
      <c r="X747" s="19"/>
      <c r="Y747" s="19"/>
      <c r="Z747" s="23"/>
    </row>
    <row r="748" spans="1:26" ht="15.75" customHeight="1" x14ac:dyDescent="0.2">
      <c r="A748" s="34"/>
      <c r="B748" s="34"/>
      <c r="C748" s="34"/>
      <c r="D748" s="34"/>
      <c r="E748" s="19"/>
      <c r="F748" s="19"/>
      <c r="G748" s="19"/>
      <c r="H748" s="19"/>
      <c r="I748" s="19"/>
      <c r="J748" s="19"/>
      <c r="K748" s="19"/>
      <c r="L748" s="19"/>
      <c r="M748" s="19"/>
      <c r="N748" s="19"/>
      <c r="O748" s="19"/>
      <c r="P748" s="20"/>
      <c r="Q748" s="20"/>
      <c r="R748" s="22"/>
      <c r="S748" s="22"/>
      <c r="T748" s="20"/>
      <c r="U748" s="20"/>
      <c r="V748" s="20"/>
      <c r="W748" s="19"/>
      <c r="X748" s="19"/>
      <c r="Y748" s="19"/>
      <c r="Z748" s="23"/>
    </row>
    <row r="749" spans="1:26" ht="15.75" customHeight="1" x14ac:dyDescent="0.2">
      <c r="A749" s="34"/>
      <c r="B749" s="34"/>
      <c r="C749" s="34"/>
      <c r="D749" s="34"/>
      <c r="E749" s="19"/>
      <c r="F749" s="19"/>
      <c r="G749" s="19"/>
      <c r="H749" s="19"/>
      <c r="I749" s="19"/>
      <c r="J749" s="19"/>
      <c r="K749" s="19"/>
      <c r="L749" s="19"/>
      <c r="M749" s="19"/>
      <c r="N749" s="19"/>
      <c r="O749" s="19"/>
      <c r="P749" s="20"/>
      <c r="Q749" s="20"/>
      <c r="R749" s="22"/>
      <c r="S749" s="22"/>
      <c r="T749" s="20"/>
      <c r="U749" s="20"/>
      <c r="V749" s="20"/>
      <c r="W749" s="19"/>
      <c r="X749" s="19"/>
      <c r="Y749" s="19"/>
      <c r="Z749" s="23"/>
    </row>
    <row r="750" spans="1:26" ht="15.75" customHeight="1" x14ac:dyDescent="0.2">
      <c r="A750" s="34"/>
      <c r="B750" s="34"/>
      <c r="C750" s="34"/>
      <c r="D750" s="34"/>
      <c r="E750" s="19"/>
      <c r="F750" s="19"/>
      <c r="G750" s="19"/>
      <c r="H750" s="19"/>
      <c r="I750" s="19"/>
      <c r="J750" s="19"/>
      <c r="K750" s="19"/>
      <c r="L750" s="19"/>
      <c r="M750" s="19"/>
      <c r="N750" s="19"/>
      <c r="O750" s="19"/>
      <c r="P750" s="20"/>
      <c r="Q750" s="20"/>
      <c r="R750" s="22"/>
      <c r="S750" s="22"/>
      <c r="T750" s="20"/>
      <c r="U750" s="20"/>
      <c r="V750" s="20"/>
      <c r="W750" s="19"/>
      <c r="X750" s="19"/>
      <c r="Y750" s="19"/>
      <c r="Z750" s="23"/>
    </row>
    <row r="751" spans="1:26" ht="15.75" customHeight="1" x14ac:dyDescent="0.2">
      <c r="A751" s="34"/>
      <c r="B751" s="34"/>
      <c r="C751" s="34"/>
      <c r="D751" s="34"/>
      <c r="E751" s="19"/>
      <c r="F751" s="19"/>
      <c r="G751" s="19"/>
      <c r="H751" s="19"/>
      <c r="I751" s="19"/>
      <c r="J751" s="19"/>
      <c r="K751" s="19"/>
      <c r="L751" s="19"/>
      <c r="M751" s="19"/>
      <c r="N751" s="19"/>
      <c r="O751" s="19"/>
      <c r="P751" s="20"/>
      <c r="Q751" s="20"/>
      <c r="R751" s="22"/>
      <c r="S751" s="22"/>
      <c r="T751" s="20"/>
      <c r="U751" s="20"/>
      <c r="V751" s="20"/>
      <c r="W751" s="19"/>
      <c r="X751" s="19"/>
      <c r="Y751" s="19"/>
      <c r="Z751" s="23"/>
    </row>
    <row r="752" spans="1:26" ht="15.75" customHeight="1" x14ac:dyDescent="0.2">
      <c r="A752" s="34"/>
      <c r="B752" s="34"/>
      <c r="C752" s="34"/>
      <c r="D752" s="34"/>
      <c r="E752" s="19"/>
      <c r="F752" s="19"/>
      <c r="G752" s="19"/>
      <c r="H752" s="19"/>
      <c r="I752" s="19"/>
      <c r="J752" s="19"/>
      <c r="K752" s="19"/>
      <c r="L752" s="19"/>
      <c r="M752" s="19"/>
      <c r="N752" s="19"/>
      <c r="O752" s="19"/>
      <c r="P752" s="20"/>
      <c r="Q752" s="20"/>
      <c r="R752" s="22"/>
      <c r="S752" s="22"/>
      <c r="T752" s="20"/>
      <c r="U752" s="20"/>
      <c r="V752" s="20"/>
      <c r="W752" s="19"/>
      <c r="X752" s="19"/>
      <c r="Y752" s="19"/>
      <c r="Z752" s="23"/>
    </row>
    <row r="753" spans="1:26" ht="15.75" customHeight="1" x14ac:dyDescent="0.2">
      <c r="A753" s="34"/>
      <c r="B753" s="34"/>
      <c r="C753" s="34"/>
      <c r="D753" s="34"/>
      <c r="E753" s="19"/>
      <c r="F753" s="19"/>
      <c r="G753" s="19"/>
      <c r="H753" s="19"/>
      <c r="I753" s="19"/>
      <c r="J753" s="19"/>
      <c r="K753" s="19"/>
      <c r="L753" s="19"/>
      <c r="M753" s="19"/>
      <c r="N753" s="19"/>
      <c r="O753" s="19"/>
      <c r="P753" s="20"/>
      <c r="Q753" s="20"/>
      <c r="R753" s="22"/>
      <c r="S753" s="22"/>
      <c r="T753" s="20"/>
      <c r="U753" s="20"/>
      <c r="V753" s="20"/>
      <c r="W753" s="19"/>
      <c r="X753" s="19"/>
      <c r="Y753" s="19"/>
      <c r="Z753" s="23"/>
    </row>
    <row r="754" spans="1:26" ht="15.75" customHeight="1" x14ac:dyDescent="0.2">
      <c r="A754" s="34"/>
      <c r="B754" s="34"/>
      <c r="C754" s="34"/>
      <c r="D754" s="34"/>
      <c r="E754" s="19"/>
      <c r="F754" s="19"/>
      <c r="G754" s="19"/>
      <c r="H754" s="19"/>
      <c r="I754" s="19"/>
      <c r="J754" s="19"/>
      <c r="K754" s="19"/>
      <c r="L754" s="19"/>
      <c r="M754" s="19"/>
      <c r="N754" s="19"/>
      <c r="O754" s="19"/>
      <c r="P754" s="20"/>
      <c r="Q754" s="20"/>
      <c r="R754" s="22"/>
      <c r="S754" s="22"/>
      <c r="T754" s="20"/>
      <c r="U754" s="20"/>
      <c r="V754" s="20"/>
      <c r="W754" s="19"/>
      <c r="X754" s="19"/>
      <c r="Y754" s="19"/>
      <c r="Z754" s="23"/>
    </row>
    <row r="755" spans="1:26" ht="15.75" customHeight="1" x14ac:dyDescent="0.2">
      <c r="A755" s="34"/>
      <c r="B755" s="34"/>
      <c r="C755" s="34"/>
      <c r="D755" s="34"/>
      <c r="E755" s="19"/>
      <c r="F755" s="19"/>
      <c r="G755" s="19"/>
      <c r="H755" s="19"/>
      <c r="I755" s="19"/>
      <c r="J755" s="19"/>
      <c r="K755" s="19"/>
      <c r="L755" s="19"/>
      <c r="M755" s="19"/>
      <c r="N755" s="19"/>
      <c r="O755" s="19"/>
      <c r="P755" s="20"/>
      <c r="Q755" s="20"/>
      <c r="R755" s="22"/>
      <c r="S755" s="22"/>
      <c r="T755" s="20"/>
      <c r="U755" s="20"/>
      <c r="V755" s="20"/>
      <c r="W755" s="19"/>
      <c r="X755" s="19"/>
      <c r="Y755" s="19"/>
      <c r="Z755" s="23"/>
    </row>
    <row r="756" spans="1:26" ht="15.75" customHeight="1" x14ac:dyDescent="0.2">
      <c r="A756" s="34"/>
      <c r="B756" s="34"/>
      <c r="C756" s="34"/>
      <c r="D756" s="34"/>
      <c r="E756" s="19"/>
      <c r="F756" s="19"/>
      <c r="G756" s="19"/>
      <c r="H756" s="19"/>
      <c r="I756" s="19"/>
      <c r="J756" s="19"/>
      <c r="K756" s="19"/>
      <c r="L756" s="19"/>
      <c r="M756" s="19"/>
      <c r="N756" s="19"/>
      <c r="O756" s="19"/>
      <c r="P756" s="20"/>
      <c r="Q756" s="20"/>
      <c r="R756" s="22"/>
      <c r="S756" s="22"/>
      <c r="T756" s="20"/>
      <c r="U756" s="20"/>
      <c r="V756" s="20"/>
      <c r="W756" s="19"/>
      <c r="X756" s="19"/>
      <c r="Y756" s="19"/>
      <c r="Z756" s="23"/>
    </row>
    <row r="757" spans="1:26" ht="15.75" customHeight="1" x14ac:dyDescent="0.2">
      <c r="A757" s="34"/>
      <c r="B757" s="34"/>
      <c r="C757" s="34"/>
      <c r="D757" s="34"/>
      <c r="E757" s="19"/>
      <c r="F757" s="19"/>
      <c r="G757" s="19"/>
      <c r="H757" s="19"/>
      <c r="I757" s="19"/>
      <c r="J757" s="19"/>
      <c r="K757" s="19"/>
      <c r="L757" s="19"/>
      <c r="M757" s="19"/>
      <c r="N757" s="19"/>
      <c r="O757" s="19"/>
      <c r="P757" s="20"/>
      <c r="Q757" s="20"/>
      <c r="R757" s="22"/>
      <c r="S757" s="22"/>
      <c r="T757" s="20"/>
      <c r="U757" s="20"/>
      <c r="V757" s="20"/>
      <c r="W757" s="19"/>
      <c r="X757" s="19"/>
      <c r="Y757" s="19"/>
      <c r="Z757" s="23"/>
    </row>
    <row r="758" spans="1:26" ht="15.75" customHeight="1" x14ac:dyDescent="0.2">
      <c r="A758" s="34"/>
      <c r="B758" s="34"/>
      <c r="C758" s="34"/>
      <c r="D758" s="34"/>
      <c r="E758" s="19"/>
      <c r="F758" s="19"/>
      <c r="G758" s="19"/>
      <c r="H758" s="19"/>
      <c r="I758" s="19"/>
      <c r="J758" s="19"/>
      <c r="K758" s="19"/>
      <c r="L758" s="19"/>
      <c r="M758" s="19"/>
      <c r="N758" s="19"/>
      <c r="O758" s="19"/>
      <c r="P758" s="20"/>
      <c r="Q758" s="20"/>
      <c r="R758" s="22"/>
      <c r="S758" s="22"/>
      <c r="T758" s="20"/>
      <c r="U758" s="20"/>
      <c r="V758" s="20"/>
      <c r="W758" s="19"/>
      <c r="X758" s="19"/>
      <c r="Y758" s="19"/>
      <c r="Z758" s="23"/>
    </row>
    <row r="759" spans="1:26" ht="15.75" customHeight="1" x14ac:dyDescent="0.2">
      <c r="A759" s="34"/>
      <c r="B759" s="34"/>
      <c r="C759" s="34"/>
      <c r="D759" s="34"/>
      <c r="E759" s="19"/>
      <c r="F759" s="19"/>
      <c r="G759" s="19"/>
      <c r="H759" s="19"/>
      <c r="I759" s="19"/>
      <c r="J759" s="19"/>
      <c r="K759" s="19"/>
      <c r="L759" s="19"/>
      <c r="M759" s="19"/>
      <c r="N759" s="19"/>
      <c r="O759" s="19"/>
      <c r="P759" s="20"/>
      <c r="Q759" s="20"/>
      <c r="R759" s="22"/>
      <c r="S759" s="22"/>
      <c r="T759" s="20"/>
      <c r="U759" s="20"/>
      <c r="V759" s="20"/>
      <c r="W759" s="19"/>
      <c r="X759" s="19"/>
      <c r="Y759" s="19"/>
      <c r="Z759" s="23"/>
    </row>
    <row r="760" spans="1:26" ht="15.75" customHeight="1" x14ac:dyDescent="0.2">
      <c r="A760" s="34"/>
      <c r="B760" s="34"/>
      <c r="C760" s="34"/>
      <c r="D760" s="34"/>
      <c r="E760" s="19"/>
      <c r="F760" s="19"/>
      <c r="G760" s="19"/>
      <c r="H760" s="19"/>
      <c r="I760" s="19"/>
      <c r="J760" s="19"/>
      <c r="K760" s="19"/>
      <c r="L760" s="19"/>
      <c r="M760" s="19"/>
      <c r="N760" s="19"/>
      <c r="O760" s="19"/>
      <c r="P760" s="20"/>
      <c r="Q760" s="20"/>
      <c r="R760" s="22"/>
      <c r="S760" s="22"/>
      <c r="T760" s="20"/>
      <c r="U760" s="20"/>
      <c r="V760" s="20"/>
      <c r="W760" s="19"/>
      <c r="X760" s="19"/>
      <c r="Y760" s="19"/>
      <c r="Z760" s="23"/>
    </row>
    <row r="761" spans="1:26" ht="15.75" customHeight="1" x14ac:dyDescent="0.2">
      <c r="A761" s="34"/>
      <c r="B761" s="34"/>
      <c r="C761" s="34"/>
      <c r="D761" s="34"/>
      <c r="E761" s="19"/>
      <c r="F761" s="19"/>
      <c r="G761" s="19"/>
      <c r="H761" s="19"/>
      <c r="I761" s="19"/>
      <c r="J761" s="19"/>
      <c r="K761" s="19"/>
      <c r="L761" s="19"/>
      <c r="M761" s="19"/>
      <c r="N761" s="19"/>
      <c r="O761" s="19"/>
      <c r="P761" s="20"/>
      <c r="Q761" s="20"/>
      <c r="R761" s="22"/>
      <c r="S761" s="22"/>
      <c r="T761" s="20"/>
      <c r="U761" s="20"/>
      <c r="V761" s="20"/>
      <c r="W761" s="19"/>
      <c r="X761" s="19"/>
      <c r="Y761" s="19"/>
      <c r="Z761" s="23"/>
    </row>
    <row r="762" spans="1:26" ht="15.75" customHeight="1" x14ac:dyDescent="0.2">
      <c r="A762" s="34"/>
      <c r="B762" s="34"/>
      <c r="C762" s="34"/>
      <c r="D762" s="34"/>
      <c r="E762" s="19"/>
      <c r="F762" s="19"/>
      <c r="G762" s="19"/>
      <c r="H762" s="19"/>
      <c r="I762" s="19"/>
      <c r="J762" s="19"/>
      <c r="K762" s="19"/>
      <c r="L762" s="19"/>
      <c r="M762" s="19"/>
      <c r="N762" s="19"/>
      <c r="O762" s="19"/>
      <c r="P762" s="20"/>
      <c r="Q762" s="20"/>
      <c r="R762" s="22"/>
      <c r="S762" s="22"/>
      <c r="T762" s="20"/>
      <c r="U762" s="20"/>
      <c r="V762" s="20"/>
      <c r="W762" s="19"/>
      <c r="X762" s="19"/>
      <c r="Y762" s="19"/>
      <c r="Z762" s="23"/>
    </row>
    <row r="763" spans="1:26" ht="15.75" customHeight="1" x14ac:dyDescent="0.2">
      <c r="A763" s="34"/>
      <c r="B763" s="34"/>
      <c r="C763" s="34"/>
      <c r="D763" s="34"/>
      <c r="E763" s="19"/>
      <c r="F763" s="19"/>
      <c r="G763" s="19"/>
      <c r="H763" s="19"/>
      <c r="I763" s="19"/>
      <c r="J763" s="19"/>
      <c r="K763" s="19"/>
      <c r="L763" s="19"/>
      <c r="M763" s="19"/>
      <c r="N763" s="19"/>
      <c r="O763" s="19"/>
      <c r="P763" s="20"/>
      <c r="Q763" s="20"/>
      <c r="R763" s="22"/>
      <c r="S763" s="22"/>
      <c r="T763" s="20"/>
      <c r="U763" s="20"/>
      <c r="V763" s="20"/>
      <c r="W763" s="19"/>
      <c r="X763" s="19"/>
      <c r="Y763" s="19"/>
      <c r="Z763" s="23"/>
    </row>
    <row r="764" spans="1:26" ht="15.75" customHeight="1" x14ac:dyDescent="0.2">
      <c r="A764" s="34"/>
      <c r="B764" s="34"/>
      <c r="C764" s="34"/>
      <c r="D764" s="34"/>
      <c r="E764" s="19"/>
      <c r="F764" s="19"/>
      <c r="G764" s="19"/>
      <c r="H764" s="19"/>
      <c r="I764" s="19"/>
      <c r="J764" s="19"/>
      <c r="K764" s="19"/>
      <c r="L764" s="19"/>
      <c r="M764" s="19"/>
      <c r="N764" s="19"/>
      <c r="O764" s="19"/>
      <c r="P764" s="20"/>
      <c r="Q764" s="20"/>
      <c r="R764" s="22"/>
      <c r="S764" s="22"/>
      <c r="T764" s="20"/>
      <c r="U764" s="20"/>
      <c r="V764" s="20"/>
      <c r="W764" s="19"/>
      <c r="X764" s="19"/>
      <c r="Y764" s="19"/>
      <c r="Z764" s="23"/>
    </row>
    <row r="765" spans="1:26" ht="15.75" customHeight="1" x14ac:dyDescent="0.2">
      <c r="A765" s="34"/>
      <c r="B765" s="34"/>
      <c r="C765" s="34"/>
      <c r="D765" s="34"/>
      <c r="E765" s="19"/>
      <c r="F765" s="19"/>
      <c r="G765" s="19"/>
      <c r="H765" s="19"/>
      <c r="I765" s="19"/>
      <c r="J765" s="19"/>
      <c r="K765" s="19"/>
      <c r="L765" s="19"/>
      <c r="M765" s="19"/>
      <c r="N765" s="19"/>
      <c r="O765" s="19"/>
      <c r="P765" s="20"/>
      <c r="Q765" s="20"/>
      <c r="R765" s="22"/>
      <c r="S765" s="22"/>
      <c r="T765" s="20"/>
      <c r="U765" s="20"/>
      <c r="V765" s="20"/>
      <c r="W765" s="19"/>
      <c r="X765" s="19"/>
      <c r="Y765" s="19"/>
      <c r="Z765" s="23"/>
    </row>
    <row r="766" spans="1:26" ht="15.75" customHeight="1" x14ac:dyDescent="0.2">
      <c r="A766" s="34"/>
      <c r="B766" s="34"/>
      <c r="C766" s="34"/>
      <c r="D766" s="34"/>
      <c r="E766" s="19"/>
      <c r="F766" s="19"/>
      <c r="G766" s="19"/>
      <c r="H766" s="19"/>
      <c r="I766" s="19"/>
      <c r="J766" s="19"/>
      <c r="K766" s="19"/>
      <c r="L766" s="19"/>
      <c r="M766" s="19"/>
      <c r="N766" s="19"/>
      <c r="O766" s="19"/>
      <c r="P766" s="20"/>
      <c r="Q766" s="20"/>
      <c r="R766" s="22"/>
      <c r="S766" s="22"/>
      <c r="T766" s="20"/>
      <c r="U766" s="20"/>
      <c r="V766" s="20"/>
      <c r="W766" s="19"/>
      <c r="X766" s="19"/>
      <c r="Y766" s="19"/>
      <c r="Z766" s="23"/>
    </row>
    <row r="767" spans="1:26" ht="15.75" customHeight="1" x14ac:dyDescent="0.2">
      <c r="A767" s="34"/>
      <c r="B767" s="34"/>
      <c r="C767" s="34"/>
      <c r="D767" s="34"/>
      <c r="E767" s="19"/>
      <c r="F767" s="19"/>
      <c r="G767" s="19"/>
      <c r="H767" s="19"/>
      <c r="I767" s="19"/>
      <c r="J767" s="19"/>
      <c r="K767" s="19"/>
      <c r="L767" s="19"/>
      <c r="M767" s="19"/>
      <c r="N767" s="19"/>
      <c r="O767" s="19"/>
      <c r="P767" s="20"/>
      <c r="Q767" s="20"/>
      <c r="R767" s="22"/>
      <c r="S767" s="22"/>
      <c r="T767" s="20"/>
      <c r="U767" s="20"/>
      <c r="V767" s="20"/>
      <c r="W767" s="19"/>
      <c r="X767" s="19"/>
      <c r="Y767" s="19"/>
      <c r="Z767" s="23"/>
    </row>
    <row r="768" spans="1:26" ht="15.75" customHeight="1" x14ac:dyDescent="0.2">
      <c r="A768" s="34"/>
      <c r="B768" s="34"/>
      <c r="C768" s="34"/>
      <c r="D768" s="34"/>
      <c r="E768" s="19"/>
      <c r="F768" s="19"/>
      <c r="G768" s="19"/>
      <c r="H768" s="19"/>
      <c r="I768" s="19"/>
      <c r="J768" s="19"/>
      <c r="K768" s="19"/>
      <c r="L768" s="19"/>
      <c r="M768" s="19"/>
      <c r="N768" s="19"/>
      <c r="O768" s="19"/>
      <c r="P768" s="20"/>
      <c r="Q768" s="20"/>
      <c r="R768" s="22"/>
      <c r="S768" s="22"/>
      <c r="T768" s="20"/>
      <c r="U768" s="20"/>
      <c r="V768" s="20"/>
      <c r="W768" s="19"/>
      <c r="X768" s="19"/>
      <c r="Y768" s="19"/>
      <c r="Z768" s="23"/>
    </row>
    <row r="769" spans="1:26" ht="15.75" customHeight="1" x14ac:dyDescent="0.2">
      <c r="A769" s="34"/>
      <c r="B769" s="34"/>
      <c r="C769" s="34"/>
      <c r="D769" s="34"/>
      <c r="E769" s="19"/>
      <c r="F769" s="19"/>
      <c r="G769" s="19"/>
      <c r="H769" s="19"/>
      <c r="I769" s="19"/>
      <c r="J769" s="19"/>
      <c r="K769" s="19"/>
      <c r="L769" s="19"/>
      <c r="M769" s="19"/>
      <c r="N769" s="19"/>
      <c r="O769" s="19"/>
      <c r="P769" s="20"/>
      <c r="Q769" s="20"/>
      <c r="R769" s="22"/>
      <c r="S769" s="22"/>
      <c r="T769" s="20"/>
      <c r="U769" s="20"/>
      <c r="V769" s="20"/>
      <c r="W769" s="19"/>
      <c r="X769" s="19"/>
      <c r="Y769" s="19"/>
      <c r="Z769" s="23"/>
    </row>
    <row r="770" spans="1:26" ht="15.75" customHeight="1" x14ac:dyDescent="0.2">
      <c r="A770" s="34"/>
      <c r="B770" s="34"/>
      <c r="C770" s="34"/>
      <c r="D770" s="34"/>
      <c r="E770" s="19"/>
      <c r="F770" s="19"/>
      <c r="G770" s="19"/>
      <c r="H770" s="19"/>
      <c r="I770" s="19"/>
      <c r="J770" s="19"/>
      <c r="K770" s="19"/>
      <c r="L770" s="19"/>
      <c r="M770" s="19"/>
      <c r="N770" s="19"/>
      <c r="O770" s="19"/>
      <c r="P770" s="20"/>
      <c r="Q770" s="20"/>
      <c r="R770" s="22"/>
      <c r="S770" s="22"/>
      <c r="T770" s="20"/>
      <c r="U770" s="20"/>
      <c r="V770" s="20"/>
      <c r="W770" s="19"/>
      <c r="X770" s="19"/>
      <c r="Y770" s="19"/>
      <c r="Z770" s="23"/>
    </row>
    <row r="771" spans="1:26" ht="15.75" customHeight="1" x14ac:dyDescent="0.2">
      <c r="A771" s="34"/>
      <c r="B771" s="34"/>
      <c r="C771" s="34"/>
      <c r="D771" s="34"/>
      <c r="E771" s="19"/>
      <c r="F771" s="19"/>
      <c r="G771" s="19"/>
      <c r="H771" s="19"/>
      <c r="I771" s="19"/>
      <c r="J771" s="19"/>
      <c r="K771" s="19"/>
      <c r="L771" s="19"/>
      <c r="M771" s="19"/>
      <c r="N771" s="19"/>
      <c r="O771" s="19"/>
      <c r="P771" s="20"/>
      <c r="Q771" s="20"/>
      <c r="R771" s="22"/>
      <c r="S771" s="22"/>
      <c r="T771" s="20"/>
      <c r="U771" s="20"/>
      <c r="V771" s="20"/>
      <c r="W771" s="19"/>
      <c r="X771" s="19"/>
      <c r="Y771" s="19"/>
      <c r="Z771" s="23"/>
    </row>
    <row r="772" spans="1:26" ht="15.75" customHeight="1" x14ac:dyDescent="0.2">
      <c r="A772" s="34"/>
      <c r="B772" s="34"/>
      <c r="C772" s="34"/>
      <c r="D772" s="34"/>
      <c r="E772" s="19"/>
      <c r="F772" s="19"/>
      <c r="G772" s="19"/>
      <c r="H772" s="19"/>
      <c r="I772" s="19"/>
      <c r="J772" s="19"/>
      <c r="K772" s="19"/>
      <c r="L772" s="19"/>
      <c r="M772" s="19"/>
      <c r="N772" s="19"/>
      <c r="O772" s="19"/>
      <c r="P772" s="20"/>
      <c r="Q772" s="20"/>
      <c r="R772" s="22"/>
      <c r="S772" s="22"/>
      <c r="T772" s="20"/>
      <c r="U772" s="20"/>
      <c r="V772" s="20"/>
      <c r="W772" s="19"/>
      <c r="X772" s="19"/>
      <c r="Y772" s="19"/>
      <c r="Z772" s="23"/>
    </row>
    <row r="773" spans="1:26" ht="15.75" customHeight="1" x14ac:dyDescent="0.2">
      <c r="A773" s="34"/>
      <c r="B773" s="34"/>
      <c r="C773" s="34"/>
      <c r="D773" s="34"/>
      <c r="E773" s="19"/>
      <c r="F773" s="19"/>
      <c r="G773" s="19"/>
      <c r="H773" s="19"/>
      <c r="I773" s="19"/>
      <c r="J773" s="19"/>
      <c r="K773" s="19"/>
      <c r="L773" s="19"/>
      <c r="M773" s="19"/>
      <c r="N773" s="19"/>
      <c r="O773" s="19"/>
      <c r="P773" s="20"/>
      <c r="Q773" s="20"/>
      <c r="R773" s="22"/>
      <c r="S773" s="22"/>
      <c r="T773" s="20"/>
      <c r="U773" s="20"/>
      <c r="V773" s="20"/>
      <c r="W773" s="19"/>
      <c r="X773" s="19"/>
      <c r="Y773" s="19"/>
      <c r="Z773" s="23"/>
    </row>
    <row r="774" spans="1:26" ht="15.75" customHeight="1" x14ac:dyDescent="0.2">
      <c r="A774" s="34"/>
      <c r="B774" s="34"/>
      <c r="C774" s="34"/>
      <c r="D774" s="34"/>
      <c r="E774" s="19"/>
      <c r="F774" s="19"/>
      <c r="G774" s="19"/>
      <c r="H774" s="19"/>
      <c r="I774" s="19"/>
      <c r="J774" s="19"/>
      <c r="K774" s="19"/>
      <c r="L774" s="19"/>
      <c r="M774" s="19"/>
      <c r="N774" s="19"/>
      <c r="O774" s="19"/>
      <c r="P774" s="20"/>
      <c r="Q774" s="20"/>
      <c r="R774" s="22"/>
      <c r="S774" s="22"/>
      <c r="T774" s="20"/>
      <c r="U774" s="20"/>
      <c r="V774" s="20"/>
      <c r="W774" s="19"/>
      <c r="X774" s="19"/>
      <c r="Y774" s="19"/>
      <c r="Z774" s="23"/>
    </row>
    <row r="775" spans="1:26" ht="15.75" customHeight="1" x14ac:dyDescent="0.2">
      <c r="A775" s="34"/>
      <c r="B775" s="34"/>
      <c r="C775" s="34"/>
      <c r="D775" s="34"/>
      <c r="E775" s="19"/>
      <c r="F775" s="19"/>
      <c r="G775" s="19"/>
      <c r="H775" s="19"/>
      <c r="I775" s="19"/>
      <c r="J775" s="19"/>
      <c r="K775" s="19"/>
      <c r="L775" s="19"/>
      <c r="M775" s="19"/>
      <c r="N775" s="19"/>
      <c r="O775" s="19"/>
      <c r="P775" s="20"/>
      <c r="Q775" s="20"/>
      <c r="R775" s="22"/>
      <c r="S775" s="22"/>
      <c r="T775" s="20"/>
      <c r="U775" s="20"/>
      <c r="V775" s="20"/>
      <c r="W775" s="19"/>
      <c r="X775" s="19"/>
      <c r="Y775" s="19"/>
      <c r="Z775" s="23"/>
    </row>
    <row r="776" spans="1:26" ht="15.75" customHeight="1" x14ac:dyDescent="0.2">
      <c r="A776" s="34"/>
      <c r="B776" s="34"/>
      <c r="C776" s="34"/>
      <c r="D776" s="34"/>
      <c r="E776" s="19"/>
      <c r="F776" s="19"/>
      <c r="G776" s="19"/>
      <c r="H776" s="19"/>
      <c r="I776" s="19"/>
      <c r="J776" s="19"/>
      <c r="K776" s="19"/>
      <c r="L776" s="19"/>
      <c r="M776" s="19"/>
      <c r="N776" s="19"/>
      <c r="O776" s="19"/>
      <c r="P776" s="20"/>
      <c r="Q776" s="20"/>
      <c r="R776" s="22"/>
      <c r="S776" s="22"/>
      <c r="T776" s="20"/>
      <c r="U776" s="20"/>
      <c r="V776" s="20"/>
      <c r="W776" s="19"/>
      <c r="X776" s="19"/>
      <c r="Y776" s="19"/>
      <c r="Z776" s="23"/>
    </row>
    <row r="777" spans="1:26" ht="15.75" customHeight="1" x14ac:dyDescent="0.2">
      <c r="A777" s="34"/>
      <c r="B777" s="34"/>
      <c r="C777" s="34"/>
      <c r="D777" s="34"/>
      <c r="E777" s="19"/>
      <c r="F777" s="19"/>
      <c r="G777" s="19"/>
      <c r="H777" s="19"/>
      <c r="I777" s="19"/>
      <c r="J777" s="19"/>
      <c r="K777" s="19"/>
      <c r="L777" s="19"/>
      <c r="M777" s="19"/>
      <c r="N777" s="19"/>
      <c r="O777" s="19"/>
      <c r="P777" s="20"/>
      <c r="Q777" s="20"/>
      <c r="R777" s="22"/>
      <c r="S777" s="22"/>
      <c r="T777" s="20"/>
      <c r="U777" s="20"/>
      <c r="V777" s="20"/>
      <c r="W777" s="19"/>
      <c r="X777" s="19"/>
      <c r="Y777" s="19"/>
      <c r="Z777" s="23"/>
    </row>
    <row r="778" spans="1:26" ht="15.75" customHeight="1" x14ac:dyDescent="0.2">
      <c r="A778" s="34"/>
      <c r="B778" s="34"/>
      <c r="C778" s="34"/>
      <c r="D778" s="34"/>
      <c r="E778" s="19"/>
      <c r="F778" s="19"/>
      <c r="G778" s="19"/>
      <c r="H778" s="19"/>
      <c r="I778" s="19"/>
      <c r="J778" s="19"/>
      <c r="K778" s="19"/>
      <c r="L778" s="19"/>
      <c r="M778" s="19"/>
      <c r="N778" s="19"/>
      <c r="O778" s="19"/>
      <c r="P778" s="20"/>
      <c r="Q778" s="20"/>
      <c r="R778" s="22"/>
      <c r="S778" s="22"/>
      <c r="T778" s="20"/>
      <c r="U778" s="20"/>
      <c r="V778" s="20"/>
      <c r="W778" s="19"/>
      <c r="X778" s="19"/>
      <c r="Y778" s="19"/>
      <c r="Z778" s="23"/>
    </row>
    <row r="779" spans="1:26" ht="15.75" customHeight="1" x14ac:dyDescent="0.2">
      <c r="A779" s="34"/>
      <c r="B779" s="34"/>
      <c r="C779" s="34"/>
      <c r="D779" s="34"/>
      <c r="E779" s="19"/>
      <c r="F779" s="19"/>
      <c r="G779" s="19"/>
      <c r="H779" s="19"/>
      <c r="I779" s="19"/>
      <c r="J779" s="19"/>
      <c r="K779" s="19"/>
      <c r="L779" s="19"/>
      <c r="M779" s="19"/>
      <c r="N779" s="19"/>
      <c r="O779" s="19"/>
      <c r="P779" s="20"/>
      <c r="Q779" s="20"/>
      <c r="R779" s="22"/>
      <c r="S779" s="22"/>
      <c r="T779" s="20"/>
      <c r="U779" s="20"/>
      <c r="V779" s="20"/>
      <c r="W779" s="19"/>
      <c r="X779" s="19"/>
      <c r="Y779" s="19"/>
      <c r="Z779" s="23"/>
    </row>
    <row r="780" spans="1:26" ht="15.75" customHeight="1" x14ac:dyDescent="0.2">
      <c r="A780" s="34"/>
      <c r="B780" s="34"/>
      <c r="C780" s="34"/>
      <c r="D780" s="34"/>
      <c r="E780" s="19"/>
      <c r="F780" s="19"/>
      <c r="G780" s="19"/>
      <c r="H780" s="19"/>
      <c r="I780" s="19"/>
      <c r="J780" s="19"/>
      <c r="K780" s="19"/>
      <c r="L780" s="19"/>
      <c r="M780" s="19"/>
      <c r="N780" s="19"/>
      <c r="O780" s="19"/>
      <c r="P780" s="20"/>
      <c r="Q780" s="20"/>
      <c r="R780" s="22"/>
      <c r="S780" s="22"/>
      <c r="T780" s="20"/>
      <c r="U780" s="20"/>
      <c r="V780" s="20"/>
      <c r="W780" s="19"/>
      <c r="X780" s="19"/>
      <c r="Y780" s="19"/>
      <c r="Z780" s="23"/>
    </row>
    <row r="781" spans="1:26" ht="15.75" customHeight="1" x14ac:dyDescent="0.2">
      <c r="A781" s="34"/>
      <c r="B781" s="34"/>
      <c r="C781" s="34"/>
      <c r="D781" s="34"/>
      <c r="E781" s="19"/>
      <c r="F781" s="19"/>
      <c r="G781" s="19"/>
      <c r="H781" s="19"/>
      <c r="I781" s="19"/>
      <c r="J781" s="19"/>
      <c r="K781" s="19"/>
      <c r="L781" s="19"/>
      <c r="M781" s="19"/>
      <c r="N781" s="19"/>
      <c r="O781" s="19"/>
      <c r="P781" s="20"/>
      <c r="Q781" s="20"/>
      <c r="R781" s="22"/>
      <c r="S781" s="22"/>
      <c r="T781" s="20"/>
      <c r="U781" s="20"/>
      <c r="V781" s="20"/>
      <c r="W781" s="19"/>
      <c r="X781" s="19"/>
      <c r="Y781" s="19"/>
      <c r="Z781" s="23"/>
    </row>
    <row r="782" spans="1:26" ht="15.75" customHeight="1" x14ac:dyDescent="0.2">
      <c r="A782" s="34"/>
      <c r="B782" s="34"/>
      <c r="C782" s="34"/>
      <c r="D782" s="34"/>
      <c r="E782" s="19"/>
      <c r="F782" s="19"/>
      <c r="G782" s="19"/>
      <c r="H782" s="19"/>
      <c r="I782" s="19"/>
      <c r="J782" s="19"/>
      <c r="K782" s="19"/>
      <c r="L782" s="19"/>
      <c r="M782" s="19"/>
      <c r="N782" s="19"/>
      <c r="O782" s="19"/>
      <c r="P782" s="20"/>
      <c r="Q782" s="20"/>
      <c r="R782" s="22"/>
      <c r="S782" s="22"/>
      <c r="T782" s="20"/>
      <c r="U782" s="20"/>
      <c r="V782" s="20"/>
      <c r="W782" s="19"/>
      <c r="X782" s="19"/>
      <c r="Y782" s="19"/>
      <c r="Z782" s="23"/>
    </row>
    <row r="783" spans="1:26" ht="15.75" customHeight="1" x14ac:dyDescent="0.2">
      <c r="A783" s="34"/>
      <c r="B783" s="34"/>
      <c r="C783" s="34"/>
      <c r="D783" s="34"/>
      <c r="E783" s="19"/>
      <c r="F783" s="19"/>
      <c r="G783" s="19"/>
      <c r="H783" s="19"/>
      <c r="I783" s="19"/>
      <c r="J783" s="19"/>
      <c r="K783" s="19"/>
      <c r="L783" s="19"/>
      <c r="M783" s="19"/>
      <c r="N783" s="19"/>
      <c r="O783" s="19"/>
      <c r="P783" s="20"/>
      <c r="Q783" s="20"/>
      <c r="R783" s="22"/>
      <c r="S783" s="22"/>
      <c r="T783" s="20"/>
      <c r="U783" s="20"/>
      <c r="V783" s="20"/>
      <c r="W783" s="19"/>
      <c r="X783" s="19"/>
      <c r="Y783" s="19"/>
      <c r="Z783" s="23"/>
    </row>
    <row r="784" spans="1:26" ht="15.75" customHeight="1" x14ac:dyDescent="0.2">
      <c r="A784" s="34"/>
      <c r="B784" s="34"/>
      <c r="C784" s="34"/>
      <c r="D784" s="34"/>
      <c r="E784" s="19"/>
      <c r="F784" s="19"/>
      <c r="G784" s="19"/>
      <c r="H784" s="19"/>
      <c r="I784" s="19"/>
      <c r="J784" s="19"/>
      <c r="K784" s="19"/>
      <c r="L784" s="19"/>
      <c r="M784" s="19"/>
      <c r="N784" s="19"/>
      <c r="O784" s="19"/>
      <c r="P784" s="20"/>
      <c r="Q784" s="20"/>
      <c r="R784" s="22"/>
      <c r="S784" s="22"/>
      <c r="T784" s="20"/>
      <c r="U784" s="20"/>
      <c r="V784" s="20"/>
      <c r="W784" s="19"/>
      <c r="X784" s="19"/>
      <c r="Y784" s="19"/>
      <c r="Z784" s="23"/>
    </row>
    <row r="785" spans="1:26" ht="15.75" customHeight="1" x14ac:dyDescent="0.2">
      <c r="A785" s="34"/>
      <c r="B785" s="34"/>
      <c r="C785" s="34"/>
      <c r="D785" s="34"/>
      <c r="E785" s="19"/>
      <c r="F785" s="19"/>
      <c r="G785" s="19"/>
      <c r="H785" s="19"/>
      <c r="I785" s="19"/>
      <c r="J785" s="19"/>
      <c r="K785" s="19"/>
      <c r="L785" s="19"/>
      <c r="M785" s="19"/>
      <c r="N785" s="19"/>
      <c r="O785" s="19"/>
      <c r="P785" s="20"/>
      <c r="Q785" s="20"/>
      <c r="R785" s="22"/>
      <c r="S785" s="22"/>
      <c r="T785" s="20"/>
      <c r="U785" s="20"/>
      <c r="V785" s="20"/>
      <c r="W785" s="19"/>
      <c r="X785" s="19"/>
      <c r="Y785" s="19"/>
      <c r="Z785" s="23"/>
    </row>
    <row r="786" spans="1:26" ht="15.75" customHeight="1" x14ac:dyDescent="0.2">
      <c r="A786" s="34"/>
      <c r="B786" s="34"/>
      <c r="C786" s="34"/>
      <c r="D786" s="34"/>
      <c r="E786" s="19"/>
      <c r="F786" s="19"/>
      <c r="G786" s="19"/>
      <c r="H786" s="19"/>
      <c r="I786" s="19"/>
      <c r="J786" s="19"/>
      <c r="K786" s="19"/>
      <c r="L786" s="19"/>
      <c r="M786" s="19"/>
      <c r="N786" s="19"/>
      <c r="O786" s="19"/>
      <c r="P786" s="20"/>
      <c r="Q786" s="20"/>
      <c r="R786" s="22"/>
      <c r="S786" s="22"/>
      <c r="T786" s="20"/>
      <c r="U786" s="20"/>
      <c r="V786" s="20"/>
      <c r="W786" s="19"/>
      <c r="X786" s="19"/>
      <c r="Y786" s="19"/>
      <c r="Z786" s="23"/>
    </row>
    <row r="787" spans="1:26" ht="15.75" customHeight="1" x14ac:dyDescent="0.2">
      <c r="A787" s="34"/>
      <c r="B787" s="34"/>
      <c r="C787" s="34"/>
      <c r="D787" s="34"/>
      <c r="E787" s="19"/>
      <c r="F787" s="19"/>
      <c r="G787" s="19"/>
      <c r="H787" s="19"/>
      <c r="I787" s="19"/>
      <c r="J787" s="19"/>
      <c r="K787" s="19"/>
      <c r="L787" s="19"/>
      <c r="M787" s="19"/>
      <c r="N787" s="19"/>
      <c r="O787" s="19"/>
      <c r="P787" s="20"/>
      <c r="Q787" s="20"/>
      <c r="R787" s="22"/>
      <c r="S787" s="22"/>
      <c r="T787" s="20"/>
      <c r="U787" s="20"/>
      <c r="V787" s="20"/>
      <c r="W787" s="19"/>
      <c r="X787" s="19"/>
      <c r="Y787" s="19"/>
      <c r="Z787" s="23"/>
    </row>
    <row r="788" spans="1:26" ht="15.75" customHeight="1" x14ac:dyDescent="0.2">
      <c r="A788" s="34"/>
      <c r="B788" s="34"/>
      <c r="C788" s="34"/>
      <c r="D788" s="34"/>
      <c r="E788" s="19"/>
      <c r="F788" s="19"/>
      <c r="G788" s="19"/>
      <c r="H788" s="19"/>
      <c r="I788" s="19"/>
      <c r="J788" s="19"/>
      <c r="K788" s="19"/>
      <c r="L788" s="19"/>
      <c r="M788" s="19"/>
      <c r="N788" s="19"/>
      <c r="O788" s="19"/>
      <c r="P788" s="20"/>
      <c r="Q788" s="20"/>
      <c r="R788" s="22"/>
      <c r="S788" s="22"/>
      <c r="T788" s="20"/>
      <c r="U788" s="20"/>
      <c r="V788" s="20"/>
      <c r="W788" s="19"/>
      <c r="X788" s="19"/>
      <c r="Y788" s="19"/>
      <c r="Z788" s="23"/>
    </row>
    <row r="789" spans="1:26" ht="15.75" customHeight="1" x14ac:dyDescent="0.2">
      <c r="A789" s="34"/>
      <c r="B789" s="34"/>
      <c r="C789" s="34"/>
      <c r="D789" s="34"/>
      <c r="E789" s="19"/>
      <c r="F789" s="19"/>
      <c r="G789" s="19"/>
      <c r="H789" s="19"/>
      <c r="I789" s="19"/>
      <c r="J789" s="19"/>
      <c r="K789" s="19"/>
      <c r="L789" s="19"/>
      <c r="M789" s="19"/>
      <c r="N789" s="19"/>
      <c r="O789" s="19"/>
      <c r="P789" s="20"/>
      <c r="Q789" s="20"/>
      <c r="R789" s="22"/>
      <c r="S789" s="22"/>
      <c r="T789" s="20"/>
      <c r="U789" s="20"/>
      <c r="V789" s="20"/>
      <c r="W789" s="19"/>
      <c r="X789" s="19"/>
      <c r="Y789" s="19"/>
      <c r="Z789" s="23"/>
    </row>
    <row r="790" spans="1:26" ht="15.75" customHeight="1" x14ac:dyDescent="0.2">
      <c r="A790" s="34"/>
      <c r="B790" s="34"/>
      <c r="C790" s="34"/>
      <c r="D790" s="34"/>
      <c r="E790" s="19"/>
      <c r="F790" s="19"/>
      <c r="G790" s="19"/>
      <c r="H790" s="19"/>
      <c r="I790" s="19"/>
      <c r="J790" s="19"/>
      <c r="K790" s="19"/>
      <c r="L790" s="19"/>
      <c r="M790" s="19"/>
      <c r="N790" s="19"/>
      <c r="O790" s="19"/>
      <c r="P790" s="20"/>
      <c r="Q790" s="20"/>
      <c r="R790" s="22"/>
      <c r="S790" s="22"/>
      <c r="T790" s="20"/>
      <c r="U790" s="20"/>
      <c r="V790" s="20"/>
      <c r="W790" s="19"/>
      <c r="X790" s="19"/>
      <c r="Y790" s="19"/>
      <c r="Z790" s="23"/>
    </row>
    <row r="791" spans="1:26" ht="15.75" customHeight="1" x14ac:dyDescent="0.2">
      <c r="A791" s="34"/>
      <c r="B791" s="34"/>
      <c r="C791" s="34"/>
      <c r="D791" s="34"/>
      <c r="E791" s="19"/>
      <c r="F791" s="19"/>
      <c r="G791" s="19"/>
      <c r="H791" s="19"/>
      <c r="I791" s="19"/>
      <c r="J791" s="19"/>
      <c r="K791" s="19"/>
      <c r="L791" s="19"/>
      <c r="M791" s="19"/>
      <c r="N791" s="19"/>
      <c r="O791" s="19"/>
      <c r="P791" s="20"/>
      <c r="Q791" s="20"/>
      <c r="R791" s="22"/>
      <c r="S791" s="22"/>
      <c r="T791" s="20"/>
      <c r="U791" s="20"/>
      <c r="V791" s="20"/>
      <c r="W791" s="19"/>
      <c r="X791" s="19"/>
      <c r="Y791" s="19"/>
      <c r="Z791" s="23"/>
    </row>
    <row r="792" spans="1:26" ht="15.75" customHeight="1" x14ac:dyDescent="0.2">
      <c r="A792" s="34"/>
      <c r="B792" s="34"/>
      <c r="C792" s="34"/>
      <c r="D792" s="34"/>
      <c r="E792" s="19"/>
      <c r="F792" s="19"/>
      <c r="G792" s="19"/>
      <c r="H792" s="19"/>
      <c r="I792" s="19"/>
      <c r="J792" s="19"/>
      <c r="K792" s="19"/>
      <c r="L792" s="19"/>
      <c r="M792" s="19"/>
      <c r="N792" s="19"/>
      <c r="O792" s="19"/>
      <c r="P792" s="20"/>
      <c r="Q792" s="20"/>
      <c r="R792" s="22"/>
      <c r="S792" s="22"/>
      <c r="T792" s="20"/>
      <c r="U792" s="20"/>
      <c r="V792" s="20"/>
      <c r="W792" s="19"/>
      <c r="X792" s="19"/>
      <c r="Y792" s="19"/>
      <c r="Z792" s="23"/>
    </row>
    <row r="793" spans="1:26" ht="15.75" customHeight="1" x14ac:dyDescent="0.2">
      <c r="A793" s="34"/>
      <c r="B793" s="34"/>
      <c r="C793" s="34"/>
      <c r="D793" s="34"/>
      <c r="E793" s="19"/>
      <c r="F793" s="19"/>
      <c r="G793" s="19"/>
      <c r="H793" s="19"/>
      <c r="I793" s="19"/>
      <c r="J793" s="19"/>
      <c r="K793" s="19"/>
      <c r="L793" s="19"/>
      <c r="M793" s="19"/>
      <c r="N793" s="19"/>
      <c r="O793" s="19"/>
      <c r="P793" s="20"/>
      <c r="Q793" s="20"/>
      <c r="R793" s="22"/>
      <c r="S793" s="22"/>
      <c r="T793" s="20"/>
      <c r="U793" s="20"/>
      <c r="V793" s="20"/>
      <c r="W793" s="19"/>
      <c r="X793" s="19"/>
      <c r="Y793" s="19"/>
      <c r="Z793" s="23"/>
    </row>
    <row r="794" spans="1:26" ht="15.75" customHeight="1" x14ac:dyDescent="0.2">
      <c r="A794" s="34"/>
      <c r="B794" s="34"/>
      <c r="C794" s="34"/>
      <c r="D794" s="34"/>
      <c r="E794" s="19"/>
      <c r="F794" s="19"/>
      <c r="G794" s="19"/>
      <c r="H794" s="19"/>
      <c r="I794" s="19"/>
      <c r="J794" s="19"/>
      <c r="K794" s="19"/>
      <c r="L794" s="19"/>
      <c r="M794" s="19"/>
      <c r="N794" s="19"/>
      <c r="O794" s="19"/>
      <c r="P794" s="20"/>
      <c r="Q794" s="20"/>
      <c r="R794" s="22"/>
      <c r="S794" s="22"/>
      <c r="T794" s="20"/>
      <c r="U794" s="20"/>
      <c r="V794" s="20"/>
      <c r="W794" s="19"/>
      <c r="X794" s="19"/>
      <c r="Y794" s="19"/>
      <c r="Z794" s="23"/>
    </row>
    <row r="795" spans="1:26" ht="15.75" customHeight="1" x14ac:dyDescent="0.2">
      <c r="A795" s="34"/>
      <c r="B795" s="34"/>
      <c r="C795" s="34"/>
      <c r="D795" s="34"/>
      <c r="E795" s="19"/>
      <c r="F795" s="19"/>
      <c r="G795" s="19"/>
      <c r="H795" s="19"/>
      <c r="I795" s="19"/>
      <c r="J795" s="19"/>
      <c r="K795" s="19"/>
      <c r="L795" s="19"/>
      <c r="M795" s="19"/>
      <c r="N795" s="19"/>
      <c r="O795" s="19"/>
      <c r="P795" s="20"/>
      <c r="Q795" s="20"/>
      <c r="R795" s="22"/>
      <c r="S795" s="22"/>
      <c r="T795" s="20"/>
      <c r="U795" s="20"/>
      <c r="V795" s="20"/>
      <c r="W795" s="19"/>
      <c r="X795" s="19"/>
      <c r="Y795" s="19"/>
      <c r="Z795" s="23"/>
    </row>
    <row r="796" spans="1:26" ht="15.75" customHeight="1" x14ac:dyDescent="0.2">
      <c r="A796" s="34"/>
      <c r="B796" s="34"/>
      <c r="C796" s="34"/>
      <c r="D796" s="34"/>
      <c r="E796" s="19"/>
      <c r="F796" s="19"/>
      <c r="G796" s="19"/>
      <c r="H796" s="19"/>
      <c r="I796" s="19"/>
      <c r="J796" s="19"/>
      <c r="K796" s="19"/>
      <c r="L796" s="19"/>
      <c r="M796" s="19"/>
      <c r="N796" s="19"/>
      <c r="O796" s="19"/>
      <c r="P796" s="20"/>
      <c r="Q796" s="20"/>
      <c r="R796" s="22"/>
      <c r="S796" s="22"/>
      <c r="T796" s="20"/>
      <c r="U796" s="20"/>
      <c r="V796" s="20"/>
      <c r="W796" s="19"/>
      <c r="X796" s="19"/>
      <c r="Y796" s="19"/>
      <c r="Z796" s="23"/>
    </row>
    <row r="797" spans="1:26" ht="15.75" customHeight="1" x14ac:dyDescent="0.2">
      <c r="A797" s="34"/>
      <c r="B797" s="34"/>
      <c r="C797" s="34"/>
      <c r="D797" s="34"/>
      <c r="E797" s="19"/>
      <c r="F797" s="19"/>
      <c r="G797" s="19"/>
      <c r="H797" s="19"/>
      <c r="I797" s="19"/>
      <c r="J797" s="19"/>
      <c r="K797" s="19"/>
      <c r="L797" s="19"/>
      <c r="M797" s="19"/>
      <c r="N797" s="19"/>
      <c r="O797" s="19"/>
      <c r="P797" s="20"/>
      <c r="Q797" s="20"/>
      <c r="R797" s="22"/>
      <c r="S797" s="22"/>
      <c r="T797" s="20"/>
      <c r="U797" s="20"/>
      <c r="V797" s="20"/>
      <c r="W797" s="19"/>
      <c r="X797" s="19"/>
      <c r="Y797" s="19"/>
      <c r="Z797" s="23"/>
    </row>
    <row r="798" spans="1:26" ht="15.75" customHeight="1" x14ac:dyDescent="0.2">
      <c r="A798" s="34"/>
      <c r="B798" s="34"/>
      <c r="C798" s="34"/>
      <c r="D798" s="34"/>
      <c r="E798" s="19"/>
      <c r="F798" s="19"/>
      <c r="G798" s="19"/>
      <c r="H798" s="19"/>
      <c r="I798" s="19"/>
      <c r="J798" s="19"/>
      <c r="K798" s="19"/>
      <c r="L798" s="19"/>
      <c r="M798" s="19"/>
      <c r="N798" s="19"/>
      <c r="O798" s="19"/>
      <c r="P798" s="20"/>
      <c r="Q798" s="20"/>
      <c r="R798" s="22"/>
      <c r="S798" s="22"/>
      <c r="T798" s="20"/>
      <c r="U798" s="20"/>
      <c r="V798" s="20"/>
      <c r="W798" s="19"/>
      <c r="X798" s="19"/>
      <c r="Y798" s="19"/>
      <c r="Z798" s="23"/>
    </row>
    <row r="799" spans="1:26" ht="15.75" customHeight="1" x14ac:dyDescent="0.2">
      <c r="A799" s="34"/>
      <c r="B799" s="34"/>
      <c r="C799" s="34"/>
      <c r="D799" s="34"/>
      <c r="E799" s="19"/>
      <c r="F799" s="19"/>
      <c r="G799" s="19"/>
      <c r="H799" s="19"/>
      <c r="I799" s="19"/>
      <c r="J799" s="19"/>
      <c r="K799" s="19"/>
      <c r="L799" s="19"/>
      <c r="M799" s="19"/>
      <c r="N799" s="19"/>
      <c r="O799" s="19"/>
      <c r="P799" s="20"/>
      <c r="Q799" s="20"/>
      <c r="R799" s="22"/>
      <c r="S799" s="22"/>
      <c r="T799" s="20"/>
      <c r="U799" s="20"/>
      <c r="V799" s="20"/>
      <c r="W799" s="19"/>
      <c r="X799" s="19"/>
      <c r="Y799" s="19"/>
      <c r="Z799" s="23"/>
    </row>
    <row r="800" spans="1:26" ht="15.75" customHeight="1" x14ac:dyDescent="0.2">
      <c r="A800" s="34"/>
      <c r="B800" s="34"/>
      <c r="C800" s="34"/>
      <c r="D800" s="34"/>
      <c r="E800" s="19"/>
      <c r="F800" s="19"/>
      <c r="G800" s="19"/>
      <c r="H800" s="19"/>
      <c r="I800" s="19"/>
      <c r="J800" s="19"/>
      <c r="K800" s="19"/>
      <c r="L800" s="19"/>
      <c r="M800" s="19"/>
      <c r="N800" s="19"/>
      <c r="O800" s="19"/>
      <c r="P800" s="20"/>
      <c r="Q800" s="20"/>
      <c r="R800" s="22"/>
      <c r="S800" s="22"/>
      <c r="T800" s="20"/>
      <c r="U800" s="20"/>
      <c r="V800" s="20"/>
      <c r="W800" s="19"/>
      <c r="X800" s="19"/>
      <c r="Y800" s="19"/>
      <c r="Z800" s="23"/>
    </row>
    <row r="801" spans="1:26" ht="15.75" customHeight="1" x14ac:dyDescent="0.2">
      <c r="A801" s="34"/>
      <c r="B801" s="34"/>
      <c r="C801" s="34"/>
      <c r="D801" s="34"/>
      <c r="E801" s="19"/>
      <c r="F801" s="19"/>
      <c r="G801" s="19"/>
      <c r="H801" s="19"/>
      <c r="I801" s="19"/>
      <c r="J801" s="19"/>
      <c r="K801" s="19"/>
      <c r="L801" s="19"/>
      <c r="M801" s="19"/>
      <c r="N801" s="19"/>
      <c r="O801" s="19"/>
      <c r="P801" s="20"/>
      <c r="Q801" s="20"/>
      <c r="R801" s="22"/>
      <c r="S801" s="22"/>
      <c r="T801" s="20"/>
      <c r="U801" s="20"/>
      <c r="V801" s="20"/>
      <c r="W801" s="19"/>
      <c r="X801" s="19"/>
      <c r="Y801" s="19"/>
      <c r="Z801" s="23"/>
    </row>
    <row r="802" spans="1:26" ht="15.75" customHeight="1" x14ac:dyDescent="0.2">
      <c r="A802" s="34"/>
      <c r="B802" s="34"/>
      <c r="C802" s="34"/>
      <c r="D802" s="34"/>
      <c r="E802" s="19"/>
      <c r="F802" s="19"/>
      <c r="G802" s="19"/>
      <c r="H802" s="19"/>
      <c r="I802" s="19"/>
      <c r="J802" s="19"/>
      <c r="K802" s="19"/>
      <c r="L802" s="19"/>
      <c r="M802" s="19"/>
      <c r="N802" s="19"/>
      <c r="O802" s="19"/>
      <c r="P802" s="20"/>
      <c r="Q802" s="20"/>
      <c r="R802" s="22"/>
      <c r="S802" s="22"/>
      <c r="T802" s="20"/>
      <c r="U802" s="20"/>
      <c r="V802" s="20"/>
      <c r="W802" s="19"/>
      <c r="X802" s="19"/>
      <c r="Y802" s="19"/>
      <c r="Z802" s="23"/>
    </row>
    <row r="803" spans="1:26" ht="15.75" customHeight="1" x14ac:dyDescent="0.2">
      <c r="A803" s="34"/>
      <c r="B803" s="34"/>
      <c r="C803" s="34"/>
      <c r="D803" s="34"/>
      <c r="E803" s="19"/>
      <c r="F803" s="19"/>
      <c r="G803" s="19"/>
      <c r="H803" s="19"/>
      <c r="I803" s="19"/>
      <c r="J803" s="19"/>
      <c r="K803" s="19"/>
      <c r="L803" s="19"/>
      <c r="M803" s="19"/>
      <c r="N803" s="19"/>
      <c r="O803" s="19"/>
      <c r="P803" s="20"/>
      <c r="Q803" s="20"/>
      <c r="R803" s="22"/>
      <c r="S803" s="22"/>
      <c r="T803" s="20"/>
      <c r="U803" s="20"/>
      <c r="V803" s="20"/>
      <c r="W803" s="19"/>
      <c r="X803" s="19"/>
      <c r="Y803" s="19"/>
      <c r="Z803" s="23"/>
    </row>
    <row r="804" spans="1:26" ht="15.75" customHeight="1" x14ac:dyDescent="0.2">
      <c r="A804" s="34"/>
      <c r="B804" s="34"/>
      <c r="C804" s="34"/>
      <c r="D804" s="34"/>
      <c r="E804" s="19"/>
      <c r="F804" s="19"/>
      <c r="G804" s="19"/>
      <c r="H804" s="19"/>
      <c r="I804" s="19"/>
      <c r="J804" s="19"/>
      <c r="K804" s="19"/>
      <c r="L804" s="19"/>
      <c r="M804" s="19"/>
      <c r="N804" s="19"/>
      <c r="O804" s="19"/>
      <c r="P804" s="20"/>
      <c r="Q804" s="20"/>
      <c r="R804" s="22"/>
      <c r="S804" s="22"/>
      <c r="T804" s="20"/>
      <c r="U804" s="20"/>
      <c r="V804" s="20"/>
      <c r="W804" s="19"/>
      <c r="X804" s="19"/>
      <c r="Y804" s="19"/>
      <c r="Z804" s="23"/>
    </row>
    <row r="805" spans="1:26" ht="15.75" customHeight="1" x14ac:dyDescent="0.2">
      <c r="A805" s="34"/>
      <c r="B805" s="34"/>
      <c r="C805" s="34"/>
      <c r="D805" s="34"/>
      <c r="E805" s="19"/>
      <c r="F805" s="19"/>
      <c r="G805" s="19"/>
      <c r="H805" s="19"/>
      <c r="I805" s="19"/>
      <c r="J805" s="19"/>
      <c r="K805" s="19"/>
      <c r="L805" s="19"/>
      <c r="M805" s="19"/>
      <c r="N805" s="19"/>
      <c r="O805" s="19"/>
      <c r="P805" s="20"/>
      <c r="Q805" s="20"/>
      <c r="R805" s="22"/>
      <c r="S805" s="22"/>
      <c r="T805" s="20"/>
      <c r="U805" s="20"/>
      <c r="V805" s="20"/>
      <c r="W805" s="19"/>
      <c r="X805" s="19"/>
      <c r="Y805" s="19"/>
      <c r="Z805" s="23"/>
    </row>
    <row r="806" spans="1:26" ht="15.75" customHeight="1" x14ac:dyDescent="0.2">
      <c r="A806" s="34"/>
      <c r="B806" s="34"/>
      <c r="C806" s="34"/>
      <c r="D806" s="34"/>
      <c r="E806" s="19"/>
      <c r="F806" s="19"/>
      <c r="G806" s="19"/>
      <c r="H806" s="19"/>
      <c r="I806" s="19"/>
      <c r="J806" s="19"/>
      <c r="K806" s="19"/>
      <c r="L806" s="19"/>
      <c r="M806" s="19"/>
      <c r="N806" s="19"/>
      <c r="O806" s="19"/>
      <c r="P806" s="20"/>
      <c r="Q806" s="20"/>
      <c r="R806" s="22"/>
      <c r="S806" s="22"/>
      <c r="T806" s="20"/>
      <c r="U806" s="20"/>
      <c r="V806" s="20"/>
      <c r="W806" s="19"/>
      <c r="X806" s="19"/>
      <c r="Y806" s="19"/>
      <c r="Z806" s="23"/>
    </row>
    <row r="807" spans="1:26" ht="15.75" customHeight="1" x14ac:dyDescent="0.2">
      <c r="A807" s="34"/>
      <c r="B807" s="34"/>
      <c r="C807" s="34"/>
      <c r="D807" s="34"/>
      <c r="E807" s="19"/>
      <c r="F807" s="19"/>
      <c r="G807" s="19"/>
      <c r="H807" s="19"/>
      <c r="I807" s="19"/>
      <c r="J807" s="19"/>
      <c r="K807" s="19"/>
      <c r="L807" s="19"/>
      <c r="M807" s="19"/>
      <c r="N807" s="19"/>
      <c r="O807" s="19"/>
      <c r="P807" s="20"/>
      <c r="Q807" s="20"/>
      <c r="R807" s="22"/>
      <c r="S807" s="22"/>
      <c r="T807" s="20"/>
      <c r="U807" s="20"/>
      <c r="V807" s="20"/>
      <c r="W807" s="19"/>
      <c r="X807" s="19"/>
      <c r="Y807" s="19"/>
      <c r="Z807" s="23"/>
    </row>
    <row r="808" spans="1:26" ht="15.75" customHeight="1" x14ac:dyDescent="0.2">
      <c r="A808" s="34"/>
      <c r="B808" s="34"/>
      <c r="C808" s="34"/>
      <c r="D808" s="34"/>
      <c r="E808" s="19"/>
      <c r="F808" s="19"/>
      <c r="G808" s="19"/>
      <c r="H808" s="19"/>
      <c r="I808" s="19"/>
      <c r="J808" s="19"/>
      <c r="K808" s="19"/>
      <c r="L808" s="19"/>
      <c r="M808" s="19"/>
      <c r="N808" s="19"/>
      <c r="O808" s="19"/>
      <c r="P808" s="20"/>
      <c r="Q808" s="20"/>
      <c r="R808" s="22"/>
      <c r="S808" s="22"/>
      <c r="T808" s="20"/>
      <c r="U808" s="20"/>
      <c r="V808" s="20"/>
      <c r="W808" s="19"/>
      <c r="X808" s="19"/>
      <c r="Y808" s="19"/>
      <c r="Z808" s="23"/>
    </row>
    <row r="809" spans="1:26" ht="15.75" customHeight="1" x14ac:dyDescent="0.2">
      <c r="A809" s="34"/>
      <c r="B809" s="34"/>
      <c r="C809" s="34"/>
      <c r="D809" s="34"/>
      <c r="E809" s="19"/>
      <c r="F809" s="19"/>
      <c r="G809" s="19"/>
      <c r="H809" s="19"/>
      <c r="I809" s="19"/>
      <c r="J809" s="19"/>
      <c r="K809" s="19"/>
      <c r="L809" s="19"/>
      <c r="M809" s="19"/>
      <c r="N809" s="19"/>
      <c r="O809" s="19"/>
      <c r="P809" s="20"/>
      <c r="Q809" s="20"/>
      <c r="R809" s="22"/>
      <c r="S809" s="22"/>
      <c r="T809" s="20"/>
      <c r="U809" s="20"/>
      <c r="V809" s="20"/>
      <c r="W809" s="19"/>
      <c r="X809" s="19"/>
      <c r="Y809" s="19"/>
      <c r="Z809" s="23"/>
    </row>
    <row r="810" spans="1:26" ht="15.75" customHeight="1" x14ac:dyDescent="0.2">
      <c r="A810" s="34"/>
      <c r="B810" s="34"/>
      <c r="C810" s="34"/>
      <c r="D810" s="34"/>
      <c r="E810" s="19"/>
      <c r="F810" s="19"/>
      <c r="G810" s="19"/>
      <c r="H810" s="19"/>
      <c r="I810" s="19"/>
      <c r="J810" s="19"/>
      <c r="K810" s="19"/>
      <c r="L810" s="19"/>
      <c r="M810" s="19"/>
      <c r="N810" s="19"/>
      <c r="O810" s="19"/>
      <c r="P810" s="20"/>
      <c r="Q810" s="20"/>
      <c r="R810" s="22"/>
      <c r="S810" s="22"/>
      <c r="T810" s="20"/>
      <c r="U810" s="20"/>
      <c r="V810" s="20"/>
      <c r="W810" s="19"/>
      <c r="X810" s="19"/>
      <c r="Y810" s="19"/>
      <c r="Z810" s="23"/>
    </row>
    <row r="811" spans="1:26" ht="15.75" customHeight="1" x14ac:dyDescent="0.2">
      <c r="A811" s="34"/>
      <c r="B811" s="34"/>
      <c r="C811" s="34"/>
      <c r="D811" s="34"/>
      <c r="E811" s="19"/>
      <c r="F811" s="19"/>
      <c r="G811" s="19"/>
      <c r="H811" s="19"/>
      <c r="I811" s="19"/>
      <c r="J811" s="19"/>
      <c r="K811" s="19"/>
      <c r="L811" s="19"/>
      <c r="M811" s="19"/>
      <c r="N811" s="19"/>
      <c r="O811" s="19"/>
      <c r="P811" s="20"/>
      <c r="Q811" s="20"/>
      <c r="R811" s="22"/>
      <c r="S811" s="22"/>
      <c r="T811" s="20"/>
      <c r="U811" s="20"/>
      <c r="V811" s="20"/>
      <c r="W811" s="19"/>
      <c r="X811" s="19"/>
      <c r="Y811" s="19"/>
      <c r="Z811" s="23"/>
    </row>
    <row r="812" spans="1:26" ht="15.75" customHeight="1" x14ac:dyDescent="0.2">
      <c r="A812" s="34"/>
      <c r="B812" s="34"/>
      <c r="C812" s="34"/>
      <c r="D812" s="34"/>
      <c r="E812" s="19"/>
      <c r="F812" s="19"/>
      <c r="G812" s="19"/>
      <c r="H812" s="19"/>
      <c r="I812" s="19"/>
      <c r="J812" s="19"/>
      <c r="K812" s="19"/>
      <c r="L812" s="19"/>
      <c r="M812" s="19"/>
      <c r="N812" s="19"/>
      <c r="O812" s="19"/>
      <c r="P812" s="20"/>
      <c r="Q812" s="20"/>
      <c r="R812" s="22"/>
      <c r="S812" s="22"/>
      <c r="T812" s="20"/>
      <c r="U812" s="20"/>
      <c r="V812" s="20"/>
      <c r="W812" s="19"/>
      <c r="X812" s="19"/>
      <c r="Y812" s="19"/>
      <c r="Z812" s="23"/>
    </row>
    <row r="813" spans="1:26" ht="15.75" customHeight="1" x14ac:dyDescent="0.2">
      <c r="A813" s="34"/>
      <c r="B813" s="34"/>
      <c r="C813" s="34"/>
      <c r="D813" s="34"/>
      <c r="E813" s="19"/>
      <c r="F813" s="19"/>
      <c r="G813" s="19"/>
      <c r="H813" s="19"/>
      <c r="I813" s="19"/>
      <c r="J813" s="19"/>
      <c r="K813" s="19"/>
      <c r="L813" s="19"/>
      <c r="M813" s="19"/>
      <c r="N813" s="19"/>
      <c r="O813" s="19"/>
      <c r="P813" s="20"/>
      <c r="Q813" s="20"/>
      <c r="R813" s="22"/>
      <c r="S813" s="22"/>
      <c r="T813" s="20"/>
      <c r="U813" s="20"/>
      <c r="V813" s="20"/>
      <c r="W813" s="19"/>
      <c r="X813" s="19"/>
      <c r="Y813" s="19"/>
      <c r="Z813" s="23"/>
    </row>
    <row r="814" spans="1:26" ht="15.75" customHeight="1" x14ac:dyDescent="0.2">
      <c r="A814" s="34"/>
      <c r="B814" s="34"/>
      <c r="C814" s="34"/>
      <c r="D814" s="34"/>
      <c r="E814" s="19"/>
      <c r="F814" s="19"/>
      <c r="G814" s="19"/>
      <c r="H814" s="19"/>
      <c r="I814" s="19"/>
      <c r="J814" s="19"/>
      <c r="K814" s="19"/>
      <c r="L814" s="19"/>
      <c r="M814" s="19"/>
      <c r="N814" s="19"/>
      <c r="O814" s="19"/>
      <c r="P814" s="20"/>
      <c r="Q814" s="20"/>
      <c r="R814" s="22"/>
      <c r="S814" s="22"/>
      <c r="T814" s="20"/>
      <c r="U814" s="20"/>
      <c r="V814" s="20"/>
      <c r="W814" s="19"/>
      <c r="X814" s="19"/>
      <c r="Y814" s="19"/>
      <c r="Z814" s="23"/>
    </row>
    <row r="815" spans="1:26" ht="15.75" customHeight="1" x14ac:dyDescent="0.2">
      <c r="A815" s="34"/>
      <c r="B815" s="34"/>
      <c r="C815" s="34"/>
      <c r="D815" s="34"/>
      <c r="E815" s="19"/>
      <c r="F815" s="19"/>
      <c r="G815" s="19"/>
      <c r="H815" s="19"/>
      <c r="I815" s="19"/>
      <c r="J815" s="19"/>
      <c r="K815" s="19"/>
      <c r="L815" s="19"/>
      <c r="M815" s="19"/>
      <c r="N815" s="19"/>
      <c r="O815" s="19"/>
      <c r="P815" s="20"/>
      <c r="Q815" s="20"/>
      <c r="R815" s="22"/>
      <c r="S815" s="22"/>
      <c r="T815" s="20"/>
      <c r="U815" s="20"/>
      <c r="V815" s="20"/>
      <c r="W815" s="19"/>
      <c r="X815" s="19"/>
      <c r="Y815" s="19"/>
      <c r="Z815" s="23"/>
    </row>
    <row r="816" spans="1:26" ht="15.75" customHeight="1" x14ac:dyDescent="0.2">
      <c r="A816" s="34"/>
      <c r="B816" s="34"/>
      <c r="C816" s="34"/>
      <c r="D816" s="34"/>
      <c r="E816" s="19"/>
      <c r="F816" s="19"/>
      <c r="G816" s="19"/>
      <c r="H816" s="19"/>
      <c r="I816" s="19"/>
      <c r="J816" s="19"/>
      <c r="K816" s="19"/>
      <c r="L816" s="19"/>
      <c r="M816" s="19"/>
      <c r="N816" s="19"/>
      <c r="O816" s="19"/>
      <c r="P816" s="20"/>
      <c r="Q816" s="20"/>
      <c r="R816" s="22"/>
      <c r="S816" s="22"/>
      <c r="T816" s="20"/>
      <c r="U816" s="20"/>
      <c r="V816" s="20"/>
      <c r="W816" s="19"/>
      <c r="X816" s="19"/>
      <c r="Y816" s="19"/>
      <c r="Z816" s="23"/>
    </row>
    <row r="817" spans="1:26" ht="15.75" customHeight="1" x14ac:dyDescent="0.2">
      <c r="A817" s="34"/>
      <c r="B817" s="34"/>
      <c r="C817" s="34"/>
      <c r="D817" s="34"/>
      <c r="E817" s="19"/>
      <c r="F817" s="19"/>
      <c r="G817" s="19"/>
      <c r="H817" s="19"/>
      <c r="I817" s="19"/>
      <c r="J817" s="19"/>
      <c r="K817" s="19"/>
      <c r="L817" s="19"/>
      <c r="M817" s="19"/>
      <c r="N817" s="19"/>
      <c r="O817" s="19"/>
      <c r="P817" s="20"/>
      <c r="Q817" s="20"/>
      <c r="R817" s="22"/>
      <c r="S817" s="22"/>
      <c r="T817" s="20"/>
      <c r="U817" s="20"/>
      <c r="V817" s="20"/>
      <c r="W817" s="19"/>
      <c r="X817" s="19"/>
      <c r="Y817" s="19"/>
      <c r="Z817" s="23"/>
    </row>
    <row r="818" spans="1:26" ht="15.75" customHeight="1" x14ac:dyDescent="0.2">
      <c r="A818" s="34"/>
      <c r="B818" s="34"/>
      <c r="C818" s="34"/>
      <c r="D818" s="34"/>
      <c r="E818" s="19"/>
      <c r="F818" s="19"/>
      <c r="G818" s="19"/>
      <c r="H818" s="19"/>
      <c r="I818" s="19"/>
      <c r="J818" s="19"/>
      <c r="K818" s="19"/>
      <c r="L818" s="19"/>
      <c r="M818" s="19"/>
      <c r="N818" s="19"/>
      <c r="O818" s="19"/>
      <c r="P818" s="20"/>
      <c r="Q818" s="20"/>
      <c r="R818" s="22"/>
      <c r="S818" s="22"/>
      <c r="T818" s="20"/>
      <c r="U818" s="20"/>
      <c r="V818" s="20"/>
      <c r="W818" s="19"/>
      <c r="X818" s="19"/>
      <c r="Y818" s="19"/>
      <c r="Z818" s="23"/>
    </row>
    <row r="819" spans="1:26" ht="15.75" customHeight="1" x14ac:dyDescent="0.2">
      <c r="A819" s="34"/>
      <c r="B819" s="34"/>
      <c r="C819" s="34"/>
      <c r="D819" s="34"/>
      <c r="E819" s="19"/>
      <c r="F819" s="19"/>
      <c r="G819" s="19"/>
      <c r="H819" s="19"/>
      <c r="I819" s="19"/>
      <c r="J819" s="19"/>
      <c r="K819" s="19"/>
      <c r="L819" s="19"/>
      <c r="M819" s="19"/>
      <c r="N819" s="19"/>
      <c r="O819" s="19"/>
      <c r="P819" s="20"/>
      <c r="Q819" s="20"/>
      <c r="R819" s="22"/>
      <c r="S819" s="22"/>
      <c r="T819" s="20"/>
      <c r="U819" s="20"/>
      <c r="V819" s="20"/>
      <c r="W819" s="19"/>
      <c r="X819" s="19"/>
      <c r="Y819" s="19"/>
      <c r="Z819" s="23"/>
    </row>
    <row r="820" spans="1:26" ht="15.75" customHeight="1" x14ac:dyDescent="0.2">
      <c r="A820" s="34"/>
      <c r="B820" s="34"/>
      <c r="C820" s="34"/>
      <c r="D820" s="34"/>
      <c r="E820" s="19"/>
      <c r="F820" s="19"/>
      <c r="G820" s="19"/>
      <c r="H820" s="19"/>
      <c r="I820" s="19"/>
      <c r="J820" s="19"/>
      <c r="K820" s="19"/>
      <c r="L820" s="19"/>
      <c r="M820" s="19"/>
      <c r="N820" s="19"/>
      <c r="O820" s="19"/>
      <c r="P820" s="20"/>
      <c r="Q820" s="20"/>
      <c r="R820" s="22"/>
      <c r="S820" s="22"/>
      <c r="T820" s="20"/>
      <c r="U820" s="20"/>
      <c r="V820" s="20"/>
      <c r="W820" s="19"/>
      <c r="X820" s="19"/>
      <c r="Y820" s="19"/>
      <c r="Z820" s="23"/>
    </row>
    <row r="821" spans="1:26" ht="15.75" customHeight="1" x14ac:dyDescent="0.2">
      <c r="A821" s="34"/>
      <c r="B821" s="34"/>
      <c r="C821" s="34"/>
      <c r="D821" s="34"/>
      <c r="E821" s="19"/>
      <c r="F821" s="19"/>
      <c r="G821" s="19"/>
      <c r="H821" s="19"/>
      <c r="I821" s="19"/>
      <c r="J821" s="19"/>
      <c r="K821" s="19"/>
      <c r="L821" s="19"/>
      <c r="M821" s="19"/>
      <c r="N821" s="19"/>
      <c r="O821" s="19"/>
      <c r="P821" s="20"/>
      <c r="Q821" s="20"/>
      <c r="R821" s="22"/>
      <c r="S821" s="22"/>
      <c r="T821" s="20"/>
      <c r="U821" s="20"/>
      <c r="V821" s="20"/>
      <c r="W821" s="19"/>
      <c r="X821" s="19"/>
      <c r="Y821" s="19"/>
      <c r="Z821" s="23"/>
    </row>
    <row r="822" spans="1:26" ht="15.75" customHeight="1" x14ac:dyDescent="0.2">
      <c r="A822" s="34"/>
      <c r="B822" s="34"/>
      <c r="C822" s="34"/>
      <c r="D822" s="34"/>
      <c r="E822" s="19"/>
      <c r="F822" s="19"/>
      <c r="G822" s="19"/>
      <c r="H822" s="19"/>
      <c r="I822" s="19"/>
      <c r="J822" s="19"/>
      <c r="K822" s="19"/>
      <c r="L822" s="19"/>
      <c r="M822" s="19"/>
      <c r="N822" s="19"/>
      <c r="O822" s="19"/>
      <c r="P822" s="20"/>
      <c r="Q822" s="20"/>
      <c r="R822" s="22"/>
      <c r="S822" s="22"/>
      <c r="T822" s="20"/>
      <c r="U822" s="20"/>
      <c r="V822" s="20"/>
      <c r="W822" s="19"/>
      <c r="X822" s="19"/>
      <c r="Y822" s="19"/>
      <c r="Z822" s="23"/>
    </row>
    <row r="823" spans="1:26" ht="15.75" customHeight="1" x14ac:dyDescent="0.2">
      <c r="A823" s="34"/>
      <c r="B823" s="34"/>
      <c r="C823" s="34"/>
      <c r="D823" s="34"/>
      <c r="E823" s="19"/>
      <c r="F823" s="19"/>
      <c r="G823" s="19"/>
      <c r="H823" s="19"/>
      <c r="I823" s="19"/>
      <c r="J823" s="19"/>
      <c r="K823" s="19"/>
      <c r="L823" s="19"/>
      <c r="M823" s="19"/>
      <c r="N823" s="19"/>
      <c r="O823" s="19"/>
      <c r="P823" s="20"/>
      <c r="Q823" s="20"/>
      <c r="R823" s="22"/>
      <c r="S823" s="22"/>
      <c r="T823" s="20"/>
      <c r="U823" s="20"/>
      <c r="V823" s="20"/>
      <c r="W823" s="19"/>
      <c r="X823" s="19"/>
      <c r="Y823" s="19"/>
      <c r="Z823" s="23"/>
    </row>
    <row r="824" spans="1:26" ht="15.75" customHeight="1" x14ac:dyDescent="0.2">
      <c r="A824" s="34"/>
      <c r="B824" s="34"/>
      <c r="C824" s="34"/>
      <c r="D824" s="34"/>
      <c r="E824" s="19"/>
      <c r="F824" s="19"/>
      <c r="G824" s="19"/>
      <c r="H824" s="19"/>
      <c r="I824" s="19"/>
      <c r="J824" s="19"/>
      <c r="K824" s="19"/>
      <c r="L824" s="19"/>
      <c r="M824" s="19"/>
      <c r="N824" s="19"/>
      <c r="O824" s="19"/>
      <c r="P824" s="20"/>
      <c r="Q824" s="20"/>
      <c r="R824" s="22"/>
      <c r="S824" s="22"/>
      <c r="T824" s="20"/>
      <c r="U824" s="20"/>
      <c r="V824" s="20"/>
      <c r="W824" s="19"/>
      <c r="X824" s="19"/>
      <c r="Y824" s="19"/>
      <c r="Z824" s="23"/>
    </row>
    <row r="825" spans="1:26" ht="15.75" customHeight="1" x14ac:dyDescent="0.2">
      <c r="A825" s="34"/>
      <c r="B825" s="34"/>
      <c r="C825" s="34"/>
      <c r="D825" s="34"/>
      <c r="E825" s="19"/>
      <c r="F825" s="19"/>
      <c r="G825" s="19"/>
      <c r="H825" s="19"/>
      <c r="I825" s="19"/>
      <c r="J825" s="19"/>
      <c r="K825" s="19"/>
      <c r="L825" s="19"/>
      <c r="M825" s="19"/>
      <c r="N825" s="19"/>
      <c r="O825" s="19"/>
      <c r="P825" s="20"/>
      <c r="Q825" s="20"/>
      <c r="R825" s="22"/>
      <c r="S825" s="22"/>
      <c r="T825" s="20"/>
      <c r="U825" s="20"/>
      <c r="V825" s="20"/>
      <c r="W825" s="19"/>
      <c r="X825" s="19"/>
      <c r="Y825" s="19"/>
      <c r="Z825" s="23"/>
    </row>
    <row r="826" spans="1:26" ht="15.75" customHeight="1" x14ac:dyDescent="0.2">
      <c r="A826" s="34"/>
      <c r="B826" s="34"/>
      <c r="C826" s="34"/>
      <c r="D826" s="34"/>
      <c r="E826" s="19"/>
      <c r="F826" s="19"/>
      <c r="G826" s="19"/>
      <c r="H826" s="19"/>
      <c r="I826" s="19"/>
      <c r="J826" s="19"/>
      <c r="K826" s="19"/>
      <c r="L826" s="19"/>
      <c r="M826" s="19"/>
      <c r="N826" s="19"/>
      <c r="O826" s="19"/>
      <c r="P826" s="20"/>
      <c r="Q826" s="20"/>
      <c r="R826" s="22"/>
      <c r="S826" s="22"/>
      <c r="T826" s="20"/>
      <c r="U826" s="20"/>
      <c r="V826" s="20"/>
      <c r="W826" s="19"/>
      <c r="X826" s="19"/>
      <c r="Y826" s="19"/>
      <c r="Z826" s="23"/>
    </row>
    <row r="827" spans="1:26" ht="15.75" customHeight="1" x14ac:dyDescent="0.2">
      <c r="A827" s="34"/>
      <c r="B827" s="34"/>
      <c r="C827" s="34"/>
      <c r="D827" s="34"/>
      <c r="E827" s="19"/>
      <c r="F827" s="19"/>
      <c r="G827" s="19"/>
      <c r="H827" s="19"/>
      <c r="I827" s="19"/>
      <c r="J827" s="19"/>
      <c r="K827" s="19"/>
      <c r="L827" s="19"/>
      <c r="M827" s="19"/>
      <c r="N827" s="19"/>
      <c r="O827" s="19"/>
      <c r="P827" s="20"/>
      <c r="Q827" s="20"/>
      <c r="R827" s="22"/>
      <c r="S827" s="22"/>
      <c r="T827" s="20"/>
      <c r="U827" s="20"/>
      <c r="V827" s="20"/>
      <c r="W827" s="19"/>
      <c r="X827" s="19"/>
      <c r="Y827" s="19"/>
      <c r="Z827" s="23"/>
    </row>
    <row r="828" spans="1:26" ht="15.75" customHeight="1" x14ac:dyDescent="0.2">
      <c r="A828" s="34"/>
      <c r="B828" s="34"/>
      <c r="C828" s="34"/>
      <c r="D828" s="34"/>
      <c r="E828" s="19"/>
      <c r="F828" s="19"/>
      <c r="G828" s="19"/>
      <c r="H828" s="19"/>
      <c r="I828" s="19"/>
      <c r="J828" s="19"/>
      <c r="K828" s="19"/>
      <c r="L828" s="19"/>
      <c r="M828" s="19"/>
      <c r="N828" s="19"/>
      <c r="O828" s="19"/>
      <c r="P828" s="20"/>
      <c r="Q828" s="20"/>
      <c r="R828" s="22"/>
      <c r="S828" s="22"/>
      <c r="T828" s="20"/>
      <c r="U828" s="20"/>
      <c r="V828" s="20"/>
      <c r="W828" s="19"/>
      <c r="X828" s="19"/>
      <c r="Y828" s="19"/>
      <c r="Z828" s="23"/>
    </row>
    <row r="829" spans="1:26" ht="15.75" customHeight="1" x14ac:dyDescent="0.2">
      <c r="A829" s="34"/>
      <c r="B829" s="34"/>
      <c r="C829" s="34"/>
      <c r="D829" s="34"/>
      <c r="E829" s="19"/>
      <c r="F829" s="19"/>
      <c r="G829" s="19"/>
      <c r="H829" s="19"/>
      <c r="I829" s="19"/>
      <c r="J829" s="19"/>
      <c r="K829" s="19"/>
      <c r="L829" s="19"/>
      <c r="M829" s="19"/>
      <c r="N829" s="19"/>
      <c r="O829" s="19"/>
      <c r="P829" s="20"/>
      <c r="Q829" s="20"/>
      <c r="R829" s="22"/>
      <c r="S829" s="22"/>
      <c r="T829" s="20"/>
      <c r="U829" s="20"/>
      <c r="V829" s="20"/>
      <c r="W829" s="19"/>
      <c r="X829" s="19"/>
      <c r="Y829" s="19"/>
      <c r="Z829" s="23"/>
    </row>
    <row r="830" spans="1:26" ht="15.75" customHeight="1" x14ac:dyDescent="0.2">
      <c r="A830" s="34"/>
      <c r="B830" s="34"/>
      <c r="C830" s="34"/>
      <c r="D830" s="34"/>
      <c r="E830" s="19"/>
      <c r="F830" s="19"/>
      <c r="G830" s="19"/>
      <c r="H830" s="19"/>
      <c r="I830" s="19"/>
      <c r="J830" s="19"/>
      <c r="K830" s="19"/>
      <c r="L830" s="19"/>
      <c r="M830" s="19"/>
      <c r="N830" s="19"/>
      <c r="O830" s="19"/>
      <c r="P830" s="20"/>
      <c r="Q830" s="20"/>
      <c r="R830" s="22"/>
      <c r="S830" s="22"/>
      <c r="T830" s="20"/>
      <c r="U830" s="20"/>
      <c r="V830" s="20"/>
      <c r="W830" s="19"/>
      <c r="X830" s="19"/>
      <c r="Y830" s="19"/>
      <c r="Z830" s="23"/>
    </row>
    <row r="831" spans="1:26" ht="15.75" customHeight="1" x14ac:dyDescent="0.2">
      <c r="A831" s="34"/>
      <c r="B831" s="34"/>
      <c r="C831" s="34"/>
      <c r="D831" s="34"/>
      <c r="E831" s="19"/>
      <c r="F831" s="19"/>
      <c r="G831" s="19"/>
      <c r="H831" s="19"/>
      <c r="I831" s="19"/>
      <c r="J831" s="19"/>
      <c r="K831" s="19"/>
      <c r="L831" s="19"/>
      <c r="M831" s="19"/>
      <c r="N831" s="19"/>
      <c r="O831" s="19"/>
      <c r="P831" s="20"/>
      <c r="Q831" s="20"/>
      <c r="R831" s="22"/>
      <c r="S831" s="22"/>
      <c r="T831" s="20"/>
      <c r="U831" s="20"/>
      <c r="V831" s="20"/>
      <c r="W831" s="19"/>
      <c r="X831" s="19"/>
      <c r="Y831" s="19"/>
      <c r="Z831" s="23"/>
    </row>
    <row r="832" spans="1:26" ht="15.75" customHeight="1" x14ac:dyDescent="0.2">
      <c r="A832" s="34"/>
      <c r="B832" s="34"/>
      <c r="C832" s="34"/>
      <c r="D832" s="34"/>
      <c r="E832" s="19"/>
      <c r="F832" s="19"/>
      <c r="G832" s="19"/>
      <c r="H832" s="19"/>
      <c r="I832" s="19"/>
      <c r="J832" s="19"/>
      <c r="K832" s="19"/>
      <c r="L832" s="19"/>
      <c r="M832" s="19"/>
      <c r="N832" s="19"/>
      <c r="O832" s="19"/>
      <c r="P832" s="20"/>
      <c r="Q832" s="20"/>
      <c r="R832" s="22"/>
      <c r="S832" s="22"/>
      <c r="T832" s="20"/>
      <c r="U832" s="20"/>
      <c r="V832" s="20"/>
      <c r="W832" s="19"/>
      <c r="X832" s="19"/>
      <c r="Y832" s="19"/>
      <c r="Z832" s="23"/>
    </row>
    <row r="833" spans="1:26" ht="15.75" customHeight="1" x14ac:dyDescent="0.2">
      <c r="A833" s="34"/>
      <c r="B833" s="34"/>
      <c r="C833" s="34"/>
      <c r="D833" s="34"/>
      <c r="E833" s="19"/>
      <c r="F833" s="19"/>
      <c r="G833" s="19"/>
      <c r="H833" s="19"/>
      <c r="I833" s="19"/>
      <c r="J833" s="19"/>
      <c r="K833" s="19"/>
      <c r="L833" s="19"/>
      <c r="M833" s="19"/>
      <c r="N833" s="19"/>
      <c r="O833" s="19"/>
      <c r="P833" s="20"/>
      <c r="Q833" s="20"/>
      <c r="R833" s="22"/>
      <c r="S833" s="22"/>
      <c r="T833" s="20"/>
      <c r="U833" s="20"/>
      <c r="V833" s="20"/>
      <c r="W833" s="19"/>
      <c r="X833" s="19"/>
      <c r="Y833" s="19"/>
      <c r="Z833" s="23"/>
    </row>
    <row r="834" spans="1:26" ht="15.75" customHeight="1" x14ac:dyDescent="0.2">
      <c r="A834" s="34"/>
      <c r="B834" s="34"/>
      <c r="C834" s="34"/>
      <c r="D834" s="34"/>
      <c r="E834" s="19"/>
      <c r="F834" s="19"/>
      <c r="G834" s="19"/>
      <c r="H834" s="19"/>
      <c r="I834" s="19"/>
      <c r="J834" s="19"/>
      <c r="K834" s="19"/>
      <c r="L834" s="19"/>
      <c r="M834" s="19"/>
      <c r="N834" s="19"/>
      <c r="O834" s="19"/>
      <c r="P834" s="20"/>
      <c r="Q834" s="20"/>
      <c r="R834" s="22"/>
      <c r="S834" s="22"/>
      <c r="T834" s="20"/>
      <c r="U834" s="20"/>
      <c r="V834" s="20"/>
      <c r="W834" s="19"/>
      <c r="X834" s="19"/>
      <c r="Y834" s="19"/>
      <c r="Z834" s="23"/>
    </row>
    <row r="835" spans="1:26" ht="15.75" customHeight="1" x14ac:dyDescent="0.2">
      <c r="A835" s="34"/>
      <c r="B835" s="34"/>
      <c r="C835" s="34"/>
      <c r="D835" s="34"/>
      <c r="E835" s="19"/>
      <c r="F835" s="19"/>
      <c r="G835" s="19"/>
      <c r="H835" s="19"/>
      <c r="I835" s="19"/>
      <c r="J835" s="19"/>
      <c r="K835" s="19"/>
      <c r="L835" s="19"/>
      <c r="M835" s="19"/>
      <c r="N835" s="19"/>
      <c r="O835" s="19"/>
      <c r="P835" s="20"/>
      <c r="Q835" s="20"/>
      <c r="R835" s="22"/>
      <c r="S835" s="22"/>
      <c r="T835" s="20"/>
      <c r="U835" s="20"/>
      <c r="V835" s="20"/>
      <c r="W835" s="19"/>
      <c r="X835" s="19"/>
      <c r="Y835" s="19"/>
      <c r="Z835" s="23"/>
    </row>
    <row r="836" spans="1:26" ht="15.75" customHeight="1" x14ac:dyDescent="0.2">
      <c r="A836" s="34"/>
      <c r="B836" s="34"/>
      <c r="C836" s="34"/>
      <c r="D836" s="34"/>
      <c r="E836" s="19"/>
      <c r="F836" s="19"/>
      <c r="G836" s="19"/>
      <c r="H836" s="19"/>
      <c r="I836" s="19"/>
      <c r="J836" s="19"/>
      <c r="K836" s="19"/>
      <c r="L836" s="19"/>
      <c r="M836" s="19"/>
      <c r="N836" s="19"/>
      <c r="O836" s="19"/>
      <c r="P836" s="20"/>
      <c r="Q836" s="20"/>
      <c r="R836" s="22"/>
      <c r="S836" s="22"/>
      <c r="T836" s="20"/>
      <c r="U836" s="20"/>
      <c r="V836" s="20"/>
      <c r="W836" s="19"/>
      <c r="X836" s="19"/>
      <c r="Y836" s="19"/>
      <c r="Z836" s="23"/>
    </row>
    <row r="837" spans="1:26" ht="15.75" customHeight="1" x14ac:dyDescent="0.2">
      <c r="A837" s="34"/>
      <c r="B837" s="34"/>
      <c r="C837" s="34"/>
      <c r="D837" s="34"/>
      <c r="E837" s="19"/>
      <c r="F837" s="19"/>
      <c r="G837" s="19"/>
      <c r="H837" s="19"/>
      <c r="I837" s="19"/>
      <c r="J837" s="19"/>
      <c r="K837" s="19"/>
      <c r="L837" s="19"/>
      <c r="M837" s="19"/>
      <c r="N837" s="19"/>
      <c r="O837" s="19"/>
      <c r="P837" s="20"/>
      <c r="Q837" s="20"/>
      <c r="R837" s="22"/>
      <c r="S837" s="22"/>
      <c r="T837" s="20"/>
      <c r="U837" s="20"/>
      <c r="V837" s="20"/>
      <c r="W837" s="19"/>
      <c r="X837" s="19"/>
      <c r="Y837" s="19"/>
      <c r="Z837" s="23"/>
    </row>
    <row r="838" spans="1:26" ht="15.75" customHeight="1" x14ac:dyDescent="0.2">
      <c r="A838" s="34"/>
      <c r="B838" s="34"/>
      <c r="C838" s="34"/>
      <c r="D838" s="34"/>
      <c r="E838" s="19"/>
      <c r="F838" s="19"/>
      <c r="G838" s="19"/>
      <c r="H838" s="19"/>
      <c r="I838" s="19"/>
      <c r="J838" s="19"/>
      <c r="K838" s="19"/>
      <c r="L838" s="19"/>
      <c r="M838" s="19"/>
      <c r="N838" s="19"/>
      <c r="O838" s="19"/>
      <c r="P838" s="20"/>
      <c r="Q838" s="20"/>
      <c r="R838" s="22"/>
      <c r="S838" s="22"/>
      <c r="T838" s="20"/>
      <c r="U838" s="20"/>
      <c r="V838" s="20"/>
      <c r="W838" s="19"/>
      <c r="X838" s="19"/>
      <c r="Y838" s="19"/>
      <c r="Z838" s="23"/>
    </row>
    <row r="839" spans="1:26" ht="15.75" customHeight="1" x14ac:dyDescent="0.2">
      <c r="A839" s="34"/>
      <c r="B839" s="34"/>
      <c r="C839" s="34"/>
      <c r="D839" s="34"/>
      <c r="E839" s="19"/>
      <c r="F839" s="19"/>
      <c r="G839" s="19"/>
      <c r="H839" s="19"/>
      <c r="I839" s="19"/>
      <c r="J839" s="19"/>
      <c r="K839" s="19"/>
      <c r="L839" s="19"/>
      <c r="M839" s="19"/>
      <c r="N839" s="19"/>
      <c r="O839" s="19"/>
      <c r="P839" s="20"/>
      <c r="Q839" s="20"/>
      <c r="R839" s="22"/>
      <c r="S839" s="22"/>
      <c r="T839" s="20"/>
      <c r="U839" s="20"/>
      <c r="V839" s="20"/>
      <c r="W839" s="19"/>
      <c r="X839" s="19"/>
      <c r="Y839" s="19"/>
      <c r="Z839" s="23"/>
    </row>
    <row r="840" spans="1:26" ht="15.75" customHeight="1" x14ac:dyDescent="0.2">
      <c r="A840" s="34"/>
      <c r="B840" s="34"/>
      <c r="C840" s="34"/>
      <c r="D840" s="34"/>
      <c r="E840" s="19"/>
      <c r="F840" s="19"/>
      <c r="G840" s="19"/>
      <c r="H840" s="19"/>
      <c r="I840" s="19"/>
      <c r="J840" s="19"/>
      <c r="K840" s="19"/>
      <c r="L840" s="19"/>
      <c r="M840" s="19"/>
      <c r="N840" s="19"/>
      <c r="O840" s="19"/>
      <c r="P840" s="20"/>
      <c r="Q840" s="20"/>
      <c r="R840" s="22"/>
      <c r="S840" s="22"/>
      <c r="T840" s="20"/>
      <c r="U840" s="20"/>
      <c r="V840" s="20"/>
      <c r="W840" s="19"/>
      <c r="X840" s="19"/>
      <c r="Y840" s="19"/>
      <c r="Z840" s="23"/>
    </row>
    <row r="841" spans="1:26" ht="15.75" customHeight="1" x14ac:dyDescent="0.2">
      <c r="A841" s="34"/>
      <c r="B841" s="34"/>
      <c r="C841" s="34"/>
      <c r="D841" s="34"/>
      <c r="E841" s="19"/>
      <c r="F841" s="19"/>
      <c r="G841" s="19"/>
      <c r="H841" s="19"/>
      <c r="I841" s="19"/>
      <c r="J841" s="19"/>
      <c r="K841" s="19"/>
      <c r="L841" s="19"/>
      <c r="M841" s="19"/>
      <c r="N841" s="19"/>
      <c r="O841" s="19"/>
      <c r="P841" s="20"/>
      <c r="Q841" s="20"/>
      <c r="R841" s="22"/>
      <c r="S841" s="22"/>
      <c r="T841" s="20"/>
      <c r="U841" s="20"/>
      <c r="V841" s="20"/>
      <c r="W841" s="19"/>
      <c r="X841" s="19"/>
      <c r="Y841" s="19"/>
      <c r="Z841" s="23"/>
    </row>
    <row r="842" spans="1:26" ht="15.75" customHeight="1" x14ac:dyDescent="0.2">
      <c r="A842" s="34"/>
      <c r="B842" s="34"/>
      <c r="C842" s="34"/>
      <c r="D842" s="34"/>
      <c r="E842" s="19"/>
      <c r="F842" s="19"/>
      <c r="G842" s="19"/>
      <c r="H842" s="19"/>
      <c r="I842" s="19"/>
      <c r="J842" s="19"/>
      <c r="K842" s="19"/>
      <c r="L842" s="19"/>
      <c r="M842" s="19"/>
      <c r="N842" s="19"/>
      <c r="O842" s="19"/>
      <c r="P842" s="20"/>
      <c r="Q842" s="20"/>
      <c r="R842" s="22"/>
      <c r="S842" s="22"/>
      <c r="T842" s="20"/>
      <c r="U842" s="20"/>
      <c r="V842" s="20"/>
      <c r="W842" s="19"/>
      <c r="X842" s="19"/>
      <c r="Y842" s="19"/>
      <c r="Z842" s="23"/>
    </row>
    <row r="843" spans="1:26" ht="15.75" customHeight="1" x14ac:dyDescent="0.2">
      <c r="A843" s="34"/>
      <c r="B843" s="34"/>
      <c r="C843" s="34"/>
      <c r="D843" s="34"/>
      <c r="E843" s="19"/>
      <c r="F843" s="19"/>
      <c r="G843" s="19"/>
      <c r="H843" s="19"/>
      <c r="I843" s="19"/>
      <c r="J843" s="19"/>
      <c r="K843" s="19"/>
      <c r="L843" s="19"/>
      <c r="M843" s="19"/>
      <c r="N843" s="19"/>
      <c r="O843" s="19"/>
      <c r="P843" s="20"/>
      <c r="Q843" s="20"/>
      <c r="R843" s="22"/>
      <c r="S843" s="22"/>
      <c r="T843" s="20"/>
      <c r="U843" s="20"/>
      <c r="V843" s="20"/>
      <c r="W843" s="19"/>
      <c r="X843" s="19"/>
      <c r="Y843" s="19"/>
      <c r="Z843" s="23"/>
    </row>
    <row r="844" spans="1:26" ht="15.75" customHeight="1" x14ac:dyDescent="0.2">
      <c r="A844" s="34"/>
      <c r="B844" s="34"/>
      <c r="C844" s="34"/>
      <c r="D844" s="34"/>
      <c r="E844" s="19"/>
      <c r="F844" s="19"/>
      <c r="G844" s="19"/>
      <c r="H844" s="19"/>
      <c r="I844" s="19"/>
      <c r="J844" s="19"/>
      <c r="K844" s="19"/>
      <c r="L844" s="19"/>
      <c r="M844" s="19"/>
      <c r="N844" s="19"/>
      <c r="O844" s="19"/>
      <c r="P844" s="20"/>
      <c r="Q844" s="20"/>
      <c r="R844" s="22"/>
      <c r="S844" s="22"/>
      <c r="T844" s="20"/>
      <c r="U844" s="20"/>
      <c r="V844" s="20"/>
      <c r="W844" s="19"/>
      <c r="X844" s="19"/>
      <c r="Y844" s="19"/>
      <c r="Z844" s="23"/>
    </row>
    <row r="845" spans="1:26" ht="15.75" customHeight="1" x14ac:dyDescent="0.2">
      <c r="A845" s="34"/>
      <c r="B845" s="34"/>
      <c r="C845" s="34"/>
      <c r="D845" s="34"/>
      <c r="E845" s="19"/>
      <c r="F845" s="19"/>
      <c r="G845" s="19"/>
      <c r="H845" s="19"/>
      <c r="I845" s="19"/>
      <c r="J845" s="19"/>
      <c r="K845" s="19"/>
      <c r="L845" s="19"/>
      <c r="M845" s="19"/>
      <c r="N845" s="19"/>
      <c r="O845" s="19"/>
      <c r="P845" s="20"/>
      <c r="Q845" s="20"/>
      <c r="R845" s="22"/>
      <c r="S845" s="22"/>
      <c r="T845" s="20"/>
      <c r="U845" s="20"/>
      <c r="V845" s="20"/>
      <c r="W845" s="19"/>
      <c r="X845" s="19"/>
      <c r="Y845" s="19"/>
      <c r="Z845" s="23"/>
    </row>
    <row r="846" spans="1:26" ht="15.75" customHeight="1" x14ac:dyDescent="0.2">
      <c r="A846" s="34"/>
      <c r="B846" s="34"/>
      <c r="C846" s="34"/>
      <c r="D846" s="34"/>
      <c r="E846" s="19"/>
      <c r="F846" s="19"/>
      <c r="G846" s="19"/>
      <c r="H846" s="19"/>
      <c r="I846" s="19"/>
      <c r="J846" s="19"/>
      <c r="K846" s="19"/>
      <c r="L846" s="19"/>
      <c r="M846" s="19"/>
      <c r="N846" s="19"/>
      <c r="O846" s="19"/>
      <c r="P846" s="20"/>
      <c r="Q846" s="20"/>
      <c r="R846" s="22"/>
      <c r="S846" s="22"/>
      <c r="T846" s="20"/>
      <c r="U846" s="20"/>
      <c r="V846" s="20"/>
      <c r="W846" s="19"/>
      <c r="X846" s="19"/>
      <c r="Y846" s="19"/>
      <c r="Z846" s="23"/>
    </row>
    <row r="847" spans="1:26" ht="15.75" customHeight="1" x14ac:dyDescent="0.2">
      <c r="A847" s="34"/>
      <c r="B847" s="34"/>
      <c r="C847" s="34"/>
      <c r="D847" s="34"/>
      <c r="E847" s="19"/>
      <c r="F847" s="19"/>
      <c r="G847" s="19"/>
      <c r="H847" s="19"/>
      <c r="I847" s="19"/>
      <c r="J847" s="19"/>
      <c r="K847" s="19"/>
      <c r="L847" s="19"/>
      <c r="M847" s="19"/>
      <c r="N847" s="19"/>
      <c r="O847" s="19"/>
      <c r="P847" s="20"/>
      <c r="Q847" s="20"/>
      <c r="R847" s="22"/>
      <c r="S847" s="22"/>
      <c r="T847" s="20"/>
      <c r="U847" s="20"/>
      <c r="V847" s="20"/>
      <c r="W847" s="19"/>
      <c r="X847" s="19"/>
      <c r="Y847" s="19"/>
      <c r="Z847" s="23"/>
    </row>
    <row r="848" spans="1:26" ht="15.75" customHeight="1" x14ac:dyDescent="0.2">
      <c r="A848" s="34"/>
      <c r="B848" s="34"/>
      <c r="C848" s="34"/>
      <c r="D848" s="34"/>
      <c r="E848" s="19"/>
      <c r="F848" s="19"/>
      <c r="G848" s="19"/>
      <c r="H848" s="19"/>
      <c r="I848" s="19"/>
      <c r="J848" s="19"/>
      <c r="K848" s="19"/>
      <c r="L848" s="19"/>
      <c r="M848" s="19"/>
      <c r="N848" s="19"/>
      <c r="O848" s="19"/>
      <c r="P848" s="20"/>
      <c r="Q848" s="20"/>
      <c r="R848" s="22"/>
      <c r="S848" s="22"/>
      <c r="T848" s="20"/>
      <c r="U848" s="20"/>
      <c r="V848" s="20"/>
      <c r="W848" s="19"/>
      <c r="X848" s="19"/>
      <c r="Y848" s="19"/>
      <c r="Z848" s="23"/>
    </row>
    <row r="849" spans="1:26" ht="15.75" customHeight="1" x14ac:dyDescent="0.2">
      <c r="A849" s="34"/>
      <c r="B849" s="34"/>
      <c r="C849" s="34"/>
      <c r="D849" s="34"/>
      <c r="E849" s="19"/>
      <c r="F849" s="19"/>
      <c r="G849" s="19"/>
      <c r="H849" s="19"/>
      <c r="I849" s="19"/>
      <c r="J849" s="19"/>
      <c r="K849" s="19"/>
      <c r="L849" s="19"/>
      <c r="M849" s="19"/>
      <c r="N849" s="19"/>
      <c r="O849" s="19"/>
      <c r="P849" s="20"/>
      <c r="Q849" s="20"/>
      <c r="R849" s="22"/>
      <c r="S849" s="22"/>
      <c r="T849" s="20"/>
      <c r="U849" s="20"/>
      <c r="V849" s="20"/>
      <c r="W849" s="19"/>
      <c r="X849" s="19"/>
      <c r="Y849" s="19"/>
      <c r="Z849" s="23"/>
    </row>
    <row r="850" spans="1:26" ht="15.75" customHeight="1" x14ac:dyDescent="0.2">
      <c r="A850" s="34"/>
      <c r="B850" s="34"/>
      <c r="C850" s="34"/>
      <c r="D850" s="34"/>
      <c r="E850" s="19"/>
      <c r="F850" s="19"/>
      <c r="G850" s="19"/>
      <c r="H850" s="19"/>
      <c r="I850" s="19"/>
      <c r="J850" s="19"/>
      <c r="K850" s="19"/>
      <c r="L850" s="19"/>
      <c r="M850" s="19"/>
      <c r="N850" s="19"/>
      <c r="O850" s="19"/>
      <c r="P850" s="20"/>
      <c r="Q850" s="20"/>
      <c r="R850" s="22"/>
      <c r="S850" s="22"/>
      <c r="T850" s="20"/>
      <c r="U850" s="20"/>
      <c r="V850" s="20"/>
      <c r="W850" s="19"/>
      <c r="X850" s="19"/>
      <c r="Y850" s="19"/>
      <c r="Z850" s="23"/>
    </row>
    <row r="851" spans="1:26" ht="15.75" customHeight="1" x14ac:dyDescent="0.2">
      <c r="A851" s="34"/>
      <c r="B851" s="34"/>
      <c r="C851" s="34"/>
      <c r="D851" s="34"/>
      <c r="E851" s="19"/>
      <c r="F851" s="19"/>
      <c r="G851" s="19"/>
      <c r="H851" s="19"/>
      <c r="I851" s="19"/>
      <c r="J851" s="19"/>
      <c r="K851" s="19"/>
      <c r="L851" s="19"/>
      <c r="M851" s="19"/>
      <c r="N851" s="19"/>
      <c r="O851" s="19"/>
      <c r="P851" s="20"/>
      <c r="Q851" s="20"/>
      <c r="R851" s="22"/>
      <c r="S851" s="22"/>
      <c r="T851" s="20"/>
      <c r="U851" s="20"/>
      <c r="V851" s="20"/>
      <c r="W851" s="19"/>
      <c r="X851" s="19"/>
      <c r="Y851" s="19"/>
      <c r="Z851" s="23"/>
    </row>
    <row r="852" spans="1:26" ht="15.75" customHeight="1" x14ac:dyDescent="0.2">
      <c r="A852" s="34"/>
      <c r="B852" s="34"/>
      <c r="C852" s="34"/>
      <c r="D852" s="34"/>
      <c r="E852" s="19"/>
      <c r="F852" s="19"/>
      <c r="G852" s="19"/>
      <c r="H852" s="19"/>
      <c r="I852" s="19"/>
      <c r="J852" s="19"/>
      <c r="K852" s="19"/>
      <c r="L852" s="19"/>
      <c r="M852" s="19"/>
      <c r="N852" s="19"/>
      <c r="O852" s="19"/>
      <c r="P852" s="20"/>
      <c r="Q852" s="20"/>
      <c r="R852" s="22"/>
      <c r="S852" s="22"/>
      <c r="T852" s="20"/>
      <c r="U852" s="20"/>
      <c r="V852" s="20"/>
      <c r="W852" s="19"/>
      <c r="X852" s="19"/>
      <c r="Y852" s="19"/>
      <c r="Z852" s="23"/>
    </row>
    <row r="853" spans="1:26" ht="15.75" customHeight="1" x14ac:dyDescent="0.2">
      <c r="A853" s="34"/>
      <c r="B853" s="34"/>
      <c r="C853" s="34"/>
      <c r="D853" s="34"/>
      <c r="E853" s="19"/>
      <c r="F853" s="19"/>
      <c r="G853" s="19"/>
      <c r="H853" s="19"/>
      <c r="I853" s="19"/>
      <c r="J853" s="19"/>
      <c r="K853" s="19"/>
      <c r="L853" s="19"/>
      <c r="M853" s="19"/>
      <c r="N853" s="19"/>
      <c r="O853" s="19"/>
      <c r="P853" s="20"/>
      <c r="Q853" s="20"/>
      <c r="R853" s="22"/>
      <c r="S853" s="22"/>
      <c r="T853" s="20"/>
      <c r="U853" s="20"/>
      <c r="V853" s="20"/>
      <c r="W853" s="19"/>
      <c r="X853" s="19"/>
      <c r="Y853" s="19"/>
      <c r="Z853" s="23"/>
    </row>
    <row r="854" spans="1:26" ht="15.75" customHeight="1" x14ac:dyDescent="0.2">
      <c r="A854" s="34"/>
      <c r="B854" s="34"/>
      <c r="C854" s="34"/>
      <c r="D854" s="34"/>
      <c r="E854" s="19"/>
      <c r="F854" s="19"/>
      <c r="G854" s="19"/>
      <c r="H854" s="19"/>
      <c r="I854" s="19"/>
      <c r="J854" s="19"/>
      <c r="K854" s="19"/>
      <c r="L854" s="19"/>
      <c r="M854" s="19"/>
      <c r="N854" s="19"/>
      <c r="O854" s="19"/>
      <c r="P854" s="20"/>
      <c r="Q854" s="20"/>
      <c r="R854" s="22"/>
      <c r="S854" s="22"/>
      <c r="T854" s="20"/>
      <c r="U854" s="20"/>
      <c r="V854" s="20"/>
      <c r="W854" s="19"/>
      <c r="X854" s="19"/>
      <c r="Y854" s="19"/>
      <c r="Z854" s="23"/>
    </row>
    <row r="855" spans="1:26" ht="15.75" customHeight="1" x14ac:dyDescent="0.2">
      <c r="A855" s="34"/>
      <c r="B855" s="34"/>
      <c r="C855" s="34"/>
      <c r="D855" s="34"/>
      <c r="E855" s="19"/>
      <c r="F855" s="19"/>
      <c r="G855" s="19"/>
      <c r="H855" s="19"/>
      <c r="I855" s="19"/>
      <c r="J855" s="19"/>
      <c r="K855" s="19"/>
      <c r="L855" s="19"/>
      <c r="M855" s="19"/>
      <c r="N855" s="19"/>
      <c r="O855" s="19"/>
      <c r="P855" s="20"/>
      <c r="Q855" s="20"/>
      <c r="R855" s="22"/>
      <c r="S855" s="22"/>
      <c r="T855" s="20"/>
      <c r="U855" s="20"/>
      <c r="V855" s="20"/>
      <c r="W855" s="19"/>
      <c r="X855" s="19"/>
      <c r="Y855" s="19"/>
      <c r="Z855" s="23"/>
    </row>
    <row r="856" spans="1:26" ht="15.75" customHeight="1" x14ac:dyDescent="0.2">
      <c r="A856" s="34"/>
      <c r="B856" s="34"/>
      <c r="C856" s="34"/>
      <c r="D856" s="34"/>
      <c r="E856" s="19"/>
      <c r="F856" s="19"/>
      <c r="G856" s="19"/>
      <c r="H856" s="19"/>
      <c r="I856" s="19"/>
      <c r="J856" s="19"/>
      <c r="K856" s="19"/>
      <c r="L856" s="19"/>
      <c r="M856" s="19"/>
      <c r="N856" s="19"/>
      <c r="O856" s="19"/>
      <c r="P856" s="20"/>
      <c r="Q856" s="20"/>
      <c r="R856" s="22"/>
      <c r="S856" s="22"/>
      <c r="T856" s="20"/>
      <c r="U856" s="20"/>
      <c r="V856" s="20"/>
      <c r="W856" s="19"/>
      <c r="X856" s="19"/>
      <c r="Y856" s="19"/>
      <c r="Z856" s="23"/>
    </row>
    <row r="857" spans="1:26" ht="15.75" customHeight="1" x14ac:dyDescent="0.2">
      <c r="A857" s="34"/>
      <c r="B857" s="34"/>
      <c r="C857" s="34"/>
      <c r="D857" s="34"/>
      <c r="E857" s="19"/>
      <c r="F857" s="19"/>
      <c r="G857" s="19"/>
      <c r="H857" s="19"/>
      <c r="I857" s="19"/>
      <c r="J857" s="19"/>
      <c r="K857" s="19"/>
      <c r="L857" s="19"/>
      <c r="M857" s="19"/>
      <c r="N857" s="19"/>
      <c r="O857" s="19"/>
      <c r="P857" s="20"/>
      <c r="Q857" s="20"/>
      <c r="R857" s="22"/>
      <c r="S857" s="22"/>
      <c r="T857" s="20"/>
      <c r="U857" s="20"/>
      <c r="V857" s="20"/>
      <c r="W857" s="19"/>
      <c r="X857" s="19"/>
      <c r="Y857" s="19"/>
      <c r="Z857" s="23"/>
    </row>
    <row r="858" spans="1:26" ht="15.75" customHeight="1" x14ac:dyDescent="0.2">
      <c r="A858" s="34"/>
      <c r="B858" s="34"/>
      <c r="C858" s="34"/>
      <c r="D858" s="34"/>
      <c r="E858" s="19"/>
      <c r="F858" s="19"/>
      <c r="G858" s="19"/>
      <c r="H858" s="19"/>
      <c r="I858" s="19"/>
      <c r="J858" s="19"/>
      <c r="K858" s="19"/>
      <c r="L858" s="19"/>
      <c r="M858" s="19"/>
      <c r="N858" s="19"/>
      <c r="O858" s="19"/>
      <c r="P858" s="20"/>
      <c r="Q858" s="20"/>
      <c r="R858" s="22"/>
      <c r="S858" s="22"/>
      <c r="T858" s="20"/>
      <c r="U858" s="20"/>
      <c r="V858" s="20"/>
      <c r="W858" s="19"/>
      <c r="X858" s="19"/>
      <c r="Y858" s="19"/>
      <c r="Z858" s="23"/>
    </row>
    <row r="859" spans="1:26" ht="15.75" customHeight="1" x14ac:dyDescent="0.2">
      <c r="A859" s="34"/>
      <c r="B859" s="34"/>
      <c r="C859" s="34"/>
      <c r="D859" s="34"/>
      <c r="E859" s="19"/>
      <c r="F859" s="19"/>
      <c r="G859" s="19"/>
      <c r="H859" s="19"/>
      <c r="I859" s="19"/>
      <c r="J859" s="19"/>
      <c r="K859" s="19"/>
      <c r="L859" s="19"/>
      <c r="M859" s="19"/>
      <c r="N859" s="19"/>
      <c r="O859" s="19"/>
      <c r="P859" s="20"/>
      <c r="Q859" s="20"/>
      <c r="R859" s="22"/>
      <c r="S859" s="22"/>
      <c r="T859" s="20"/>
      <c r="U859" s="20"/>
      <c r="V859" s="20"/>
      <c r="W859" s="19"/>
      <c r="X859" s="19"/>
      <c r="Y859" s="19"/>
      <c r="Z859" s="23"/>
    </row>
    <row r="860" spans="1:26" ht="15.75" customHeight="1" x14ac:dyDescent="0.2">
      <c r="A860" s="34"/>
      <c r="B860" s="34"/>
      <c r="C860" s="34"/>
      <c r="D860" s="34"/>
      <c r="E860" s="19"/>
      <c r="F860" s="19"/>
      <c r="G860" s="19"/>
      <c r="H860" s="19"/>
      <c r="I860" s="19"/>
      <c r="J860" s="19"/>
      <c r="K860" s="19"/>
      <c r="L860" s="19"/>
      <c r="M860" s="19"/>
      <c r="N860" s="19"/>
      <c r="O860" s="19"/>
      <c r="P860" s="20"/>
      <c r="Q860" s="20"/>
      <c r="R860" s="22"/>
      <c r="S860" s="22"/>
      <c r="T860" s="20"/>
      <c r="U860" s="20"/>
      <c r="V860" s="20"/>
      <c r="W860" s="19"/>
      <c r="X860" s="19"/>
      <c r="Y860" s="19"/>
      <c r="Z860" s="23"/>
    </row>
    <row r="861" spans="1:26" ht="15.75" customHeight="1" x14ac:dyDescent="0.2">
      <c r="A861" s="34"/>
      <c r="B861" s="34"/>
      <c r="C861" s="34"/>
      <c r="D861" s="34"/>
      <c r="E861" s="19"/>
      <c r="F861" s="19"/>
      <c r="G861" s="19"/>
      <c r="H861" s="19"/>
      <c r="I861" s="19"/>
      <c r="J861" s="19"/>
      <c r="K861" s="19"/>
      <c r="L861" s="19"/>
      <c r="M861" s="19"/>
      <c r="N861" s="19"/>
      <c r="O861" s="19"/>
      <c r="P861" s="20"/>
      <c r="Q861" s="20"/>
      <c r="R861" s="22"/>
      <c r="S861" s="22"/>
      <c r="T861" s="20"/>
      <c r="U861" s="20"/>
      <c r="V861" s="20"/>
      <c r="W861" s="19"/>
      <c r="X861" s="19"/>
      <c r="Y861" s="19"/>
      <c r="Z861" s="23"/>
    </row>
    <row r="862" spans="1:26" ht="15.75" customHeight="1" x14ac:dyDescent="0.2">
      <c r="A862" s="34"/>
      <c r="B862" s="34"/>
      <c r="C862" s="34"/>
      <c r="D862" s="34"/>
      <c r="E862" s="19"/>
      <c r="F862" s="19"/>
      <c r="G862" s="19"/>
      <c r="H862" s="19"/>
      <c r="I862" s="19"/>
      <c r="J862" s="19"/>
      <c r="K862" s="19"/>
      <c r="L862" s="19"/>
      <c r="M862" s="19"/>
      <c r="N862" s="19"/>
      <c r="O862" s="19"/>
      <c r="P862" s="20"/>
      <c r="Q862" s="20"/>
      <c r="R862" s="22"/>
      <c r="S862" s="22"/>
      <c r="T862" s="20"/>
      <c r="U862" s="20"/>
      <c r="V862" s="20"/>
      <c r="W862" s="19"/>
      <c r="X862" s="19"/>
      <c r="Y862" s="19"/>
      <c r="Z862" s="23"/>
    </row>
    <row r="863" spans="1:26" ht="15.75" customHeight="1" x14ac:dyDescent="0.2">
      <c r="A863" s="34"/>
      <c r="B863" s="34"/>
      <c r="C863" s="34"/>
      <c r="D863" s="34"/>
      <c r="E863" s="19"/>
      <c r="F863" s="19"/>
      <c r="G863" s="19"/>
      <c r="H863" s="19"/>
      <c r="I863" s="19"/>
      <c r="J863" s="19"/>
      <c r="K863" s="19"/>
      <c r="L863" s="19"/>
      <c r="M863" s="19"/>
      <c r="N863" s="19"/>
      <c r="O863" s="19"/>
      <c r="P863" s="20"/>
      <c r="Q863" s="20"/>
      <c r="R863" s="22"/>
      <c r="S863" s="22"/>
      <c r="T863" s="20"/>
      <c r="U863" s="20"/>
      <c r="V863" s="20"/>
      <c r="W863" s="19"/>
      <c r="X863" s="19"/>
      <c r="Y863" s="19"/>
      <c r="Z863" s="23"/>
    </row>
    <row r="864" spans="1:26" ht="15.75" customHeight="1" x14ac:dyDescent="0.2">
      <c r="A864" s="34"/>
      <c r="B864" s="34"/>
      <c r="C864" s="34"/>
      <c r="D864" s="34"/>
      <c r="E864" s="19"/>
      <c r="F864" s="19"/>
      <c r="G864" s="19"/>
      <c r="H864" s="19"/>
      <c r="I864" s="19"/>
      <c r="J864" s="19"/>
      <c r="K864" s="19"/>
      <c r="L864" s="19"/>
      <c r="M864" s="19"/>
      <c r="N864" s="19"/>
      <c r="O864" s="19"/>
      <c r="P864" s="20"/>
      <c r="Q864" s="20"/>
      <c r="R864" s="22"/>
      <c r="S864" s="22"/>
      <c r="T864" s="20"/>
      <c r="U864" s="20"/>
      <c r="V864" s="20"/>
      <c r="W864" s="19"/>
      <c r="X864" s="19"/>
      <c r="Y864" s="19"/>
      <c r="Z864" s="23"/>
    </row>
    <row r="865" spans="1:26" ht="15.75" customHeight="1" x14ac:dyDescent="0.2">
      <c r="A865" s="34"/>
      <c r="B865" s="34"/>
      <c r="C865" s="34"/>
      <c r="D865" s="34"/>
      <c r="E865" s="19"/>
      <c r="F865" s="19"/>
      <c r="G865" s="19"/>
      <c r="H865" s="19"/>
      <c r="I865" s="19"/>
      <c r="J865" s="19"/>
      <c r="K865" s="19"/>
      <c r="L865" s="19"/>
      <c r="M865" s="19"/>
      <c r="N865" s="19"/>
      <c r="O865" s="19"/>
      <c r="P865" s="20"/>
      <c r="Q865" s="20"/>
      <c r="R865" s="22"/>
      <c r="S865" s="22"/>
      <c r="T865" s="20"/>
      <c r="U865" s="20"/>
      <c r="V865" s="20"/>
      <c r="W865" s="19"/>
      <c r="X865" s="19"/>
      <c r="Y865" s="19"/>
      <c r="Z865" s="23"/>
    </row>
    <row r="866" spans="1:26" ht="15.75" customHeight="1" x14ac:dyDescent="0.2">
      <c r="A866" s="34"/>
      <c r="B866" s="34"/>
      <c r="C866" s="34"/>
      <c r="D866" s="34"/>
      <c r="E866" s="19"/>
      <c r="F866" s="19"/>
      <c r="G866" s="19"/>
      <c r="H866" s="19"/>
      <c r="I866" s="19"/>
      <c r="J866" s="19"/>
      <c r="K866" s="19"/>
      <c r="L866" s="19"/>
      <c r="M866" s="19"/>
      <c r="N866" s="19"/>
      <c r="O866" s="19"/>
      <c r="P866" s="20"/>
      <c r="Q866" s="20"/>
      <c r="R866" s="22"/>
      <c r="S866" s="22"/>
      <c r="T866" s="20"/>
      <c r="U866" s="20"/>
      <c r="V866" s="20"/>
      <c r="W866" s="19"/>
      <c r="X866" s="19"/>
      <c r="Y866" s="19"/>
      <c r="Z866" s="23"/>
    </row>
    <row r="867" spans="1:26" ht="15.75" customHeight="1" x14ac:dyDescent="0.2">
      <c r="A867" s="34"/>
      <c r="B867" s="34"/>
      <c r="C867" s="34"/>
      <c r="D867" s="34"/>
      <c r="E867" s="19"/>
      <c r="F867" s="19"/>
      <c r="G867" s="19"/>
      <c r="H867" s="19"/>
      <c r="I867" s="19"/>
      <c r="J867" s="19"/>
      <c r="K867" s="19"/>
      <c r="L867" s="19"/>
      <c r="M867" s="19"/>
      <c r="N867" s="19"/>
      <c r="O867" s="19"/>
      <c r="P867" s="20"/>
      <c r="Q867" s="20"/>
      <c r="R867" s="22"/>
      <c r="S867" s="22"/>
      <c r="T867" s="20"/>
      <c r="U867" s="20"/>
      <c r="V867" s="20"/>
      <c r="W867" s="19"/>
      <c r="X867" s="19"/>
      <c r="Y867" s="19"/>
      <c r="Z867" s="23"/>
    </row>
    <row r="868" spans="1:26" ht="15.75" customHeight="1" x14ac:dyDescent="0.2">
      <c r="A868" s="34"/>
      <c r="B868" s="34"/>
      <c r="C868" s="34"/>
      <c r="D868" s="34"/>
      <c r="E868" s="19"/>
      <c r="F868" s="19"/>
      <c r="G868" s="19"/>
      <c r="H868" s="19"/>
      <c r="I868" s="19"/>
      <c r="J868" s="19"/>
      <c r="K868" s="19"/>
      <c r="L868" s="19"/>
      <c r="M868" s="19"/>
      <c r="N868" s="19"/>
      <c r="O868" s="19"/>
      <c r="P868" s="20"/>
      <c r="Q868" s="20"/>
      <c r="R868" s="22"/>
      <c r="S868" s="22"/>
      <c r="T868" s="20"/>
      <c r="U868" s="20"/>
      <c r="V868" s="20"/>
      <c r="W868" s="19"/>
      <c r="X868" s="19"/>
      <c r="Y868" s="19"/>
      <c r="Z868" s="23"/>
    </row>
    <row r="869" spans="1:26" ht="15.75" customHeight="1" x14ac:dyDescent="0.2">
      <c r="A869" s="34"/>
      <c r="B869" s="34"/>
      <c r="C869" s="34"/>
      <c r="D869" s="34"/>
      <c r="E869" s="19"/>
      <c r="F869" s="19"/>
      <c r="G869" s="19"/>
      <c r="H869" s="19"/>
      <c r="I869" s="19"/>
      <c r="J869" s="19"/>
      <c r="K869" s="19"/>
      <c r="L869" s="19"/>
      <c r="M869" s="19"/>
      <c r="N869" s="19"/>
      <c r="O869" s="19"/>
      <c r="P869" s="20"/>
      <c r="Q869" s="20"/>
      <c r="R869" s="22"/>
      <c r="S869" s="22"/>
      <c r="T869" s="20"/>
      <c r="U869" s="20"/>
      <c r="V869" s="20"/>
      <c r="W869" s="19"/>
      <c r="X869" s="19"/>
      <c r="Y869" s="19"/>
      <c r="Z869" s="23"/>
    </row>
    <row r="870" spans="1:26" ht="15.75" customHeight="1" x14ac:dyDescent="0.2">
      <c r="A870" s="34"/>
      <c r="B870" s="34"/>
      <c r="C870" s="34"/>
      <c r="D870" s="34"/>
      <c r="E870" s="19"/>
      <c r="F870" s="19"/>
      <c r="G870" s="19"/>
      <c r="H870" s="19"/>
      <c r="I870" s="19"/>
      <c r="J870" s="19"/>
      <c r="K870" s="19"/>
      <c r="L870" s="19"/>
      <c r="M870" s="19"/>
      <c r="N870" s="19"/>
      <c r="O870" s="19"/>
      <c r="P870" s="20"/>
      <c r="Q870" s="20"/>
      <c r="R870" s="22"/>
      <c r="S870" s="22"/>
      <c r="T870" s="20"/>
      <c r="U870" s="20"/>
      <c r="V870" s="20"/>
      <c r="W870" s="19"/>
      <c r="X870" s="19"/>
      <c r="Y870" s="19"/>
      <c r="Z870" s="23"/>
    </row>
    <row r="871" spans="1:26" ht="15.75" customHeight="1" x14ac:dyDescent="0.2">
      <c r="A871" s="34"/>
      <c r="B871" s="34"/>
      <c r="C871" s="34"/>
      <c r="D871" s="34"/>
      <c r="E871" s="19"/>
      <c r="F871" s="19"/>
      <c r="G871" s="19"/>
      <c r="H871" s="19"/>
      <c r="I871" s="19"/>
      <c r="J871" s="19"/>
      <c r="K871" s="19"/>
      <c r="L871" s="19"/>
      <c r="M871" s="19"/>
      <c r="N871" s="19"/>
      <c r="O871" s="19"/>
      <c r="P871" s="20"/>
      <c r="Q871" s="20"/>
      <c r="R871" s="22"/>
      <c r="S871" s="22"/>
      <c r="T871" s="20"/>
      <c r="U871" s="20"/>
      <c r="V871" s="20"/>
      <c r="W871" s="19"/>
      <c r="X871" s="19"/>
      <c r="Y871" s="19"/>
      <c r="Z871" s="23"/>
    </row>
    <row r="872" spans="1:26" ht="15.75" customHeight="1" x14ac:dyDescent="0.2">
      <c r="A872" s="34"/>
      <c r="B872" s="34"/>
      <c r="C872" s="34"/>
      <c r="D872" s="34"/>
      <c r="E872" s="19"/>
      <c r="F872" s="19"/>
      <c r="G872" s="19"/>
      <c r="H872" s="19"/>
      <c r="I872" s="19"/>
      <c r="J872" s="19"/>
      <c r="K872" s="19"/>
      <c r="L872" s="19"/>
      <c r="M872" s="19"/>
      <c r="N872" s="19"/>
      <c r="O872" s="19"/>
      <c r="P872" s="20"/>
      <c r="Q872" s="20"/>
      <c r="R872" s="22"/>
      <c r="S872" s="22"/>
      <c r="T872" s="20"/>
      <c r="U872" s="20"/>
      <c r="V872" s="20"/>
      <c r="W872" s="19"/>
      <c r="X872" s="19"/>
      <c r="Y872" s="19"/>
      <c r="Z872" s="23"/>
    </row>
    <row r="873" spans="1:26" ht="15.75" customHeight="1" x14ac:dyDescent="0.2">
      <c r="A873" s="34"/>
      <c r="B873" s="34"/>
      <c r="C873" s="34"/>
      <c r="D873" s="34"/>
      <c r="E873" s="19"/>
      <c r="F873" s="19"/>
      <c r="G873" s="19"/>
      <c r="H873" s="19"/>
      <c r="I873" s="19"/>
      <c r="J873" s="19"/>
      <c r="K873" s="19"/>
      <c r="L873" s="19"/>
      <c r="M873" s="19"/>
      <c r="N873" s="19"/>
      <c r="O873" s="19"/>
      <c r="P873" s="20"/>
      <c r="Q873" s="20"/>
      <c r="R873" s="22"/>
      <c r="S873" s="22"/>
      <c r="T873" s="20"/>
      <c r="U873" s="20"/>
      <c r="V873" s="20"/>
      <c r="W873" s="19"/>
      <c r="X873" s="19"/>
      <c r="Y873" s="19"/>
      <c r="Z873" s="23"/>
    </row>
    <row r="874" spans="1:26" ht="15.75" customHeight="1" x14ac:dyDescent="0.2">
      <c r="A874" s="34"/>
      <c r="B874" s="34"/>
      <c r="C874" s="34"/>
      <c r="D874" s="34"/>
      <c r="E874" s="19"/>
      <c r="F874" s="19"/>
      <c r="G874" s="19"/>
      <c r="H874" s="19"/>
      <c r="I874" s="19"/>
      <c r="J874" s="19"/>
      <c r="K874" s="19"/>
      <c r="L874" s="19"/>
      <c r="M874" s="19"/>
      <c r="N874" s="19"/>
      <c r="O874" s="19"/>
      <c r="P874" s="20"/>
      <c r="Q874" s="20"/>
      <c r="R874" s="22"/>
      <c r="S874" s="22"/>
      <c r="T874" s="20"/>
      <c r="U874" s="20"/>
      <c r="V874" s="20"/>
      <c r="W874" s="19"/>
      <c r="X874" s="19"/>
      <c r="Y874" s="19"/>
      <c r="Z874" s="23"/>
    </row>
    <row r="875" spans="1:26" ht="15.75" customHeight="1" x14ac:dyDescent="0.2">
      <c r="A875" s="34"/>
      <c r="B875" s="34"/>
      <c r="C875" s="34"/>
      <c r="D875" s="34"/>
      <c r="E875" s="19"/>
      <c r="F875" s="19"/>
      <c r="G875" s="19"/>
      <c r="H875" s="19"/>
      <c r="I875" s="19"/>
      <c r="J875" s="19"/>
      <c r="K875" s="19"/>
      <c r="L875" s="19"/>
      <c r="M875" s="19"/>
      <c r="N875" s="19"/>
      <c r="O875" s="19"/>
      <c r="P875" s="20"/>
      <c r="Q875" s="20"/>
      <c r="R875" s="22"/>
      <c r="S875" s="22"/>
      <c r="T875" s="20"/>
      <c r="U875" s="20"/>
      <c r="V875" s="20"/>
      <c r="W875" s="19"/>
      <c r="X875" s="19"/>
      <c r="Y875" s="19"/>
      <c r="Z875" s="23"/>
    </row>
    <row r="876" spans="1:26" ht="15.75" customHeight="1" x14ac:dyDescent="0.2">
      <c r="A876" s="34"/>
      <c r="B876" s="34"/>
      <c r="C876" s="34"/>
      <c r="D876" s="34"/>
      <c r="E876" s="19"/>
      <c r="F876" s="19"/>
      <c r="G876" s="19"/>
      <c r="H876" s="19"/>
      <c r="I876" s="19"/>
      <c r="J876" s="19"/>
      <c r="K876" s="19"/>
      <c r="L876" s="19"/>
      <c r="M876" s="19"/>
      <c r="N876" s="19"/>
      <c r="O876" s="19"/>
      <c r="P876" s="20"/>
      <c r="Q876" s="20"/>
      <c r="R876" s="22"/>
      <c r="S876" s="22"/>
      <c r="T876" s="20"/>
      <c r="U876" s="20"/>
      <c r="V876" s="20"/>
      <c r="W876" s="19"/>
      <c r="X876" s="19"/>
      <c r="Y876" s="19"/>
      <c r="Z876" s="23"/>
    </row>
    <row r="877" spans="1:26" ht="15.75" customHeight="1" x14ac:dyDescent="0.2">
      <c r="A877" s="34"/>
      <c r="B877" s="34"/>
      <c r="C877" s="34"/>
      <c r="D877" s="34"/>
      <c r="E877" s="19"/>
      <c r="F877" s="19"/>
      <c r="G877" s="19"/>
      <c r="H877" s="19"/>
      <c r="I877" s="19"/>
      <c r="J877" s="19"/>
      <c r="K877" s="19"/>
      <c r="L877" s="19"/>
      <c r="M877" s="19"/>
      <c r="N877" s="19"/>
      <c r="O877" s="19"/>
      <c r="P877" s="20"/>
      <c r="Q877" s="20"/>
      <c r="R877" s="22"/>
      <c r="S877" s="22"/>
      <c r="T877" s="20"/>
      <c r="U877" s="20"/>
      <c r="V877" s="20"/>
      <c r="W877" s="19"/>
      <c r="X877" s="19"/>
      <c r="Y877" s="19"/>
      <c r="Z877" s="23"/>
    </row>
    <row r="878" spans="1:26" ht="15.75" customHeight="1" x14ac:dyDescent="0.2">
      <c r="A878" s="34"/>
      <c r="B878" s="34"/>
      <c r="C878" s="34"/>
      <c r="D878" s="34"/>
      <c r="E878" s="19"/>
      <c r="F878" s="19"/>
      <c r="G878" s="19"/>
      <c r="H878" s="19"/>
      <c r="I878" s="19"/>
      <c r="J878" s="19"/>
      <c r="K878" s="19"/>
      <c r="L878" s="19"/>
      <c r="M878" s="19"/>
      <c r="N878" s="19"/>
      <c r="O878" s="19"/>
      <c r="P878" s="20"/>
      <c r="Q878" s="20"/>
      <c r="R878" s="22"/>
      <c r="S878" s="22"/>
      <c r="T878" s="20"/>
      <c r="U878" s="20"/>
      <c r="V878" s="20"/>
      <c r="W878" s="19"/>
      <c r="X878" s="19"/>
      <c r="Y878" s="19"/>
      <c r="Z878" s="23"/>
    </row>
    <row r="879" spans="1:26" ht="15.75" customHeight="1" x14ac:dyDescent="0.2">
      <c r="A879" s="34"/>
      <c r="B879" s="34"/>
      <c r="C879" s="34"/>
      <c r="D879" s="34"/>
      <c r="E879" s="19"/>
      <c r="F879" s="19"/>
      <c r="G879" s="19"/>
      <c r="H879" s="19"/>
      <c r="I879" s="19"/>
      <c r="J879" s="19"/>
      <c r="K879" s="19"/>
      <c r="L879" s="19"/>
      <c r="M879" s="19"/>
      <c r="N879" s="19"/>
      <c r="O879" s="19"/>
      <c r="P879" s="20"/>
      <c r="Q879" s="20"/>
      <c r="R879" s="22"/>
      <c r="S879" s="22"/>
      <c r="T879" s="20"/>
      <c r="U879" s="20"/>
      <c r="V879" s="20"/>
      <c r="W879" s="19"/>
      <c r="X879" s="19"/>
      <c r="Y879" s="19"/>
      <c r="Z879" s="23"/>
    </row>
    <row r="880" spans="1:26" ht="15.75" customHeight="1" x14ac:dyDescent="0.2">
      <c r="A880" s="34"/>
      <c r="B880" s="34"/>
      <c r="C880" s="34"/>
      <c r="D880" s="34"/>
      <c r="E880" s="19"/>
      <c r="F880" s="19"/>
      <c r="G880" s="19"/>
      <c r="H880" s="19"/>
      <c r="I880" s="19"/>
      <c r="J880" s="19"/>
      <c r="K880" s="19"/>
      <c r="L880" s="19"/>
      <c r="M880" s="19"/>
      <c r="N880" s="19"/>
      <c r="O880" s="19"/>
      <c r="P880" s="20"/>
      <c r="Q880" s="20"/>
      <c r="R880" s="22"/>
      <c r="S880" s="22"/>
      <c r="T880" s="20"/>
      <c r="U880" s="20"/>
      <c r="V880" s="20"/>
      <c r="W880" s="19"/>
      <c r="X880" s="19"/>
      <c r="Y880" s="19"/>
      <c r="Z880" s="23"/>
    </row>
    <row r="881" spans="1:26" ht="15.75" customHeight="1" x14ac:dyDescent="0.2">
      <c r="A881" s="34"/>
      <c r="B881" s="34"/>
      <c r="C881" s="34"/>
      <c r="D881" s="34"/>
      <c r="E881" s="19"/>
      <c r="F881" s="19"/>
      <c r="G881" s="19"/>
      <c r="H881" s="19"/>
      <c r="I881" s="19"/>
      <c r="J881" s="19"/>
      <c r="K881" s="19"/>
      <c r="L881" s="19"/>
      <c r="M881" s="19"/>
      <c r="N881" s="19"/>
      <c r="O881" s="19"/>
      <c r="P881" s="20"/>
      <c r="Q881" s="20"/>
      <c r="R881" s="22"/>
      <c r="S881" s="22"/>
      <c r="T881" s="20"/>
      <c r="U881" s="20"/>
      <c r="V881" s="20"/>
      <c r="W881" s="19"/>
      <c r="X881" s="19"/>
      <c r="Y881" s="19"/>
      <c r="Z881" s="23"/>
    </row>
    <row r="882" spans="1:26" ht="15.75" customHeight="1" x14ac:dyDescent="0.2">
      <c r="A882" s="34"/>
      <c r="B882" s="34"/>
      <c r="C882" s="34"/>
      <c r="D882" s="34"/>
      <c r="E882" s="19"/>
      <c r="F882" s="19"/>
      <c r="G882" s="19"/>
      <c r="H882" s="19"/>
      <c r="I882" s="19"/>
      <c r="J882" s="19"/>
      <c r="K882" s="19"/>
      <c r="L882" s="19"/>
      <c r="M882" s="19"/>
      <c r="N882" s="19"/>
      <c r="O882" s="19"/>
      <c r="P882" s="20"/>
      <c r="Q882" s="20"/>
      <c r="R882" s="22"/>
      <c r="S882" s="22"/>
      <c r="T882" s="20"/>
      <c r="U882" s="20"/>
      <c r="V882" s="20"/>
      <c r="W882" s="19"/>
      <c r="X882" s="19"/>
      <c r="Y882" s="19"/>
      <c r="Z882" s="23"/>
    </row>
    <row r="883" spans="1:26" ht="15.75" customHeight="1" x14ac:dyDescent="0.2">
      <c r="A883" s="34"/>
      <c r="B883" s="34"/>
      <c r="C883" s="34"/>
      <c r="D883" s="34"/>
      <c r="E883" s="19"/>
      <c r="F883" s="19"/>
      <c r="G883" s="19"/>
      <c r="H883" s="19"/>
      <c r="I883" s="19"/>
      <c r="J883" s="19"/>
      <c r="K883" s="19"/>
      <c r="L883" s="19"/>
      <c r="M883" s="19"/>
      <c r="N883" s="19"/>
      <c r="O883" s="19"/>
      <c r="P883" s="20"/>
      <c r="Q883" s="20"/>
      <c r="R883" s="22"/>
      <c r="S883" s="22"/>
      <c r="T883" s="20"/>
      <c r="U883" s="20"/>
      <c r="V883" s="20"/>
      <c r="W883" s="19"/>
      <c r="X883" s="19"/>
      <c r="Y883" s="19"/>
      <c r="Z883" s="23"/>
    </row>
    <row r="884" spans="1:26" ht="15.75" customHeight="1" x14ac:dyDescent="0.2">
      <c r="A884" s="34"/>
      <c r="B884" s="34"/>
      <c r="C884" s="34"/>
      <c r="D884" s="34"/>
      <c r="E884" s="19"/>
      <c r="F884" s="19"/>
      <c r="G884" s="19"/>
      <c r="H884" s="19"/>
      <c r="I884" s="19"/>
      <c r="J884" s="19"/>
      <c r="K884" s="19"/>
      <c r="L884" s="19"/>
      <c r="M884" s="19"/>
      <c r="N884" s="19"/>
      <c r="O884" s="19"/>
      <c r="P884" s="20"/>
      <c r="Q884" s="20"/>
      <c r="R884" s="22"/>
      <c r="S884" s="22"/>
      <c r="T884" s="20"/>
      <c r="U884" s="20"/>
      <c r="V884" s="20"/>
      <c r="W884" s="19"/>
      <c r="X884" s="19"/>
      <c r="Y884" s="19"/>
      <c r="Z884" s="23"/>
    </row>
    <row r="885" spans="1:26" ht="15.75" customHeight="1" x14ac:dyDescent="0.2">
      <c r="A885" s="34"/>
      <c r="B885" s="34"/>
      <c r="C885" s="34"/>
      <c r="D885" s="34"/>
      <c r="E885" s="19"/>
      <c r="F885" s="19"/>
      <c r="G885" s="19"/>
      <c r="H885" s="19"/>
      <c r="I885" s="19"/>
      <c r="J885" s="19"/>
      <c r="K885" s="19"/>
      <c r="L885" s="19"/>
      <c r="M885" s="19"/>
      <c r="N885" s="19"/>
      <c r="O885" s="19"/>
      <c r="P885" s="20"/>
      <c r="Q885" s="20"/>
      <c r="R885" s="22"/>
      <c r="S885" s="22"/>
      <c r="T885" s="20"/>
      <c r="U885" s="20"/>
      <c r="V885" s="20"/>
      <c r="W885" s="19"/>
      <c r="X885" s="19"/>
      <c r="Y885" s="19"/>
      <c r="Z885" s="23"/>
    </row>
    <row r="886" spans="1:26" ht="15.75" customHeight="1" x14ac:dyDescent="0.2">
      <c r="A886" s="34"/>
      <c r="B886" s="34"/>
      <c r="C886" s="34"/>
      <c r="D886" s="34"/>
      <c r="E886" s="19"/>
      <c r="F886" s="19"/>
      <c r="G886" s="19"/>
      <c r="H886" s="19"/>
      <c r="I886" s="19"/>
      <c r="J886" s="19"/>
      <c r="K886" s="19"/>
      <c r="L886" s="19"/>
      <c r="M886" s="19"/>
      <c r="N886" s="19"/>
      <c r="O886" s="19"/>
      <c r="P886" s="20"/>
      <c r="Q886" s="20"/>
      <c r="R886" s="22"/>
      <c r="S886" s="22"/>
      <c r="T886" s="20"/>
      <c r="U886" s="20"/>
      <c r="V886" s="20"/>
      <c r="W886" s="19"/>
      <c r="X886" s="19"/>
      <c r="Y886" s="19"/>
      <c r="Z886" s="23"/>
    </row>
    <row r="887" spans="1:26" ht="15.75" customHeight="1" x14ac:dyDescent="0.2">
      <c r="A887" s="34"/>
      <c r="B887" s="34"/>
      <c r="C887" s="34"/>
      <c r="D887" s="34"/>
      <c r="E887" s="19"/>
      <c r="F887" s="19"/>
      <c r="G887" s="19"/>
      <c r="H887" s="19"/>
      <c r="I887" s="19"/>
      <c r="J887" s="19"/>
      <c r="K887" s="19"/>
      <c r="L887" s="19"/>
      <c r="M887" s="19"/>
      <c r="N887" s="19"/>
      <c r="O887" s="19"/>
      <c r="P887" s="20"/>
      <c r="Q887" s="20"/>
      <c r="R887" s="22"/>
      <c r="S887" s="22"/>
      <c r="T887" s="20"/>
      <c r="U887" s="20"/>
      <c r="V887" s="20"/>
      <c r="W887" s="19"/>
      <c r="X887" s="19"/>
      <c r="Y887" s="19"/>
      <c r="Z887" s="23"/>
    </row>
    <row r="888" spans="1:26" ht="15.75" customHeight="1" x14ac:dyDescent="0.2">
      <c r="A888" s="34"/>
      <c r="B888" s="34"/>
      <c r="C888" s="34"/>
      <c r="D888" s="34"/>
      <c r="E888" s="19"/>
      <c r="F888" s="19"/>
      <c r="G888" s="19"/>
      <c r="H888" s="19"/>
      <c r="I888" s="19"/>
      <c r="J888" s="19"/>
      <c r="K888" s="19"/>
      <c r="L888" s="19"/>
      <c r="M888" s="19"/>
      <c r="N888" s="19"/>
      <c r="O888" s="19"/>
      <c r="P888" s="20"/>
      <c r="Q888" s="20"/>
      <c r="R888" s="22"/>
      <c r="S888" s="22"/>
      <c r="T888" s="20"/>
      <c r="U888" s="20"/>
      <c r="V888" s="20"/>
      <c r="W888" s="19"/>
      <c r="X888" s="19"/>
      <c r="Y888" s="19"/>
      <c r="Z888" s="23"/>
    </row>
    <row r="889" spans="1:26" ht="15.75" customHeight="1" x14ac:dyDescent="0.2">
      <c r="A889" s="34"/>
      <c r="B889" s="34"/>
      <c r="C889" s="34"/>
      <c r="D889" s="34"/>
      <c r="E889" s="19"/>
      <c r="F889" s="19"/>
      <c r="G889" s="19"/>
      <c r="H889" s="19"/>
      <c r="I889" s="19"/>
      <c r="J889" s="19"/>
      <c r="K889" s="19"/>
      <c r="L889" s="19"/>
      <c r="M889" s="19"/>
      <c r="N889" s="19"/>
      <c r="O889" s="19"/>
      <c r="P889" s="20"/>
      <c r="Q889" s="20"/>
      <c r="R889" s="22"/>
      <c r="S889" s="22"/>
      <c r="T889" s="20"/>
      <c r="U889" s="20"/>
      <c r="V889" s="20"/>
      <c r="W889" s="19"/>
      <c r="X889" s="19"/>
      <c r="Y889" s="19"/>
      <c r="Z889" s="23"/>
    </row>
    <row r="890" spans="1:26" ht="15.75" customHeight="1" x14ac:dyDescent="0.2">
      <c r="A890" s="34"/>
      <c r="B890" s="34"/>
      <c r="C890" s="34"/>
      <c r="D890" s="34"/>
      <c r="E890" s="19"/>
      <c r="F890" s="19"/>
      <c r="G890" s="19"/>
      <c r="H890" s="19"/>
      <c r="I890" s="19"/>
      <c r="J890" s="19"/>
      <c r="K890" s="19"/>
      <c r="L890" s="19"/>
      <c r="M890" s="19"/>
      <c r="N890" s="19"/>
      <c r="O890" s="19"/>
      <c r="P890" s="20"/>
      <c r="Q890" s="20"/>
      <c r="R890" s="22"/>
      <c r="S890" s="22"/>
      <c r="T890" s="20"/>
      <c r="U890" s="20"/>
      <c r="V890" s="20"/>
      <c r="W890" s="19"/>
      <c r="X890" s="19"/>
      <c r="Y890" s="19"/>
      <c r="Z890" s="23"/>
    </row>
    <row r="891" spans="1:26" ht="15.75" customHeight="1" x14ac:dyDescent="0.2">
      <c r="A891" s="34"/>
      <c r="B891" s="34"/>
      <c r="C891" s="34"/>
      <c r="D891" s="34"/>
      <c r="E891" s="19"/>
      <c r="F891" s="19"/>
      <c r="G891" s="19"/>
      <c r="H891" s="19"/>
      <c r="I891" s="19"/>
      <c r="J891" s="19"/>
      <c r="K891" s="19"/>
      <c r="L891" s="19"/>
      <c r="M891" s="19"/>
      <c r="N891" s="19"/>
      <c r="O891" s="19"/>
      <c r="P891" s="20"/>
      <c r="Q891" s="20"/>
      <c r="R891" s="22"/>
      <c r="S891" s="22"/>
      <c r="T891" s="20"/>
      <c r="U891" s="20"/>
      <c r="V891" s="20"/>
      <c r="W891" s="19"/>
      <c r="X891" s="19"/>
      <c r="Y891" s="19"/>
      <c r="Z891" s="23"/>
    </row>
    <row r="892" spans="1:26" ht="15.75" customHeight="1" x14ac:dyDescent="0.2">
      <c r="A892" s="34"/>
      <c r="B892" s="34"/>
      <c r="C892" s="34"/>
      <c r="D892" s="34"/>
      <c r="E892" s="19"/>
      <c r="F892" s="19"/>
      <c r="G892" s="19"/>
      <c r="H892" s="19"/>
      <c r="I892" s="19"/>
      <c r="J892" s="19"/>
      <c r="K892" s="19"/>
      <c r="L892" s="19"/>
      <c r="M892" s="19"/>
      <c r="N892" s="19"/>
      <c r="O892" s="19"/>
      <c r="P892" s="20"/>
      <c r="Q892" s="20"/>
      <c r="R892" s="22"/>
      <c r="S892" s="22"/>
      <c r="T892" s="20"/>
      <c r="U892" s="20"/>
      <c r="V892" s="20"/>
      <c r="W892" s="19"/>
      <c r="X892" s="19"/>
      <c r="Y892" s="19"/>
      <c r="Z892" s="23"/>
    </row>
    <row r="893" spans="1:26" ht="15.75" customHeight="1" x14ac:dyDescent="0.2">
      <c r="A893" s="34"/>
      <c r="B893" s="34"/>
      <c r="C893" s="34"/>
      <c r="D893" s="34"/>
      <c r="E893" s="19"/>
      <c r="F893" s="19"/>
      <c r="G893" s="19"/>
      <c r="H893" s="19"/>
      <c r="I893" s="19"/>
      <c r="J893" s="19"/>
      <c r="K893" s="19"/>
      <c r="L893" s="19"/>
      <c r="M893" s="19"/>
      <c r="N893" s="19"/>
      <c r="O893" s="19"/>
      <c r="P893" s="20"/>
      <c r="Q893" s="20"/>
      <c r="R893" s="22"/>
      <c r="S893" s="22"/>
      <c r="T893" s="20"/>
      <c r="U893" s="20"/>
      <c r="V893" s="20"/>
      <c r="W893" s="19"/>
      <c r="X893" s="19"/>
      <c r="Y893" s="19"/>
      <c r="Z893" s="23"/>
    </row>
    <row r="894" spans="1:26" ht="15.75" customHeight="1" x14ac:dyDescent="0.2">
      <c r="A894" s="34"/>
      <c r="B894" s="34"/>
      <c r="C894" s="34"/>
      <c r="D894" s="34"/>
      <c r="E894" s="19"/>
      <c r="F894" s="19"/>
      <c r="G894" s="19"/>
      <c r="H894" s="19"/>
      <c r="I894" s="19"/>
      <c r="J894" s="19"/>
      <c r="K894" s="19"/>
      <c r="L894" s="19"/>
      <c r="M894" s="19"/>
      <c r="N894" s="19"/>
      <c r="O894" s="19"/>
      <c r="P894" s="20"/>
      <c r="Q894" s="20"/>
      <c r="R894" s="22"/>
      <c r="S894" s="22"/>
      <c r="T894" s="20"/>
      <c r="U894" s="20"/>
      <c r="V894" s="20"/>
      <c r="W894" s="19"/>
      <c r="X894" s="19"/>
      <c r="Y894" s="19"/>
      <c r="Z894" s="23"/>
    </row>
    <row r="895" spans="1:26" ht="15.75" customHeight="1" x14ac:dyDescent="0.2">
      <c r="A895" s="34"/>
      <c r="B895" s="34"/>
      <c r="C895" s="34"/>
      <c r="D895" s="34"/>
      <c r="E895" s="19"/>
      <c r="F895" s="19"/>
      <c r="G895" s="19"/>
      <c r="H895" s="19"/>
      <c r="I895" s="19"/>
      <c r="J895" s="19"/>
      <c r="K895" s="19"/>
      <c r="L895" s="19"/>
      <c r="M895" s="19"/>
      <c r="N895" s="19"/>
      <c r="O895" s="19"/>
      <c r="P895" s="20"/>
      <c r="Q895" s="20"/>
      <c r="R895" s="22"/>
      <c r="S895" s="22"/>
      <c r="T895" s="20"/>
      <c r="U895" s="20"/>
      <c r="V895" s="20"/>
      <c r="W895" s="19"/>
      <c r="X895" s="19"/>
      <c r="Y895" s="19"/>
      <c r="Z895" s="23"/>
    </row>
    <row r="896" spans="1:26" ht="15.75" customHeight="1" x14ac:dyDescent="0.2">
      <c r="A896" s="34"/>
      <c r="B896" s="34"/>
      <c r="C896" s="34"/>
      <c r="D896" s="34"/>
      <c r="E896" s="19"/>
      <c r="F896" s="19"/>
      <c r="G896" s="19"/>
      <c r="H896" s="19"/>
      <c r="I896" s="19"/>
      <c r="J896" s="19"/>
      <c r="K896" s="19"/>
      <c r="L896" s="19"/>
      <c r="M896" s="19"/>
      <c r="N896" s="19"/>
      <c r="O896" s="19"/>
      <c r="P896" s="20"/>
      <c r="Q896" s="20"/>
      <c r="R896" s="22"/>
      <c r="S896" s="22"/>
      <c r="T896" s="20"/>
      <c r="U896" s="20"/>
      <c r="V896" s="20"/>
      <c r="W896" s="19"/>
      <c r="X896" s="19"/>
      <c r="Y896" s="19"/>
      <c r="Z896" s="23"/>
    </row>
    <row r="897" spans="1:26" ht="15.75" customHeight="1" x14ac:dyDescent="0.2">
      <c r="A897" s="34"/>
      <c r="B897" s="34"/>
      <c r="C897" s="34"/>
      <c r="D897" s="34"/>
      <c r="E897" s="19"/>
      <c r="F897" s="19"/>
      <c r="G897" s="19"/>
      <c r="H897" s="19"/>
      <c r="I897" s="19"/>
      <c r="J897" s="19"/>
      <c r="K897" s="19"/>
      <c r="L897" s="19"/>
      <c r="M897" s="19"/>
      <c r="N897" s="19"/>
      <c r="O897" s="19"/>
      <c r="P897" s="20"/>
      <c r="Q897" s="20"/>
      <c r="R897" s="22"/>
      <c r="S897" s="22"/>
      <c r="T897" s="20"/>
      <c r="U897" s="20"/>
      <c r="V897" s="20"/>
      <c r="W897" s="19"/>
      <c r="X897" s="19"/>
      <c r="Y897" s="19"/>
      <c r="Z897" s="23"/>
    </row>
    <row r="898" spans="1:26" ht="15.75" customHeight="1" x14ac:dyDescent="0.2">
      <c r="A898" s="34"/>
      <c r="B898" s="34"/>
      <c r="C898" s="34"/>
      <c r="D898" s="34"/>
      <c r="E898" s="19"/>
      <c r="F898" s="19"/>
      <c r="G898" s="19"/>
      <c r="H898" s="19"/>
      <c r="I898" s="19"/>
      <c r="J898" s="19"/>
      <c r="K898" s="19"/>
      <c r="L898" s="19"/>
      <c r="M898" s="19"/>
      <c r="N898" s="19"/>
      <c r="O898" s="19"/>
      <c r="P898" s="20"/>
      <c r="Q898" s="20"/>
      <c r="R898" s="22"/>
      <c r="S898" s="22"/>
      <c r="T898" s="20"/>
      <c r="U898" s="20"/>
      <c r="V898" s="20"/>
      <c r="W898" s="19"/>
      <c r="X898" s="19"/>
      <c r="Y898" s="19"/>
      <c r="Z898" s="23"/>
    </row>
    <row r="899" spans="1:26" ht="15.75" customHeight="1" x14ac:dyDescent="0.2">
      <c r="A899" s="34"/>
      <c r="B899" s="34"/>
      <c r="C899" s="34"/>
      <c r="D899" s="34"/>
      <c r="E899" s="19"/>
      <c r="F899" s="19"/>
      <c r="G899" s="19"/>
      <c r="H899" s="19"/>
      <c r="I899" s="19"/>
      <c r="J899" s="19"/>
      <c r="K899" s="19"/>
      <c r="L899" s="19"/>
      <c r="M899" s="19"/>
      <c r="N899" s="19"/>
      <c r="O899" s="19"/>
      <c r="P899" s="20"/>
      <c r="Q899" s="20"/>
      <c r="R899" s="22"/>
      <c r="S899" s="22"/>
      <c r="T899" s="20"/>
      <c r="U899" s="20"/>
      <c r="V899" s="20"/>
      <c r="W899" s="19"/>
      <c r="X899" s="19"/>
      <c r="Y899" s="19"/>
      <c r="Z899" s="23"/>
    </row>
    <row r="900" spans="1:26" ht="15.75" customHeight="1" x14ac:dyDescent="0.2">
      <c r="A900" s="34"/>
      <c r="B900" s="34"/>
      <c r="C900" s="34"/>
      <c r="D900" s="34"/>
      <c r="E900" s="19"/>
      <c r="F900" s="19"/>
      <c r="G900" s="19"/>
      <c r="H900" s="19"/>
      <c r="I900" s="19"/>
      <c r="J900" s="19"/>
      <c r="K900" s="19"/>
      <c r="L900" s="19"/>
      <c r="M900" s="19"/>
      <c r="N900" s="19"/>
      <c r="O900" s="19"/>
      <c r="P900" s="20"/>
      <c r="Q900" s="20"/>
      <c r="R900" s="22"/>
      <c r="S900" s="22"/>
      <c r="T900" s="20"/>
      <c r="U900" s="20"/>
      <c r="V900" s="20"/>
      <c r="W900" s="19"/>
      <c r="X900" s="19"/>
      <c r="Y900" s="19"/>
      <c r="Z900" s="23"/>
    </row>
    <row r="901" spans="1:26" ht="15.75" customHeight="1" x14ac:dyDescent="0.2">
      <c r="A901" s="34"/>
      <c r="B901" s="34"/>
      <c r="C901" s="34"/>
      <c r="D901" s="34"/>
      <c r="E901" s="19"/>
      <c r="F901" s="19"/>
      <c r="G901" s="19"/>
      <c r="H901" s="19"/>
      <c r="I901" s="19"/>
      <c r="J901" s="19"/>
      <c r="K901" s="19"/>
      <c r="L901" s="19"/>
      <c r="M901" s="19"/>
      <c r="N901" s="19"/>
      <c r="O901" s="19"/>
      <c r="P901" s="20"/>
      <c r="Q901" s="20"/>
      <c r="R901" s="22"/>
      <c r="S901" s="22"/>
      <c r="T901" s="20"/>
      <c r="U901" s="20"/>
      <c r="V901" s="20"/>
      <c r="W901" s="19"/>
      <c r="X901" s="19"/>
      <c r="Y901" s="19"/>
      <c r="Z901" s="23"/>
    </row>
    <row r="902" spans="1:26" ht="15.75" customHeight="1" x14ac:dyDescent="0.2">
      <c r="A902" s="34"/>
      <c r="B902" s="34"/>
      <c r="C902" s="34"/>
      <c r="D902" s="34"/>
      <c r="E902" s="19"/>
      <c r="F902" s="19"/>
      <c r="G902" s="19"/>
      <c r="H902" s="19"/>
      <c r="I902" s="19"/>
      <c r="J902" s="19"/>
      <c r="K902" s="19"/>
      <c r="L902" s="19"/>
      <c r="M902" s="19"/>
      <c r="N902" s="19"/>
      <c r="O902" s="19"/>
      <c r="P902" s="20"/>
      <c r="Q902" s="20"/>
      <c r="R902" s="22"/>
      <c r="S902" s="22"/>
      <c r="T902" s="20"/>
      <c r="U902" s="20"/>
      <c r="V902" s="20"/>
      <c r="W902" s="19"/>
      <c r="X902" s="19"/>
      <c r="Y902" s="19"/>
      <c r="Z902" s="23"/>
    </row>
    <row r="903" spans="1:26" ht="15.75" customHeight="1" x14ac:dyDescent="0.2">
      <c r="A903" s="34"/>
      <c r="B903" s="34"/>
      <c r="C903" s="34"/>
      <c r="D903" s="34"/>
      <c r="E903" s="19"/>
      <c r="F903" s="19"/>
      <c r="G903" s="19"/>
      <c r="H903" s="19"/>
      <c r="I903" s="19"/>
      <c r="J903" s="19"/>
      <c r="K903" s="19"/>
      <c r="L903" s="19"/>
      <c r="M903" s="19"/>
      <c r="N903" s="19"/>
      <c r="O903" s="19"/>
      <c r="P903" s="20"/>
      <c r="Q903" s="20"/>
      <c r="R903" s="22"/>
      <c r="S903" s="22"/>
      <c r="T903" s="20"/>
      <c r="U903" s="20"/>
      <c r="V903" s="20"/>
      <c r="W903" s="19"/>
      <c r="X903" s="19"/>
      <c r="Y903" s="19"/>
      <c r="Z903" s="23"/>
    </row>
    <row r="904" spans="1:26" ht="15.75" customHeight="1" x14ac:dyDescent="0.2">
      <c r="A904" s="34"/>
      <c r="B904" s="34"/>
      <c r="C904" s="34"/>
      <c r="D904" s="34"/>
      <c r="E904" s="19"/>
      <c r="F904" s="19"/>
      <c r="G904" s="19"/>
      <c r="H904" s="19"/>
      <c r="I904" s="19"/>
      <c r="J904" s="19"/>
      <c r="K904" s="19"/>
      <c r="L904" s="19"/>
      <c r="M904" s="19"/>
      <c r="N904" s="19"/>
      <c r="O904" s="19"/>
      <c r="P904" s="20"/>
      <c r="Q904" s="20"/>
      <c r="R904" s="22"/>
      <c r="S904" s="22"/>
      <c r="T904" s="20"/>
      <c r="U904" s="20"/>
      <c r="V904" s="20"/>
      <c r="W904" s="19"/>
      <c r="X904" s="19"/>
      <c r="Y904" s="19"/>
      <c r="Z904" s="23"/>
    </row>
    <row r="905" spans="1:26" ht="15.75" customHeight="1" x14ac:dyDescent="0.2">
      <c r="A905" s="34"/>
      <c r="B905" s="34"/>
      <c r="C905" s="34"/>
      <c r="D905" s="34"/>
      <c r="E905" s="19"/>
      <c r="F905" s="19"/>
      <c r="G905" s="19"/>
      <c r="H905" s="19"/>
      <c r="I905" s="19"/>
      <c r="J905" s="19"/>
      <c r="K905" s="19"/>
      <c r="L905" s="19"/>
      <c r="M905" s="19"/>
      <c r="N905" s="19"/>
      <c r="O905" s="19"/>
      <c r="P905" s="20"/>
      <c r="Q905" s="20"/>
      <c r="R905" s="22"/>
      <c r="S905" s="22"/>
      <c r="T905" s="20"/>
      <c r="U905" s="20"/>
      <c r="V905" s="20"/>
      <c r="W905" s="19"/>
      <c r="X905" s="19"/>
      <c r="Y905" s="19"/>
      <c r="Z905" s="23"/>
    </row>
    <row r="906" spans="1:26" ht="15.75" customHeight="1" x14ac:dyDescent="0.2">
      <c r="A906" s="34"/>
      <c r="B906" s="34"/>
      <c r="C906" s="34"/>
      <c r="D906" s="34"/>
      <c r="E906" s="19"/>
      <c r="F906" s="19"/>
      <c r="G906" s="19"/>
      <c r="H906" s="19"/>
      <c r="I906" s="19"/>
      <c r="J906" s="19"/>
      <c r="K906" s="19"/>
      <c r="L906" s="19"/>
      <c r="M906" s="19"/>
      <c r="N906" s="19"/>
      <c r="O906" s="19"/>
      <c r="P906" s="20"/>
      <c r="Q906" s="20"/>
      <c r="R906" s="22"/>
      <c r="S906" s="22"/>
      <c r="T906" s="20"/>
      <c r="U906" s="20"/>
      <c r="V906" s="20"/>
      <c r="W906" s="19"/>
      <c r="X906" s="19"/>
      <c r="Y906" s="19"/>
      <c r="Z906" s="23"/>
    </row>
    <row r="907" spans="1:26" ht="15.75" customHeight="1" x14ac:dyDescent="0.2">
      <c r="A907" s="34"/>
      <c r="B907" s="34"/>
      <c r="C907" s="34"/>
      <c r="D907" s="34"/>
      <c r="E907" s="19"/>
      <c r="F907" s="19"/>
      <c r="G907" s="19"/>
      <c r="H907" s="19"/>
      <c r="I907" s="19"/>
      <c r="J907" s="19"/>
      <c r="K907" s="19"/>
      <c r="L907" s="19"/>
      <c r="M907" s="19"/>
      <c r="N907" s="19"/>
      <c r="O907" s="19"/>
      <c r="P907" s="20"/>
      <c r="Q907" s="20"/>
      <c r="R907" s="22"/>
      <c r="S907" s="22"/>
      <c r="T907" s="20"/>
      <c r="U907" s="20"/>
      <c r="V907" s="20"/>
      <c r="W907" s="19"/>
      <c r="X907" s="19"/>
      <c r="Y907" s="19"/>
      <c r="Z907" s="23"/>
    </row>
    <row r="908" spans="1:26" ht="15.75" customHeight="1" x14ac:dyDescent="0.2">
      <c r="A908" s="34"/>
      <c r="B908" s="34"/>
      <c r="C908" s="34"/>
      <c r="D908" s="34"/>
      <c r="E908" s="19"/>
      <c r="F908" s="19"/>
      <c r="G908" s="19"/>
      <c r="H908" s="19"/>
      <c r="I908" s="19"/>
      <c r="J908" s="19"/>
      <c r="K908" s="19"/>
      <c r="L908" s="19"/>
      <c r="M908" s="19"/>
      <c r="N908" s="19"/>
      <c r="O908" s="19"/>
      <c r="P908" s="20"/>
      <c r="Q908" s="20"/>
      <c r="R908" s="22"/>
      <c r="S908" s="22"/>
      <c r="T908" s="20"/>
      <c r="U908" s="20"/>
      <c r="V908" s="20"/>
      <c r="W908" s="19"/>
      <c r="X908" s="19"/>
      <c r="Y908" s="19"/>
      <c r="Z908" s="23"/>
    </row>
    <row r="909" spans="1:26" ht="15.75" customHeight="1" x14ac:dyDescent="0.2">
      <c r="A909" s="34"/>
      <c r="B909" s="34"/>
      <c r="C909" s="34"/>
      <c r="D909" s="34"/>
      <c r="E909" s="19"/>
      <c r="F909" s="19"/>
      <c r="G909" s="19"/>
      <c r="H909" s="19"/>
      <c r="I909" s="19"/>
      <c r="J909" s="19"/>
      <c r="K909" s="19"/>
      <c r="L909" s="19"/>
      <c r="M909" s="19"/>
      <c r="N909" s="19"/>
      <c r="O909" s="19"/>
      <c r="P909" s="20"/>
      <c r="Q909" s="20"/>
      <c r="R909" s="22"/>
      <c r="S909" s="22"/>
      <c r="T909" s="20"/>
      <c r="U909" s="20"/>
      <c r="V909" s="20"/>
      <c r="W909" s="19"/>
      <c r="X909" s="19"/>
      <c r="Y909" s="19"/>
      <c r="Z909" s="23"/>
    </row>
    <row r="910" spans="1:26" ht="15.75" customHeight="1" x14ac:dyDescent="0.2">
      <c r="A910" s="34"/>
      <c r="B910" s="34"/>
      <c r="C910" s="34"/>
      <c r="D910" s="34"/>
      <c r="E910" s="19"/>
      <c r="F910" s="19"/>
      <c r="G910" s="19"/>
      <c r="H910" s="19"/>
      <c r="I910" s="19"/>
      <c r="J910" s="19"/>
      <c r="K910" s="19"/>
      <c r="L910" s="19"/>
      <c r="M910" s="19"/>
      <c r="N910" s="19"/>
      <c r="O910" s="19"/>
      <c r="P910" s="20"/>
      <c r="Q910" s="20"/>
      <c r="R910" s="22"/>
      <c r="S910" s="22"/>
      <c r="T910" s="20"/>
      <c r="U910" s="20"/>
      <c r="V910" s="20"/>
      <c r="W910" s="19"/>
      <c r="X910" s="19"/>
      <c r="Y910" s="19"/>
      <c r="Z910" s="23"/>
    </row>
    <row r="911" spans="1:26" ht="15.75" customHeight="1" x14ac:dyDescent="0.2">
      <c r="A911" s="34"/>
      <c r="B911" s="34"/>
      <c r="C911" s="34"/>
      <c r="D911" s="34"/>
      <c r="E911" s="19"/>
      <c r="F911" s="19"/>
      <c r="G911" s="19"/>
      <c r="H911" s="19"/>
      <c r="I911" s="19"/>
      <c r="J911" s="19"/>
      <c r="K911" s="19"/>
      <c r="L911" s="19"/>
      <c r="M911" s="19"/>
      <c r="N911" s="19"/>
      <c r="O911" s="19"/>
      <c r="P911" s="20"/>
      <c r="Q911" s="20"/>
      <c r="R911" s="22"/>
      <c r="S911" s="22"/>
      <c r="T911" s="20"/>
      <c r="U911" s="20"/>
      <c r="V911" s="20"/>
      <c r="W911" s="19"/>
      <c r="X911" s="19"/>
      <c r="Y911" s="19"/>
      <c r="Z911" s="23"/>
    </row>
    <row r="912" spans="1:26" ht="15.75" customHeight="1" x14ac:dyDescent="0.2">
      <c r="A912" s="34"/>
      <c r="B912" s="34"/>
      <c r="C912" s="34"/>
      <c r="D912" s="34"/>
      <c r="E912" s="19"/>
      <c r="F912" s="19"/>
      <c r="G912" s="19"/>
      <c r="H912" s="19"/>
      <c r="I912" s="19"/>
      <c r="J912" s="19"/>
      <c r="K912" s="19"/>
      <c r="L912" s="19"/>
      <c r="M912" s="19"/>
      <c r="N912" s="19"/>
      <c r="O912" s="19"/>
      <c r="P912" s="20"/>
      <c r="Q912" s="20"/>
      <c r="R912" s="22"/>
      <c r="S912" s="22"/>
      <c r="T912" s="20"/>
      <c r="U912" s="20"/>
      <c r="V912" s="20"/>
      <c r="W912" s="19"/>
      <c r="X912" s="19"/>
      <c r="Y912" s="19"/>
      <c r="Z912" s="23"/>
    </row>
    <row r="913" spans="1:26" ht="15.75" customHeight="1" x14ac:dyDescent="0.2">
      <c r="A913" s="34"/>
      <c r="B913" s="34"/>
      <c r="C913" s="34"/>
      <c r="D913" s="34"/>
      <c r="E913" s="19"/>
      <c r="F913" s="19"/>
      <c r="G913" s="19"/>
      <c r="H913" s="19"/>
      <c r="I913" s="19"/>
      <c r="J913" s="19"/>
      <c r="K913" s="19"/>
      <c r="L913" s="19"/>
      <c r="M913" s="19"/>
      <c r="N913" s="19"/>
      <c r="O913" s="19"/>
      <c r="P913" s="20"/>
      <c r="Q913" s="20"/>
      <c r="R913" s="22"/>
      <c r="S913" s="22"/>
      <c r="T913" s="20"/>
      <c r="U913" s="20"/>
      <c r="V913" s="20"/>
      <c r="W913" s="19"/>
      <c r="X913" s="19"/>
      <c r="Y913" s="19"/>
      <c r="Z913" s="23"/>
    </row>
    <row r="914" spans="1:26" ht="15.75" customHeight="1" x14ac:dyDescent="0.2">
      <c r="A914" s="34"/>
      <c r="B914" s="34"/>
      <c r="C914" s="34"/>
      <c r="D914" s="34"/>
      <c r="E914" s="19"/>
      <c r="F914" s="19"/>
      <c r="G914" s="19"/>
      <c r="H914" s="19"/>
      <c r="I914" s="19"/>
      <c r="J914" s="19"/>
      <c r="K914" s="19"/>
      <c r="L914" s="19"/>
      <c r="M914" s="19"/>
      <c r="N914" s="19"/>
      <c r="O914" s="19"/>
      <c r="P914" s="20"/>
      <c r="Q914" s="20"/>
      <c r="R914" s="22"/>
      <c r="S914" s="22"/>
      <c r="T914" s="20"/>
      <c r="U914" s="20"/>
      <c r="V914" s="20"/>
      <c r="W914" s="19"/>
      <c r="X914" s="19"/>
      <c r="Y914" s="19"/>
      <c r="Z914" s="23"/>
    </row>
    <row r="915" spans="1:26" ht="15.75" customHeight="1" x14ac:dyDescent="0.2">
      <c r="A915" s="34"/>
      <c r="B915" s="34"/>
      <c r="C915" s="34"/>
      <c r="D915" s="34"/>
      <c r="E915" s="19"/>
      <c r="F915" s="19"/>
      <c r="G915" s="19"/>
      <c r="H915" s="19"/>
      <c r="I915" s="19"/>
      <c r="J915" s="19"/>
      <c r="K915" s="19"/>
      <c r="L915" s="19"/>
      <c r="M915" s="19"/>
      <c r="N915" s="19"/>
      <c r="O915" s="19"/>
      <c r="P915" s="20"/>
      <c r="Q915" s="20"/>
      <c r="R915" s="22"/>
      <c r="S915" s="22"/>
      <c r="T915" s="20"/>
      <c r="U915" s="20"/>
      <c r="V915" s="20"/>
      <c r="W915" s="19"/>
      <c r="X915" s="19"/>
      <c r="Y915" s="19"/>
      <c r="Z915" s="23"/>
    </row>
    <row r="916" spans="1:26" ht="15.75" customHeight="1" x14ac:dyDescent="0.2">
      <c r="A916" s="34"/>
      <c r="B916" s="34"/>
      <c r="C916" s="34"/>
      <c r="D916" s="34"/>
      <c r="E916" s="19"/>
      <c r="F916" s="19"/>
      <c r="G916" s="19"/>
      <c r="H916" s="19"/>
      <c r="I916" s="19"/>
      <c r="J916" s="19"/>
      <c r="K916" s="19"/>
      <c r="L916" s="19"/>
      <c r="M916" s="19"/>
      <c r="N916" s="19"/>
      <c r="O916" s="19"/>
      <c r="P916" s="20"/>
      <c r="Q916" s="20"/>
      <c r="R916" s="22"/>
      <c r="S916" s="22"/>
      <c r="T916" s="20"/>
      <c r="U916" s="20"/>
      <c r="V916" s="20"/>
      <c r="W916" s="19"/>
      <c r="X916" s="19"/>
      <c r="Y916" s="19"/>
      <c r="Z916" s="23"/>
    </row>
    <row r="917" spans="1:26" ht="15.75" customHeight="1" x14ac:dyDescent="0.2">
      <c r="A917" s="34"/>
      <c r="B917" s="34"/>
      <c r="C917" s="34"/>
      <c r="D917" s="34"/>
      <c r="E917" s="19"/>
      <c r="F917" s="19"/>
      <c r="G917" s="19"/>
      <c r="H917" s="19"/>
      <c r="I917" s="19"/>
      <c r="J917" s="19"/>
      <c r="K917" s="19"/>
      <c r="L917" s="19"/>
      <c r="M917" s="19"/>
      <c r="N917" s="19"/>
      <c r="O917" s="19"/>
      <c r="P917" s="20"/>
      <c r="Q917" s="20"/>
      <c r="R917" s="22"/>
      <c r="S917" s="22"/>
      <c r="T917" s="20"/>
      <c r="U917" s="20"/>
      <c r="V917" s="20"/>
      <c r="W917" s="19"/>
      <c r="X917" s="19"/>
      <c r="Y917" s="19"/>
      <c r="Z917" s="23"/>
    </row>
    <row r="918" spans="1:26" ht="15.75" customHeight="1" x14ac:dyDescent="0.2">
      <c r="A918" s="34"/>
      <c r="B918" s="34"/>
      <c r="C918" s="34"/>
      <c r="D918" s="34"/>
      <c r="E918" s="19"/>
      <c r="F918" s="19"/>
      <c r="G918" s="19"/>
      <c r="H918" s="19"/>
      <c r="I918" s="19"/>
      <c r="J918" s="19"/>
      <c r="K918" s="19"/>
      <c r="L918" s="19"/>
      <c r="M918" s="19"/>
      <c r="N918" s="19"/>
      <c r="O918" s="19"/>
      <c r="P918" s="20"/>
      <c r="Q918" s="20"/>
      <c r="R918" s="22"/>
      <c r="S918" s="22"/>
      <c r="T918" s="20"/>
      <c r="U918" s="20"/>
      <c r="V918" s="20"/>
      <c r="W918" s="19"/>
      <c r="X918" s="19"/>
      <c r="Y918" s="19"/>
      <c r="Z918" s="23"/>
    </row>
    <row r="919" spans="1:26" ht="15.75" customHeight="1" x14ac:dyDescent="0.2">
      <c r="A919" s="34"/>
      <c r="B919" s="34"/>
      <c r="C919" s="34"/>
      <c r="D919" s="34"/>
      <c r="E919" s="19"/>
      <c r="F919" s="19"/>
      <c r="G919" s="19"/>
      <c r="H919" s="19"/>
      <c r="I919" s="19"/>
      <c r="J919" s="19"/>
      <c r="K919" s="19"/>
      <c r="L919" s="19"/>
      <c r="M919" s="19"/>
      <c r="N919" s="19"/>
      <c r="O919" s="19"/>
      <c r="P919" s="20"/>
      <c r="Q919" s="20"/>
      <c r="R919" s="22"/>
      <c r="S919" s="22"/>
      <c r="T919" s="20"/>
      <c r="U919" s="20"/>
      <c r="V919" s="20"/>
      <c r="W919" s="19"/>
      <c r="X919" s="19"/>
      <c r="Y919" s="19"/>
      <c r="Z919" s="23"/>
    </row>
    <row r="920" spans="1:26" ht="15.75" customHeight="1" x14ac:dyDescent="0.2">
      <c r="A920" s="34"/>
      <c r="B920" s="34"/>
      <c r="C920" s="34"/>
      <c r="D920" s="34"/>
      <c r="E920" s="19"/>
      <c r="F920" s="19"/>
      <c r="G920" s="19"/>
      <c r="H920" s="19"/>
      <c r="I920" s="19"/>
      <c r="J920" s="19"/>
      <c r="K920" s="19"/>
      <c r="L920" s="19"/>
      <c r="M920" s="19"/>
      <c r="N920" s="19"/>
      <c r="O920" s="19"/>
      <c r="P920" s="20"/>
      <c r="Q920" s="20"/>
      <c r="R920" s="22"/>
      <c r="S920" s="22"/>
      <c r="T920" s="20"/>
      <c r="U920" s="20"/>
      <c r="V920" s="20"/>
      <c r="W920" s="19"/>
      <c r="X920" s="19"/>
      <c r="Y920" s="19"/>
      <c r="Z920" s="23"/>
    </row>
    <row r="921" spans="1:26" ht="15.75" customHeight="1" x14ac:dyDescent="0.2">
      <c r="A921" s="34"/>
      <c r="B921" s="34"/>
      <c r="C921" s="34"/>
      <c r="D921" s="34"/>
      <c r="E921" s="19"/>
      <c r="F921" s="19"/>
      <c r="G921" s="19"/>
      <c r="H921" s="19"/>
      <c r="I921" s="19"/>
      <c r="J921" s="19"/>
      <c r="K921" s="19"/>
      <c r="L921" s="19"/>
      <c r="M921" s="19"/>
      <c r="N921" s="19"/>
      <c r="O921" s="19"/>
      <c r="P921" s="20"/>
      <c r="Q921" s="20"/>
      <c r="R921" s="22"/>
      <c r="S921" s="22"/>
      <c r="T921" s="20"/>
      <c r="U921" s="20"/>
      <c r="V921" s="20"/>
      <c r="W921" s="19"/>
      <c r="X921" s="19"/>
      <c r="Y921" s="19"/>
      <c r="Z921" s="23"/>
    </row>
    <row r="922" spans="1:26" ht="15.75" customHeight="1" x14ac:dyDescent="0.2">
      <c r="A922" s="34"/>
      <c r="B922" s="34"/>
      <c r="C922" s="34"/>
      <c r="D922" s="34"/>
      <c r="E922" s="19"/>
      <c r="F922" s="19"/>
      <c r="G922" s="19"/>
      <c r="H922" s="19"/>
      <c r="I922" s="19"/>
      <c r="J922" s="19"/>
      <c r="K922" s="19"/>
      <c r="L922" s="19"/>
      <c r="M922" s="19"/>
      <c r="N922" s="19"/>
      <c r="O922" s="19"/>
      <c r="P922" s="20"/>
      <c r="Q922" s="20"/>
      <c r="R922" s="22"/>
      <c r="S922" s="22"/>
      <c r="T922" s="20"/>
      <c r="U922" s="20"/>
      <c r="V922" s="20"/>
      <c r="W922" s="19"/>
      <c r="X922" s="19"/>
      <c r="Y922" s="19"/>
      <c r="Z922" s="23"/>
    </row>
    <row r="923" spans="1:26" ht="15.75" customHeight="1" x14ac:dyDescent="0.2">
      <c r="A923" s="34"/>
      <c r="B923" s="34"/>
      <c r="C923" s="34"/>
      <c r="D923" s="34"/>
      <c r="E923" s="19"/>
      <c r="F923" s="19"/>
      <c r="G923" s="19"/>
      <c r="H923" s="19"/>
      <c r="I923" s="19"/>
      <c r="J923" s="19"/>
      <c r="K923" s="19"/>
      <c r="L923" s="19"/>
      <c r="M923" s="19"/>
      <c r="N923" s="19"/>
      <c r="O923" s="19"/>
      <c r="P923" s="20"/>
      <c r="Q923" s="20"/>
      <c r="R923" s="22"/>
      <c r="S923" s="22"/>
      <c r="T923" s="20"/>
      <c r="U923" s="20"/>
      <c r="V923" s="20"/>
      <c r="W923" s="19"/>
      <c r="X923" s="19"/>
      <c r="Y923" s="19"/>
      <c r="Z923" s="23"/>
    </row>
    <row r="924" spans="1:26" ht="15.75" customHeight="1" x14ac:dyDescent="0.2">
      <c r="A924" s="34"/>
      <c r="B924" s="34"/>
      <c r="C924" s="34"/>
      <c r="D924" s="34"/>
      <c r="E924" s="19"/>
      <c r="F924" s="19"/>
      <c r="G924" s="19"/>
      <c r="H924" s="19"/>
      <c r="I924" s="19"/>
      <c r="J924" s="19"/>
      <c r="K924" s="19"/>
      <c r="L924" s="19"/>
      <c r="M924" s="19"/>
      <c r="N924" s="19"/>
      <c r="O924" s="19"/>
      <c r="P924" s="20"/>
      <c r="Q924" s="20"/>
      <c r="R924" s="22"/>
      <c r="S924" s="22"/>
      <c r="T924" s="20"/>
      <c r="U924" s="20"/>
      <c r="V924" s="20"/>
      <c r="W924" s="19"/>
      <c r="X924" s="19"/>
      <c r="Y924" s="19"/>
      <c r="Z924" s="23"/>
    </row>
    <row r="925" spans="1:26" ht="15.75" customHeight="1" x14ac:dyDescent="0.2">
      <c r="A925" s="34"/>
      <c r="B925" s="34"/>
      <c r="C925" s="34"/>
      <c r="D925" s="34"/>
      <c r="E925" s="19"/>
      <c r="F925" s="19"/>
      <c r="G925" s="19"/>
      <c r="H925" s="19"/>
      <c r="I925" s="19"/>
      <c r="J925" s="19"/>
      <c r="K925" s="19"/>
      <c r="L925" s="19"/>
      <c r="M925" s="19"/>
      <c r="N925" s="19"/>
      <c r="O925" s="19"/>
      <c r="P925" s="20"/>
      <c r="Q925" s="20"/>
      <c r="R925" s="22"/>
      <c r="S925" s="22"/>
      <c r="T925" s="20"/>
      <c r="U925" s="20"/>
      <c r="V925" s="20"/>
      <c r="W925" s="19"/>
      <c r="X925" s="19"/>
      <c r="Y925" s="19"/>
      <c r="Z925" s="23"/>
    </row>
    <row r="926" spans="1:26" ht="15.75" customHeight="1" x14ac:dyDescent="0.2">
      <c r="A926" s="34"/>
      <c r="B926" s="34"/>
      <c r="C926" s="34"/>
      <c r="D926" s="34"/>
      <c r="E926" s="19"/>
      <c r="F926" s="19"/>
      <c r="G926" s="19"/>
      <c r="H926" s="19"/>
      <c r="I926" s="19"/>
      <c r="J926" s="19"/>
      <c r="K926" s="19"/>
      <c r="L926" s="19"/>
      <c r="M926" s="19"/>
      <c r="N926" s="19"/>
      <c r="O926" s="19"/>
      <c r="P926" s="20"/>
      <c r="Q926" s="20"/>
      <c r="R926" s="22"/>
      <c r="S926" s="22"/>
      <c r="T926" s="20"/>
      <c r="U926" s="20"/>
      <c r="V926" s="20"/>
      <c r="W926" s="19"/>
      <c r="X926" s="19"/>
      <c r="Y926" s="19"/>
      <c r="Z926" s="23"/>
    </row>
    <row r="927" spans="1:26" ht="15.75" customHeight="1" x14ac:dyDescent="0.2">
      <c r="A927" s="34"/>
      <c r="B927" s="34"/>
      <c r="C927" s="34"/>
      <c r="D927" s="34"/>
      <c r="E927" s="19"/>
      <c r="F927" s="19"/>
      <c r="G927" s="19"/>
      <c r="H927" s="19"/>
      <c r="I927" s="19"/>
      <c r="J927" s="19"/>
      <c r="K927" s="19"/>
      <c r="L927" s="19"/>
      <c r="M927" s="19"/>
      <c r="N927" s="19"/>
      <c r="O927" s="19"/>
      <c r="P927" s="20"/>
      <c r="Q927" s="20"/>
      <c r="R927" s="22"/>
      <c r="S927" s="22"/>
      <c r="T927" s="20"/>
      <c r="U927" s="20"/>
      <c r="V927" s="20"/>
      <c r="W927" s="19"/>
      <c r="X927" s="19"/>
      <c r="Y927" s="19"/>
      <c r="Z927" s="23"/>
    </row>
    <row r="928" spans="1:26" ht="15.75" customHeight="1" x14ac:dyDescent="0.2">
      <c r="A928" s="34"/>
      <c r="B928" s="34"/>
      <c r="C928" s="34"/>
      <c r="D928" s="34"/>
      <c r="E928" s="19"/>
      <c r="F928" s="19"/>
      <c r="G928" s="19"/>
      <c r="H928" s="19"/>
      <c r="I928" s="19"/>
      <c r="J928" s="19"/>
      <c r="K928" s="19"/>
      <c r="L928" s="19"/>
      <c r="M928" s="19"/>
      <c r="N928" s="19"/>
      <c r="O928" s="19"/>
      <c r="P928" s="20"/>
      <c r="Q928" s="20"/>
      <c r="R928" s="22"/>
      <c r="S928" s="22"/>
      <c r="T928" s="20"/>
      <c r="U928" s="20"/>
      <c r="V928" s="20"/>
      <c r="W928" s="19"/>
      <c r="X928" s="19"/>
      <c r="Y928" s="19"/>
      <c r="Z928" s="23"/>
    </row>
    <row r="929" spans="1:26" ht="15.75" customHeight="1" x14ac:dyDescent="0.2">
      <c r="A929" s="34"/>
      <c r="B929" s="34"/>
      <c r="C929" s="34"/>
      <c r="D929" s="34"/>
      <c r="E929" s="19"/>
      <c r="F929" s="19"/>
      <c r="G929" s="19"/>
      <c r="H929" s="19"/>
      <c r="I929" s="19"/>
      <c r="J929" s="19"/>
      <c r="K929" s="19"/>
      <c r="L929" s="19"/>
      <c r="M929" s="19"/>
      <c r="N929" s="19"/>
      <c r="O929" s="19"/>
      <c r="P929" s="20"/>
      <c r="Q929" s="20"/>
      <c r="R929" s="22"/>
      <c r="S929" s="22"/>
      <c r="T929" s="20"/>
      <c r="U929" s="20"/>
      <c r="V929" s="20"/>
      <c r="W929" s="19"/>
      <c r="X929" s="19"/>
      <c r="Y929" s="19"/>
      <c r="Z929" s="23"/>
    </row>
    <row r="930" spans="1:26" ht="15.75" customHeight="1" x14ac:dyDescent="0.2">
      <c r="A930" s="34"/>
      <c r="B930" s="34"/>
      <c r="C930" s="34"/>
      <c r="D930" s="34"/>
      <c r="E930" s="19"/>
      <c r="F930" s="19"/>
      <c r="G930" s="19"/>
      <c r="H930" s="19"/>
      <c r="I930" s="19"/>
      <c r="J930" s="19"/>
      <c r="K930" s="19"/>
      <c r="L930" s="19"/>
      <c r="M930" s="19"/>
      <c r="N930" s="19"/>
      <c r="O930" s="19"/>
      <c r="P930" s="20"/>
      <c r="Q930" s="20"/>
      <c r="R930" s="22"/>
      <c r="S930" s="22"/>
      <c r="T930" s="20"/>
      <c r="U930" s="20"/>
      <c r="V930" s="20"/>
      <c r="W930" s="19"/>
      <c r="X930" s="19"/>
      <c r="Y930" s="19"/>
      <c r="Z930" s="23"/>
    </row>
    <row r="931" spans="1:26" ht="15.75" customHeight="1" x14ac:dyDescent="0.2">
      <c r="A931" s="34"/>
      <c r="B931" s="34"/>
      <c r="C931" s="34"/>
      <c r="D931" s="34"/>
      <c r="E931" s="19"/>
      <c r="F931" s="19"/>
      <c r="G931" s="19"/>
      <c r="H931" s="19"/>
      <c r="I931" s="19"/>
      <c r="J931" s="19"/>
      <c r="K931" s="19"/>
      <c r="L931" s="19"/>
      <c r="M931" s="19"/>
      <c r="N931" s="19"/>
      <c r="O931" s="19"/>
      <c r="P931" s="20"/>
      <c r="Q931" s="20"/>
      <c r="R931" s="22"/>
      <c r="S931" s="22"/>
      <c r="T931" s="20"/>
      <c r="U931" s="20"/>
      <c r="V931" s="20"/>
      <c r="W931" s="19"/>
      <c r="X931" s="19"/>
      <c r="Y931" s="19"/>
      <c r="Z931" s="23"/>
    </row>
    <row r="932" spans="1:26" ht="15.75" customHeight="1" x14ac:dyDescent="0.2">
      <c r="A932" s="34"/>
      <c r="B932" s="34"/>
      <c r="C932" s="34"/>
      <c r="D932" s="34"/>
      <c r="E932" s="19"/>
      <c r="F932" s="19"/>
      <c r="G932" s="19"/>
      <c r="H932" s="19"/>
      <c r="I932" s="19"/>
      <c r="J932" s="19"/>
      <c r="K932" s="19"/>
      <c r="L932" s="19"/>
      <c r="M932" s="19"/>
      <c r="N932" s="19"/>
      <c r="O932" s="19"/>
      <c r="P932" s="20"/>
      <c r="Q932" s="20"/>
      <c r="R932" s="22"/>
      <c r="S932" s="22"/>
      <c r="T932" s="20"/>
      <c r="U932" s="20"/>
      <c r="V932" s="20"/>
      <c r="W932" s="19"/>
      <c r="X932" s="19"/>
      <c r="Y932" s="19"/>
      <c r="Z932" s="23"/>
    </row>
    <row r="933" spans="1:26" ht="15.75" customHeight="1" x14ac:dyDescent="0.2">
      <c r="A933" s="34"/>
      <c r="B933" s="34"/>
      <c r="C933" s="34"/>
      <c r="D933" s="34"/>
      <c r="E933" s="19"/>
      <c r="F933" s="19"/>
      <c r="G933" s="19"/>
      <c r="H933" s="19"/>
      <c r="I933" s="19"/>
      <c r="J933" s="19"/>
      <c r="K933" s="19"/>
      <c r="L933" s="19"/>
      <c r="M933" s="19"/>
      <c r="N933" s="19"/>
      <c r="O933" s="19"/>
      <c r="P933" s="20"/>
      <c r="Q933" s="20"/>
      <c r="R933" s="22"/>
      <c r="S933" s="22"/>
      <c r="T933" s="20"/>
      <c r="U933" s="20"/>
      <c r="V933" s="20"/>
      <c r="W933" s="19"/>
      <c r="X933" s="19"/>
      <c r="Y933" s="19"/>
      <c r="Z933" s="23"/>
    </row>
    <row r="934" spans="1:26" ht="15.75" customHeight="1" x14ac:dyDescent="0.2">
      <c r="A934" s="34"/>
      <c r="B934" s="34"/>
      <c r="C934" s="34"/>
      <c r="D934" s="34"/>
      <c r="E934" s="19"/>
      <c r="F934" s="19"/>
      <c r="G934" s="19"/>
      <c r="H934" s="19"/>
      <c r="I934" s="19"/>
      <c r="J934" s="19"/>
      <c r="K934" s="19"/>
      <c r="L934" s="19"/>
      <c r="M934" s="19"/>
      <c r="N934" s="19"/>
      <c r="O934" s="19"/>
      <c r="P934" s="20"/>
      <c r="Q934" s="20"/>
      <c r="R934" s="22"/>
      <c r="S934" s="22"/>
      <c r="T934" s="20"/>
      <c r="U934" s="20"/>
      <c r="V934" s="20"/>
      <c r="W934" s="19"/>
      <c r="X934" s="19"/>
      <c r="Y934" s="19"/>
      <c r="Z934" s="23"/>
    </row>
    <row r="935" spans="1:26" ht="15.75" customHeight="1" x14ac:dyDescent="0.2">
      <c r="A935" s="34"/>
      <c r="B935" s="34"/>
      <c r="C935" s="34"/>
      <c r="D935" s="34"/>
      <c r="E935" s="19"/>
      <c r="F935" s="19"/>
      <c r="G935" s="19"/>
      <c r="H935" s="19"/>
      <c r="I935" s="19"/>
      <c r="J935" s="19"/>
      <c r="K935" s="19"/>
      <c r="L935" s="19"/>
      <c r="M935" s="19"/>
      <c r="N935" s="19"/>
      <c r="O935" s="19"/>
      <c r="P935" s="20"/>
      <c r="Q935" s="20"/>
      <c r="R935" s="22"/>
      <c r="S935" s="22"/>
      <c r="T935" s="20"/>
      <c r="U935" s="20"/>
      <c r="V935" s="20"/>
      <c r="W935" s="19"/>
      <c r="X935" s="19"/>
      <c r="Y935" s="19"/>
      <c r="Z935" s="23"/>
    </row>
    <row r="936" spans="1:26" ht="15.75" customHeight="1" x14ac:dyDescent="0.2">
      <c r="A936" s="34"/>
      <c r="B936" s="34"/>
      <c r="C936" s="34"/>
      <c r="D936" s="34"/>
      <c r="E936" s="19"/>
      <c r="F936" s="19"/>
      <c r="G936" s="19"/>
      <c r="H936" s="19"/>
      <c r="I936" s="19"/>
      <c r="J936" s="19"/>
      <c r="K936" s="19"/>
      <c r="L936" s="19"/>
      <c r="M936" s="19"/>
      <c r="N936" s="19"/>
      <c r="O936" s="19"/>
      <c r="P936" s="20"/>
      <c r="Q936" s="20"/>
      <c r="R936" s="22"/>
      <c r="S936" s="22"/>
      <c r="T936" s="20"/>
      <c r="U936" s="20"/>
      <c r="V936" s="20"/>
      <c r="W936" s="19"/>
      <c r="X936" s="19"/>
      <c r="Y936" s="19"/>
      <c r="Z936" s="23"/>
    </row>
    <row r="937" spans="1:26" ht="15.75" customHeight="1" x14ac:dyDescent="0.2">
      <c r="A937" s="34"/>
      <c r="B937" s="34"/>
      <c r="C937" s="34"/>
      <c r="D937" s="34"/>
      <c r="E937" s="19"/>
      <c r="F937" s="19"/>
      <c r="G937" s="19"/>
      <c r="H937" s="19"/>
      <c r="I937" s="19"/>
      <c r="J937" s="19"/>
      <c r="K937" s="19"/>
      <c r="L937" s="19"/>
      <c r="M937" s="19"/>
      <c r="N937" s="19"/>
      <c r="O937" s="19"/>
      <c r="P937" s="20"/>
      <c r="Q937" s="20"/>
      <c r="R937" s="22"/>
      <c r="S937" s="22"/>
      <c r="T937" s="20"/>
      <c r="U937" s="20"/>
      <c r="V937" s="20"/>
      <c r="W937" s="19"/>
      <c r="X937" s="19"/>
      <c r="Y937" s="19"/>
      <c r="Z937" s="23"/>
    </row>
    <row r="938" spans="1:26" ht="15.75" customHeight="1" x14ac:dyDescent="0.2">
      <c r="A938" s="34"/>
      <c r="B938" s="34"/>
      <c r="C938" s="34"/>
      <c r="D938" s="34"/>
      <c r="E938" s="19"/>
      <c r="F938" s="19"/>
      <c r="G938" s="19"/>
      <c r="H938" s="19"/>
      <c r="I938" s="19"/>
      <c r="J938" s="19"/>
      <c r="K938" s="19"/>
      <c r="L938" s="19"/>
      <c r="M938" s="19"/>
      <c r="N938" s="19"/>
      <c r="O938" s="19"/>
      <c r="P938" s="20"/>
      <c r="Q938" s="20"/>
      <c r="R938" s="22"/>
      <c r="S938" s="22"/>
      <c r="T938" s="20"/>
      <c r="U938" s="20"/>
      <c r="V938" s="20"/>
      <c r="W938" s="19"/>
      <c r="X938" s="19"/>
      <c r="Y938" s="19"/>
      <c r="Z938" s="23"/>
    </row>
    <row r="939" spans="1:26" ht="15.75" customHeight="1" x14ac:dyDescent="0.2">
      <c r="A939" s="34"/>
      <c r="B939" s="34"/>
      <c r="C939" s="34"/>
      <c r="D939" s="34"/>
      <c r="E939" s="19"/>
      <c r="F939" s="19"/>
      <c r="G939" s="19"/>
      <c r="H939" s="19"/>
      <c r="I939" s="19"/>
      <c r="J939" s="19"/>
      <c r="K939" s="19"/>
      <c r="L939" s="19"/>
      <c r="M939" s="19"/>
      <c r="N939" s="19"/>
      <c r="O939" s="19"/>
      <c r="P939" s="20"/>
      <c r="Q939" s="20"/>
      <c r="R939" s="22"/>
      <c r="S939" s="22"/>
      <c r="T939" s="20"/>
      <c r="U939" s="20"/>
      <c r="V939" s="20"/>
      <c r="W939" s="19"/>
      <c r="X939" s="19"/>
      <c r="Y939" s="19"/>
      <c r="Z939" s="23"/>
    </row>
    <row r="940" spans="1:26" ht="15.75" customHeight="1" x14ac:dyDescent="0.2">
      <c r="A940" s="34"/>
      <c r="B940" s="34"/>
      <c r="C940" s="34"/>
      <c r="D940" s="34"/>
      <c r="E940" s="19"/>
      <c r="F940" s="19"/>
      <c r="G940" s="19"/>
      <c r="H940" s="19"/>
      <c r="I940" s="19"/>
      <c r="J940" s="19"/>
      <c r="K940" s="19"/>
      <c r="L940" s="19"/>
      <c r="M940" s="19"/>
      <c r="N940" s="19"/>
      <c r="O940" s="19"/>
      <c r="P940" s="20"/>
      <c r="Q940" s="20"/>
      <c r="R940" s="22"/>
      <c r="S940" s="22"/>
      <c r="T940" s="20"/>
      <c r="U940" s="20"/>
      <c r="V940" s="20"/>
      <c r="W940" s="19"/>
      <c r="X940" s="19"/>
      <c r="Y940" s="19"/>
      <c r="Z940" s="23"/>
    </row>
    <row r="941" spans="1:26" ht="15.75" customHeight="1" x14ac:dyDescent="0.2">
      <c r="A941" s="34"/>
      <c r="B941" s="34"/>
      <c r="C941" s="34"/>
      <c r="D941" s="34"/>
      <c r="E941" s="19"/>
      <c r="F941" s="19"/>
      <c r="G941" s="19"/>
      <c r="H941" s="19"/>
      <c r="I941" s="19"/>
      <c r="J941" s="19"/>
      <c r="K941" s="19"/>
      <c r="L941" s="19"/>
      <c r="M941" s="19"/>
      <c r="N941" s="19"/>
      <c r="O941" s="19"/>
      <c r="P941" s="20"/>
      <c r="Q941" s="20"/>
      <c r="R941" s="22"/>
      <c r="S941" s="22"/>
      <c r="T941" s="20"/>
      <c r="U941" s="20"/>
      <c r="V941" s="20"/>
      <c r="W941" s="19"/>
      <c r="X941" s="19"/>
      <c r="Y941" s="19"/>
      <c r="Z941" s="23"/>
    </row>
    <row r="942" spans="1:26" ht="15.75" customHeight="1" x14ac:dyDescent="0.2">
      <c r="A942" s="34"/>
      <c r="B942" s="34"/>
      <c r="C942" s="34"/>
      <c r="D942" s="34"/>
      <c r="E942" s="19"/>
      <c r="F942" s="19"/>
      <c r="G942" s="19"/>
      <c r="H942" s="19"/>
      <c r="I942" s="19"/>
      <c r="J942" s="19"/>
      <c r="K942" s="19"/>
      <c r="L942" s="19"/>
      <c r="M942" s="19"/>
      <c r="N942" s="19"/>
      <c r="O942" s="19"/>
      <c r="P942" s="20"/>
      <c r="Q942" s="20"/>
      <c r="R942" s="22"/>
      <c r="S942" s="22"/>
      <c r="T942" s="20"/>
      <c r="U942" s="20"/>
      <c r="V942" s="20"/>
      <c r="W942" s="19"/>
      <c r="X942" s="19"/>
      <c r="Y942" s="19"/>
      <c r="Z942" s="23"/>
    </row>
    <row r="943" spans="1:26" ht="15.75" customHeight="1" x14ac:dyDescent="0.2">
      <c r="A943" s="34"/>
      <c r="B943" s="34"/>
      <c r="C943" s="34"/>
      <c r="D943" s="34"/>
      <c r="E943" s="19"/>
      <c r="F943" s="19"/>
      <c r="G943" s="19"/>
      <c r="H943" s="19"/>
      <c r="I943" s="19"/>
      <c r="J943" s="19"/>
      <c r="K943" s="19"/>
      <c r="L943" s="19"/>
      <c r="M943" s="19"/>
      <c r="N943" s="19"/>
      <c r="O943" s="19"/>
      <c r="P943" s="20"/>
      <c r="Q943" s="20"/>
      <c r="R943" s="22"/>
      <c r="S943" s="22"/>
      <c r="T943" s="20"/>
      <c r="U943" s="20"/>
      <c r="V943" s="20"/>
      <c r="W943" s="19"/>
      <c r="X943" s="19"/>
      <c r="Y943" s="19"/>
      <c r="Z943" s="23"/>
    </row>
    <row r="944" spans="1:26" ht="15.75" customHeight="1" x14ac:dyDescent="0.2">
      <c r="A944" s="34"/>
      <c r="B944" s="34"/>
      <c r="C944" s="34"/>
      <c r="D944" s="34"/>
      <c r="E944" s="19"/>
      <c r="F944" s="19"/>
      <c r="G944" s="19"/>
      <c r="H944" s="19"/>
      <c r="I944" s="19"/>
      <c r="J944" s="19"/>
      <c r="K944" s="19"/>
      <c r="L944" s="19"/>
      <c r="M944" s="19"/>
      <c r="N944" s="19"/>
      <c r="O944" s="19"/>
      <c r="P944" s="20"/>
      <c r="Q944" s="20"/>
      <c r="R944" s="22"/>
      <c r="S944" s="22"/>
      <c r="T944" s="20"/>
      <c r="U944" s="20"/>
      <c r="V944" s="20"/>
      <c r="W944" s="19"/>
      <c r="X944" s="19"/>
      <c r="Y944" s="19"/>
      <c r="Z944" s="23"/>
    </row>
    <row r="945" spans="1:26" ht="15.75" customHeight="1" x14ac:dyDescent="0.2">
      <c r="A945" s="34"/>
      <c r="B945" s="34"/>
      <c r="C945" s="34"/>
      <c r="D945" s="34"/>
      <c r="E945" s="19"/>
      <c r="F945" s="19"/>
      <c r="G945" s="19"/>
      <c r="H945" s="19"/>
      <c r="I945" s="19"/>
      <c r="J945" s="19"/>
      <c r="K945" s="19"/>
      <c r="L945" s="19"/>
      <c r="M945" s="19"/>
      <c r="N945" s="19"/>
      <c r="O945" s="19"/>
      <c r="P945" s="20"/>
      <c r="Q945" s="20"/>
      <c r="R945" s="22"/>
      <c r="S945" s="22"/>
      <c r="T945" s="20"/>
      <c r="U945" s="20"/>
      <c r="V945" s="20"/>
      <c r="W945" s="19"/>
      <c r="X945" s="19"/>
      <c r="Y945" s="19"/>
      <c r="Z945" s="23"/>
    </row>
    <row r="946" spans="1:26" ht="15.75" customHeight="1" x14ac:dyDescent="0.2">
      <c r="A946" s="34"/>
      <c r="B946" s="34"/>
      <c r="C946" s="34"/>
      <c r="D946" s="34"/>
      <c r="E946" s="19"/>
      <c r="F946" s="19"/>
      <c r="G946" s="19"/>
      <c r="H946" s="19"/>
      <c r="I946" s="19"/>
      <c r="J946" s="19"/>
      <c r="K946" s="19"/>
      <c r="L946" s="19"/>
      <c r="M946" s="19"/>
      <c r="N946" s="19"/>
      <c r="O946" s="19"/>
      <c r="P946" s="20"/>
      <c r="Q946" s="20"/>
      <c r="R946" s="22"/>
      <c r="S946" s="22"/>
      <c r="T946" s="20"/>
      <c r="U946" s="20"/>
      <c r="V946" s="20"/>
      <c r="W946" s="19"/>
      <c r="X946" s="19"/>
      <c r="Y946" s="19"/>
      <c r="Z946" s="23"/>
    </row>
    <row r="947" spans="1:26" ht="15.75" customHeight="1" x14ac:dyDescent="0.2">
      <c r="A947" s="34"/>
      <c r="B947" s="34"/>
      <c r="C947" s="34"/>
      <c r="D947" s="34"/>
      <c r="E947" s="19"/>
      <c r="F947" s="19"/>
      <c r="G947" s="19"/>
      <c r="H947" s="19"/>
      <c r="I947" s="19"/>
      <c r="J947" s="19"/>
      <c r="K947" s="19"/>
      <c r="L947" s="19"/>
      <c r="M947" s="19"/>
      <c r="N947" s="19"/>
      <c r="O947" s="19"/>
      <c r="P947" s="20"/>
      <c r="Q947" s="20"/>
      <c r="R947" s="22"/>
      <c r="S947" s="22"/>
      <c r="T947" s="20"/>
      <c r="U947" s="20"/>
      <c r="V947" s="20"/>
      <c r="W947" s="19"/>
      <c r="X947" s="19"/>
      <c r="Y947" s="19"/>
      <c r="Z947" s="23"/>
    </row>
    <row r="948" spans="1:26" ht="15.75" customHeight="1" x14ac:dyDescent="0.2">
      <c r="A948" s="34"/>
      <c r="B948" s="34"/>
      <c r="C948" s="34"/>
      <c r="D948" s="34"/>
      <c r="E948" s="19"/>
      <c r="F948" s="19"/>
      <c r="G948" s="19"/>
      <c r="H948" s="19"/>
      <c r="I948" s="19"/>
      <c r="J948" s="19"/>
      <c r="K948" s="19"/>
      <c r="L948" s="19"/>
      <c r="M948" s="19"/>
      <c r="N948" s="19"/>
      <c r="O948" s="19"/>
      <c r="P948" s="20"/>
      <c r="Q948" s="20"/>
      <c r="R948" s="22"/>
      <c r="S948" s="22"/>
      <c r="T948" s="20"/>
      <c r="U948" s="20"/>
      <c r="V948" s="20"/>
      <c r="W948" s="19"/>
      <c r="X948" s="19"/>
      <c r="Y948" s="19"/>
      <c r="Z948" s="23"/>
    </row>
    <row r="949" spans="1:26" ht="15.75" customHeight="1" x14ac:dyDescent="0.2">
      <c r="A949" s="34"/>
      <c r="B949" s="34"/>
      <c r="C949" s="34"/>
      <c r="D949" s="34"/>
      <c r="E949" s="19"/>
      <c r="F949" s="19"/>
      <c r="G949" s="19"/>
      <c r="H949" s="19"/>
      <c r="I949" s="19"/>
      <c r="J949" s="19"/>
      <c r="K949" s="19"/>
      <c r="L949" s="19"/>
      <c r="M949" s="19"/>
      <c r="N949" s="19"/>
      <c r="O949" s="19"/>
      <c r="P949" s="20"/>
      <c r="Q949" s="20"/>
      <c r="R949" s="22"/>
      <c r="S949" s="22"/>
      <c r="T949" s="20"/>
      <c r="U949" s="20"/>
      <c r="V949" s="20"/>
      <c r="W949" s="19"/>
      <c r="X949" s="19"/>
      <c r="Y949" s="19"/>
      <c r="Z949" s="23"/>
    </row>
    <row r="950" spans="1:26" ht="15.75" customHeight="1" x14ac:dyDescent="0.2">
      <c r="A950" s="34"/>
      <c r="B950" s="34"/>
      <c r="C950" s="34"/>
      <c r="D950" s="34"/>
      <c r="E950" s="19"/>
      <c r="F950" s="19"/>
      <c r="G950" s="19"/>
      <c r="H950" s="19"/>
      <c r="I950" s="19"/>
      <c r="J950" s="19"/>
      <c r="K950" s="19"/>
      <c r="L950" s="19"/>
      <c r="M950" s="19"/>
      <c r="N950" s="19"/>
      <c r="O950" s="19"/>
      <c r="P950" s="20"/>
      <c r="Q950" s="20"/>
      <c r="R950" s="22"/>
      <c r="S950" s="22"/>
      <c r="T950" s="20"/>
      <c r="U950" s="20"/>
      <c r="V950" s="20"/>
      <c r="W950" s="19"/>
      <c r="X950" s="19"/>
      <c r="Y950" s="19"/>
      <c r="Z950" s="23"/>
    </row>
    <row r="951" spans="1:26" ht="15.75" customHeight="1" x14ac:dyDescent="0.2">
      <c r="A951" s="34"/>
      <c r="B951" s="34"/>
      <c r="C951" s="34"/>
      <c r="D951" s="34"/>
      <c r="E951" s="19"/>
      <c r="F951" s="19"/>
      <c r="G951" s="19"/>
      <c r="H951" s="19"/>
      <c r="I951" s="19"/>
      <c r="J951" s="19"/>
      <c r="K951" s="19"/>
      <c r="L951" s="19"/>
      <c r="M951" s="19"/>
      <c r="N951" s="19"/>
      <c r="O951" s="19"/>
      <c r="P951" s="20"/>
      <c r="Q951" s="20"/>
      <c r="R951" s="22"/>
      <c r="S951" s="22"/>
      <c r="T951" s="20"/>
      <c r="U951" s="20"/>
      <c r="V951" s="20"/>
      <c r="W951" s="19"/>
      <c r="X951" s="19"/>
      <c r="Y951" s="19"/>
      <c r="Z951" s="23"/>
    </row>
    <row r="952" spans="1:26" ht="15.75" customHeight="1" x14ac:dyDescent="0.2">
      <c r="A952" s="34"/>
      <c r="B952" s="34"/>
      <c r="C952" s="34"/>
      <c r="D952" s="34"/>
      <c r="E952" s="19"/>
      <c r="F952" s="19"/>
      <c r="G952" s="19"/>
      <c r="H952" s="19"/>
      <c r="I952" s="19"/>
      <c r="J952" s="19"/>
      <c r="K952" s="19"/>
      <c r="L952" s="19"/>
      <c r="M952" s="19"/>
      <c r="N952" s="19"/>
      <c r="O952" s="19"/>
      <c r="P952" s="20"/>
      <c r="Q952" s="20"/>
      <c r="R952" s="22"/>
      <c r="S952" s="22"/>
      <c r="T952" s="20"/>
      <c r="U952" s="20"/>
      <c r="V952" s="20"/>
      <c r="W952" s="19"/>
      <c r="X952" s="19"/>
      <c r="Y952" s="19"/>
      <c r="Z952" s="23"/>
    </row>
    <row r="953" spans="1:26" ht="15.75" customHeight="1" x14ac:dyDescent="0.2">
      <c r="A953" s="34"/>
      <c r="B953" s="34"/>
      <c r="C953" s="34"/>
      <c r="D953" s="34"/>
      <c r="E953" s="19"/>
      <c r="F953" s="19"/>
      <c r="G953" s="19"/>
      <c r="H953" s="19"/>
      <c r="I953" s="19"/>
      <c r="J953" s="19"/>
      <c r="K953" s="19"/>
      <c r="L953" s="19"/>
      <c r="M953" s="19"/>
      <c r="N953" s="19"/>
      <c r="O953" s="19"/>
      <c r="P953" s="20"/>
      <c r="Q953" s="20"/>
      <c r="R953" s="22"/>
      <c r="S953" s="22"/>
      <c r="T953" s="20"/>
      <c r="U953" s="20"/>
      <c r="V953" s="20"/>
      <c r="W953" s="19"/>
      <c r="X953" s="19"/>
      <c r="Y953" s="19"/>
      <c r="Z953" s="23"/>
    </row>
    <row r="954" spans="1:26" ht="15.75" customHeight="1" x14ac:dyDescent="0.2">
      <c r="A954" s="34"/>
      <c r="B954" s="34"/>
      <c r="C954" s="34"/>
      <c r="D954" s="34"/>
      <c r="E954" s="19"/>
      <c r="F954" s="19"/>
      <c r="G954" s="19"/>
      <c r="H954" s="19"/>
      <c r="I954" s="19"/>
      <c r="J954" s="19"/>
      <c r="K954" s="19"/>
      <c r="L954" s="19"/>
      <c r="M954" s="19"/>
      <c r="N954" s="19"/>
      <c r="O954" s="19"/>
      <c r="P954" s="20"/>
      <c r="Q954" s="20"/>
      <c r="R954" s="22"/>
      <c r="S954" s="22"/>
      <c r="T954" s="20"/>
      <c r="U954" s="20"/>
      <c r="V954" s="20"/>
      <c r="W954" s="19"/>
      <c r="X954" s="19"/>
      <c r="Y954" s="19"/>
      <c r="Z954" s="23"/>
    </row>
    <row r="955" spans="1:26" ht="15.75" customHeight="1" x14ac:dyDescent="0.2">
      <c r="A955" s="34"/>
      <c r="B955" s="34"/>
      <c r="C955" s="34"/>
      <c r="D955" s="34"/>
      <c r="E955" s="19"/>
      <c r="F955" s="19"/>
      <c r="G955" s="19"/>
      <c r="H955" s="19"/>
      <c r="I955" s="19"/>
      <c r="J955" s="19"/>
      <c r="K955" s="19"/>
      <c r="L955" s="19"/>
      <c r="M955" s="19"/>
      <c r="N955" s="19"/>
      <c r="O955" s="19"/>
      <c r="P955" s="20"/>
      <c r="Q955" s="20"/>
      <c r="R955" s="22"/>
      <c r="S955" s="22"/>
      <c r="T955" s="20"/>
      <c r="U955" s="20"/>
      <c r="V955" s="20"/>
      <c r="W955" s="19"/>
      <c r="X955" s="19"/>
      <c r="Y955" s="19"/>
      <c r="Z955" s="23"/>
    </row>
    <row r="956" spans="1:26" ht="15.75" customHeight="1" x14ac:dyDescent="0.2">
      <c r="A956" s="34"/>
      <c r="B956" s="34"/>
      <c r="C956" s="34"/>
      <c r="D956" s="34"/>
      <c r="E956" s="19"/>
      <c r="F956" s="19"/>
      <c r="G956" s="19"/>
      <c r="H956" s="19"/>
      <c r="I956" s="19"/>
      <c r="J956" s="19"/>
      <c r="K956" s="19"/>
      <c r="L956" s="19"/>
      <c r="M956" s="19"/>
      <c r="N956" s="19"/>
      <c r="O956" s="19"/>
      <c r="P956" s="20"/>
      <c r="Q956" s="20"/>
      <c r="R956" s="22"/>
      <c r="S956" s="22"/>
      <c r="T956" s="20"/>
      <c r="U956" s="20"/>
      <c r="V956" s="20"/>
      <c r="W956" s="19"/>
      <c r="X956" s="19"/>
      <c r="Y956" s="19"/>
      <c r="Z956" s="23"/>
    </row>
    <row r="957" spans="1:26" ht="15.75" customHeight="1" x14ac:dyDescent="0.2">
      <c r="A957" s="34"/>
      <c r="B957" s="34"/>
      <c r="C957" s="34"/>
      <c r="D957" s="34"/>
      <c r="E957" s="19"/>
      <c r="F957" s="19"/>
      <c r="G957" s="19"/>
      <c r="H957" s="19"/>
      <c r="I957" s="19"/>
      <c r="J957" s="19"/>
      <c r="K957" s="19"/>
      <c r="L957" s="19"/>
      <c r="M957" s="19"/>
      <c r="N957" s="19"/>
      <c r="O957" s="19"/>
      <c r="P957" s="20"/>
      <c r="Q957" s="20"/>
      <c r="R957" s="22"/>
      <c r="S957" s="22"/>
      <c r="T957" s="20"/>
      <c r="U957" s="20"/>
      <c r="V957" s="20"/>
      <c r="W957" s="19"/>
      <c r="X957" s="19"/>
      <c r="Y957" s="19"/>
      <c r="Z957" s="23"/>
    </row>
    <row r="958" spans="1:26" ht="15.75" customHeight="1" x14ac:dyDescent="0.2">
      <c r="A958" s="34"/>
      <c r="B958" s="34"/>
      <c r="C958" s="34"/>
      <c r="D958" s="34"/>
      <c r="E958" s="19"/>
      <c r="F958" s="19"/>
      <c r="G958" s="19"/>
      <c r="H958" s="19"/>
      <c r="I958" s="19"/>
      <c r="J958" s="19"/>
      <c r="K958" s="19"/>
      <c r="L958" s="19"/>
      <c r="M958" s="19"/>
      <c r="N958" s="19"/>
      <c r="O958" s="19"/>
      <c r="P958" s="20"/>
      <c r="Q958" s="20"/>
      <c r="R958" s="22"/>
      <c r="S958" s="22"/>
      <c r="T958" s="20"/>
      <c r="U958" s="20"/>
      <c r="V958" s="20"/>
      <c r="W958" s="19"/>
      <c r="X958" s="19"/>
      <c r="Y958" s="19"/>
      <c r="Z958" s="23"/>
    </row>
    <row r="959" spans="1:26" ht="15.75" customHeight="1" x14ac:dyDescent="0.2">
      <c r="A959" s="34"/>
      <c r="B959" s="34"/>
      <c r="C959" s="34"/>
      <c r="D959" s="34"/>
      <c r="E959" s="19"/>
      <c r="F959" s="19"/>
      <c r="G959" s="19"/>
      <c r="H959" s="19"/>
      <c r="I959" s="19"/>
      <c r="J959" s="19"/>
      <c r="K959" s="19"/>
      <c r="L959" s="19"/>
      <c r="M959" s="19"/>
      <c r="N959" s="19"/>
      <c r="O959" s="19"/>
      <c r="P959" s="20"/>
      <c r="Q959" s="20"/>
      <c r="R959" s="22"/>
      <c r="S959" s="22"/>
      <c r="T959" s="20"/>
      <c r="U959" s="20"/>
      <c r="V959" s="20"/>
      <c r="W959" s="19"/>
      <c r="X959" s="19"/>
      <c r="Y959" s="19"/>
      <c r="Z959" s="23"/>
    </row>
    <row r="960" spans="1:26" ht="15.75" customHeight="1" x14ac:dyDescent="0.2">
      <c r="A960" s="34"/>
      <c r="B960" s="34"/>
      <c r="C960" s="34"/>
      <c r="D960" s="34"/>
      <c r="E960" s="19"/>
      <c r="F960" s="19"/>
      <c r="G960" s="19"/>
      <c r="H960" s="19"/>
      <c r="I960" s="19"/>
      <c r="J960" s="19"/>
      <c r="K960" s="19"/>
      <c r="L960" s="19"/>
      <c r="M960" s="19"/>
      <c r="N960" s="19"/>
      <c r="O960" s="19"/>
      <c r="P960" s="20"/>
      <c r="Q960" s="20"/>
      <c r="R960" s="22"/>
      <c r="S960" s="22"/>
      <c r="T960" s="20"/>
      <c r="U960" s="20"/>
      <c r="V960" s="20"/>
      <c r="W960" s="19"/>
      <c r="X960" s="19"/>
      <c r="Y960" s="19"/>
      <c r="Z960" s="23"/>
    </row>
    <row r="961" spans="1:26" ht="15.75" customHeight="1" x14ac:dyDescent="0.2">
      <c r="A961" s="34"/>
      <c r="B961" s="34"/>
      <c r="C961" s="34"/>
      <c r="D961" s="34"/>
      <c r="E961" s="19"/>
      <c r="F961" s="19"/>
      <c r="G961" s="19"/>
      <c r="H961" s="19"/>
      <c r="I961" s="19"/>
      <c r="J961" s="19"/>
      <c r="K961" s="19"/>
      <c r="L961" s="19"/>
      <c r="M961" s="19"/>
      <c r="N961" s="19"/>
      <c r="O961" s="19"/>
      <c r="P961" s="20"/>
      <c r="Q961" s="20"/>
      <c r="R961" s="22"/>
      <c r="S961" s="22"/>
      <c r="T961" s="20"/>
      <c r="U961" s="20"/>
      <c r="V961" s="20"/>
      <c r="W961" s="19"/>
      <c r="X961" s="19"/>
      <c r="Y961" s="19"/>
      <c r="Z961" s="23"/>
    </row>
    <row r="962" spans="1:26" ht="15.75" customHeight="1" x14ac:dyDescent="0.2">
      <c r="A962" s="34"/>
      <c r="B962" s="34"/>
      <c r="C962" s="34"/>
      <c r="D962" s="34"/>
      <c r="E962" s="19"/>
      <c r="F962" s="19"/>
      <c r="G962" s="19"/>
      <c r="H962" s="19"/>
      <c r="I962" s="19"/>
      <c r="J962" s="19"/>
      <c r="K962" s="19"/>
      <c r="L962" s="19"/>
      <c r="M962" s="19"/>
      <c r="N962" s="19"/>
      <c r="O962" s="19"/>
      <c r="P962" s="20"/>
      <c r="Q962" s="20"/>
      <c r="R962" s="22"/>
      <c r="S962" s="22"/>
      <c r="T962" s="20"/>
      <c r="U962" s="20"/>
      <c r="V962" s="20"/>
      <c r="W962" s="19"/>
      <c r="X962" s="19"/>
      <c r="Y962" s="19"/>
      <c r="Z962" s="23"/>
    </row>
    <row r="963" spans="1:26" ht="15.75" customHeight="1" x14ac:dyDescent="0.2">
      <c r="A963" s="34"/>
      <c r="B963" s="34"/>
      <c r="C963" s="34"/>
      <c r="D963" s="34"/>
      <c r="E963" s="19"/>
      <c r="F963" s="19"/>
      <c r="G963" s="19"/>
      <c r="H963" s="19"/>
      <c r="I963" s="19"/>
      <c r="J963" s="19"/>
      <c r="K963" s="19"/>
      <c r="L963" s="19"/>
      <c r="M963" s="19"/>
      <c r="N963" s="19"/>
      <c r="O963" s="19"/>
      <c r="P963" s="20"/>
      <c r="Q963" s="20"/>
      <c r="R963" s="22"/>
      <c r="S963" s="22"/>
      <c r="T963" s="20"/>
      <c r="U963" s="20"/>
      <c r="V963" s="20"/>
      <c r="W963" s="19"/>
      <c r="X963" s="19"/>
      <c r="Y963" s="19"/>
      <c r="Z963" s="23"/>
    </row>
    <row r="964" spans="1:26" ht="15.75" customHeight="1" x14ac:dyDescent="0.2">
      <c r="A964" s="34"/>
      <c r="B964" s="34"/>
      <c r="C964" s="34"/>
      <c r="D964" s="34"/>
      <c r="E964" s="19"/>
      <c r="F964" s="19"/>
      <c r="G964" s="19"/>
      <c r="H964" s="19"/>
      <c r="I964" s="19"/>
      <c r="J964" s="19"/>
      <c r="K964" s="19"/>
      <c r="L964" s="19"/>
      <c r="M964" s="19"/>
      <c r="N964" s="19"/>
      <c r="O964" s="19"/>
      <c r="P964" s="20"/>
      <c r="Q964" s="20"/>
      <c r="R964" s="22"/>
      <c r="S964" s="22"/>
      <c r="T964" s="20"/>
      <c r="U964" s="20"/>
      <c r="V964" s="20"/>
      <c r="W964" s="19"/>
      <c r="X964" s="19"/>
      <c r="Y964" s="19"/>
      <c r="Z964" s="23"/>
    </row>
    <row r="965" spans="1:26" ht="15.75" customHeight="1" x14ac:dyDescent="0.2">
      <c r="A965" s="34"/>
      <c r="B965" s="34"/>
      <c r="C965" s="34"/>
      <c r="D965" s="34"/>
      <c r="E965" s="19"/>
      <c r="F965" s="19"/>
      <c r="G965" s="19"/>
      <c r="H965" s="19"/>
      <c r="I965" s="19"/>
      <c r="J965" s="19"/>
      <c r="K965" s="19"/>
      <c r="L965" s="19"/>
      <c r="M965" s="19"/>
      <c r="N965" s="19"/>
      <c r="O965" s="19"/>
      <c r="P965" s="20"/>
      <c r="Q965" s="20"/>
      <c r="R965" s="22"/>
      <c r="S965" s="22"/>
      <c r="T965" s="20"/>
      <c r="U965" s="20"/>
      <c r="V965" s="20"/>
      <c r="W965" s="19"/>
      <c r="X965" s="19"/>
      <c r="Y965" s="19"/>
      <c r="Z965" s="23"/>
    </row>
    <row r="966" spans="1:26" ht="15.75" customHeight="1" x14ac:dyDescent="0.2">
      <c r="A966" s="34"/>
      <c r="B966" s="34"/>
      <c r="C966" s="34"/>
      <c r="D966" s="34"/>
      <c r="E966" s="19"/>
      <c r="F966" s="19"/>
      <c r="G966" s="19"/>
      <c r="H966" s="19"/>
      <c r="I966" s="19"/>
      <c r="J966" s="19"/>
      <c r="K966" s="19"/>
      <c r="L966" s="19"/>
      <c r="M966" s="19"/>
      <c r="N966" s="19"/>
      <c r="O966" s="19"/>
      <c r="P966" s="20"/>
      <c r="Q966" s="20"/>
      <c r="R966" s="22"/>
      <c r="S966" s="22"/>
      <c r="T966" s="20"/>
      <c r="U966" s="20"/>
      <c r="V966" s="20"/>
      <c r="W966" s="19"/>
      <c r="X966" s="19"/>
      <c r="Y966" s="19"/>
      <c r="Z966" s="23"/>
    </row>
    <row r="967" spans="1:26" ht="15.75" customHeight="1" x14ac:dyDescent="0.2">
      <c r="A967" s="34"/>
      <c r="B967" s="34"/>
      <c r="C967" s="34"/>
      <c r="D967" s="34"/>
      <c r="E967" s="19"/>
      <c r="F967" s="19"/>
      <c r="G967" s="19"/>
      <c r="H967" s="19"/>
      <c r="I967" s="19"/>
      <c r="J967" s="19"/>
      <c r="K967" s="19"/>
      <c r="L967" s="19"/>
      <c r="M967" s="19"/>
      <c r="N967" s="19"/>
      <c r="O967" s="19"/>
      <c r="P967" s="20"/>
      <c r="Q967" s="20"/>
      <c r="R967" s="22"/>
      <c r="S967" s="22"/>
      <c r="T967" s="20"/>
      <c r="U967" s="20"/>
      <c r="V967" s="20"/>
      <c r="W967" s="19"/>
      <c r="X967" s="19"/>
      <c r="Y967" s="19"/>
      <c r="Z967" s="23"/>
    </row>
    <row r="968" spans="1:26" ht="15.75" customHeight="1" x14ac:dyDescent="0.2">
      <c r="A968" s="34"/>
      <c r="B968" s="34"/>
      <c r="C968" s="34"/>
      <c r="D968" s="34"/>
      <c r="E968" s="19"/>
      <c r="F968" s="19"/>
      <c r="G968" s="19"/>
      <c r="H968" s="19"/>
      <c r="I968" s="19"/>
      <c r="J968" s="19"/>
      <c r="K968" s="19"/>
      <c r="L968" s="19"/>
      <c r="M968" s="19"/>
      <c r="N968" s="19"/>
      <c r="O968" s="19"/>
      <c r="P968" s="20"/>
      <c r="Q968" s="20"/>
      <c r="R968" s="22"/>
      <c r="S968" s="22"/>
      <c r="T968" s="20"/>
      <c r="U968" s="20"/>
      <c r="V968" s="20"/>
      <c r="W968" s="19"/>
      <c r="X968" s="19"/>
      <c r="Y968" s="19"/>
      <c r="Z968" s="23"/>
    </row>
    <row r="969" spans="1:26" ht="15.75" customHeight="1" x14ac:dyDescent="0.2">
      <c r="A969" s="34"/>
      <c r="B969" s="34"/>
      <c r="C969" s="34"/>
      <c r="D969" s="34"/>
      <c r="E969" s="19"/>
      <c r="F969" s="19"/>
      <c r="G969" s="19"/>
      <c r="H969" s="19"/>
      <c r="I969" s="19"/>
      <c r="J969" s="19"/>
      <c r="K969" s="19"/>
      <c r="L969" s="19"/>
      <c r="M969" s="19"/>
      <c r="N969" s="19"/>
      <c r="O969" s="19"/>
      <c r="P969" s="20"/>
      <c r="Q969" s="20"/>
      <c r="R969" s="22"/>
      <c r="S969" s="22"/>
      <c r="T969" s="20"/>
      <c r="U969" s="20"/>
      <c r="V969" s="20"/>
      <c r="W969" s="19"/>
      <c r="X969" s="19"/>
      <c r="Y969" s="19"/>
      <c r="Z969" s="23"/>
    </row>
    <row r="970" spans="1:26" ht="15.75" customHeight="1" x14ac:dyDescent="0.2">
      <c r="A970" s="34"/>
      <c r="B970" s="34"/>
      <c r="C970" s="34"/>
      <c r="D970" s="34"/>
      <c r="E970" s="19"/>
      <c r="F970" s="19"/>
      <c r="G970" s="19"/>
      <c r="H970" s="19"/>
      <c r="I970" s="19"/>
      <c r="J970" s="19"/>
      <c r="K970" s="19"/>
      <c r="L970" s="19"/>
      <c r="M970" s="19"/>
      <c r="N970" s="19"/>
      <c r="O970" s="19"/>
      <c r="P970" s="20"/>
      <c r="Q970" s="20"/>
      <c r="R970" s="22"/>
      <c r="S970" s="22"/>
      <c r="T970" s="20"/>
      <c r="U970" s="20"/>
      <c r="V970" s="20"/>
      <c r="W970" s="19"/>
      <c r="X970" s="19"/>
      <c r="Y970" s="19"/>
      <c r="Z970" s="23"/>
    </row>
    <row r="971" spans="1:26" ht="15.75" customHeight="1" x14ac:dyDescent="0.2">
      <c r="A971" s="34"/>
      <c r="B971" s="34"/>
      <c r="C971" s="34"/>
      <c r="D971" s="34"/>
      <c r="E971" s="19"/>
      <c r="F971" s="19"/>
      <c r="G971" s="19"/>
      <c r="H971" s="19"/>
      <c r="I971" s="19"/>
      <c r="J971" s="19"/>
      <c r="K971" s="19"/>
      <c r="L971" s="19"/>
      <c r="M971" s="19"/>
      <c r="N971" s="19"/>
      <c r="O971" s="19"/>
      <c r="P971" s="20"/>
      <c r="Q971" s="20"/>
      <c r="R971" s="22"/>
      <c r="S971" s="22"/>
      <c r="T971" s="20"/>
      <c r="U971" s="20"/>
      <c r="V971" s="20"/>
      <c r="W971" s="19"/>
      <c r="X971" s="19"/>
      <c r="Y971" s="19"/>
      <c r="Z971" s="23"/>
    </row>
    <row r="972" spans="1:26" ht="15.75" customHeight="1" x14ac:dyDescent="0.2">
      <c r="A972" s="34"/>
      <c r="B972" s="34"/>
      <c r="C972" s="34"/>
      <c r="D972" s="34"/>
      <c r="E972" s="19"/>
      <c r="F972" s="19"/>
      <c r="G972" s="19"/>
      <c r="H972" s="19"/>
      <c r="I972" s="19"/>
      <c r="J972" s="19"/>
      <c r="K972" s="19"/>
      <c r="L972" s="19"/>
      <c r="M972" s="19"/>
      <c r="N972" s="19"/>
      <c r="O972" s="19"/>
      <c r="P972" s="20"/>
      <c r="Q972" s="20"/>
      <c r="R972" s="22"/>
      <c r="S972" s="22"/>
      <c r="T972" s="20"/>
      <c r="U972" s="20"/>
      <c r="V972" s="20"/>
      <c r="W972" s="19"/>
      <c r="X972" s="19"/>
      <c r="Y972" s="19"/>
      <c r="Z972" s="23"/>
    </row>
    <row r="973" spans="1:26" ht="15.75" customHeight="1" x14ac:dyDescent="0.2">
      <c r="A973" s="34"/>
      <c r="B973" s="34"/>
      <c r="C973" s="34"/>
      <c r="D973" s="34"/>
      <c r="E973" s="19"/>
      <c r="F973" s="19"/>
      <c r="G973" s="19"/>
      <c r="H973" s="19"/>
      <c r="I973" s="19"/>
      <c r="J973" s="19"/>
      <c r="K973" s="19"/>
      <c r="L973" s="19"/>
      <c r="M973" s="19"/>
      <c r="N973" s="19"/>
      <c r="O973" s="19"/>
      <c r="P973" s="20"/>
      <c r="Q973" s="20"/>
      <c r="R973" s="22"/>
      <c r="S973" s="22"/>
      <c r="T973" s="20"/>
      <c r="U973" s="20"/>
      <c r="V973" s="20"/>
      <c r="W973" s="19"/>
      <c r="X973" s="19"/>
      <c r="Y973" s="19"/>
      <c r="Z973" s="23"/>
    </row>
    <row r="974" spans="1:26" ht="15.75" customHeight="1" x14ac:dyDescent="0.2">
      <c r="A974" s="34"/>
      <c r="B974" s="34"/>
      <c r="C974" s="34"/>
      <c r="D974" s="34"/>
      <c r="E974" s="19"/>
      <c r="F974" s="19"/>
      <c r="G974" s="19"/>
      <c r="H974" s="19"/>
      <c r="I974" s="19"/>
      <c r="J974" s="19"/>
      <c r="K974" s="19"/>
      <c r="L974" s="19"/>
      <c r="M974" s="19"/>
      <c r="N974" s="19"/>
      <c r="O974" s="19"/>
      <c r="P974" s="20"/>
      <c r="Q974" s="20"/>
      <c r="R974" s="22"/>
      <c r="S974" s="22"/>
      <c r="T974" s="20"/>
      <c r="U974" s="20"/>
      <c r="V974" s="20"/>
      <c r="W974" s="19"/>
      <c r="X974" s="19"/>
      <c r="Y974" s="19"/>
      <c r="Z974" s="23"/>
    </row>
    <row r="975" spans="1:26" ht="15.75" customHeight="1" x14ac:dyDescent="0.2">
      <c r="A975" s="34"/>
      <c r="B975" s="34"/>
      <c r="C975" s="34"/>
      <c r="D975" s="34"/>
      <c r="E975" s="19"/>
      <c r="F975" s="19"/>
      <c r="G975" s="19"/>
      <c r="H975" s="19"/>
      <c r="I975" s="19"/>
      <c r="J975" s="19"/>
      <c r="K975" s="19"/>
      <c r="L975" s="19"/>
      <c r="M975" s="19"/>
      <c r="N975" s="19"/>
      <c r="O975" s="19"/>
      <c r="P975" s="20"/>
      <c r="Q975" s="20"/>
      <c r="R975" s="22"/>
      <c r="S975" s="22"/>
      <c r="T975" s="20"/>
      <c r="U975" s="20"/>
      <c r="V975" s="20"/>
      <c r="W975" s="19"/>
      <c r="X975" s="19"/>
      <c r="Y975" s="19"/>
      <c r="Z975" s="23"/>
    </row>
    <row r="976" spans="1:26" ht="15.75" customHeight="1" x14ac:dyDescent="0.2">
      <c r="A976" s="34"/>
      <c r="B976" s="34"/>
      <c r="C976" s="34"/>
      <c r="D976" s="34"/>
      <c r="E976" s="19"/>
      <c r="F976" s="19"/>
      <c r="G976" s="19"/>
      <c r="H976" s="19"/>
      <c r="I976" s="19"/>
      <c r="J976" s="19"/>
      <c r="K976" s="19"/>
      <c r="L976" s="19"/>
      <c r="M976" s="19"/>
      <c r="N976" s="19"/>
      <c r="O976" s="19"/>
      <c r="P976" s="20"/>
      <c r="Q976" s="20"/>
      <c r="R976" s="22"/>
      <c r="S976" s="22"/>
      <c r="T976" s="20"/>
      <c r="U976" s="20"/>
      <c r="V976" s="20"/>
      <c r="W976" s="19"/>
      <c r="X976" s="19"/>
      <c r="Y976" s="19"/>
      <c r="Z976" s="23"/>
    </row>
    <row r="977" spans="1:26" ht="15.75" customHeight="1" x14ac:dyDescent="0.2">
      <c r="A977" s="34"/>
      <c r="B977" s="34"/>
      <c r="C977" s="34"/>
      <c r="D977" s="34"/>
      <c r="E977" s="19"/>
      <c r="F977" s="19"/>
      <c r="G977" s="19"/>
      <c r="H977" s="19"/>
      <c r="I977" s="19"/>
      <c r="J977" s="19"/>
      <c r="K977" s="19"/>
      <c r="L977" s="19"/>
      <c r="M977" s="19"/>
      <c r="N977" s="19"/>
      <c r="O977" s="19"/>
      <c r="P977" s="20"/>
      <c r="Q977" s="20"/>
      <c r="R977" s="22"/>
      <c r="S977" s="22"/>
      <c r="T977" s="20"/>
      <c r="U977" s="20"/>
      <c r="V977" s="20"/>
      <c r="W977" s="19"/>
      <c r="X977" s="19"/>
      <c r="Y977" s="19"/>
      <c r="Z977" s="23"/>
    </row>
    <row r="978" spans="1:26" ht="15.75" customHeight="1" x14ac:dyDescent="0.2">
      <c r="A978" s="34"/>
      <c r="B978" s="34"/>
      <c r="C978" s="34"/>
      <c r="D978" s="34"/>
      <c r="E978" s="19"/>
      <c r="F978" s="19"/>
      <c r="G978" s="19"/>
      <c r="H978" s="19"/>
      <c r="I978" s="19"/>
      <c r="J978" s="19"/>
      <c r="K978" s="19"/>
      <c r="L978" s="19"/>
      <c r="M978" s="19"/>
      <c r="N978" s="19"/>
      <c r="O978" s="19"/>
      <c r="P978" s="20"/>
      <c r="Q978" s="20"/>
      <c r="R978" s="22"/>
      <c r="S978" s="22"/>
      <c r="T978" s="20"/>
      <c r="U978" s="20"/>
      <c r="V978" s="20"/>
      <c r="W978" s="19"/>
      <c r="X978" s="19"/>
      <c r="Y978" s="19"/>
      <c r="Z978" s="23"/>
    </row>
    <row r="979" spans="1:26" ht="15.75" customHeight="1" x14ac:dyDescent="0.2">
      <c r="A979" s="34"/>
      <c r="B979" s="34"/>
      <c r="C979" s="34"/>
      <c r="D979" s="34"/>
      <c r="E979" s="19"/>
      <c r="F979" s="19"/>
      <c r="G979" s="19"/>
      <c r="H979" s="19"/>
      <c r="I979" s="19"/>
      <c r="J979" s="19"/>
      <c r="K979" s="19"/>
      <c r="L979" s="19"/>
      <c r="M979" s="19"/>
      <c r="N979" s="19"/>
      <c r="O979" s="19"/>
      <c r="P979" s="20"/>
      <c r="Q979" s="20"/>
      <c r="R979" s="22"/>
      <c r="S979" s="22"/>
      <c r="T979" s="20"/>
      <c r="U979" s="20"/>
      <c r="V979" s="20"/>
      <c r="W979" s="19"/>
      <c r="X979" s="19"/>
      <c r="Y979" s="19"/>
      <c r="Z979" s="23"/>
    </row>
    <row r="980" spans="1:26" ht="15.75" customHeight="1" x14ac:dyDescent="0.2">
      <c r="A980" s="34"/>
      <c r="B980" s="34"/>
      <c r="C980" s="34"/>
      <c r="D980" s="34"/>
      <c r="E980" s="19"/>
      <c r="F980" s="19"/>
      <c r="G980" s="19"/>
      <c r="H980" s="19"/>
      <c r="I980" s="19"/>
      <c r="J980" s="19"/>
      <c r="K980" s="19"/>
      <c r="L980" s="19"/>
      <c r="M980" s="19"/>
      <c r="N980" s="19"/>
      <c r="O980" s="19"/>
      <c r="P980" s="20"/>
      <c r="Q980" s="20"/>
      <c r="R980" s="22"/>
      <c r="S980" s="22"/>
      <c r="T980" s="20"/>
      <c r="U980" s="20"/>
      <c r="V980" s="20"/>
      <c r="W980" s="19"/>
      <c r="X980" s="19"/>
      <c r="Y980" s="19"/>
      <c r="Z980" s="23"/>
    </row>
    <row r="981" spans="1:26" ht="15.75" customHeight="1" x14ac:dyDescent="0.2">
      <c r="A981" s="34"/>
      <c r="B981" s="34"/>
      <c r="C981" s="34"/>
      <c r="D981" s="34"/>
      <c r="E981" s="19"/>
      <c r="F981" s="19"/>
      <c r="G981" s="19"/>
      <c r="H981" s="19"/>
      <c r="I981" s="19"/>
      <c r="J981" s="19"/>
      <c r="K981" s="19"/>
      <c r="L981" s="19"/>
      <c r="M981" s="19"/>
      <c r="N981" s="19"/>
      <c r="O981" s="19"/>
      <c r="P981" s="20"/>
      <c r="Q981" s="20"/>
      <c r="R981" s="22"/>
      <c r="S981" s="22"/>
      <c r="T981" s="20"/>
      <c r="U981" s="20"/>
      <c r="V981" s="20"/>
      <c r="W981" s="19"/>
      <c r="X981" s="19"/>
      <c r="Y981" s="19"/>
      <c r="Z981" s="23"/>
    </row>
    <row r="982" spans="1:26" ht="15.75" customHeight="1" x14ac:dyDescent="0.2">
      <c r="A982" s="34"/>
      <c r="B982" s="34"/>
      <c r="C982" s="34"/>
      <c r="D982" s="34"/>
      <c r="E982" s="19"/>
      <c r="F982" s="19"/>
      <c r="G982" s="19"/>
      <c r="H982" s="19"/>
      <c r="I982" s="19"/>
      <c r="J982" s="19"/>
      <c r="K982" s="19"/>
      <c r="L982" s="19"/>
      <c r="M982" s="19"/>
      <c r="N982" s="19"/>
      <c r="O982" s="19"/>
      <c r="P982" s="20"/>
      <c r="Q982" s="20"/>
      <c r="R982" s="22"/>
      <c r="S982" s="22"/>
      <c r="T982" s="20"/>
      <c r="U982" s="20"/>
      <c r="V982" s="20"/>
      <c r="W982" s="19"/>
      <c r="X982" s="19"/>
      <c r="Y982" s="19"/>
      <c r="Z982" s="23"/>
    </row>
    <row r="983" spans="1:26" ht="15.75" customHeight="1" x14ac:dyDescent="0.2">
      <c r="A983" s="34"/>
      <c r="B983" s="34"/>
      <c r="C983" s="34"/>
      <c r="D983" s="34"/>
      <c r="E983" s="19"/>
      <c r="F983" s="19"/>
      <c r="G983" s="19"/>
      <c r="H983" s="19"/>
      <c r="I983" s="19"/>
      <c r="J983" s="19"/>
      <c r="K983" s="19"/>
      <c r="L983" s="19"/>
      <c r="M983" s="19"/>
      <c r="N983" s="19"/>
      <c r="O983" s="19"/>
      <c r="P983" s="20"/>
      <c r="Q983" s="20"/>
      <c r="R983" s="22"/>
      <c r="S983" s="22"/>
      <c r="T983" s="20"/>
      <c r="U983" s="20"/>
      <c r="V983" s="20"/>
      <c r="W983" s="19"/>
      <c r="X983" s="19"/>
      <c r="Y983" s="19"/>
      <c r="Z983" s="23"/>
    </row>
    <row r="984" spans="1:26" ht="15.75" customHeight="1" x14ac:dyDescent="0.2">
      <c r="A984" s="34"/>
      <c r="B984" s="34"/>
      <c r="C984" s="34"/>
      <c r="D984" s="34"/>
      <c r="E984" s="19"/>
      <c r="F984" s="19"/>
      <c r="G984" s="19"/>
      <c r="H984" s="19"/>
      <c r="I984" s="19"/>
      <c r="J984" s="19"/>
      <c r="K984" s="19"/>
      <c r="L984" s="19"/>
      <c r="M984" s="19"/>
      <c r="N984" s="19"/>
      <c r="O984" s="19"/>
      <c r="P984" s="20"/>
      <c r="Q984" s="20"/>
      <c r="R984" s="22"/>
      <c r="S984" s="22"/>
      <c r="T984" s="20"/>
      <c r="U984" s="20"/>
      <c r="V984" s="20"/>
      <c r="W984" s="19"/>
      <c r="X984" s="19"/>
      <c r="Y984" s="19"/>
      <c r="Z984" s="23"/>
    </row>
    <row r="985" spans="1:26" ht="15.75" customHeight="1" x14ac:dyDescent="0.2">
      <c r="A985" s="34"/>
      <c r="B985" s="34"/>
      <c r="C985" s="34"/>
      <c r="D985" s="34"/>
      <c r="E985" s="19"/>
      <c r="F985" s="19"/>
      <c r="G985" s="19"/>
      <c r="H985" s="19"/>
      <c r="I985" s="19"/>
      <c r="J985" s="19"/>
      <c r="K985" s="19"/>
      <c r="L985" s="19"/>
      <c r="M985" s="19"/>
      <c r="N985" s="19"/>
      <c r="O985" s="19"/>
      <c r="P985" s="20"/>
      <c r="Q985" s="20"/>
      <c r="R985" s="22"/>
      <c r="S985" s="22"/>
      <c r="T985" s="20"/>
      <c r="U985" s="20"/>
      <c r="V985" s="20"/>
      <c r="W985" s="19"/>
      <c r="X985" s="19"/>
      <c r="Y985" s="19"/>
      <c r="Z985" s="23"/>
    </row>
    <row r="986" spans="1:26" ht="15.75" customHeight="1" x14ac:dyDescent="0.2">
      <c r="A986" s="34"/>
      <c r="B986" s="34"/>
      <c r="C986" s="34"/>
      <c r="D986" s="34"/>
      <c r="E986" s="19"/>
      <c r="F986" s="19"/>
      <c r="G986" s="19"/>
      <c r="H986" s="19"/>
      <c r="I986" s="19"/>
      <c r="J986" s="19"/>
      <c r="K986" s="19"/>
      <c r="L986" s="19"/>
      <c r="M986" s="19"/>
      <c r="N986" s="19"/>
      <c r="O986" s="19"/>
      <c r="P986" s="20"/>
      <c r="Q986" s="20"/>
      <c r="R986" s="22"/>
      <c r="S986" s="22"/>
      <c r="T986" s="20"/>
      <c r="U986" s="20"/>
      <c r="V986" s="20"/>
      <c r="W986" s="19"/>
      <c r="X986" s="19"/>
      <c r="Y986" s="19"/>
      <c r="Z986" s="23"/>
    </row>
    <row r="987" spans="1:26" ht="15.75" customHeight="1" x14ac:dyDescent="0.2">
      <c r="A987" s="34"/>
      <c r="B987" s="34"/>
      <c r="C987" s="34"/>
      <c r="D987" s="34"/>
      <c r="E987" s="19"/>
      <c r="F987" s="19"/>
      <c r="G987" s="19"/>
      <c r="H987" s="19"/>
      <c r="I987" s="19"/>
      <c r="J987" s="19"/>
      <c r="K987" s="19"/>
      <c r="L987" s="19"/>
      <c r="M987" s="19"/>
      <c r="N987" s="19"/>
      <c r="O987" s="19"/>
      <c r="P987" s="20"/>
      <c r="Q987" s="20"/>
      <c r="R987" s="22"/>
      <c r="S987" s="22"/>
      <c r="T987" s="20"/>
      <c r="U987" s="20"/>
      <c r="V987" s="20"/>
      <c r="W987" s="19"/>
      <c r="X987" s="19"/>
      <c r="Y987" s="19"/>
      <c r="Z987" s="23"/>
    </row>
    <row r="988" spans="1:26" ht="15.75" customHeight="1" x14ac:dyDescent="0.2">
      <c r="A988" s="34"/>
      <c r="B988" s="34"/>
      <c r="C988" s="34"/>
      <c r="D988" s="34"/>
      <c r="E988" s="19"/>
      <c r="F988" s="19"/>
      <c r="G988" s="19"/>
      <c r="H988" s="19"/>
      <c r="I988" s="19"/>
      <c r="J988" s="19"/>
      <c r="K988" s="19"/>
      <c r="L988" s="19"/>
      <c r="M988" s="19"/>
      <c r="N988" s="19"/>
      <c r="O988" s="19"/>
      <c r="P988" s="20"/>
      <c r="Q988" s="20"/>
      <c r="R988" s="22"/>
      <c r="S988" s="22"/>
      <c r="T988" s="20"/>
      <c r="U988" s="20"/>
      <c r="V988" s="20"/>
      <c r="W988" s="19"/>
      <c r="X988" s="19"/>
      <c r="Y988" s="19"/>
      <c r="Z988" s="23"/>
    </row>
    <row r="989" spans="1:26" ht="15.75" customHeight="1" x14ac:dyDescent="0.2">
      <c r="A989" s="34"/>
      <c r="B989" s="34"/>
      <c r="C989" s="34"/>
      <c r="D989" s="34"/>
      <c r="E989" s="19"/>
      <c r="F989" s="19"/>
      <c r="G989" s="19"/>
      <c r="H989" s="19"/>
      <c r="I989" s="19"/>
      <c r="J989" s="19"/>
      <c r="K989" s="19"/>
      <c r="L989" s="19"/>
      <c r="M989" s="19"/>
      <c r="N989" s="19"/>
      <c r="O989" s="19"/>
      <c r="P989" s="20"/>
      <c r="Q989" s="20"/>
      <c r="R989" s="22"/>
      <c r="S989" s="22"/>
      <c r="T989" s="20"/>
      <c r="U989" s="20"/>
      <c r="V989" s="20"/>
      <c r="W989" s="19"/>
      <c r="X989" s="19"/>
      <c r="Y989" s="19"/>
      <c r="Z989" s="23"/>
    </row>
    <row r="990" spans="1:26" ht="15.75" customHeight="1" x14ac:dyDescent="0.2">
      <c r="A990" s="34"/>
      <c r="B990" s="34"/>
      <c r="C990" s="34"/>
      <c r="D990" s="34"/>
      <c r="E990" s="19"/>
      <c r="F990" s="19"/>
      <c r="G990" s="19"/>
      <c r="H990" s="19"/>
      <c r="I990" s="19"/>
      <c r="J990" s="19"/>
      <c r="K990" s="19"/>
      <c r="L990" s="19"/>
      <c r="M990" s="19"/>
      <c r="N990" s="19"/>
      <c r="O990" s="19"/>
      <c r="P990" s="20"/>
      <c r="Q990" s="20"/>
      <c r="R990" s="22"/>
      <c r="S990" s="22"/>
      <c r="T990" s="20"/>
      <c r="U990" s="20"/>
      <c r="V990" s="20"/>
      <c r="W990" s="19"/>
      <c r="X990" s="19"/>
      <c r="Y990" s="19"/>
      <c r="Z990" s="23"/>
    </row>
    <row r="991" spans="1:26" ht="15.75" customHeight="1" x14ac:dyDescent="0.2">
      <c r="A991" s="34"/>
      <c r="B991" s="34"/>
      <c r="C991" s="34"/>
      <c r="D991" s="34"/>
      <c r="E991" s="19"/>
      <c r="F991" s="19"/>
      <c r="G991" s="19"/>
      <c r="H991" s="19"/>
      <c r="I991" s="19"/>
      <c r="J991" s="19"/>
      <c r="K991" s="19"/>
      <c r="L991" s="19"/>
      <c r="M991" s="19"/>
      <c r="N991" s="19"/>
      <c r="O991" s="19"/>
      <c r="P991" s="20"/>
      <c r="Q991" s="20"/>
      <c r="R991" s="22"/>
      <c r="S991" s="22"/>
      <c r="T991" s="20"/>
      <c r="U991" s="20"/>
      <c r="V991" s="20"/>
      <c r="W991" s="19"/>
      <c r="X991" s="19"/>
      <c r="Y991" s="19"/>
      <c r="Z991" s="23"/>
    </row>
    <row r="992" spans="1:26" ht="15.75" customHeight="1" x14ac:dyDescent="0.2">
      <c r="A992" s="34"/>
      <c r="B992" s="34"/>
      <c r="C992" s="34"/>
      <c r="D992" s="34"/>
      <c r="E992" s="19"/>
      <c r="F992" s="19"/>
      <c r="G992" s="19"/>
      <c r="H992" s="19"/>
      <c r="I992" s="19"/>
      <c r="J992" s="19"/>
      <c r="K992" s="19"/>
      <c r="L992" s="19"/>
      <c r="M992" s="19"/>
      <c r="N992" s="19"/>
      <c r="O992" s="19"/>
      <c r="P992" s="20"/>
      <c r="Q992" s="20"/>
      <c r="R992" s="22"/>
      <c r="S992" s="22"/>
      <c r="T992" s="20"/>
      <c r="U992" s="20"/>
      <c r="V992" s="20"/>
      <c r="W992" s="19"/>
      <c r="X992" s="19"/>
      <c r="Y992" s="19"/>
      <c r="Z992" s="23"/>
    </row>
    <row r="993" spans="1:26" ht="15.75" customHeight="1" x14ac:dyDescent="0.2">
      <c r="A993" s="34"/>
      <c r="B993" s="34"/>
      <c r="C993" s="34"/>
      <c r="D993" s="34"/>
      <c r="E993" s="19"/>
      <c r="F993" s="19"/>
      <c r="G993" s="19"/>
      <c r="H993" s="19"/>
      <c r="I993" s="19"/>
      <c r="J993" s="19"/>
      <c r="K993" s="19"/>
      <c r="L993" s="19"/>
      <c r="M993" s="19"/>
      <c r="N993" s="19"/>
      <c r="O993" s="19"/>
      <c r="P993" s="20"/>
      <c r="Q993" s="20"/>
      <c r="R993" s="22"/>
      <c r="S993" s="22"/>
      <c r="T993" s="20"/>
      <c r="U993" s="20"/>
      <c r="V993" s="20"/>
      <c r="W993" s="19"/>
      <c r="X993" s="19"/>
      <c r="Y993" s="19"/>
      <c r="Z993" s="23"/>
    </row>
    <row r="994" spans="1:26" ht="15.75" customHeight="1" x14ac:dyDescent="0.2">
      <c r="A994" s="34"/>
      <c r="B994" s="34"/>
      <c r="C994" s="34"/>
      <c r="D994" s="34"/>
      <c r="E994" s="19"/>
      <c r="F994" s="19"/>
      <c r="G994" s="19"/>
      <c r="H994" s="19"/>
      <c r="I994" s="19"/>
      <c r="J994" s="19"/>
      <c r="K994" s="19"/>
      <c r="L994" s="19"/>
      <c r="M994" s="19"/>
      <c r="N994" s="19"/>
      <c r="O994" s="19"/>
      <c r="P994" s="20"/>
      <c r="Q994" s="20"/>
      <c r="R994" s="22"/>
      <c r="S994" s="22"/>
      <c r="T994" s="20"/>
      <c r="U994" s="20"/>
      <c r="V994" s="20"/>
      <c r="W994" s="19"/>
      <c r="X994" s="19"/>
      <c r="Y994" s="19"/>
      <c r="Z994" s="23"/>
    </row>
    <row r="995" spans="1:26" ht="15.75" customHeight="1" x14ac:dyDescent="0.2">
      <c r="A995" s="34"/>
      <c r="B995" s="34"/>
      <c r="C995" s="34"/>
      <c r="D995" s="34"/>
      <c r="E995" s="19"/>
      <c r="F995" s="19"/>
      <c r="G995" s="19"/>
      <c r="H995" s="19"/>
      <c r="I995" s="19"/>
      <c r="J995" s="19"/>
      <c r="K995" s="19"/>
      <c r="L995" s="19"/>
      <c r="M995" s="19"/>
      <c r="N995" s="19"/>
      <c r="O995" s="19"/>
      <c r="P995" s="20"/>
      <c r="Q995" s="20"/>
      <c r="R995" s="22"/>
      <c r="S995" s="22"/>
      <c r="T995" s="20"/>
      <c r="U995" s="20"/>
      <c r="V995" s="20"/>
      <c r="W995" s="19"/>
      <c r="X995" s="19"/>
      <c r="Y995" s="19"/>
      <c r="Z995" s="23"/>
    </row>
    <row r="996" spans="1:26" ht="15.75" customHeight="1" x14ac:dyDescent="0.2">
      <c r="A996" s="34"/>
      <c r="B996" s="34"/>
      <c r="C996" s="34"/>
      <c r="D996" s="34"/>
      <c r="E996" s="19"/>
      <c r="F996" s="19"/>
      <c r="G996" s="19"/>
      <c r="H996" s="19"/>
      <c r="I996" s="19"/>
      <c r="J996" s="19"/>
      <c r="K996" s="19"/>
      <c r="L996" s="19"/>
      <c r="M996" s="19"/>
      <c r="N996" s="19"/>
      <c r="O996" s="19"/>
      <c r="P996" s="20"/>
      <c r="Q996" s="20"/>
      <c r="R996" s="22"/>
      <c r="S996" s="22"/>
      <c r="T996" s="20"/>
      <c r="U996" s="20"/>
      <c r="V996" s="20"/>
      <c r="W996" s="19"/>
      <c r="X996" s="19"/>
      <c r="Y996" s="19"/>
      <c r="Z996" s="23"/>
    </row>
    <row r="997" spans="1:26" ht="15.75" customHeight="1" x14ac:dyDescent="0.2">
      <c r="A997" s="34"/>
      <c r="B997" s="34"/>
      <c r="C997" s="34"/>
      <c r="D997" s="34"/>
      <c r="E997" s="19"/>
      <c r="F997" s="19"/>
      <c r="G997" s="19"/>
      <c r="H997" s="19"/>
      <c r="I997" s="19"/>
      <c r="J997" s="19"/>
      <c r="K997" s="19"/>
      <c r="L997" s="19"/>
      <c r="M997" s="19"/>
      <c r="N997" s="19"/>
      <c r="O997" s="19"/>
      <c r="P997" s="20"/>
      <c r="Q997" s="20"/>
      <c r="R997" s="22"/>
      <c r="S997" s="22"/>
      <c r="T997" s="20"/>
      <c r="U997" s="20"/>
      <c r="V997" s="20"/>
      <c r="W997" s="19"/>
      <c r="X997" s="19"/>
      <c r="Y997" s="19"/>
      <c r="Z997" s="23"/>
    </row>
    <row r="998" spans="1:26" ht="15.75" customHeight="1" x14ac:dyDescent="0.2">
      <c r="A998" s="34"/>
      <c r="B998" s="34"/>
      <c r="C998" s="34"/>
      <c r="D998" s="34"/>
      <c r="E998" s="19"/>
      <c r="F998" s="19"/>
      <c r="G998" s="19"/>
      <c r="H998" s="19"/>
      <c r="I998" s="19"/>
      <c r="J998" s="19"/>
      <c r="K998" s="19"/>
      <c r="L998" s="19"/>
      <c r="M998" s="19"/>
      <c r="N998" s="19"/>
      <c r="O998" s="19"/>
      <c r="P998" s="20"/>
      <c r="Q998" s="20"/>
      <c r="R998" s="22"/>
      <c r="S998" s="22"/>
      <c r="T998" s="20"/>
      <c r="U998" s="20"/>
      <c r="V998" s="20"/>
      <c r="W998" s="19"/>
      <c r="X998" s="19"/>
      <c r="Y998" s="19"/>
      <c r="Z998" s="23"/>
    </row>
    <row r="999" spans="1:26" ht="15.75" customHeight="1" x14ac:dyDescent="0.2">
      <c r="A999" s="34"/>
      <c r="B999" s="34"/>
      <c r="C999" s="34"/>
      <c r="D999" s="34"/>
      <c r="E999" s="19"/>
      <c r="F999" s="19"/>
      <c r="G999" s="19"/>
      <c r="H999" s="19"/>
      <c r="I999" s="19"/>
      <c r="J999" s="19"/>
      <c r="K999" s="19"/>
      <c r="L999" s="19"/>
      <c r="M999" s="19"/>
      <c r="N999" s="19"/>
      <c r="O999" s="19"/>
      <c r="P999" s="20"/>
      <c r="Q999" s="20"/>
      <c r="R999" s="22"/>
      <c r="S999" s="22"/>
      <c r="T999" s="20"/>
      <c r="U999" s="20"/>
      <c r="V999" s="20"/>
      <c r="W999" s="19"/>
      <c r="X999" s="19"/>
      <c r="Y999" s="19"/>
      <c r="Z999" s="23"/>
    </row>
    <row r="1000" spans="1:26" ht="15.75" customHeight="1" x14ac:dyDescent="0.2">
      <c r="A1000" s="34"/>
      <c r="B1000" s="34"/>
      <c r="C1000" s="34"/>
      <c r="D1000" s="34"/>
      <c r="E1000" s="19"/>
      <c r="F1000" s="19"/>
      <c r="G1000" s="19"/>
      <c r="H1000" s="19"/>
      <c r="I1000" s="19"/>
      <c r="J1000" s="19"/>
      <c r="K1000" s="19"/>
      <c r="L1000" s="19"/>
      <c r="M1000" s="19"/>
      <c r="N1000" s="19"/>
      <c r="O1000" s="19"/>
      <c r="P1000" s="20"/>
      <c r="Q1000" s="20"/>
      <c r="R1000" s="22"/>
      <c r="S1000" s="22"/>
      <c r="T1000" s="20"/>
      <c r="U1000" s="20"/>
      <c r="V1000" s="20"/>
      <c r="W1000" s="19"/>
      <c r="X1000" s="19"/>
      <c r="Y1000" s="19"/>
      <c r="Z1000" s="23"/>
    </row>
  </sheetData>
  <autoFilter ref="A2:Z96" xr:uid="{00000000-0009-0000-0000-000002000000}"/>
  <mergeCells count="4">
    <mergeCell ref="E1:F1"/>
    <mergeCell ref="G1:I1"/>
    <mergeCell ref="J1:O1"/>
    <mergeCell ref="P1:V1"/>
  </mergeCell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1" ySplit="2" topLeftCell="B71"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5" width="12.1640625" customWidth="1"/>
    <col min="16" max="16" width="12.83203125" customWidth="1"/>
    <col min="17" max="17" width="17.5" customWidth="1"/>
    <col min="18" max="19" width="16.83203125" customWidth="1"/>
    <col min="20" max="20" width="14.33203125" customWidth="1"/>
    <col min="21" max="21" width="17.5" customWidth="1"/>
    <col min="22" max="23" width="10.6640625" customWidth="1"/>
    <col min="24" max="24" width="9.33203125" customWidth="1"/>
    <col min="25" max="25" width="13" customWidth="1"/>
    <col min="26" max="26" width="9.5" customWidth="1"/>
  </cols>
  <sheetData>
    <row r="1" spans="1:26" x14ac:dyDescent="0.2">
      <c r="A1" s="1" t="s">
        <v>188</v>
      </c>
      <c r="B1" s="3"/>
      <c r="C1" s="3"/>
      <c r="D1" s="3"/>
      <c r="E1" s="63" t="s">
        <v>1</v>
      </c>
      <c r="F1" s="64"/>
      <c r="G1" s="65" t="s">
        <v>2</v>
      </c>
      <c r="H1" s="66"/>
      <c r="I1" s="64"/>
      <c r="J1" s="67" t="s">
        <v>3</v>
      </c>
      <c r="K1" s="66"/>
      <c r="L1" s="66"/>
      <c r="M1" s="66"/>
      <c r="N1" s="66"/>
      <c r="O1" s="64"/>
      <c r="P1" s="68" t="s">
        <v>4</v>
      </c>
      <c r="Q1" s="66"/>
      <c r="R1" s="66"/>
      <c r="S1" s="66"/>
      <c r="T1" s="66"/>
      <c r="U1" s="66"/>
      <c r="V1" s="64"/>
      <c r="W1" s="3"/>
      <c r="X1" s="4"/>
      <c r="Y1" s="3"/>
      <c r="Z1" s="3"/>
    </row>
    <row r="2" spans="1:26" ht="55.5" customHeight="1" x14ac:dyDescent="0.15">
      <c r="A2" s="5" t="s">
        <v>5</v>
      </c>
      <c r="B2" s="5" t="s">
        <v>6</v>
      </c>
      <c r="C2" s="5" t="s">
        <v>7</v>
      </c>
      <c r="D2" s="5" t="s">
        <v>8</v>
      </c>
      <c r="E2" s="6" t="s">
        <v>9</v>
      </c>
      <c r="F2" s="6" t="s">
        <v>10</v>
      </c>
      <c r="G2" s="7" t="s">
        <v>11</v>
      </c>
      <c r="H2" s="7" t="s">
        <v>12</v>
      </c>
      <c r="I2" s="7" t="s">
        <v>13</v>
      </c>
      <c r="J2" s="8" t="s">
        <v>14</v>
      </c>
      <c r="K2" s="8" t="s">
        <v>15</v>
      </c>
      <c r="L2" s="8" t="s">
        <v>16</v>
      </c>
      <c r="M2" s="8" t="s">
        <v>17</v>
      </c>
      <c r="N2" s="8" t="s">
        <v>18</v>
      </c>
      <c r="O2" s="8" t="s">
        <v>19</v>
      </c>
      <c r="P2" s="9" t="s">
        <v>20</v>
      </c>
      <c r="Q2" s="9" t="s">
        <v>21</v>
      </c>
      <c r="R2" s="9" t="s">
        <v>22</v>
      </c>
      <c r="S2" s="9" t="s">
        <v>23</v>
      </c>
      <c r="T2" s="9" t="s">
        <v>24</v>
      </c>
      <c r="U2" s="12" t="s">
        <v>25</v>
      </c>
      <c r="V2" s="13" t="s">
        <v>26</v>
      </c>
      <c r="W2" s="14" t="s">
        <v>27</v>
      </c>
      <c r="X2" s="15" t="s">
        <v>29</v>
      </c>
      <c r="Y2" s="15" t="s">
        <v>30</v>
      </c>
      <c r="Z2" s="16" t="s">
        <v>31</v>
      </c>
    </row>
    <row r="3" spans="1:26" x14ac:dyDescent="0.2">
      <c r="A3" s="17" t="str">
        <f>HYPERLINK("https://www.agnesscott.edu", "Agnes Scott College")</f>
        <v>Agnes Scott College</v>
      </c>
      <c r="B3" s="18" t="s">
        <v>32</v>
      </c>
      <c r="C3" s="18" t="s">
        <v>107</v>
      </c>
      <c r="D3" s="18" t="s">
        <v>189</v>
      </c>
      <c r="E3" s="18" t="s">
        <v>36</v>
      </c>
      <c r="F3" s="18" t="s">
        <v>90</v>
      </c>
      <c r="J3" s="19">
        <v>0.6623</v>
      </c>
      <c r="K3" s="19">
        <v>0.55263157900000004</v>
      </c>
      <c r="L3" s="19">
        <v>0.66669999999999996</v>
      </c>
      <c r="M3" s="19">
        <v>0.67110000000000003</v>
      </c>
      <c r="N3" s="19">
        <v>0.55000000000000004</v>
      </c>
      <c r="O3" s="19">
        <v>0.71430000000000005</v>
      </c>
      <c r="P3" s="20">
        <v>54065</v>
      </c>
      <c r="Q3" s="21" t="str">
        <f>HYPERLINK("https://www.collegecostcalculator.org/agnesscott", "$17067")</f>
        <v>$17067</v>
      </c>
      <c r="R3" s="22">
        <v>19762</v>
      </c>
      <c r="S3" s="22">
        <v>23178</v>
      </c>
      <c r="T3" s="20">
        <v>2135</v>
      </c>
      <c r="U3" s="20">
        <v>14932</v>
      </c>
      <c r="W3" s="19">
        <v>0.3765</v>
      </c>
      <c r="X3" s="19">
        <v>0.65060000000000007</v>
      </c>
      <c r="Y3" s="18" t="s">
        <v>37</v>
      </c>
      <c r="Z3" s="23">
        <v>890</v>
      </c>
    </row>
    <row r="4" spans="1:26" x14ac:dyDescent="0.2">
      <c r="A4" s="17" t="str">
        <f>HYPERLINK("https://allegheny.edu", "Allegheny College")</f>
        <v>Allegheny College</v>
      </c>
      <c r="B4" s="18" t="s">
        <v>32</v>
      </c>
      <c r="C4" s="18" t="s">
        <v>65</v>
      </c>
      <c r="D4" s="18" t="s">
        <v>190</v>
      </c>
      <c r="E4" s="18">
        <v>1238</v>
      </c>
      <c r="F4" s="18" t="s">
        <v>115</v>
      </c>
      <c r="J4" s="19">
        <v>0.75490000000000002</v>
      </c>
      <c r="K4" s="19">
        <v>0.704918033</v>
      </c>
      <c r="L4" s="19">
        <v>0.76649999999999996</v>
      </c>
      <c r="M4" s="19">
        <v>0.67859999999999998</v>
      </c>
      <c r="N4" s="19">
        <v>0.77500000000000002</v>
      </c>
      <c r="O4" s="19">
        <v>0.64290000000000003</v>
      </c>
      <c r="P4" s="20">
        <v>61120</v>
      </c>
      <c r="Q4" s="21" t="str">
        <f>HYPERLINK("https://allegheny.edu/npc", "$16984")</f>
        <v>$16984</v>
      </c>
      <c r="R4" s="22">
        <v>20547</v>
      </c>
      <c r="S4" s="22">
        <v>24220</v>
      </c>
      <c r="T4" s="20">
        <v>3500</v>
      </c>
      <c r="U4" s="20">
        <v>13484</v>
      </c>
      <c r="W4" s="19">
        <v>0.29430000000000001</v>
      </c>
      <c r="X4" s="19">
        <v>0.30220000000000002</v>
      </c>
      <c r="Z4" s="23">
        <v>1764</v>
      </c>
    </row>
    <row r="5" spans="1:26" x14ac:dyDescent="0.2">
      <c r="A5" s="17" t="str">
        <f>HYPERLINK("https://WWW.AMERICAN.EDU", "American University")</f>
        <v>American University</v>
      </c>
      <c r="B5" s="18" t="s">
        <v>32</v>
      </c>
      <c r="C5" s="18" t="s">
        <v>113</v>
      </c>
      <c r="D5" s="18" t="s">
        <v>114</v>
      </c>
      <c r="E5" s="18">
        <v>1294</v>
      </c>
      <c r="F5" s="18" t="s">
        <v>115</v>
      </c>
      <c r="J5" s="19">
        <v>0.79220000000000002</v>
      </c>
      <c r="K5" s="19">
        <v>0.72580645200000005</v>
      </c>
      <c r="L5" s="19">
        <v>0.80969999999999998</v>
      </c>
      <c r="M5" s="19">
        <v>0.78639999999999999</v>
      </c>
      <c r="N5" s="19">
        <v>0.73839999999999995</v>
      </c>
      <c r="O5" s="19">
        <v>0.83499999999999996</v>
      </c>
      <c r="P5" s="20">
        <v>64234</v>
      </c>
      <c r="Q5" s="21" t="str">
        <f>HYPERLINK("https://www.american.edu/financialaid/Net-Price-Calculator-Form.cfm", "$22590")</f>
        <v>$22590</v>
      </c>
      <c r="R5" s="22">
        <v>26770</v>
      </c>
      <c r="S5" s="22">
        <v>33355</v>
      </c>
      <c r="T5" s="20">
        <v>1721</v>
      </c>
      <c r="U5" s="20">
        <v>20869</v>
      </c>
      <c r="W5" s="19">
        <v>0.15260000000000001</v>
      </c>
      <c r="X5" s="19">
        <v>0.43319999999999997</v>
      </c>
      <c r="Z5" s="23">
        <v>7433</v>
      </c>
    </row>
    <row r="6" spans="1:26" x14ac:dyDescent="0.2">
      <c r="A6" s="17" t="str">
        <f>HYPERLINK("https://www.babson.edu", "Babson College")</f>
        <v>Babson College</v>
      </c>
      <c r="B6" s="18" t="s">
        <v>32</v>
      </c>
      <c r="C6" s="18" t="s">
        <v>33</v>
      </c>
      <c r="D6" s="18" t="s">
        <v>191</v>
      </c>
      <c r="E6" s="18">
        <v>1347</v>
      </c>
      <c r="F6" s="18" t="s">
        <v>35</v>
      </c>
      <c r="J6" s="19">
        <v>0.92149999999999999</v>
      </c>
      <c r="K6" s="19">
        <v>0.78688524599999998</v>
      </c>
      <c r="L6" s="19">
        <v>0.92749999999999999</v>
      </c>
      <c r="M6" s="19">
        <v>0.82609999999999995</v>
      </c>
      <c r="N6" s="19">
        <v>0.88639999999999997</v>
      </c>
      <c r="O6" s="19">
        <v>0.875</v>
      </c>
      <c r="P6" s="20">
        <v>68432</v>
      </c>
      <c r="Q6" s="21" t="str">
        <f>HYPERLINK("https://npc.collegeboard.org/student/app/babson", "$20013")</f>
        <v>$20013</v>
      </c>
      <c r="R6" s="22">
        <v>21990</v>
      </c>
      <c r="S6" s="22">
        <v>28937</v>
      </c>
      <c r="T6" s="20">
        <v>2930</v>
      </c>
      <c r="U6" s="20">
        <v>17083</v>
      </c>
      <c r="W6" s="19">
        <v>0.14280000000000001</v>
      </c>
      <c r="X6" s="19">
        <v>0.63359999999999994</v>
      </c>
      <c r="Z6" s="23">
        <v>2342</v>
      </c>
    </row>
    <row r="7" spans="1:26" x14ac:dyDescent="0.2">
      <c r="A7" s="17" t="str">
        <f>HYPERLINK("https://www.bard.edu", "Bard College")</f>
        <v>Bard College</v>
      </c>
      <c r="B7" s="18" t="s">
        <v>32</v>
      </c>
      <c r="C7" s="18" t="s">
        <v>38</v>
      </c>
      <c r="D7" s="18" t="s">
        <v>192</v>
      </c>
      <c r="E7" s="18" t="s">
        <v>36</v>
      </c>
      <c r="F7" s="18" t="s">
        <v>45</v>
      </c>
      <c r="G7" s="18" t="s">
        <v>40</v>
      </c>
      <c r="H7" s="18" t="s">
        <v>193</v>
      </c>
      <c r="I7" s="18" t="s">
        <v>194</v>
      </c>
      <c r="J7" s="19">
        <v>0.74019999999999997</v>
      </c>
      <c r="K7" s="19">
        <v>0.768115942</v>
      </c>
      <c r="L7" s="19">
        <v>0.72450000000000003</v>
      </c>
      <c r="M7" s="19">
        <v>0.76470000000000005</v>
      </c>
      <c r="N7" s="19">
        <v>0.6875</v>
      </c>
      <c r="O7" s="19">
        <v>0.73909999999999998</v>
      </c>
      <c r="P7" s="20">
        <v>70562</v>
      </c>
      <c r="Q7" s="21" t="str">
        <f>HYPERLINK("https://npc.collegeboard.org/student/app/bard", "$14392")</f>
        <v>$14392</v>
      </c>
      <c r="R7" s="22">
        <v>26466</v>
      </c>
      <c r="S7" s="22">
        <v>28430</v>
      </c>
      <c r="T7" s="20">
        <v>2590</v>
      </c>
      <c r="U7" s="20">
        <v>11802</v>
      </c>
      <c r="W7" s="19">
        <v>0.21929999999999999</v>
      </c>
      <c r="X7" s="19">
        <v>0.40360000000000001</v>
      </c>
      <c r="Z7" s="23">
        <v>1846</v>
      </c>
    </row>
    <row r="8" spans="1:26" x14ac:dyDescent="0.2">
      <c r="A8" s="17" t="str">
        <f>HYPERLINK("https://www.baylor.edu", "Baylor University")</f>
        <v>Baylor University</v>
      </c>
      <c r="B8" s="18" t="s">
        <v>32</v>
      </c>
      <c r="C8" s="18" t="s">
        <v>146</v>
      </c>
      <c r="D8" s="18" t="s">
        <v>195</v>
      </c>
      <c r="E8" s="18">
        <v>1320</v>
      </c>
      <c r="F8" s="18" t="s">
        <v>35</v>
      </c>
      <c r="J8" s="19">
        <v>0.76590000000000003</v>
      </c>
      <c r="K8" s="19">
        <v>0.56346749200000001</v>
      </c>
      <c r="L8" s="19">
        <v>0.79279999999999995</v>
      </c>
      <c r="M8" s="19">
        <v>0.66669999999999996</v>
      </c>
      <c r="N8" s="19">
        <v>0.69620000000000004</v>
      </c>
      <c r="O8" s="19">
        <v>0.78390000000000004</v>
      </c>
      <c r="P8" s="20">
        <v>60233</v>
      </c>
      <c r="Q8" s="21" t="str">
        <f>HYPERLINK("https://www.baylor.edu/sfs/netpricecalculator/npcalc.htm", "$27077")</f>
        <v>$27077</v>
      </c>
      <c r="R8" s="22">
        <v>31484</v>
      </c>
      <c r="S8" s="22">
        <v>33706</v>
      </c>
      <c r="T8" s="20">
        <v>4280</v>
      </c>
      <c r="U8" s="20">
        <v>22797</v>
      </c>
      <c r="W8" s="19">
        <v>0.1825</v>
      </c>
      <c r="X8" s="19">
        <v>0.36580000000000001</v>
      </c>
      <c r="Z8" s="23">
        <v>14284</v>
      </c>
    </row>
    <row r="9" spans="1:26" x14ac:dyDescent="0.2">
      <c r="A9" s="17" t="str">
        <f>HYPERLINK("https://www.beloit.edu", "Beloit College")</f>
        <v>Beloit College</v>
      </c>
      <c r="B9" s="18" t="s">
        <v>32</v>
      </c>
      <c r="C9" s="18" t="s">
        <v>196</v>
      </c>
      <c r="D9" s="18" t="s">
        <v>197</v>
      </c>
      <c r="E9" s="18" t="s">
        <v>36</v>
      </c>
      <c r="F9" s="18" t="s">
        <v>115</v>
      </c>
      <c r="J9" s="19">
        <v>0.85709999999999997</v>
      </c>
      <c r="K9" s="19">
        <v>0.75925925900000002</v>
      </c>
      <c r="L9" s="19">
        <v>0.86429999999999996</v>
      </c>
      <c r="M9" s="19">
        <v>0.88890000000000002</v>
      </c>
      <c r="N9" s="19">
        <v>1</v>
      </c>
      <c r="O9" s="19">
        <v>0.54549999999999998</v>
      </c>
      <c r="P9" s="20">
        <v>59442</v>
      </c>
      <c r="Q9" s="21" t="str">
        <f>HYPERLINK("https://www.beloit.edu/prospective/npcalc.php", "$8918")</f>
        <v>$8918</v>
      </c>
      <c r="R9" s="22">
        <v>12691</v>
      </c>
      <c r="S9" s="22">
        <v>15940</v>
      </c>
      <c r="T9" s="20">
        <v>2300</v>
      </c>
      <c r="U9" s="20">
        <v>6618</v>
      </c>
      <c r="W9" s="19">
        <v>0.22700000000000001</v>
      </c>
      <c r="X9" s="19">
        <v>0.44490000000000002</v>
      </c>
      <c r="Z9" s="23">
        <v>1324</v>
      </c>
    </row>
    <row r="10" spans="1:26" x14ac:dyDescent="0.2">
      <c r="A10" s="17" t="str">
        <f>HYPERLINK("https://www.bentley.edu", "Bentley University")</f>
        <v>Bentley University</v>
      </c>
      <c r="B10" s="18" t="s">
        <v>32</v>
      </c>
      <c r="C10" s="18" t="s">
        <v>33</v>
      </c>
      <c r="D10" s="18" t="s">
        <v>62</v>
      </c>
      <c r="E10" s="18">
        <v>1319</v>
      </c>
      <c r="F10" s="18" t="s">
        <v>35</v>
      </c>
      <c r="J10" s="19">
        <v>0.91279999999999994</v>
      </c>
      <c r="K10" s="19">
        <v>0.83185840700000002</v>
      </c>
      <c r="L10" s="19">
        <v>0.91959999999999997</v>
      </c>
      <c r="M10" s="19">
        <v>0.81820000000000004</v>
      </c>
      <c r="N10" s="19">
        <v>0.81669999999999998</v>
      </c>
      <c r="O10" s="19">
        <v>0.97330000000000005</v>
      </c>
      <c r="P10" s="20">
        <v>66180</v>
      </c>
      <c r="Q10" s="21" t="str">
        <f>HYPERLINK("https://npc.collegeboard.org/student/app/bentley", "$21245")</f>
        <v>$21245</v>
      </c>
      <c r="R10" s="22">
        <v>26484</v>
      </c>
      <c r="S10" s="22">
        <v>30968</v>
      </c>
      <c r="T10" s="20">
        <v>2460</v>
      </c>
      <c r="U10" s="20">
        <v>18785</v>
      </c>
      <c r="W10" s="19">
        <v>0.13120000000000001</v>
      </c>
      <c r="X10" s="19">
        <v>0.38519999999999999</v>
      </c>
      <c r="Z10" s="23">
        <v>4203</v>
      </c>
    </row>
    <row r="11" spans="1:26" x14ac:dyDescent="0.2">
      <c r="A11" s="17" t="str">
        <f>HYPERLINK("https://www.berry.edu", "Berry College")</f>
        <v>Berry College</v>
      </c>
      <c r="B11" s="18" t="s">
        <v>32</v>
      </c>
      <c r="C11" s="18" t="s">
        <v>107</v>
      </c>
      <c r="D11" s="18" t="s">
        <v>198</v>
      </c>
      <c r="E11" s="18">
        <v>1247</v>
      </c>
      <c r="F11" s="18" t="s">
        <v>35</v>
      </c>
      <c r="J11" s="19">
        <v>0.64090000000000003</v>
      </c>
      <c r="K11" s="19">
        <v>0.50806451600000002</v>
      </c>
      <c r="L11" s="19">
        <v>0.65480000000000005</v>
      </c>
      <c r="M11" s="19">
        <v>0.45829999999999999</v>
      </c>
      <c r="N11" s="19">
        <v>0.74070000000000003</v>
      </c>
      <c r="O11" s="19">
        <v>0.25</v>
      </c>
      <c r="P11" s="20">
        <v>50632</v>
      </c>
      <c r="Q11" s="21" t="str">
        <f>HYPERLINK("https://www.berry.edu/npc", "$18808")</f>
        <v>$18808</v>
      </c>
      <c r="R11" s="22">
        <v>21808</v>
      </c>
      <c r="S11" s="22">
        <v>24896</v>
      </c>
      <c r="T11" s="20">
        <v>3196</v>
      </c>
      <c r="U11" s="20">
        <v>15612</v>
      </c>
      <c r="W11" s="19">
        <v>0.2137</v>
      </c>
      <c r="X11" s="19">
        <v>0.20119999999999999</v>
      </c>
      <c r="Z11" s="23">
        <v>1963</v>
      </c>
    </row>
    <row r="12" spans="1:26" x14ac:dyDescent="0.2">
      <c r="A12" s="17" t="str">
        <f>HYPERLINK("https://www.bu.edu", "Boston University")</f>
        <v>Boston University</v>
      </c>
      <c r="B12" s="18" t="s">
        <v>32</v>
      </c>
      <c r="C12" s="18" t="s">
        <v>33</v>
      </c>
      <c r="D12" s="18" t="s">
        <v>136</v>
      </c>
      <c r="E12" s="18">
        <v>1401</v>
      </c>
      <c r="F12" s="18" t="s">
        <v>35</v>
      </c>
      <c r="J12" s="19">
        <v>0.87129999999999996</v>
      </c>
      <c r="K12" s="19">
        <v>0.78797996700000006</v>
      </c>
      <c r="L12" s="19">
        <v>0.87890000000000001</v>
      </c>
      <c r="M12" s="19">
        <v>0.80679999999999996</v>
      </c>
      <c r="N12" s="19">
        <v>0.86829999999999996</v>
      </c>
      <c r="O12" s="19">
        <v>0.87829999999999997</v>
      </c>
      <c r="P12" s="20">
        <v>70302</v>
      </c>
      <c r="Q12" s="21" t="str">
        <f>HYPERLINK("https://www.bu.edu/finaid/aid-basics/cost-of-education/net-price-calculator/", "$25625")</f>
        <v>$25625</v>
      </c>
      <c r="R12" s="22">
        <v>28388</v>
      </c>
      <c r="S12" s="22">
        <v>33704</v>
      </c>
      <c r="T12" s="20">
        <v>2950</v>
      </c>
      <c r="U12" s="20">
        <v>22675</v>
      </c>
      <c r="W12" s="19">
        <v>0.13550000000000001</v>
      </c>
      <c r="X12" s="19">
        <v>0.60299999999999998</v>
      </c>
      <c r="Z12" s="23">
        <v>16716</v>
      </c>
    </row>
    <row r="13" spans="1:26" x14ac:dyDescent="0.2">
      <c r="A13" s="17" t="str">
        <f>HYPERLINK("https://www.byu.edu", "Brigham Young University-Provo")</f>
        <v>Brigham Young University-Provo</v>
      </c>
      <c r="B13" s="18" t="s">
        <v>32</v>
      </c>
      <c r="C13" s="18" t="s">
        <v>199</v>
      </c>
      <c r="D13" s="18" t="s">
        <v>200</v>
      </c>
      <c r="E13" s="18">
        <v>1364</v>
      </c>
      <c r="F13" s="18" t="s">
        <v>35</v>
      </c>
      <c r="J13" s="19">
        <v>0.82700000000000007</v>
      </c>
      <c r="K13" s="19">
        <v>0.61710658200000001</v>
      </c>
      <c r="L13" s="19">
        <v>0.84</v>
      </c>
      <c r="M13" s="19">
        <v>0.625</v>
      </c>
      <c r="N13" s="19">
        <v>0.72119999999999995</v>
      </c>
      <c r="O13" s="19">
        <v>0.7903</v>
      </c>
      <c r="P13" s="20">
        <v>18370</v>
      </c>
      <c r="Q13" s="21" t="str">
        <f>HYPERLINK("https://financialaid.byu.edu/net-price-calculator", "$9277")</f>
        <v>$9277</v>
      </c>
      <c r="R13" s="22">
        <v>12836</v>
      </c>
      <c r="S13" s="22">
        <v>15520</v>
      </c>
      <c r="T13" s="20">
        <v>5380</v>
      </c>
      <c r="U13" s="20">
        <v>3897</v>
      </c>
      <c r="W13" s="19">
        <v>0.36430000000000001</v>
      </c>
      <c r="X13" s="19">
        <v>0.17710000000000001</v>
      </c>
      <c r="Z13" s="23">
        <v>31233</v>
      </c>
    </row>
    <row r="14" spans="1:26" x14ac:dyDescent="0.2">
      <c r="A14" s="17" t="str">
        <f>HYPERLINK("https://www.baruch.cuny.edu", "CUNY Bernard M Baruch College")</f>
        <v>CUNY Bernard M Baruch College</v>
      </c>
      <c r="B14" s="18" t="s">
        <v>49</v>
      </c>
      <c r="C14" s="18" t="s">
        <v>38</v>
      </c>
      <c r="D14" s="18" t="s">
        <v>39</v>
      </c>
      <c r="E14" s="18">
        <v>1270</v>
      </c>
      <c r="F14" s="18" t="s">
        <v>35</v>
      </c>
      <c r="G14" s="18" t="s">
        <v>201</v>
      </c>
      <c r="H14" s="18" t="s">
        <v>202</v>
      </c>
      <c r="I14" s="18" t="s">
        <v>203</v>
      </c>
      <c r="J14" s="19">
        <v>0.69869999999999999</v>
      </c>
      <c r="K14" s="19">
        <v>0.60495283</v>
      </c>
      <c r="L14" s="19">
        <v>0.67069999999999996</v>
      </c>
      <c r="M14" s="19">
        <v>0.62339999999999995</v>
      </c>
      <c r="N14" s="19">
        <v>0.63490000000000002</v>
      </c>
      <c r="O14" s="19">
        <v>0.75290000000000001</v>
      </c>
      <c r="P14" s="20">
        <v>12534</v>
      </c>
      <c r="Q14" s="21" t="str">
        <f>HYPERLINK("https://portal0.uapc.cuny.edu/uapc/public/fin_aid/financial_aid_estimator/FinAidEstimator.jsp", "$1104")</f>
        <v>$1104</v>
      </c>
      <c r="R14" s="22">
        <v>7364</v>
      </c>
      <c r="S14" s="22">
        <v>11372</v>
      </c>
      <c r="T14" s="20">
        <v>5472</v>
      </c>
      <c r="U14" s="20">
        <v>-4368</v>
      </c>
      <c r="W14" s="19">
        <v>0.44550000000000001</v>
      </c>
      <c r="X14" s="19">
        <v>0.79610000000000003</v>
      </c>
      <c r="Z14" s="23">
        <v>14903</v>
      </c>
    </row>
    <row r="15" spans="1:26" x14ac:dyDescent="0.2">
      <c r="A15" s="17" t="str">
        <f>HYPERLINK("https://calpoly.edu", "California Polytechnic State University-San Luis Obispo")</f>
        <v>California Polytechnic State University-San Luis Obispo</v>
      </c>
      <c r="B15" s="18" t="s">
        <v>49</v>
      </c>
      <c r="C15" s="18" t="s">
        <v>68</v>
      </c>
      <c r="D15" s="18" t="s">
        <v>204</v>
      </c>
      <c r="E15" s="18">
        <v>1317</v>
      </c>
      <c r="F15" s="18" t="s">
        <v>35</v>
      </c>
      <c r="J15" s="19">
        <v>0.79139999999999999</v>
      </c>
      <c r="K15" s="19">
        <v>0.65635179200000004</v>
      </c>
      <c r="L15" s="19">
        <v>0.81440000000000001</v>
      </c>
      <c r="M15" s="19">
        <v>0.75860000000000005</v>
      </c>
      <c r="N15" s="19">
        <v>0.70660000000000001</v>
      </c>
      <c r="O15" s="19">
        <v>0.78180000000000005</v>
      </c>
      <c r="P15" s="20">
        <v>39033</v>
      </c>
      <c r="Q15" s="21" t="str">
        <f>HYPERLINK("https://financialaid.calpoly.edu/calculator/npcalc.htm", "$25981")</f>
        <v>$25981</v>
      </c>
      <c r="R15" s="22">
        <v>30801</v>
      </c>
      <c r="S15" s="22">
        <v>34767</v>
      </c>
      <c r="T15" s="20">
        <v>4587</v>
      </c>
      <c r="U15" s="20">
        <v>21394.247252747249</v>
      </c>
      <c r="W15" s="19">
        <v>0.1764</v>
      </c>
      <c r="X15" s="19">
        <v>0.4526</v>
      </c>
      <c r="Z15" s="23">
        <v>21303</v>
      </c>
    </row>
    <row r="16" spans="1:26" x14ac:dyDescent="0.2">
      <c r="A16" s="17" t="str">
        <f>HYPERLINK("https://www.centre.edu", "Centre College")</f>
        <v>Centre College</v>
      </c>
      <c r="B16" s="18" t="s">
        <v>32</v>
      </c>
      <c r="C16" s="18" t="s">
        <v>205</v>
      </c>
      <c r="D16" s="18" t="s">
        <v>206</v>
      </c>
      <c r="E16" s="18">
        <v>1334</v>
      </c>
      <c r="F16" s="18" t="s">
        <v>35</v>
      </c>
      <c r="J16" s="19">
        <v>0.82350000000000001</v>
      </c>
      <c r="K16" s="19" t="s">
        <v>36</v>
      </c>
      <c r="L16" s="19">
        <v>0.83130000000000004</v>
      </c>
      <c r="M16" s="19">
        <v>0.77270000000000005</v>
      </c>
      <c r="N16" s="19">
        <v>0.8</v>
      </c>
      <c r="O16" s="19">
        <v>0.75</v>
      </c>
      <c r="P16" s="20">
        <v>53910</v>
      </c>
      <c r="Q16" s="21" t="str">
        <f>HYPERLINK("https://centre.studentaidcalculator.com/survey.aspx", "$14579")</f>
        <v>$14579</v>
      </c>
      <c r="R16" s="22">
        <v>20129</v>
      </c>
      <c r="S16" s="22">
        <v>22910</v>
      </c>
      <c r="T16" s="20">
        <v>3230</v>
      </c>
      <c r="U16" s="20">
        <v>11349</v>
      </c>
      <c r="W16" s="19">
        <v>0.1573</v>
      </c>
      <c r="X16" s="19">
        <v>0.26579999999999998</v>
      </c>
      <c r="Z16" s="23">
        <v>1441</v>
      </c>
    </row>
    <row r="17" spans="1:26" x14ac:dyDescent="0.2">
      <c r="A17" s="17" t="str">
        <f>HYPERLINK("https://www.cbu.edu", "Christian Brothers University")</f>
        <v>Christian Brothers University</v>
      </c>
      <c r="B17" s="18" t="s">
        <v>32</v>
      </c>
      <c r="C17" s="18" t="s">
        <v>174</v>
      </c>
      <c r="D17" s="18" t="s">
        <v>207</v>
      </c>
      <c r="E17" s="18">
        <v>1180</v>
      </c>
      <c r="F17" s="18" t="s">
        <v>35</v>
      </c>
      <c r="J17" s="19">
        <v>0.43319999999999997</v>
      </c>
      <c r="K17" s="19">
        <v>0.39160839200000003</v>
      </c>
      <c r="L17" s="19">
        <v>0.47289999999999999</v>
      </c>
      <c r="M17" s="19">
        <v>0.33329999999999999</v>
      </c>
      <c r="N17" s="19">
        <v>0.55559999999999998</v>
      </c>
      <c r="O17" s="19">
        <v>0.52939999999999998</v>
      </c>
      <c r="P17" s="20">
        <v>44430</v>
      </c>
      <c r="Q17" s="21" t="str">
        <f>HYPERLINK("https://www.cbu.edu/calculator", "$7895")</f>
        <v>$7895</v>
      </c>
      <c r="R17" s="22">
        <v>11527</v>
      </c>
      <c r="S17" s="22">
        <v>10947</v>
      </c>
      <c r="T17" s="20">
        <v>3806</v>
      </c>
      <c r="U17" s="20">
        <v>4089</v>
      </c>
      <c r="W17" s="19">
        <v>0.33610000000000001</v>
      </c>
      <c r="X17" s="19">
        <v>0.59830000000000005</v>
      </c>
      <c r="Z17" s="23">
        <v>1521</v>
      </c>
    </row>
    <row r="18" spans="1:26" x14ac:dyDescent="0.2">
      <c r="A18" s="17" t="str">
        <f>HYPERLINK("https://www.clarku.edu", "Clark University")</f>
        <v>Clark University</v>
      </c>
      <c r="B18" s="18" t="s">
        <v>32</v>
      </c>
      <c r="C18" s="18" t="s">
        <v>33</v>
      </c>
      <c r="D18" s="18" t="s">
        <v>86</v>
      </c>
      <c r="E18" s="18" t="s">
        <v>36</v>
      </c>
      <c r="F18" s="18" t="s">
        <v>45</v>
      </c>
      <c r="J18" s="19">
        <v>0.82840000000000003</v>
      </c>
      <c r="K18" s="19">
        <v>0.59770114899999993</v>
      </c>
      <c r="L18" s="19">
        <v>0.83609999999999995</v>
      </c>
      <c r="M18" s="19">
        <v>0.8095</v>
      </c>
      <c r="N18" s="19">
        <v>0.77139999999999997</v>
      </c>
      <c r="O18" s="19">
        <v>0.84379999999999999</v>
      </c>
      <c r="P18" s="20">
        <v>55010</v>
      </c>
      <c r="Q18" s="21" t="str">
        <f>HYPERLINK("https://www.clarku.edu/resources", "$21925")</f>
        <v>$21925</v>
      </c>
      <c r="R18" s="22">
        <v>21077</v>
      </c>
      <c r="S18" s="22">
        <v>24217</v>
      </c>
      <c r="T18" s="20">
        <v>1750</v>
      </c>
      <c r="U18" s="20">
        <v>20175</v>
      </c>
      <c r="W18" s="19">
        <v>0.19919999999999999</v>
      </c>
      <c r="X18" s="19">
        <v>0.42359999999999998</v>
      </c>
      <c r="Z18" s="23">
        <v>2205</v>
      </c>
    </row>
    <row r="19" spans="1:26" x14ac:dyDescent="0.2">
      <c r="A19" s="17" t="str">
        <f>HYPERLINK("https://www.clemson.edu", "Clemson University")</f>
        <v>Clemson University</v>
      </c>
      <c r="B19" s="18" t="s">
        <v>49</v>
      </c>
      <c r="C19" s="18" t="s">
        <v>208</v>
      </c>
      <c r="D19" s="18" t="s">
        <v>209</v>
      </c>
      <c r="E19" s="18">
        <v>1338</v>
      </c>
      <c r="F19" s="18" t="s">
        <v>35</v>
      </c>
      <c r="J19" s="19">
        <v>0.82099999999999995</v>
      </c>
      <c r="K19" s="19">
        <v>0.70255474500000004</v>
      </c>
      <c r="L19" s="19">
        <v>0.83989999999999998</v>
      </c>
      <c r="M19" s="19">
        <v>0.63639999999999997</v>
      </c>
      <c r="N19" s="19">
        <v>0.77629999999999999</v>
      </c>
      <c r="O19" s="19">
        <v>0.79310000000000003</v>
      </c>
      <c r="P19" s="20">
        <v>50516</v>
      </c>
      <c r="Q19" s="21" t="str">
        <f>HYPERLINK("https://workgroups.clemson.edu/A_A_5690_OIR/cunpc/", "$35260")</f>
        <v>$35260</v>
      </c>
      <c r="R19" s="22">
        <v>39992</v>
      </c>
      <c r="S19" s="22">
        <v>41934</v>
      </c>
      <c r="T19" s="20">
        <v>4866</v>
      </c>
      <c r="U19" s="20">
        <v>30394.141304347821</v>
      </c>
      <c r="W19" s="19">
        <v>0.16919999999999999</v>
      </c>
      <c r="X19" s="19">
        <v>0.16900000000000001</v>
      </c>
      <c r="Z19" s="23">
        <v>19172</v>
      </c>
    </row>
    <row r="20" spans="1:26" x14ac:dyDescent="0.2">
      <c r="A20" s="17" t="str">
        <f>HYPERLINK("https://www.mines.edu", "Colorado School of Mines")</f>
        <v>Colorado School of Mines</v>
      </c>
      <c r="B20" s="18" t="s">
        <v>49</v>
      </c>
      <c r="C20" s="18" t="s">
        <v>87</v>
      </c>
      <c r="D20" s="18" t="s">
        <v>210</v>
      </c>
      <c r="E20" s="18">
        <v>1391</v>
      </c>
      <c r="F20" s="18" t="s">
        <v>35</v>
      </c>
      <c r="J20" s="19">
        <v>0.78039999999999998</v>
      </c>
      <c r="K20" s="19">
        <v>0.63265306099999996</v>
      </c>
      <c r="L20" s="19">
        <v>0.8014</v>
      </c>
      <c r="M20" s="19">
        <v>0.5</v>
      </c>
      <c r="N20" s="19">
        <v>0.72499999999999998</v>
      </c>
      <c r="O20" s="19">
        <v>0.73080000000000001</v>
      </c>
      <c r="P20" s="20">
        <v>52698</v>
      </c>
      <c r="Q20" s="21" t="str">
        <f>HYPERLINK("https://ir.mines.edu/net-price-calculator/", "$36660")</f>
        <v>$36660</v>
      </c>
      <c r="R20" s="22">
        <v>40450</v>
      </c>
      <c r="S20" s="22">
        <v>49006</v>
      </c>
      <c r="T20" s="20">
        <v>3365</v>
      </c>
      <c r="U20" s="20">
        <v>33295.452830188668</v>
      </c>
      <c r="W20" s="19">
        <v>0.14599999999999999</v>
      </c>
      <c r="X20" s="19">
        <v>0.27050000000000002</v>
      </c>
      <c r="Z20" s="23">
        <v>4751</v>
      </c>
    </row>
    <row r="21" spans="1:26" ht="15.75" customHeight="1" x14ac:dyDescent="0.2">
      <c r="A21" s="17" t="str">
        <f>HYPERLINK("https://www.cornellcollege.edu", "Cornell College")</f>
        <v>Cornell College</v>
      </c>
      <c r="B21" s="18" t="s">
        <v>32</v>
      </c>
      <c r="C21" s="18" t="s">
        <v>211</v>
      </c>
      <c r="D21" s="18" t="s">
        <v>212</v>
      </c>
      <c r="E21" s="18">
        <v>1245</v>
      </c>
      <c r="F21" s="18" t="s">
        <v>115</v>
      </c>
      <c r="J21" s="19">
        <v>0.71009999999999995</v>
      </c>
      <c r="K21" s="19">
        <v>0.571428571</v>
      </c>
      <c r="L21" s="19">
        <v>0.70179999999999998</v>
      </c>
      <c r="M21" s="19">
        <v>0.72729999999999995</v>
      </c>
      <c r="N21" s="19">
        <v>0.72409999999999997</v>
      </c>
      <c r="O21" s="19">
        <v>0.6</v>
      </c>
      <c r="P21" s="20">
        <v>55954</v>
      </c>
      <c r="Q21" s="21" t="str">
        <f>HYPERLINK("https://www.cornellcollege.edu/financial-assistance/net-price-calculator/index.shtml", "$18857")</f>
        <v>$18857</v>
      </c>
      <c r="R21" s="22">
        <v>23431</v>
      </c>
      <c r="S21" s="22">
        <v>25853</v>
      </c>
      <c r="T21" s="20">
        <v>5964</v>
      </c>
      <c r="U21" s="20">
        <v>12893</v>
      </c>
      <c r="W21" s="19">
        <v>0.2853</v>
      </c>
      <c r="X21" s="19">
        <v>0.29680000000000001</v>
      </c>
      <c r="Z21" s="23">
        <v>1004</v>
      </c>
    </row>
    <row r="22" spans="1:26" ht="15.75" customHeight="1" x14ac:dyDescent="0.2">
      <c r="A22" s="17" t="str">
        <f>HYPERLINK("https://www.denison.edu", "Denison University")</f>
        <v>Denison University</v>
      </c>
      <c r="B22" s="18" t="s">
        <v>32</v>
      </c>
      <c r="C22" s="18" t="s">
        <v>75</v>
      </c>
      <c r="D22" s="18" t="s">
        <v>213</v>
      </c>
      <c r="E22" s="18">
        <v>1335</v>
      </c>
      <c r="F22" s="18" t="s">
        <v>115</v>
      </c>
      <c r="J22" s="19">
        <v>0.86470000000000002</v>
      </c>
      <c r="K22" s="19">
        <v>0.712121212</v>
      </c>
      <c r="L22" s="19">
        <v>0.87109999999999999</v>
      </c>
      <c r="M22" s="19">
        <v>0.89190000000000003</v>
      </c>
      <c r="N22" s="19">
        <v>0.8478</v>
      </c>
      <c r="O22" s="19">
        <v>0.75</v>
      </c>
      <c r="P22" s="20">
        <v>64970</v>
      </c>
      <c r="Q22" s="21" t="str">
        <f>HYPERLINK("https://www.denison.edu/forms/net-price-calculator", "$13307")</f>
        <v>$13307</v>
      </c>
      <c r="R22" s="22">
        <v>21164</v>
      </c>
      <c r="S22" s="22">
        <v>25237</v>
      </c>
      <c r="T22" s="20">
        <v>2200</v>
      </c>
      <c r="U22" s="20">
        <v>11107</v>
      </c>
      <c r="W22" s="19">
        <v>0.19500000000000001</v>
      </c>
      <c r="X22" s="19">
        <v>0.35460000000000003</v>
      </c>
      <c r="Y22" s="18" t="s">
        <v>37</v>
      </c>
      <c r="Z22" s="23">
        <v>2321</v>
      </c>
    </row>
    <row r="23" spans="1:26" ht="15.75" customHeight="1" x14ac:dyDescent="0.2">
      <c r="A23" s="17" t="str">
        <f>HYPERLINK("https://www.dickinson.edu", "Dickinson College")</f>
        <v>Dickinson College</v>
      </c>
      <c r="B23" s="18" t="s">
        <v>32</v>
      </c>
      <c r="C23" s="18" t="s">
        <v>65</v>
      </c>
      <c r="D23" s="18" t="s">
        <v>214</v>
      </c>
      <c r="E23" s="18" t="s">
        <v>36</v>
      </c>
      <c r="F23" s="18" t="s">
        <v>90</v>
      </c>
      <c r="J23" s="19">
        <v>0.82979999999999998</v>
      </c>
      <c r="K23" s="19" t="s">
        <v>36</v>
      </c>
      <c r="L23" s="19">
        <v>0.83960000000000001</v>
      </c>
      <c r="M23" s="19">
        <v>0.8095</v>
      </c>
      <c r="N23" s="19">
        <v>0.84089999999999998</v>
      </c>
      <c r="O23" s="19">
        <v>0.8</v>
      </c>
      <c r="P23" s="20">
        <v>69071</v>
      </c>
      <c r="Q23" s="21" t="str">
        <f>HYPERLINK("https://npc.collegeboard.org/student/app/dickinson", "$10854")</f>
        <v>$10854</v>
      </c>
      <c r="R23" s="22">
        <v>16403</v>
      </c>
      <c r="S23" s="22">
        <v>24241</v>
      </c>
      <c r="T23" s="20">
        <v>2880</v>
      </c>
      <c r="U23" s="20">
        <v>7974</v>
      </c>
      <c r="W23" s="19">
        <v>0.1207</v>
      </c>
      <c r="X23" s="19">
        <v>0.3407</v>
      </c>
      <c r="Z23" s="23">
        <v>2339</v>
      </c>
    </row>
    <row r="24" spans="1:26" ht="15.75" customHeight="1" x14ac:dyDescent="0.2">
      <c r="A24" s="17" t="str">
        <f>HYPERLINK("https://www.drexel.edu", "Drexel University")</f>
        <v>Drexel University</v>
      </c>
      <c r="B24" s="18" t="s">
        <v>32</v>
      </c>
      <c r="C24" s="18" t="s">
        <v>65</v>
      </c>
      <c r="D24" s="18" t="s">
        <v>168</v>
      </c>
      <c r="E24" s="18">
        <v>1269</v>
      </c>
      <c r="F24" s="18" t="s">
        <v>35</v>
      </c>
      <c r="J24" s="19">
        <v>0.70900000000000007</v>
      </c>
      <c r="K24" s="19">
        <v>0.375</v>
      </c>
      <c r="L24" s="19">
        <v>0.71060000000000001</v>
      </c>
      <c r="M24" s="19">
        <v>0.52110000000000001</v>
      </c>
      <c r="N24" s="19">
        <v>0.6159</v>
      </c>
      <c r="O24" s="19">
        <v>0.76290000000000002</v>
      </c>
      <c r="P24" s="20">
        <v>68792</v>
      </c>
      <c r="Q24" s="21" t="str">
        <f>HYPERLINK("https://drexel.edu/drexelcentral/finaid/prospective-students/net-price-calculator/", "$28362")</f>
        <v>$28362</v>
      </c>
      <c r="R24" s="22">
        <v>34372</v>
      </c>
      <c r="S24" s="22">
        <v>38582</v>
      </c>
      <c r="T24" s="20">
        <v>2900</v>
      </c>
      <c r="U24" s="20">
        <v>25462</v>
      </c>
      <c r="W24" s="19">
        <v>0.2208</v>
      </c>
      <c r="X24" s="19">
        <v>0.47789999999999999</v>
      </c>
      <c r="Z24" s="23">
        <v>15335</v>
      </c>
    </row>
    <row r="25" spans="1:26" ht="15.75" customHeight="1" x14ac:dyDescent="0.2">
      <c r="A25" s="17" t="str">
        <f>HYPERLINK("https://www.elon.edu", "Elon University")</f>
        <v>Elon University</v>
      </c>
      <c r="B25" s="18" t="s">
        <v>32</v>
      </c>
      <c r="C25" s="18" t="s">
        <v>103</v>
      </c>
      <c r="D25" s="18" t="s">
        <v>215</v>
      </c>
      <c r="E25" s="18">
        <v>1262</v>
      </c>
      <c r="F25" s="18" t="s">
        <v>35</v>
      </c>
      <c r="J25" s="19">
        <v>0.8377</v>
      </c>
      <c r="K25" s="19">
        <v>0.17647058800000001</v>
      </c>
      <c r="L25" s="19">
        <v>0.84640000000000004</v>
      </c>
      <c r="M25" s="19">
        <v>0.84040000000000004</v>
      </c>
      <c r="N25" s="19">
        <v>0.77049999999999996</v>
      </c>
      <c r="O25" s="19">
        <v>0.77139999999999997</v>
      </c>
      <c r="P25" s="20">
        <v>49642</v>
      </c>
      <c r="Q25" s="21" t="str">
        <f>HYPERLINK("https://www.elon.edu/e-web/admissions/FinancialAid/", "$19732")</f>
        <v>$19732</v>
      </c>
      <c r="R25" s="22">
        <v>28649</v>
      </c>
      <c r="S25" s="22">
        <v>31682</v>
      </c>
      <c r="T25" s="20">
        <v>3500</v>
      </c>
      <c r="U25" s="20">
        <v>16232</v>
      </c>
      <c r="W25" s="19">
        <v>8.4099999999999994E-2</v>
      </c>
      <c r="X25" s="19">
        <v>0.20309999999999989</v>
      </c>
      <c r="Z25" s="23">
        <v>6045</v>
      </c>
    </row>
    <row r="26" spans="1:26" ht="15.75" customHeight="1" x14ac:dyDescent="0.2">
      <c r="A26" s="17" t="str">
        <f>HYPERLINK("https://www.emerson.edu", "Emerson College")</f>
        <v>Emerson College</v>
      </c>
      <c r="B26" s="18" t="s">
        <v>32</v>
      </c>
      <c r="C26" s="18" t="s">
        <v>33</v>
      </c>
      <c r="D26" s="18" t="s">
        <v>136</v>
      </c>
      <c r="E26" s="18">
        <v>1299</v>
      </c>
      <c r="F26" s="18" t="s">
        <v>115</v>
      </c>
      <c r="J26" s="19">
        <v>0.80789999999999995</v>
      </c>
      <c r="K26" s="19">
        <v>0.87272727299999997</v>
      </c>
      <c r="L26" s="19">
        <v>0.81489999999999996</v>
      </c>
      <c r="M26" s="19">
        <v>0.75860000000000005</v>
      </c>
      <c r="N26" s="19">
        <v>0.71719999999999995</v>
      </c>
      <c r="O26" s="19">
        <v>0.92110000000000003</v>
      </c>
      <c r="P26" s="20">
        <v>65324</v>
      </c>
      <c r="Q26" s="21" t="str">
        <f>HYPERLINK("https://npc.collegeboard.org/student/app/emerson", "$35298")</f>
        <v>$35298</v>
      </c>
      <c r="R26" s="22">
        <v>40127</v>
      </c>
      <c r="S26" s="22">
        <v>42452</v>
      </c>
      <c r="T26" s="20">
        <v>3500</v>
      </c>
      <c r="U26" s="20">
        <v>31798</v>
      </c>
      <c r="W26" s="19">
        <v>0.1555</v>
      </c>
      <c r="X26" s="19">
        <v>0.34510000000000002</v>
      </c>
      <c r="Z26" s="23">
        <v>3799</v>
      </c>
    </row>
    <row r="27" spans="1:26" ht="15.75" customHeight="1" x14ac:dyDescent="0.2">
      <c r="A27" s="17" t="str">
        <f>HYPERLINK("https://www.fsu.edu", "Florida State University")</f>
        <v>Florida State University</v>
      </c>
      <c r="B27" s="18" t="s">
        <v>49</v>
      </c>
      <c r="C27" s="18" t="s">
        <v>162</v>
      </c>
      <c r="D27" s="18" t="s">
        <v>216</v>
      </c>
      <c r="E27" s="18">
        <v>1304</v>
      </c>
      <c r="F27" s="18" t="s">
        <v>35</v>
      </c>
      <c r="J27" s="19">
        <v>0.80169999999999997</v>
      </c>
      <c r="K27" s="19">
        <v>0.70115452900000008</v>
      </c>
      <c r="L27" s="19">
        <v>0.81159999999999999</v>
      </c>
      <c r="M27" s="19">
        <v>0.74180000000000001</v>
      </c>
      <c r="N27" s="19">
        <v>0.8054</v>
      </c>
      <c r="O27" s="19">
        <v>0.77559999999999996</v>
      </c>
      <c r="P27" s="20">
        <v>34904</v>
      </c>
      <c r="Q27" s="21" t="str">
        <f>HYPERLINK("https://financialaid.fsu.edu/cost", "$22859")</f>
        <v>$22859</v>
      </c>
      <c r="R27" s="22">
        <v>27783</v>
      </c>
      <c r="S27" s="22">
        <v>31304</v>
      </c>
      <c r="T27" s="20">
        <v>5660</v>
      </c>
      <c r="U27" s="20">
        <v>17199.27489711934</v>
      </c>
      <c r="W27" s="19">
        <v>0.30470000000000003</v>
      </c>
      <c r="X27" s="19">
        <v>0.37959999999999999</v>
      </c>
      <c r="Z27" s="23">
        <v>32614</v>
      </c>
    </row>
    <row r="28" spans="1:26" ht="15.75" customHeight="1" x14ac:dyDescent="0.2">
      <c r="A28" s="17" t="str">
        <f>HYPERLINK("https://www.fordham.edu", "Fordham University")</f>
        <v>Fordham University</v>
      </c>
      <c r="B28" s="18" t="s">
        <v>32</v>
      </c>
      <c r="C28" s="18" t="s">
        <v>38</v>
      </c>
      <c r="D28" s="18" t="s">
        <v>217</v>
      </c>
      <c r="E28" s="18">
        <v>1337</v>
      </c>
      <c r="F28" s="18" t="s">
        <v>35</v>
      </c>
      <c r="G28" s="18" t="s">
        <v>40</v>
      </c>
      <c r="H28" s="18" t="s">
        <v>218</v>
      </c>
      <c r="I28" s="18" t="s">
        <v>219</v>
      </c>
      <c r="J28" s="19">
        <v>0.79459999999999997</v>
      </c>
      <c r="K28" s="19">
        <v>0.65100671099999996</v>
      </c>
      <c r="L28" s="19">
        <v>0.82820000000000005</v>
      </c>
      <c r="M28" s="19">
        <v>0.625</v>
      </c>
      <c r="N28" s="19">
        <v>0.75900000000000001</v>
      </c>
      <c r="O28" s="19">
        <v>0.74739999999999995</v>
      </c>
      <c r="P28" s="20">
        <v>72239</v>
      </c>
      <c r="Q28" s="21" t="str">
        <f>HYPERLINK("https://www.fordham.edu/finaid/npc", "$23636")</f>
        <v>$23636</v>
      </c>
      <c r="R28" s="22">
        <v>32480</v>
      </c>
      <c r="S28" s="22">
        <v>34459</v>
      </c>
      <c r="T28" s="20">
        <v>3808</v>
      </c>
      <c r="U28" s="20">
        <v>19828</v>
      </c>
      <c r="W28" s="19">
        <v>0.19059999999999999</v>
      </c>
      <c r="X28" s="19">
        <v>0.41849999999999998</v>
      </c>
      <c r="Z28" s="23">
        <v>9403</v>
      </c>
    </row>
    <row r="29" spans="1:26" ht="15.75" customHeight="1" x14ac:dyDescent="0.2">
      <c r="A29" s="17" t="str">
        <f>HYPERLINK("https://www.furman.edu", "Furman University")</f>
        <v>Furman University</v>
      </c>
      <c r="B29" s="18" t="s">
        <v>32</v>
      </c>
      <c r="C29" s="18" t="s">
        <v>208</v>
      </c>
      <c r="D29" s="18" t="s">
        <v>220</v>
      </c>
      <c r="E29" s="18">
        <v>1319</v>
      </c>
      <c r="F29" s="18" t="s">
        <v>115</v>
      </c>
      <c r="J29" s="19">
        <v>0.80510000000000004</v>
      </c>
      <c r="K29" s="19">
        <v>0.75</v>
      </c>
      <c r="L29" s="19">
        <v>0.82410000000000005</v>
      </c>
      <c r="M29" s="19">
        <v>0.6875</v>
      </c>
      <c r="N29" s="19">
        <v>0.72</v>
      </c>
      <c r="O29" s="19">
        <v>0.8</v>
      </c>
      <c r="P29" s="20">
        <v>63706</v>
      </c>
      <c r="Q29" s="21" t="str">
        <f>HYPERLINK("https://www.collegecostcalculator.org/FurmanUniversity", "$20095")</f>
        <v>$20095</v>
      </c>
      <c r="R29" s="22">
        <v>22111</v>
      </c>
      <c r="S29" s="22">
        <v>27840</v>
      </c>
      <c r="T29" s="20">
        <v>3200</v>
      </c>
      <c r="U29" s="20">
        <v>16895</v>
      </c>
      <c r="W29" s="19">
        <v>0.128</v>
      </c>
      <c r="X29" s="19">
        <v>0.2467</v>
      </c>
      <c r="Z29" s="23">
        <v>2728</v>
      </c>
    </row>
    <row r="30" spans="1:26" ht="15.75" customHeight="1" x14ac:dyDescent="0.2">
      <c r="A30" s="17" t="str">
        <f>HYPERLINK("https://WWW.GETTYSBURG.EDU", "Gettysburg College")</f>
        <v>Gettysburg College</v>
      </c>
      <c r="B30" s="18" t="s">
        <v>32</v>
      </c>
      <c r="C30" s="18" t="s">
        <v>65</v>
      </c>
      <c r="D30" s="18" t="s">
        <v>221</v>
      </c>
      <c r="E30" s="18" t="s">
        <v>36</v>
      </c>
      <c r="F30" s="18" t="s">
        <v>90</v>
      </c>
      <c r="J30" s="19">
        <v>0.83579999999999999</v>
      </c>
      <c r="K30" s="19" t="s">
        <v>36</v>
      </c>
      <c r="L30" s="19">
        <v>0.85009999999999997</v>
      </c>
      <c r="M30" s="19">
        <v>0.66669999999999996</v>
      </c>
      <c r="N30" s="19">
        <v>0.8276</v>
      </c>
      <c r="O30" s="19">
        <v>0.83330000000000004</v>
      </c>
      <c r="P30" s="20">
        <v>66710</v>
      </c>
      <c r="Q30" s="21" t="str">
        <f>HYPERLINK("https://www.gettysburg.edu/calculator/", "$15878")</f>
        <v>$15878</v>
      </c>
      <c r="R30" s="22">
        <v>18661</v>
      </c>
      <c r="S30" s="22">
        <v>25764</v>
      </c>
      <c r="T30" s="20">
        <v>1500</v>
      </c>
      <c r="U30" s="20">
        <v>14378</v>
      </c>
      <c r="V30" s="18" t="s">
        <v>37</v>
      </c>
      <c r="W30" s="19">
        <v>0.15040000000000001</v>
      </c>
      <c r="X30" s="19">
        <v>0.24970000000000001</v>
      </c>
      <c r="Z30" s="23">
        <v>2411</v>
      </c>
    </row>
    <row r="31" spans="1:26" ht="15.75" customHeight="1" x14ac:dyDescent="0.2">
      <c r="A31" s="17" t="str">
        <f>HYPERLINK("https://www.gonzaga.edu", "Gonzaga University")</f>
        <v>Gonzaga University</v>
      </c>
      <c r="B31" s="18" t="s">
        <v>32</v>
      </c>
      <c r="C31" s="18" t="s">
        <v>184</v>
      </c>
      <c r="D31" s="18" t="s">
        <v>222</v>
      </c>
      <c r="E31" s="18">
        <v>1295</v>
      </c>
      <c r="F31" s="18" t="s">
        <v>35</v>
      </c>
      <c r="J31" s="19">
        <v>0.87260000000000004</v>
      </c>
      <c r="K31" s="19">
        <v>0.74404761900000005</v>
      </c>
      <c r="L31" s="19">
        <v>0.8841</v>
      </c>
      <c r="M31" s="19">
        <v>1</v>
      </c>
      <c r="N31" s="19">
        <v>0.86809999999999998</v>
      </c>
      <c r="O31" s="19">
        <v>0.97829999999999995</v>
      </c>
      <c r="P31" s="20">
        <v>57350</v>
      </c>
      <c r="Q31" s="21" t="str">
        <f>HYPERLINK("https://www.gonzaga.edu/admission/tuition-scholarships-aid/financial-aid/tools-resources/net-price-calculator", "$24525")</f>
        <v>$24525</v>
      </c>
      <c r="R31" s="22">
        <v>29798</v>
      </c>
      <c r="S31" s="22">
        <v>33072</v>
      </c>
      <c r="T31" s="20">
        <v>4470</v>
      </c>
      <c r="U31" s="20">
        <v>20055</v>
      </c>
      <c r="W31" s="19">
        <v>0.1333</v>
      </c>
      <c r="X31" s="19">
        <v>0.27860000000000001</v>
      </c>
      <c r="Y31" s="18" t="s">
        <v>37</v>
      </c>
      <c r="Z31" s="23">
        <v>5119</v>
      </c>
    </row>
    <row r="32" spans="1:26" ht="15.75" customHeight="1" x14ac:dyDescent="0.2">
      <c r="A32" s="17" t="str">
        <f>HYPERLINK("https://www.grinnell.edu", "Grinnell College")</f>
        <v>Grinnell College</v>
      </c>
      <c r="B32" s="18" t="s">
        <v>32</v>
      </c>
      <c r="C32" s="18" t="s">
        <v>211</v>
      </c>
      <c r="D32" s="18" t="s">
        <v>223</v>
      </c>
      <c r="E32" s="18">
        <v>1449</v>
      </c>
      <c r="F32" s="18" t="s">
        <v>35</v>
      </c>
      <c r="J32" s="19">
        <v>0.87280000000000002</v>
      </c>
      <c r="K32" s="19">
        <v>0.73809523799999999</v>
      </c>
      <c r="L32" s="19">
        <v>0.87180000000000002</v>
      </c>
      <c r="M32" s="19">
        <v>0.88890000000000002</v>
      </c>
      <c r="N32" s="19">
        <v>0.8</v>
      </c>
      <c r="O32" s="19">
        <v>0.89659999999999995</v>
      </c>
      <c r="P32" s="20">
        <v>66214</v>
      </c>
      <c r="Q32" s="21" t="str">
        <f>HYPERLINK("https://npc.collegeboard.org/student/app/grinnell", "$11316")</f>
        <v>$11316</v>
      </c>
      <c r="R32" s="22">
        <v>15904</v>
      </c>
      <c r="S32" s="22">
        <v>21882</v>
      </c>
      <c r="T32" s="20">
        <v>3100</v>
      </c>
      <c r="U32" s="20">
        <v>8216</v>
      </c>
      <c r="V32" s="18" t="s">
        <v>37</v>
      </c>
      <c r="W32" s="19">
        <v>0.19889999999999999</v>
      </c>
      <c r="X32" s="19">
        <v>0.48920000000000002</v>
      </c>
      <c r="Y32" s="18" t="s">
        <v>37</v>
      </c>
      <c r="Z32" s="23">
        <v>1660</v>
      </c>
    </row>
    <row r="33" spans="1:26" ht="15.75" customHeight="1" x14ac:dyDescent="0.2">
      <c r="A33" s="17" t="str">
        <f>HYPERLINK("https://gustavus.edu/", "Gustavus Adolphus College")</f>
        <v>Gustavus Adolphus College</v>
      </c>
      <c r="B33" s="18" t="s">
        <v>32</v>
      </c>
      <c r="C33" s="18" t="s">
        <v>72</v>
      </c>
      <c r="D33" s="18" t="s">
        <v>224</v>
      </c>
      <c r="E33" s="18" t="s">
        <v>36</v>
      </c>
      <c r="F33" s="18" t="s">
        <v>90</v>
      </c>
      <c r="J33" s="19">
        <v>0.79830000000000001</v>
      </c>
      <c r="K33" s="19">
        <v>0.60526315799999997</v>
      </c>
      <c r="L33" s="19">
        <v>0.79159999999999997</v>
      </c>
      <c r="M33" s="19">
        <v>0.73680000000000001</v>
      </c>
      <c r="N33" s="19">
        <v>0.80769999999999997</v>
      </c>
      <c r="O33" s="19">
        <v>0.91890000000000005</v>
      </c>
      <c r="P33" s="20">
        <v>55800</v>
      </c>
      <c r="Q33" s="21" t="str">
        <f>HYPERLINK("https://gustavus.edu/admission/financial-aid/calculator.php", "$13114")</f>
        <v>$13114</v>
      </c>
      <c r="R33" s="22">
        <v>16024</v>
      </c>
      <c r="S33" s="22">
        <v>21164</v>
      </c>
      <c r="T33" s="20">
        <v>2050</v>
      </c>
      <c r="U33" s="20">
        <v>11064</v>
      </c>
      <c r="W33" s="19">
        <v>0.24360000000000001</v>
      </c>
      <c r="X33" s="19">
        <v>0.21659999999999999</v>
      </c>
      <c r="Z33" s="23">
        <v>2170</v>
      </c>
    </row>
    <row r="34" spans="1:26" ht="15.75" customHeight="1" x14ac:dyDescent="0.2">
      <c r="A34" s="17" t="str">
        <f>HYPERLINK("https://web.iit.edu/", "Illinois Institute of Technology")</f>
        <v>Illinois Institute of Technology</v>
      </c>
      <c r="B34" s="18" t="s">
        <v>32</v>
      </c>
      <c r="C34" s="18" t="s">
        <v>137</v>
      </c>
      <c r="D34" s="18" t="s">
        <v>161</v>
      </c>
      <c r="E34" s="18">
        <v>1323</v>
      </c>
      <c r="F34" s="18" t="s">
        <v>35</v>
      </c>
      <c r="J34" s="19">
        <v>0.72230000000000005</v>
      </c>
      <c r="K34" s="19">
        <v>0.70531401000000005</v>
      </c>
      <c r="L34" s="19">
        <v>0.74860000000000004</v>
      </c>
      <c r="M34" s="19">
        <v>0.60529999999999995</v>
      </c>
      <c r="N34" s="19">
        <v>0.61109999999999998</v>
      </c>
      <c r="O34" s="19">
        <v>0.81130000000000002</v>
      </c>
      <c r="P34" s="20">
        <v>63749</v>
      </c>
      <c r="Q34" s="21" t="str">
        <f>HYPERLINK("https://www.collegecostcalculator.org/IIT", "$17434")</f>
        <v>$17434</v>
      </c>
      <c r="R34" s="22">
        <v>19302</v>
      </c>
      <c r="S34" s="22">
        <v>25324</v>
      </c>
      <c r="T34" s="20">
        <v>4878</v>
      </c>
      <c r="U34" s="20">
        <v>12556</v>
      </c>
      <c r="W34" s="19">
        <v>0.31459999999999999</v>
      </c>
      <c r="X34" s="19">
        <v>0.65649999999999997</v>
      </c>
      <c r="Z34" s="23">
        <v>2763</v>
      </c>
    </row>
    <row r="35" spans="1:26" ht="15.75" customHeight="1" x14ac:dyDescent="0.2">
      <c r="A35" s="17" t="str">
        <f>HYPERLINK("https://www.iwu.edu", "Illinois Wesleyan University")</f>
        <v>Illinois Wesleyan University</v>
      </c>
      <c r="B35" s="18" t="s">
        <v>32</v>
      </c>
      <c r="C35" s="18" t="s">
        <v>137</v>
      </c>
      <c r="D35" s="18" t="s">
        <v>225</v>
      </c>
      <c r="E35" s="18">
        <v>1273</v>
      </c>
      <c r="F35" s="18" t="s">
        <v>35</v>
      </c>
      <c r="J35" s="19">
        <v>0.78390000000000004</v>
      </c>
      <c r="K35" s="19">
        <v>0.74509803900000005</v>
      </c>
      <c r="L35" s="19">
        <v>0.80220000000000002</v>
      </c>
      <c r="M35" s="19">
        <v>0.65</v>
      </c>
      <c r="N35" s="19">
        <v>0.73680000000000001</v>
      </c>
      <c r="O35" s="19">
        <v>0.85189999999999999</v>
      </c>
      <c r="P35" s="20">
        <v>58830</v>
      </c>
      <c r="Q35" s="21" t="str">
        <f>HYPERLINK("https://tcc.noellevitz.com/(S(r1k4e0bodv0zsdap0m5xszxz))/Illinois%20Wesleyan%20University/Freshman-Students", "$18322")</f>
        <v>$18322</v>
      </c>
      <c r="R35" s="22">
        <v>22639</v>
      </c>
      <c r="S35" s="22">
        <v>28194</v>
      </c>
      <c r="T35" s="20">
        <v>2400</v>
      </c>
      <c r="U35" s="20">
        <v>15922</v>
      </c>
      <c r="W35" s="19">
        <v>0.19539999999999999</v>
      </c>
      <c r="X35" s="19">
        <v>0.30759999999999998</v>
      </c>
      <c r="Z35" s="23">
        <v>1642</v>
      </c>
    </row>
    <row r="36" spans="1:26" ht="15.75" customHeight="1" x14ac:dyDescent="0.2">
      <c r="A36" s="17" t="str">
        <f>HYPERLINK("https://www.indiana.edu/", "Indiana University-Bloomington")</f>
        <v>Indiana University-Bloomington</v>
      </c>
      <c r="B36" s="18" t="s">
        <v>49</v>
      </c>
      <c r="C36" s="18" t="s">
        <v>148</v>
      </c>
      <c r="D36" s="18" t="s">
        <v>225</v>
      </c>
      <c r="E36" s="18">
        <v>1285</v>
      </c>
      <c r="F36" s="18" t="s">
        <v>35</v>
      </c>
      <c r="J36" s="19">
        <v>0.77329999999999999</v>
      </c>
      <c r="K36" s="19">
        <v>0.34631317299999997</v>
      </c>
      <c r="L36" s="19">
        <v>0.79139999999999999</v>
      </c>
      <c r="M36" s="19">
        <v>0.59930000000000005</v>
      </c>
      <c r="N36" s="19">
        <v>0.72070000000000001</v>
      </c>
      <c r="O36" s="19">
        <v>0.75880000000000003</v>
      </c>
      <c r="P36" s="20">
        <v>48739</v>
      </c>
      <c r="Q36" s="21" t="str">
        <f>HYPERLINK("https://npc.collegeboard.org/student/app/indiana", "$30261")</f>
        <v>$30261</v>
      </c>
      <c r="R36" s="22">
        <v>36157</v>
      </c>
      <c r="S36" s="22">
        <v>43531</v>
      </c>
      <c r="T36" s="20">
        <v>3636</v>
      </c>
      <c r="U36" s="20">
        <v>26625.184649610681</v>
      </c>
      <c r="W36" s="19">
        <v>0.15160000000000001</v>
      </c>
      <c r="X36" s="19">
        <v>0.30399999999999999</v>
      </c>
      <c r="Z36" s="23">
        <v>33104</v>
      </c>
    </row>
    <row r="37" spans="1:26" ht="15.75" customHeight="1" x14ac:dyDescent="0.2">
      <c r="A37" s="17" t="str">
        <f>HYPERLINK("https://www.kzoo.edu", "Kalamazoo College")</f>
        <v>Kalamazoo College</v>
      </c>
      <c r="B37" s="18" t="s">
        <v>32</v>
      </c>
      <c r="C37" s="18" t="s">
        <v>226</v>
      </c>
      <c r="D37" s="18" t="s">
        <v>227</v>
      </c>
      <c r="E37" s="18">
        <v>1306</v>
      </c>
      <c r="F37" s="18" t="s">
        <v>115</v>
      </c>
      <c r="J37" s="19">
        <v>0.85870000000000002</v>
      </c>
      <c r="K37" s="19" t="s">
        <v>36</v>
      </c>
      <c r="L37" s="19">
        <v>0.85270000000000001</v>
      </c>
      <c r="M37" s="19">
        <v>0.88890000000000002</v>
      </c>
      <c r="N37" s="19">
        <v>0.81820000000000004</v>
      </c>
      <c r="O37" s="19">
        <v>1</v>
      </c>
      <c r="P37" s="20">
        <v>59267</v>
      </c>
      <c r="Q37" s="21" t="str">
        <f>HYPERLINK("https://www.kzoo.edu/admission/index.php?p=npc", "$12802")</f>
        <v>$12802</v>
      </c>
      <c r="R37" s="22">
        <v>18168</v>
      </c>
      <c r="S37" s="22">
        <v>25310</v>
      </c>
      <c r="T37" s="20">
        <v>3037</v>
      </c>
      <c r="U37" s="20">
        <v>9765</v>
      </c>
      <c r="W37" s="19">
        <v>0.21410000000000001</v>
      </c>
      <c r="X37" s="19">
        <v>0.4304</v>
      </c>
      <c r="Z37" s="23">
        <v>1415</v>
      </c>
    </row>
    <row r="38" spans="1:26" ht="15.75" customHeight="1" x14ac:dyDescent="0.2">
      <c r="A38" s="17" t="str">
        <f>HYPERLINK("https://www.kettering.edu/", "Kettering University")</f>
        <v>Kettering University</v>
      </c>
      <c r="B38" s="18" t="s">
        <v>32</v>
      </c>
      <c r="C38" s="18" t="s">
        <v>226</v>
      </c>
      <c r="D38" s="18" t="s">
        <v>228</v>
      </c>
      <c r="E38" s="18">
        <v>1270</v>
      </c>
      <c r="F38" s="18" t="s">
        <v>35</v>
      </c>
      <c r="J38" s="19">
        <v>0.6109</v>
      </c>
      <c r="K38" s="19">
        <v>0.271186441</v>
      </c>
      <c r="L38" s="19">
        <v>0.60370000000000001</v>
      </c>
      <c r="M38" s="19">
        <v>0.5333</v>
      </c>
      <c r="N38" s="19">
        <v>0.54549999999999998</v>
      </c>
      <c r="O38" s="19">
        <v>1</v>
      </c>
      <c r="P38" s="20">
        <v>59227</v>
      </c>
      <c r="Q38" s="21" t="str">
        <f>HYPERLINK("https://www.kettering.edu/undergraduate-admissions/financial-aid", "$29965")</f>
        <v>$29965</v>
      </c>
      <c r="R38" s="22">
        <v>36266</v>
      </c>
      <c r="S38" s="22">
        <v>37577</v>
      </c>
      <c r="T38" s="20">
        <v>8697</v>
      </c>
      <c r="U38" s="20">
        <v>21268</v>
      </c>
      <c r="W38" s="19">
        <v>0.20119999999999999</v>
      </c>
      <c r="X38" s="19">
        <v>0.24490000000000001</v>
      </c>
      <c r="Z38" s="23">
        <v>1850</v>
      </c>
    </row>
    <row r="39" spans="1:26" ht="15.75" customHeight="1" x14ac:dyDescent="0.2">
      <c r="A39" s="17" t="str">
        <f>HYPERLINK("https://www.lawrence.edu", "Lawrence University")</f>
        <v>Lawrence University</v>
      </c>
      <c r="B39" s="18" t="s">
        <v>32</v>
      </c>
      <c r="C39" s="18" t="s">
        <v>196</v>
      </c>
      <c r="D39" s="18" t="s">
        <v>229</v>
      </c>
      <c r="E39" s="18">
        <v>1343</v>
      </c>
      <c r="F39" s="18" t="s">
        <v>115</v>
      </c>
      <c r="J39" s="19">
        <v>0.79569999999999996</v>
      </c>
      <c r="K39" s="19">
        <v>0.56000000000000005</v>
      </c>
      <c r="L39" s="19">
        <v>0.80840000000000001</v>
      </c>
      <c r="M39" s="19">
        <v>0.58330000000000004</v>
      </c>
      <c r="N39" s="19">
        <v>1</v>
      </c>
      <c r="O39" s="19">
        <v>0.63639999999999997</v>
      </c>
      <c r="P39" s="20">
        <v>58458</v>
      </c>
      <c r="Q39" s="21" t="str">
        <f>HYPERLINK("https://www.lawrence.edu/admissions/afford/net_price_calculator", "$17113")</f>
        <v>$17113</v>
      </c>
      <c r="R39" s="22">
        <v>21182</v>
      </c>
      <c r="S39" s="22">
        <v>25171</v>
      </c>
      <c r="T39" s="20">
        <v>2325</v>
      </c>
      <c r="U39" s="20">
        <v>14788</v>
      </c>
      <c r="W39" s="19">
        <v>0.1996</v>
      </c>
      <c r="X39" s="19">
        <v>0.35460000000000003</v>
      </c>
      <c r="Z39" s="23">
        <v>1441</v>
      </c>
    </row>
    <row r="40" spans="1:26" ht="15.75" customHeight="1" x14ac:dyDescent="0.2">
      <c r="A40" s="17" t="str">
        <f>HYPERLINK("https://miamioh.edu", "Miami University-Oxford")</f>
        <v>Miami University-Oxford</v>
      </c>
      <c r="B40" s="18" t="s">
        <v>49</v>
      </c>
      <c r="C40" s="18" t="s">
        <v>75</v>
      </c>
      <c r="D40" s="18" t="s">
        <v>230</v>
      </c>
      <c r="E40" s="18">
        <v>1332</v>
      </c>
      <c r="F40" s="18" t="s">
        <v>35</v>
      </c>
      <c r="J40" s="19">
        <v>0.79139999999999999</v>
      </c>
      <c r="K40" s="19">
        <v>0.29063360900000001</v>
      </c>
      <c r="L40" s="19">
        <v>0.80830000000000002</v>
      </c>
      <c r="M40" s="19">
        <v>0.65149999999999997</v>
      </c>
      <c r="N40" s="19">
        <v>0.67200000000000004</v>
      </c>
      <c r="O40" s="19">
        <v>0.85</v>
      </c>
      <c r="P40" s="20">
        <v>51064</v>
      </c>
      <c r="Q40" s="21" t="str">
        <f>HYPERLINK("https://miamioh.edu/onestop/your-money/tuition-fees/net-price-calculators/", "$33231")</f>
        <v>$33231</v>
      </c>
      <c r="R40" s="22">
        <v>39102</v>
      </c>
      <c r="S40" s="22">
        <v>43046</v>
      </c>
      <c r="T40" s="20">
        <v>3651</v>
      </c>
      <c r="U40" s="20">
        <v>29580.19672131148</v>
      </c>
      <c r="W40" s="19">
        <v>0.1096</v>
      </c>
      <c r="X40" s="19">
        <v>0.27610000000000001</v>
      </c>
      <c r="Z40" s="23">
        <v>16816</v>
      </c>
    </row>
    <row r="41" spans="1:26" ht="15.75" customHeight="1" x14ac:dyDescent="0.2">
      <c r="A41" s="17" t="str">
        <f>HYPERLINK("https://www.mtholyoke.edu", "Mount Holyoke College")</f>
        <v>Mount Holyoke College</v>
      </c>
      <c r="B41" s="18" t="s">
        <v>32</v>
      </c>
      <c r="C41" s="18" t="s">
        <v>33</v>
      </c>
      <c r="D41" s="18" t="s">
        <v>231</v>
      </c>
      <c r="E41" s="18">
        <v>1393</v>
      </c>
      <c r="F41" s="18" t="s">
        <v>115</v>
      </c>
      <c r="J41" s="19">
        <v>0.86150000000000004</v>
      </c>
      <c r="K41" s="19">
        <v>0.71969696999999999</v>
      </c>
      <c r="L41" s="19">
        <v>0.8629</v>
      </c>
      <c r="M41" s="19">
        <v>0.78049999999999997</v>
      </c>
      <c r="N41" s="19">
        <v>0.8</v>
      </c>
      <c r="O41" s="19">
        <v>0.88890000000000002</v>
      </c>
      <c r="P41" s="20">
        <v>63900</v>
      </c>
      <c r="Q41" s="21" t="str">
        <f>HYPERLINK("https://npc.collegeboard.org/app/mtholyoke", "$12399")</f>
        <v>$12399</v>
      </c>
      <c r="R41" s="22">
        <v>18511</v>
      </c>
      <c r="S41" s="22">
        <v>23960</v>
      </c>
      <c r="T41" s="20">
        <v>1900</v>
      </c>
      <c r="U41" s="20">
        <v>10499</v>
      </c>
      <c r="V41" s="18" t="s">
        <v>37</v>
      </c>
      <c r="W41" s="19">
        <v>0.18959999999999999</v>
      </c>
      <c r="X41" s="19">
        <v>0.54620000000000002</v>
      </c>
      <c r="Z41" s="23">
        <v>2186</v>
      </c>
    </row>
    <row r="42" spans="1:26" ht="15.75" customHeight="1" x14ac:dyDescent="0.2">
      <c r="A42" s="17" t="str">
        <f>HYPERLINK("https://www.muhlenberg.edu", "Muhlenberg College")</f>
        <v>Muhlenberg College</v>
      </c>
      <c r="B42" s="18" t="s">
        <v>32</v>
      </c>
      <c r="C42" s="18" t="s">
        <v>65</v>
      </c>
      <c r="D42" s="18" t="s">
        <v>232</v>
      </c>
      <c r="E42" s="18">
        <v>1270</v>
      </c>
      <c r="F42" s="18" t="s">
        <v>115</v>
      </c>
      <c r="J42" s="19">
        <v>0.86470000000000002</v>
      </c>
      <c r="K42" s="19">
        <v>0.70212766000000004</v>
      </c>
      <c r="L42" s="19">
        <v>0.87280000000000002</v>
      </c>
      <c r="M42" s="19">
        <v>0.76190000000000002</v>
      </c>
      <c r="N42" s="19">
        <v>0.86360000000000003</v>
      </c>
      <c r="O42" s="19">
        <v>0.88239999999999996</v>
      </c>
      <c r="P42" s="20">
        <v>65330</v>
      </c>
      <c r="Q42" s="21" t="str">
        <f>HYPERLINK("https://www.muhlenberg.edu/main/aboutus/finaid/prospectivestudents/netpricecalculator/", "$16767")</f>
        <v>$16767</v>
      </c>
      <c r="R42" s="22">
        <v>19601</v>
      </c>
      <c r="S42" s="22">
        <v>28677</v>
      </c>
      <c r="T42" s="20">
        <v>3080</v>
      </c>
      <c r="U42" s="20">
        <v>13687</v>
      </c>
      <c r="W42" s="19">
        <v>0.13789999999999999</v>
      </c>
      <c r="X42" s="19">
        <v>0.25380000000000003</v>
      </c>
      <c r="Z42" s="23">
        <v>2329</v>
      </c>
    </row>
    <row r="43" spans="1:26" ht="15.75" customHeight="1" x14ac:dyDescent="0.2">
      <c r="A43" s="17" t="str">
        <f>HYPERLINK("https://www.ncf.edu", "New College of Florida")</f>
        <v>New College of Florida</v>
      </c>
      <c r="B43" s="18" t="s">
        <v>49</v>
      </c>
      <c r="C43" s="18" t="s">
        <v>162</v>
      </c>
      <c r="D43" s="18" t="s">
        <v>233</v>
      </c>
      <c r="E43" s="18">
        <v>1296</v>
      </c>
      <c r="F43" s="18" t="s">
        <v>35</v>
      </c>
      <c r="J43" s="19">
        <v>0.64559999999999995</v>
      </c>
      <c r="K43" s="19">
        <v>0.63934426200000005</v>
      </c>
      <c r="L43" s="19">
        <v>0.67820000000000003</v>
      </c>
      <c r="M43" s="19">
        <v>0.5</v>
      </c>
      <c r="N43" s="19">
        <v>0.5625</v>
      </c>
      <c r="O43" s="19">
        <v>0.5</v>
      </c>
      <c r="P43" s="20">
        <v>43678</v>
      </c>
      <c r="Q43" s="21" t="str">
        <f>HYPERLINK("https://www.ncf.edu/admissions/cost-and-aid/tuition-and-fees/net-price-calculator/", "$30635")</f>
        <v>$30635</v>
      </c>
      <c r="R43" s="22">
        <v>35324</v>
      </c>
      <c r="S43" s="22">
        <v>36987</v>
      </c>
      <c r="T43" s="20">
        <v>4470</v>
      </c>
      <c r="U43" s="20">
        <v>26165.62222222222</v>
      </c>
      <c r="W43" s="19">
        <v>0.28570000000000001</v>
      </c>
      <c r="X43" s="19">
        <v>0.30900000000000011</v>
      </c>
      <c r="Z43" s="23">
        <v>835</v>
      </c>
    </row>
    <row r="44" spans="1:26" ht="15.75" customHeight="1" x14ac:dyDescent="0.2">
      <c r="A44" s="17" t="str">
        <f>HYPERLINK("https://www.nmt.edu", "New Mexico Institute of Mining and Technology")</f>
        <v>New Mexico Institute of Mining and Technology</v>
      </c>
      <c r="B44" s="18" t="s">
        <v>49</v>
      </c>
      <c r="C44" s="18" t="s">
        <v>234</v>
      </c>
      <c r="D44" s="18" t="s">
        <v>235</v>
      </c>
      <c r="E44" s="18">
        <v>1259</v>
      </c>
      <c r="F44" s="18" t="s">
        <v>35</v>
      </c>
      <c r="J44" s="19">
        <v>0.47220000000000001</v>
      </c>
      <c r="K44" s="19">
        <v>0.31034482800000002</v>
      </c>
      <c r="L44" s="19">
        <v>0.4718</v>
      </c>
      <c r="M44" s="19">
        <v>0.33329999999999999</v>
      </c>
      <c r="N44" s="19">
        <v>0.495</v>
      </c>
      <c r="O44" s="19">
        <v>0.8</v>
      </c>
      <c r="P44" s="20">
        <v>35153</v>
      </c>
      <c r="Q44" s="21" t="str">
        <f>HYPERLINK("https://www.nmt.edu/finaid/netprice/npcalc.htm", "$25077")</f>
        <v>$25077</v>
      </c>
      <c r="R44" s="22">
        <v>28831</v>
      </c>
      <c r="S44" s="22">
        <v>30068</v>
      </c>
      <c r="T44" s="20">
        <v>5960</v>
      </c>
      <c r="U44" s="20">
        <v>19117.833333333339</v>
      </c>
      <c r="W44" s="19">
        <v>0.29759999999999998</v>
      </c>
      <c r="X44" s="19">
        <v>0.47939999999999999</v>
      </c>
      <c r="Z44" s="23">
        <v>1358</v>
      </c>
    </row>
    <row r="45" spans="1:26" ht="15.75" customHeight="1" x14ac:dyDescent="0.2">
      <c r="A45" s="17" t="str">
        <f>HYPERLINK("https://www.ncsu.edu", "North Carolina State University at Raleigh")</f>
        <v>North Carolina State University at Raleigh</v>
      </c>
      <c r="B45" s="18" t="s">
        <v>49</v>
      </c>
      <c r="C45" s="18" t="s">
        <v>103</v>
      </c>
      <c r="D45" s="18" t="s">
        <v>236</v>
      </c>
      <c r="E45" s="18">
        <v>1331</v>
      </c>
      <c r="F45" s="18" t="s">
        <v>35</v>
      </c>
      <c r="J45" s="19">
        <v>0.78639999999999999</v>
      </c>
      <c r="K45" s="19">
        <v>0.62837162800000002</v>
      </c>
      <c r="L45" s="19">
        <v>0.80410000000000004</v>
      </c>
      <c r="M45" s="19">
        <v>0.71879999999999999</v>
      </c>
      <c r="N45" s="19">
        <v>0.75</v>
      </c>
      <c r="O45" s="19">
        <v>0.80720000000000003</v>
      </c>
      <c r="P45" s="20">
        <v>42048</v>
      </c>
      <c r="Q45" s="21" t="str">
        <f>HYPERLINK("https://npc.collegeboard.org/student/app/ncsu", "$26886")</f>
        <v>$26886</v>
      </c>
      <c r="R45" s="22">
        <v>32457</v>
      </c>
      <c r="S45" s="22">
        <v>37810</v>
      </c>
      <c r="T45" s="20">
        <v>3788</v>
      </c>
      <c r="U45" s="20">
        <v>23098.428571428569</v>
      </c>
      <c r="W45" s="19">
        <v>0.20730000000000001</v>
      </c>
      <c r="X45" s="19">
        <v>0.28889999999999999</v>
      </c>
      <c r="Z45" s="23">
        <v>22801</v>
      </c>
    </row>
    <row r="46" spans="1:26" ht="15.75" customHeight="1" x14ac:dyDescent="0.2">
      <c r="A46" s="17" t="str">
        <f>HYPERLINK("https://www.northeastern.edu/learnforlife/", "Northeastern University Lifelong Learning Network	")</f>
        <v xml:space="preserve">Northeastern University Lifelong Learning Network	</v>
      </c>
      <c r="B46" s="18" t="s">
        <v>32</v>
      </c>
      <c r="C46" s="18" t="s">
        <v>33</v>
      </c>
      <c r="D46" s="18" t="s">
        <v>136</v>
      </c>
      <c r="E46" s="18" t="s">
        <v>36</v>
      </c>
      <c r="F46" s="18" t="s">
        <v>36</v>
      </c>
      <c r="J46" s="19" t="s">
        <v>36</v>
      </c>
      <c r="K46" s="19">
        <v>0.48829953199999998</v>
      </c>
      <c r="L46" s="19" t="s">
        <v>36</v>
      </c>
      <c r="M46" s="19" t="s">
        <v>36</v>
      </c>
      <c r="N46" s="19" t="s">
        <v>36</v>
      </c>
      <c r="O46" s="19" t="s">
        <v>36</v>
      </c>
      <c r="P46" s="20" t="s">
        <v>36</v>
      </c>
      <c r="Q46" s="21" t="str">
        <f>HYPERLINK("https://studentfinance.northeastern.edu/financial-tools-and-calculators/", "Not reported")</f>
        <v>Not reported</v>
      </c>
      <c r="R46" s="22" t="s">
        <v>36</v>
      </c>
      <c r="S46" s="22" t="s">
        <v>36</v>
      </c>
      <c r="T46" s="20" t="s">
        <v>36</v>
      </c>
      <c r="U46" s="20" t="s">
        <v>36</v>
      </c>
      <c r="W46" s="19">
        <v>0.10489999999999999</v>
      </c>
      <c r="X46" s="19">
        <v>0.61519999999999997</v>
      </c>
      <c r="Z46" s="23">
        <v>1814</v>
      </c>
    </row>
    <row r="47" spans="1:26" ht="15.75" customHeight="1" x14ac:dyDescent="0.2">
      <c r="A47" s="17" t="str">
        <f>HYPERLINK("https://www.osu.edu/", "Ohio State University-Main Campus")</f>
        <v>Ohio State University-Main Campus</v>
      </c>
      <c r="B47" s="18" t="s">
        <v>49</v>
      </c>
      <c r="C47" s="18" t="s">
        <v>75</v>
      </c>
      <c r="D47" s="18" t="s">
        <v>237</v>
      </c>
      <c r="E47" s="18">
        <v>1359</v>
      </c>
      <c r="F47" s="18" t="s">
        <v>35</v>
      </c>
      <c r="J47" s="19">
        <v>0.82640000000000002</v>
      </c>
      <c r="K47" s="19">
        <v>0.45382585800000003</v>
      </c>
      <c r="L47" s="19">
        <v>0.8357</v>
      </c>
      <c r="M47" s="19">
        <v>0.73350000000000004</v>
      </c>
      <c r="N47" s="19">
        <v>0.8044</v>
      </c>
      <c r="O47" s="19">
        <v>0.84060000000000001</v>
      </c>
      <c r="P47" s="20">
        <v>46141</v>
      </c>
      <c r="Q47" s="21" t="str">
        <f>HYPERLINK("https://sfa.osu.edu/incoming-freshmen/about-aid/net-price-calculator", "$30780")</f>
        <v>$30780</v>
      </c>
      <c r="R47" s="22">
        <v>36347</v>
      </c>
      <c r="S47" s="22">
        <v>40840</v>
      </c>
      <c r="T47" s="20">
        <v>4153</v>
      </c>
      <c r="U47" s="20">
        <v>26627.614227086178</v>
      </c>
      <c r="W47" s="19">
        <v>0.19900000000000001</v>
      </c>
      <c r="X47" s="19">
        <v>0.31430000000000002</v>
      </c>
      <c r="Z47" s="23">
        <v>44853</v>
      </c>
    </row>
    <row r="48" spans="1:26" ht="15.75" customHeight="1" x14ac:dyDescent="0.2">
      <c r="A48" s="17" t="str">
        <f>HYPERLINK("https://www.pepperdine.edu/", "Pepperdine University")</f>
        <v>Pepperdine University</v>
      </c>
      <c r="B48" s="18" t="s">
        <v>32</v>
      </c>
      <c r="C48" s="18" t="s">
        <v>68</v>
      </c>
      <c r="D48" s="18" t="s">
        <v>238</v>
      </c>
      <c r="E48" s="18">
        <v>1319</v>
      </c>
      <c r="F48" s="18" t="s">
        <v>35</v>
      </c>
      <c r="J48" s="19">
        <v>0.8488</v>
      </c>
      <c r="K48" s="19">
        <v>0.76047904200000005</v>
      </c>
      <c r="L48" s="19">
        <v>0.8488</v>
      </c>
      <c r="M48" s="19">
        <v>0.75</v>
      </c>
      <c r="N48" s="19">
        <v>0.82140000000000002</v>
      </c>
      <c r="O48" s="19">
        <v>0.90429999999999999</v>
      </c>
      <c r="P48" s="20">
        <v>70862</v>
      </c>
      <c r="Q48" s="21" t="str">
        <f>HYPERLINK("https://seaver.pepperdine.edu/admission/financial-aid/undergraduate/npc/", "$26288")</f>
        <v>$26288</v>
      </c>
      <c r="R48" s="22">
        <v>31220</v>
      </c>
      <c r="S48" s="22">
        <v>33986</v>
      </c>
      <c r="T48" s="20">
        <v>4000</v>
      </c>
      <c r="U48" s="20">
        <v>22288</v>
      </c>
      <c r="W48" s="19">
        <v>0.1711</v>
      </c>
      <c r="X48" s="19">
        <v>0.49390000000000001</v>
      </c>
      <c r="Z48" s="23">
        <v>3594</v>
      </c>
    </row>
    <row r="49" spans="1:26" ht="15.75" customHeight="1" x14ac:dyDescent="0.2">
      <c r="A49" s="17" t="str">
        <f>HYPERLINK("https://www.providence.edu", "Providence College")</f>
        <v>Providence College</v>
      </c>
      <c r="B49" s="18" t="s">
        <v>32</v>
      </c>
      <c r="C49" s="18" t="s">
        <v>63</v>
      </c>
      <c r="D49" s="18" t="s">
        <v>64</v>
      </c>
      <c r="E49" s="18">
        <v>1274</v>
      </c>
      <c r="F49" s="18" t="s">
        <v>115</v>
      </c>
      <c r="J49" s="19">
        <v>0.84219999999999995</v>
      </c>
      <c r="K49" s="19">
        <v>0.57657657699999998</v>
      </c>
      <c r="L49" s="19">
        <v>0.85580000000000001</v>
      </c>
      <c r="M49" s="19">
        <v>0.79490000000000005</v>
      </c>
      <c r="N49" s="19">
        <v>0.72729999999999995</v>
      </c>
      <c r="O49" s="19">
        <v>0.71430000000000005</v>
      </c>
      <c r="P49" s="20">
        <v>64984</v>
      </c>
      <c r="Q49" s="21" t="str">
        <f>HYPERLINK("https://npc.collegeboard.org/student/app/providence", "$20156")</f>
        <v>$20156</v>
      </c>
      <c r="R49" s="22">
        <v>28764</v>
      </c>
      <c r="S49" s="22">
        <v>32475</v>
      </c>
      <c r="T49" s="20">
        <v>1980</v>
      </c>
      <c r="U49" s="20">
        <v>18176</v>
      </c>
      <c r="W49" s="19">
        <v>0.14149999999999999</v>
      </c>
      <c r="X49" s="19">
        <v>0.2291</v>
      </c>
      <c r="Z49" s="23">
        <v>4011</v>
      </c>
    </row>
    <row r="50" spans="1:26" ht="15.75" customHeight="1" x14ac:dyDescent="0.2">
      <c r="A50" s="17" t="str">
        <f>HYPERLINK("https://www.purdue.edu", "Purdue University-Main Campus")</f>
        <v>Purdue University-Main Campus</v>
      </c>
      <c r="B50" s="18" t="s">
        <v>49</v>
      </c>
      <c r="C50" s="18" t="s">
        <v>148</v>
      </c>
      <c r="D50" s="18" t="s">
        <v>239</v>
      </c>
      <c r="E50" s="18">
        <v>1293</v>
      </c>
      <c r="F50" s="18" t="s">
        <v>35</v>
      </c>
      <c r="J50" s="19">
        <v>0.78359999999999996</v>
      </c>
      <c r="K50" s="19">
        <v>0.58739255000000001</v>
      </c>
      <c r="L50" s="19">
        <v>0.79320000000000002</v>
      </c>
      <c r="M50" s="19">
        <v>0.65529999999999999</v>
      </c>
      <c r="N50" s="19">
        <v>0.72960000000000003</v>
      </c>
      <c r="O50" s="19">
        <v>0.73850000000000005</v>
      </c>
      <c r="P50" s="20">
        <v>41614</v>
      </c>
      <c r="Q50" s="21" t="str">
        <f>HYPERLINK("https://www.purdue.edu/DFA/estimator", "$24217")</f>
        <v>$24217</v>
      </c>
      <c r="R50" s="22">
        <v>27967</v>
      </c>
      <c r="S50" s="22">
        <v>35626</v>
      </c>
      <c r="T50" s="20">
        <v>2790</v>
      </c>
      <c r="U50" s="20">
        <v>21427.76666666667</v>
      </c>
      <c r="W50" s="19">
        <v>0.16719999999999999</v>
      </c>
      <c r="X50" s="19">
        <v>0.36220000000000002</v>
      </c>
      <c r="Z50" s="23">
        <v>31887</v>
      </c>
    </row>
    <row r="51" spans="1:26" ht="15.75" customHeight="1" x14ac:dyDescent="0.2">
      <c r="A51" s="17" t="str">
        <f>HYPERLINK("https://www.rhodes.edu", "Rhodes College")</f>
        <v>Rhodes College</v>
      </c>
      <c r="B51" s="18" t="s">
        <v>32</v>
      </c>
      <c r="C51" s="18" t="s">
        <v>174</v>
      </c>
      <c r="D51" s="18" t="s">
        <v>207</v>
      </c>
      <c r="E51" s="18">
        <v>1362</v>
      </c>
      <c r="F51" s="18" t="s">
        <v>35</v>
      </c>
      <c r="J51" s="19">
        <v>0.82789999999999997</v>
      </c>
      <c r="K51" s="19" t="s">
        <v>36</v>
      </c>
      <c r="L51" s="19">
        <v>0.84430000000000005</v>
      </c>
      <c r="M51" s="19">
        <v>0.70269999999999999</v>
      </c>
      <c r="N51" s="19">
        <v>0.84619999999999995</v>
      </c>
      <c r="O51" s="19">
        <v>0.83330000000000004</v>
      </c>
      <c r="P51" s="20">
        <v>61538</v>
      </c>
      <c r="Q51" s="21" t="str">
        <f>HYPERLINK("https://npc.collegeboard.org/student/app/rhodes", "$13327")</f>
        <v>$13327</v>
      </c>
      <c r="R51" s="22">
        <v>21630</v>
      </c>
      <c r="S51" s="22">
        <v>26616</v>
      </c>
      <c r="T51" s="20">
        <v>3744</v>
      </c>
      <c r="U51" s="20">
        <v>9583</v>
      </c>
      <c r="W51" s="19">
        <v>0.12559999999999999</v>
      </c>
      <c r="X51" s="19">
        <v>0.29620000000000002</v>
      </c>
      <c r="Z51" s="23">
        <v>1975</v>
      </c>
    </row>
    <row r="52" spans="1:26" ht="15.75" customHeight="1" x14ac:dyDescent="0.2">
      <c r="A52" s="17" t="str">
        <f>HYPERLINK("https://www.rollins.edu", "Rollins College")</f>
        <v>Rollins College</v>
      </c>
      <c r="B52" s="18" t="s">
        <v>32</v>
      </c>
      <c r="C52" s="18" t="s">
        <v>162</v>
      </c>
      <c r="D52" s="18" t="s">
        <v>240</v>
      </c>
      <c r="E52" s="18" t="s">
        <v>36</v>
      </c>
      <c r="F52" s="18" t="s">
        <v>90</v>
      </c>
      <c r="J52" s="19">
        <v>0.75319999999999998</v>
      </c>
      <c r="K52" s="19">
        <v>0.63316582899999996</v>
      </c>
      <c r="L52" s="19">
        <v>0.74729999999999996</v>
      </c>
      <c r="M52" s="19">
        <v>0.71430000000000005</v>
      </c>
      <c r="N52" s="19">
        <v>0.85940000000000005</v>
      </c>
      <c r="O52" s="19">
        <v>0.92859999999999998</v>
      </c>
      <c r="P52" s="20">
        <v>67775</v>
      </c>
      <c r="Q52" s="21" t="str">
        <f>HYPERLINK("https://www.rollins.edu/admission/costs-financial-aid/net-price-calculator.html", "$24274")</f>
        <v>$24274</v>
      </c>
      <c r="R52" s="22">
        <v>31220</v>
      </c>
      <c r="S52" s="22">
        <v>29325</v>
      </c>
      <c r="T52" s="20">
        <v>4710</v>
      </c>
      <c r="U52" s="20">
        <v>19564</v>
      </c>
      <c r="W52" s="19">
        <v>0.27289999999999998</v>
      </c>
      <c r="X52" s="19">
        <v>0.44369999999999998</v>
      </c>
      <c r="Z52" s="23">
        <v>2612</v>
      </c>
    </row>
    <row r="53" spans="1:26" ht="15.75" customHeight="1" x14ac:dyDescent="0.2">
      <c r="A53" s="17" t="str">
        <f>HYPERLINK("https://newbrunswick.rutgers.edu/", "Rutgers University-New Brunswick")</f>
        <v>Rutgers University-New Brunswick</v>
      </c>
      <c r="B53" s="18" t="s">
        <v>49</v>
      </c>
      <c r="C53" s="18" t="s">
        <v>141</v>
      </c>
      <c r="D53" s="18" t="s">
        <v>241</v>
      </c>
      <c r="E53" s="18">
        <v>1295</v>
      </c>
      <c r="F53" s="18" t="s">
        <v>35</v>
      </c>
      <c r="J53" s="19">
        <v>0.80069999999999997</v>
      </c>
      <c r="K53" s="19">
        <v>0.68906410699999998</v>
      </c>
      <c r="L53" s="19">
        <v>0.80410000000000004</v>
      </c>
      <c r="M53" s="19">
        <v>0.73699999999999999</v>
      </c>
      <c r="N53" s="19">
        <v>0.72840000000000005</v>
      </c>
      <c r="O53" s="19">
        <v>0.84930000000000005</v>
      </c>
      <c r="P53" s="20">
        <v>47518</v>
      </c>
      <c r="Q53" s="21" t="str">
        <f>HYPERLINK("https://financialaid.rutgers.edu/tools-and-resources/net-price-calculator/", "$30440")</f>
        <v>$30440</v>
      </c>
      <c r="R53" s="22">
        <v>38169</v>
      </c>
      <c r="S53" s="22">
        <v>44248</v>
      </c>
      <c r="T53" s="20">
        <v>4487</v>
      </c>
      <c r="U53" s="20">
        <v>25953.009701492541</v>
      </c>
      <c r="W53" s="19">
        <v>0.29349999999999998</v>
      </c>
      <c r="X53" s="19">
        <v>0.61170000000000002</v>
      </c>
      <c r="Z53" s="23">
        <v>35296</v>
      </c>
    </row>
    <row r="54" spans="1:26" ht="15.75" customHeight="1" x14ac:dyDescent="0.2">
      <c r="A54" s="17" t="str">
        <f>HYPERLINK("https://www.esf.edu", "SUNY College of Environmental Science and Forestry")</f>
        <v>SUNY College of Environmental Science and Forestry</v>
      </c>
      <c r="B54" s="18" t="s">
        <v>49</v>
      </c>
      <c r="C54" s="18" t="s">
        <v>38</v>
      </c>
      <c r="D54" s="18" t="s">
        <v>242</v>
      </c>
      <c r="E54" s="18">
        <v>1235</v>
      </c>
      <c r="F54" s="18" t="s">
        <v>35</v>
      </c>
      <c r="G54" s="18" t="s">
        <v>51</v>
      </c>
      <c r="H54" s="18" t="s">
        <v>243</v>
      </c>
      <c r="I54" s="18" t="s">
        <v>244</v>
      </c>
      <c r="J54" s="19">
        <v>0.78400000000000003</v>
      </c>
      <c r="K54" s="19">
        <v>0.62162162200000004</v>
      </c>
      <c r="L54" s="19">
        <v>0.79149999999999998</v>
      </c>
      <c r="M54" s="19">
        <v>0.5</v>
      </c>
      <c r="N54" s="19">
        <v>0.6</v>
      </c>
      <c r="O54" s="19">
        <v>0.88890000000000002</v>
      </c>
      <c r="P54" s="20">
        <v>27303</v>
      </c>
      <c r="Q54" s="21" t="str">
        <f>HYPERLINK("https://www.esf.edu/financialaid/netprice.htm", "$11455")</f>
        <v>$11455</v>
      </c>
      <c r="R54" s="22">
        <v>17745</v>
      </c>
      <c r="S54" s="22">
        <v>20047</v>
      </c>
      <c r="T54" s="20">
        <v>2250</v>
      </c>
      <c r="U54" s="20">
        <v>9205</v>
      </c>
      <c r="W54" s="19">
        <v>0.25640000000000002</v>
      </c>
      <c r="X54" s="19">
        <v>0.20449999999999999</v>
      </c>
      <c r="Z54" s="23">
        <v>1790</v>
      </c>
    </row>
    <row r="55" spans="1:26" ht="15.75" customHeight="1" x14ac:dyDescent="0.2">
      <c r="A55" s="17" t="str">
        <f>HYPERLINK("https://www.sarahlawrence.edu", "Sarah Lawrence College")</f>
        <v>Sarah Lawrence College</v>
      </c>
      <c r="B55" s="18" t="s">
        <v>32</v>
      </c>
      <c r="C55" s="18" t="s">
        <v>38</v>
      </c>
      <c r="D55" s="18" t="s">
        <v>245</v>
      </c>
      <c r="E55" s="18">
        <v>1342</v>
      </c>
      <c r="F55" s="18" t="s">
        <v>115</v>
      </c>
      <c r="J55" s="19">
        <v>0.79410000000000003</v>
      </c>
      <c r="K55" s="19">
        <v>0.85981308400000001</v>
      </c>
      <c r="L55" s="19">
        <v>0.7893</v>
      </c>
      <c r="M55" s="19">
        <v>0.66669999999999996</v>
      </c>
      <c r="N55" s="19">
        <v>0.84</v>
      </c>
      <c r="O55" s="19">
        <v>0.69230000000000003</v>
      </c>
      <c r="P55" s="20">
        <v>70266</v>
      </c>
      <c r="Q55" s="21" t="str">
        <f>HYPERLINK("https://npc.collegeboard.org/student/app/sarahlawrence", "$25597")</f>
        <v>$25597</v>
      </c>
      <c r="R55" s="22">
        <v>24922</v>
      </c>
      <c r="S55" s="22">
        <v>31014</v>
      </c>
      <c r="T55" s="20">
        <v>1400</v>
      </c>
      <c r="U55" s="20">
        <v>24197</v>
      </c>
      <c r="W55" s="19">
        <v>0.16900000000000001</v>
      </c>
      <c r="X55" s="19">
        <v>0.44350000000000001</v>
      </c>
      <c r="Z55" s="23">
        <v>1355</v>
      </c>
    </row>
    <row r="56" spans="1:26" ht="15.75" customHeight="1" x14ac:dyDescent="0.2">
      <c r="A56" s="17" t="str">
        <f>HYPERLINK("https://www.skidmore.edu/", "Skidmore College")</f>
        <v>Skidmore College</v>
      </c>
      <c r="B56" s="18" t="s">
        <v>32</v>
      </c>
      <c r="C56" s="18" t="s">
        <v>38</v>
      </c>
      <c r="D56" s="18" t="s">
        <v>246</v>
      </c>
      <c r="E56" s="18">
        <v>1330</v>
      </c>
      <c r="F56" s="18" t="s">
        <v>115</v>
      </c>
      <c r="G56" s="18" t="s">
        <v>40</v>
      </c>
      <c r="H56" s="18" t="s">
        <v>247</v>
      </c>
      <c r="I56" s="18" t="s">
        <v>248</v>
      </c>
      <c r="J56" s="19">
        <v>0.87029999999999996</v>
      </c>
      <c r="K56" s="19" t="s">
        <v>36</v>
      </c>
      <c r="L56" s="19">
        <v>0.8579</v>
      </c>
      <c r="M56" s="19">
        <v>0.82350000000000001</v>
      </c>
      <c r="N56" s="19">
        <v>0.94340000000000002</v>
      </c>
      <c r="O56" s="19">
        <v>0.90700000000000003</v>
      </c>
      <c r="P56" s="20">
        <v>69450</v>
      </c>
      <c r="Q56" s="21" t="str">
        <f>HYPERLINK("https://skidmore.studentaidcalculator.com/survey.aspx", "$10467")</f>
        <v>$10467</v>
      </c>
      <c r="R56" s="22">
        <v>14973</v>
      </c>
      <c r="S56" s="22">
        <v>24126</v>
      </c>
      <c r="T56" s="20">
        <v>2850</v>
      </c>
      <c r="U56" s="20">
        <v>7617</v>
      </c>
      <c r="V56" s="18" t="s">
        <v>37</v>
      </c>
      <c r="W56" s="19">
        <v>0.1313</v>
      </c>
      <c r="X56" s="19">
        <v>0.37309999999999999</v>
      </c>
      <c r="Z56" s="23">
        <v>2659</v>
      </c>
    </row>
    <row r="57" spans="1:26" ht="15.75" customHeight="1" x14ac:dyDescent="0.2">
      <c r="A57" s="17" t="str">
        <f>HYPERLINK("https://www.stlawu.edu", "St Lawrence University")</f>
        <v>St Lawrence University</v>
      </c>
      <c r="B57" s="18" t="s">
        <v>32</v>
      </c>
      <c r="C57" s="18" t="s">
        <v>38</v>
      </c>
      <c r="D57" s="18" t="s">
        <v>249</v>
      </c>
      <c r="E57" s="18">
        <v>1301</v>
      </c>
      <c r="F57" s="18" t="s">
        <v>115</v>
      </c>
      <c r="G57" s="18" t="s">
        <v>40</v>
      </c>
      <c r="H57" s="18" t="s">
        <v>250</v>
      </c>
      <c r="I57" s="18" t="s">
        <v>251</v>
      </c>
      <c r="J57" s="19">
        <v>0.85400000000000009</v>
      </c>
      <c r="K57" s="19" t="s">
        <v>36</v>
      </c>
      <c r="L57" s="19">
        <v>0.85560000000000003</v>
      </c>
      <c r="M57" s="19">
        <v>0.8125</v>
      </c>
      <c r="N57" s="19">
        <v>0.83330000000000004</v>
      </c>
      <c r="O57" s="19">
        <v>0.81820000000000004</v>
      </c>
      <c r="P57" s="20">
        <v>68296</v>
      </c>
      <c r="Q57" s="21" t="str">
        <f>HYPERLINK("https://www.stlawu.edu/financialaid/net-price-calculator", "$12172")</f>
        <v>$12172</v>
      </c>
      <c r="R57" s="22">
        <v>22171</v>
      </c>
      <c r="S57" s="22">
        <v>25523</v>
      </c>
      <c r="T57" s="20">
        <v>1650</v>
      </c>
      <c r="U57" s="20">
        <v>10522</v>
      </c>
      <c r="W57" s="19">
        <v>0.18079999999999999</v>
      </c>
      <c r="X57" s="19">
        <v>0.21909999999999999</v>
      </c>
      <c r="Z57" s="23">
        <v>2373</v>
      </c>
    </row>
    <row r="58" spans="1:26" ht="15.75" customHeight="1" x14ac:dyDescent="0.2">
      <c r="A58" s="17" t="str">
        <f>HYPERLINK("https://wp.stolaf.edu", "St Olaf College")</f>
        <v>St Olaf College</v>
      </c>
      <c r="B58" s="18" t="s">
        <v>32</v>
      </c>
      <c r="C58" s="18" t="s">
        <v>72</v>
      </c>
      <c r="D58" s="18" t="s">
        <v>73</v>
      </c>
      <c r="E58" s="18">
        <v>1312</v>
      </c>
      <c r="F58" s="18" t="s">
        <v>35</v>
      </c>
      <c r="J58" s="19">
        <v>0.88229999999999997</v>
      </c>
      <c r="K58" s="19">
        <v>0.83561643799999996</v>
      </c>
      <c r="L58" s="19">
        <v>0.8891</v>
      </c>
      <c r="M58" s="19">
        <v>0.76919999999999999</v>
      </c>
      <c r="N58" s="19">
        <v>0.83330000000000004</v>
      </c>
      <c r="O58" s="19">
        <v>0.92310000000000003</v>
      </c>
      <c r="P58" s="20">
        <v>58330</v>
      </c>
      <c r="Q58" s="21" t="str">
        <f>HYPERLINK("https://wp.stolaf.edu/financialaid/net-price-calculator/", "$10605")</f>
        <v>$10605</v>
      </c>
      <c r="R58" s="22">
        <v>16107</v>
      </c>
      <c r="S58" s="22">
        <v>21130</v>
      </c>
      <c r="T58" s="20">
        <v>1900</v>
      </c>
      <c r="U58" s="20">
        <v>8705</v>
      </c>
      <c r="V58" s="18" t="s">
        <v>37</v>
      </c>
      <c r="W58" s="19">
        <v>0.1618</v>
      </c>
      <c r="X58" s="19">
        <v>0.29089999999999999</v>
      </c>
      <c r="Z58" s="23">
        <v>3004</v>
      </c>
    </row>
    <row r="59" spans="1:26" ht="15.75" customHeight="1" x14ac:dyDescent="0.2">
      <c r="A59" s="17" t="str">
        <f>HYPERLINK("https://www.sjc.edu", "St John's College")</f>
        <v>St John's College</v>
      </c>
      <c r="B59" s="18" t="s">
        <v>32</v>
      </c>
      <c r="C59" s="18" t="s">
        <v>124</v>
      </c>
      <c r="D59" s="18" t="s">
        <v>252</v>
      </c>
      <c r="E59" s="18">
        <v>1365</v>
      </c>
      <c r="F59" s="18" t="s">
        <v>115</v>
      </c>
      <c r="J59" s="19">
        <v>0.66669999999999996</v>
      </c>
      <c r="K59" s="19" t="s">
        <v>36</v>
      </c>
      <c r="L59" s="19">
        <v>0.71579999999999999</v>
      </c>
      <c r="M59" s="19">
        <v>0</v>
      </c>
      <c r="N59" s="19">
        <v>0.6</v>
      </c>
      <c r="O59" s="19">
        <v>0.42859999999999998</v>
      </c>
      <c r="P59" s="20">
        <v>65409</v>
      </c>
      <c r="Q59" s="21" t="str">
        <f>HYPERLINK("https://www.sjc.edu/admissions-and-aid/financial-aid/net-price-calculator/", "$16745")</f>
        <v>$16745</v>
      </c>
      <c r="R59" s="22">
        <v>13724</v>
      </c>
      <c r="S59" s="22">
        <v>26548</v>
      </c>
      <c r="T59" s="20">
        <v>1380</v>
      </c>
      <c r="U59" s="20">
        <v>15365</v>
      </c>
      <c r="W59" s="19">
        <v>0.1835</v>
      </c>
      <c r="X59" s="19">
        <v>0.36240000000000011</v>
      </c>
      <c r="Z59" s="23">
        <v>458</v>
      </c>
    </row>
    <row r="60" spans="1:26" ht="15.75" customHeight="1" x14ac:dyDescent="0.2">
      <c r="A60" s="17" t="str">
        <f>HYPERLINK("https://www.sjc.edu", "St. John's College")</f>
        <v>St. John's College</v>
      </c>
      <c r="B60" s="18" t="s">
        <v>32</v>
      </c>
      <c r="C60" s="18" t="s">
        <v>234</v>
      </c>
      <c r="D60" s="18" t="s">
        <v>253</v>
      </c>
      <c r="E60" s="18">
        <v>1283</v>
      </c>
      <c r="F60" s="18" t="s">
        <v>115</v>
      </c>
      <c r="J60" s="19">
        <v>0.65059999999999996</v>
      </c>
      <c r="K60" s="19">
        <v>0.48717948700000002</v>
      </c>
      <c r="L60" s="19">
        <v>0.65310000000000001</v>
      </c>
      <c r="M60" s="19">
        <v>0</v>
      </c>
      <c r="N60" s="19">
        <v>0.5</v>
      </c>
      <c r="O60" s="19">
        <v>0.83330000000000004</v>
      </c>
      <c r="P60" s="20">
        <v>65456</v>
      </c>
      <c r="Q60" s="21" t="str">
        <f>HYPERLINK("https://www.sjc.edu/admissions-and-aid/financial-aid/net-price-calculator/", "$18701")</f>
        <v>$18701</v>
      </c>
      <c r="R60" s="22">
        <v>15683</v>
      </c>
      <c r="S60" s="22">
        <v>18228</v>
      </c>
      <c r="T60" s="20">
        <v>1650</v>
      </c>
      <c r="U60" s="20">
        <v>17051</v>
      </c>
      <c r="W60" s="19">
        <v>0.31900000000000001</v>
      </c>
      <c r="X60" s="19">
        <v>0.44719999999999999</v>
      </c>
      <c r="Z60" s="23">
        <v>322</v>
      </c>
    </row>
    <row r="61" spans="1:26" ht="15.75" customHeight="1" x14ac:dyDescent="0.2">
      <c r="A61" s="17" t="str">
        <f>HYPERLINK("https://www.smcm.edu", "St Mary's College of Maryland")</f>
        <v>St Mary's College of Maryland</v>
      </c>
      <c r="B61" s="18" t="s">
        <v>49</v>
      </c>
      <c r="C61" s="18" t="s">
        <v>124</v>
      </c>
      <c r="D61" s="18" t="s">
        <v>254</v>
      </c>
      <c r="E61" s="18">
        <v>1190</v>
      </c>
      <c r="F61" s="18" t="s">
        <v>35</v>
      </c>
      <c r="J61" s="19">
        <v>0.78249999999999997</v>
      </c>
      <c r="K61" s="19">
        <v>0.54347826099999996</v>
      </c>
      <c r="L61" s="19">
        <v>0.81159999999999999</v>
      </c>
      <c r="M61" s="19">
        <v>0.54759999999999998</v>
      </c>
      <c r="N61" s="19">
        <v>0.8125</v>
      </c>
      <c r="O61" s="19">
        <v>0.81820000000000004</v>
      </c>
      <c r="P61" s="20">
        <v>45130</v>
      </c>
      <c r="Q61" s="21" t="str">
        <f>HYPERLINK("https://www.smcm.edu/financialaid/npcalc.htm", "$26623")</f>
        <v>$26623</v>
      </c>
      <c r="R61" s="22">
        <v>33045</v>
      </c>
      <c r="S61" s="22">
        <v>35402</v>
      </c>
      <c r="T61" s="20">
        <v>2366</v>
      </c>
      <c r="U61" s="20">
        <v>24257.333333333328</v>
      </c>
      <c r="W61" s="19">
        <v>0.19589999999999999</v>
      </c>
      <c r="X61" s="19">
        <v>0.29270000000000002</v>
      </c>
      <c r="Z61" s="23">
        <v>1544</v>
      </c>
    </row>
    <row r="62" spans="1:26" ht="15.75" customHeight="1" x14ac:dyDescent="0.2">
      <c r="A62" s="17" t="str">
        <f>HYPERLINK("https://www.stevens.edu", "Stevens Institute of Technology")</f>
        <v>Stevens Institute of Technology</v>
      </c>
      <c r="B62" s="18" t="s">
        <v>32</v>
      </c>
      <c r="C62" s="18" t="s">
        <v>141</v>
      </c>
      <c r="D62" s="18" t="s">
        <v>255</v>
      </c>
      <c r="E62" s="18">
        <v>1410</v>
      </c>
      <c r="F62" s="18" t="s">
        <v>115</v>
      </c>
      <c r="J62" s="19">
        <v>0.83009999999999995</v>
      </c>
      <c r="K62" s="19">
        <v>0.80459770099999994</v>
      </c>
      <c r="L62" s="19">
        <v>0.83609999999999995</v>
      </c>
      <c r="M62" s="19">
        <v>1</v>
      </c>
      <c r="N62" s="19">
        <v>0.78259999999999996</v>
      </c>
      <c r="O62" s="19">
        <v>0.91839999999999999</v>
      </c>
      <c r="P62" s="20">
        <v>67204</v>
      </c>
      <c r="Q62" s="21" t="str">
        <f>HYPERLINK("https://stevens.studentaidcalculator.com/survey.aspx", "$26145")</f>
        <v>$26145</v>
      </c>
      <c r="R62" s="22">
        <v>29852</v>
      </c>
      <c r="S62" s="22">
        <v>34359</v>
      </c>
      <c r="T62" s="20">
        <v>2250</v>
      </c>
      <c r="U62" s="20">
        <v>23895</v>
      </c>
      <c r="W62" s="19">
        <v>0.15570000000000001</v>
      </c>
      <c r="X62" s="19">
        <v>0.32819999999999999</v>
      </c>
      <c r="Z62" s="23">
        <v>3114</v>
      </c>
    </row>
    <row r="63" spans="1:26" ht="15.75" customHeight="1" x14ac:dyDescent="0.2">
      <c r="A63" s="17" t="str">
        <f>HYPERLINK("https://www.stonybrook.edu", "SUNY Stony Brook University")</f>
        <v>SUNY Stony Brook University</v>
      </c>
      <c r="B63" s="18" t="s">
        <v>49</v>
      </c>
      <c r="C63" s="18" t="s">
        <v>38</v>
      </c>
      <c r="D63" s="18" t="s">
        <v>256</v>
      </c>
      <c r="E63" s="18">
        <v>1322</v>
      </c>
      <c r="F63" s="18" t="s">
        <v>35</v>
      </c>
      <c r="G63" s="18" t="s">
        <v>51</v>
      </c>
      <c r="H63" s="18" t="s">
        <v>257</v>
      </c>
      <c r="I63" s="18" t="s">
        <v>258</v>
      </c>
      <c r="J63" s="19">
        <v>0.71809999999999996</v>
      </c>
      <c r="K63" s="19">
        <v>0.64362519200000001</v>
      </c>
      <c r="L63" s="19">
        <v>0.68610000000000004</v>
      </c>
      <c r="M63" s="19">
        <v>0.68659999999999999</v>
      </c>
      <c r="N63" s="19">
        <v>0.62929999999999997</v>
      </c>
      <c r="O63" s="19">
        <v>0.78259999999999996</v>
      </c>
      <c r="P63" s="20">
        <v>25471</v>
      </c>
      <c r="Q63" s="21" t="str">
        <f>HYPERLINK("https://www.stonybrook.edu/commcms/finaid/finaidbasics/net_price_calc.html", "$9919")</f>
        <v>$9919</v>
      </c>
      <c r="R63" s="22">
        <v>16916</v>
      </c>
      <c r="S63" s="22">
        <v>20369</v>
      </c>
      <c r="T63" s="20">
        <v>2768</v>
      </c>
      <c r="U63" s="20">
        <v>7151</v>
      </c>
      <c r="W63" s="19">
        <v>0.32029999999999997</v>
      </c>
      <c r="X63" s="19">
        <v>0.66539999999999999</v>
      </c>
      <c r="Z63" s="23">
        <v>17215</v>
      </c>
    </row>
    <row r="64" spans="1:26" ht="15.75" customHeight="1" x14ac:dyDescent="0.2">
      <c r="A64" s="17" t="str">
        <f>HYPERLINK("https://www.syracuse.edu", "Syracuse University")</f>
        <v>Syracuse University</v>
      </c>
      <c r="B64" s="18" t="s">
        <v>32</v>
      </c>
      <c r="C64" s="18" t="s">
        <v>38</v>
      </c>
      <c r="D64" s="18" t="s">
        <v>242</v>
      </c>
      <c r="E64" s="18">
        <v>1277</v>
      </c>
      <c r="F64" s="18" t="s">
        <v>35</v>
      </c>
      <c r="G64" s="18" t="s">
        <v>40</v>
      </c>
      <c r="H64" s="18" t="s">
        <v>259</v>
      </c>
      <c r="I64" s="18" t="s">
        <v>260</v>
      </c>
      <c r="J64" s="19">
        <v>0.82720000000000005</v>
      </c>
      <c r="K64" s="19">
        <v>0.68310911799999996</v>
      </c>
      <c r="L64" s="19">
        <v>0.85389999999999999</v>
      </c>
      <c r="M64" s="19">
        <v>0.81969999999999998</v>
      </c>
      <c r="N64" s="19">
        <v>0.78890000000000005</v>
      </c>
      <c r="O64" s="19">
        <v>0.81820000000000004</v>
      </c>
      <c r="P64" s="20">
        <v>65480</v>
      </c>
      <c r="Q64" s="21" t="str">
        <f>HYPERLINK("https://www.syracuse.edu/admissions/cost-and-aid/cost-of-attendance/undergraduate/net-price-calculator/", "$20916")</f>
        <v>$20916</v>
      </c>
      <c r="R64" s="22">
        <v>26730</v>
      </c>
      <c r="S64" s="22">
        <v>30860</v>
      </c>
      <c r="T64" s="20">
        <v>3167</v>
      </c>
      <c r="U64" s="20">
        <v>17749</v>
      </c>
      <c r="W64" s="19">
        <v>0.2137</v>
      </c>
      <c r="X64" s="19">
        <v>0.43080000000000002</v>
      </c>
      <c r="Y64" s="18" t="s">
        <v>37</v>
      </c>
      <c r="Z64" s="23">
        <v>14788</v>
      </c>
    </row>
    <row r="65" spans="1:26" ht="15.75" customHeight="1" x14ac:dyDescent="0.2">
      <c r="A65" s="17" t="str">
        <f>HYPERLINK("https://www.tamu.edu", "Texas A &amp; M University-College Station")</f>
        <v>Texas A &amp; M University-College Station</v>
      </c>
      <c r="B65" s="18" t="s">
        <v>49</v>
      </c>
      <c r="C65" s="18" t="s">
        <v>146</v>
      </c>
      <c r="D65" s="18" t="s">
        <v>261</v>
      </c>
      <c r="E65" s="18">
        <v>1277</v>
      </c>
      <c r="F65" s="18" t="s">
        <v>35</v>
      </c>
      <c r="J65" s="19">
        <v>0.82099999999999995</v>
      </c>
      <c r="K65" s="19">
        <v>0.68216630200000006</v>
      </c>
      <c r="L65" s="19">
        <v>0.84309999999999996</v>
      </c>
      <c r="M65" s="19">
        <v>0.68069999999999997</v>
      </c>
      <c r="N65" s="19">
        <v>0.77139999999999997</v>
      </c>
      <c r="O65" s="19">
        <v>0.83330000000000004</v>
      </c>
      <c r="P65" s="20">
        <v>53848</v>
      </c>
      <c r="Q65" s="21" t="str">
        <f>HYPERLINK("https://www.collegeforalltexans.com/apps/CollegeMoney/", "$38942")</f>
        <v>$38942</v>
      </c>
      <c r="R65" s="22">
        <v>46119</v>
      </c>
      <c r="S65" s="22">
        <v>51661</v>
      </c>
      <c r="T65" s="20">
        <v>6874</v>
      </c>
      <c r="U65" s="20">
        <v>32068.415236787921</v>
      </c>
      <c r="W65" s="19">
        <v>0.20730000000000001</v>
      </c>
      <c r="X65" s="19">
        <v>0.38030000000000003</v>
      </c>
      <c r="Z65" s="23">
        <v>52568</v>
      </c>
    </row>
    <row r="66" spans="1:26" ht="15.75" customHeight="1" x14ac:dyDescent="0.2">
      <c r="A66" s="17" t="str">
        <f>HYPERLINK("https://www.tcu.edu/", "Texas Christian University")</f>
        <v>Texas Christian University</v>
      </c>
      <c r="B66" s="18" t="s">
        <v>32</v>
      </c>
      <c r="C66" s="18" t="s">
        <v>146</v>
      </c>
      <c r="D66" s="18" t="s">
        <v>262</v>
      </c>
      <c r="E66" s="18">
        <v>1285</v>
      </c>
      <c r="F66" s="18" t="s">
        <v>35</v>
      </c>
      <c r="J66" s="19">
        <v>0.82620000000000005</v>
      </c>
      <c r="K66" s="19">
        <v>0.58610271899999999</v>
      </c>
      <c r="L66" s="19">
        <v>0.83689999999999998</v>
      </c>
      <c r="M66" s="19">
        <v>0.65629999999999999</v>
      </c>
      <c r="N66" s="19">
        <v>0.8155</v>
      </c>
      <c r="O66" s="19">
        <v>0.88680000000000003</v>
      </c>
      <c r="P66" s="20">
        <v>62970</v>
      </c>
      <c r="Q66" s="21" t="str">
        <f>HYPERLINK("https://www.financialaid.tcu.edu/npc.asp", "$24383")</f>
        <v>$24383</v>
      </c>
      <c r="R66" s="22">
        <v>29552</v>
      </c>
      <c r="S66" s="22">
        <v>34455</v>
      </c>
      <c r="T66" s="20">
        <v>5850</v>
      </c>
      <c r="U66" s="20">
        <v>18533</v>
      </c>
      <c r="W66" s="19">
        <v>0.1263</v>
      </c>
      <c r="X66" s="19">
        <v>0.29320000000000002</v>
      </c>
      <c r="Z66" s="23">
        <v>8983</v>
      </c>
    </row>
    <row r="67" spans="1:26" ht="15.75" customHeight="1" x14ac:dyDescent="0.2">
      <c r="A67" s="17" t="str">
        <f>HYPERLINK("https://www.tcnj.edu", "The College of New Jersey")</f>
        <v>The College of New Jersey</v>
      </c>
      <c r="B67" s="18" t="s">
        <v>49</v>
      </c>
      <c r="C67" s="18" t="s">
        <v>141</v>
      </c>
      <c r="D67" s="18" t="s">
        <v>263</v>
      </c>
      <c r="E67" s="18">
        <v>1250</v>
      </c>
      <c r="F67" s="18" t="s">
        <v>35</v>
      </c>
      <c r="J67" s="19">
        <v>0.86580000000000001</v>
      </c>
      <c r="K67" s="19">
        <v>0.72</v>
      </c>
      <c r="L67" s="19">
        <v>0.88109999999999999</v>
      </c>
      <c r="M67" s="19">
        <v>0.75380000000000003</v>
      </c>
      <c r="N67" s="19">
        <v>0.83230000000000004</v>
      </c>
      <c r="O67" s="19">
        <v>0.85350000000000004</v>
      </c>
      <c r="P67" s="20">
        <v>45897</v>
      </c>
      <c r="Q67" s="21" t="str">
        <f>HYPERLINK("https://netprice.tcnj.edu/npcalc.htm", "$26855")</f>
        <v>$26855</v>
      </c>
      <c r="R67" s="22">
        <v>36367</v>
      </c>
      <c r="S67" s="22">
        <v>43071</v>
      </c>
      <c r="T67" s="20">
        <v>5118</v>
      </c>
      <c r="U67" s="20">
        <v>21737.301675977651</v>
      </c>
      <c r="W67" s="19">
        <v>0.1668</v>
      </c>
      <c r="X67" s="19">
        <v>0.34449999999999997</v>
      </c>
      <c r="Z67" s="23">
        <v>6850</v>
      </c>
    </row>
    <row r="68" spans="1:26" ht="15.75" customHeight="1" x14ac:dyDescent="0.2">
      <c r="A68" s="17" t="str">
        <f>HYPERLINK("https://www.utexas.edu", "The University of Texas at Austin")</f>
        <v>The University of Texas at Austin</v>
      </c>
      <c r="B68" s="18" t="s">
        <v>49</v>
      </c>
      <c r="C68" s="18" t="s">
        <v>146</v>
      </c>
      <c r="D68" s="18" t="s">
        <v>264</v>
      </c>
      <c r="E68" s="18">
        <v>1359</v>
      </c>
      <c r="F68" s="18" t="s">
        <v>35</v>
      </c>
      <c r="J68" s="19">
        <v>0.82850000000000001</v>
      </c>
      <c r="K68" s="19">
        <v>0.69695405300000002</v>
      </c>
      <c r="L68" s="19">
        <v>0.85970000000000002</v>
      </c>
      <c r="M68" s="19">
        <v>0.70789999999999997</v>
      </c>
      <c r="N68" s="19">
        <v>0.74550000000000005</v>
      </c>
      <c r="O68" s="19">
        <v>0.875</v>
      </c>
      <c r="P68" s="20">
        <v>51786</v>
      </c>
      <c r="Q68" s="21" t="str">
        <f>HYPERLINK("https://www.collegeforalltexans.com/apps/CollegeMoney/index.php", "$38684")</f>
        <v>$38684</v>
      </c>
      <c r="R68" s="22">
        <v>43166</v>
      </c>
      <c r="S68" s="22">
        <v>47709</v>
      </c>
      <c r="T68" s="20">
        <v>4972</v>
      </c>
      <c r="U68" s="20">
        <v>33712.344198174709</v>
      </c>
      <c r="W68" s="19">
        <v>0.2356</v>
      </c>
      <c r="X68" s="19">
        <v>0.58509999999999995</v>
      </c>
      <c r="Z68" s="23">
        <v>39965</v>
      </c>
    </row>
    <row r="69" spans="1:26" ht="15.75" customHeight="1" x14ac:dyDescent="0.2">
      <c r="A69" s="17" t="str">
        <f>HYPERLINK("https://www.utdallas.edu", "The University of Texas at Dallas")</f>
        <v>The University of Texas at Dallas</v>
      </c>
      <c r="B69" s="18" t="s">
        <v>49</v>
      </c>
      <c r="C69" s="18" t="s">
        <v>146</v>
      </c>
      <c r="D69" s="18" t="s">
        <v>265</v>
      </c>
      <c r="E69" s="18">
        <v>1340</v>
      </c>
      <c r="F69" s="18" t="s">
        <v>35</v>
      </c>
      <c r="J69" s="19">
        <v>0.69169999999999998</v>
      </c>
      <c r="K69" s="19">
        <v>0.62005277000000003</v>
      </c>
      <c r="L69" s="19">
        <v>0.68289999999999995</v>
      </c>
      <c r="M69" s="19">
        <v>0.56059999999999999</v>
      </c>
      <c r="N69" s="19">
        <v>0.56299999999999994</v>
      </c>
      <c r="O69" s="19">
        <v>0.77149999999999996</v>
      </c>
      <c r="P69" s="20">
        <v>45488</v>
      </c>
      <c r="Q69" s="21" t="str">
        <f>HYPERLINK("https://www.collegeforalltexans.com/apps/CollegeMoney/", "$31611")</f>
        <v>$31611</v>
      </c>
      <c r="R69" s="22">
        <v>35187</v>
      </c>
      <c r="S69" s="22">
        <v>40553</v>
      </c>
      <c r="T69" s="20">
        <v>4720</v>
      </c>
      <c r="U69" s="20">
        <v>26891.296296296299</v>
      </c>
      <c r="W69" s="19">
        <v>0.33460000000000001</v>
      </c>
      <c r="X69" s="19">
        <v>0.65769999999999995</v>
      </c>
      <c r="Z69" s="23">
        <v>18375</v>
      </c>
    </row>
    <row r="70" spans="1:26" ht="15.75" customHeight="1" x14ac:dyDescent="0.2">
      <c r="A70" s="17" t="str">
        <f>HYPERLINK("https://www.sewanee.edu", "Sewanee-The University of the South")</f>
        <v>Sewanee-The University of the South</v>
      </c>
      <c r="B70" s="18" t="s">
        <v>32</v>
      </c>
      <c r="C70" s="18" t="s">
        <v>174</v>
      </c>
      <c r="D70" s="18" t="s">
        <v>266</v>
      </c>
      <c r="E70" s="18" t="s">
        <v>36</v>
      </c>
      <c r="F70" s="18" t="s">
        <v>90</v>
      </c>
      <c r="J70" s="19">
        <v>0.77310000000000001</v>
      </c>
      <c r="K70" s="19">
        <v>0.56818181800000001</v>
      </c>
      <c r="L70" s="19">
        <v>0.77680000000000005</v>
      </c>
      <c r="M70" s="19">
        <v>0.75</v>
      </c>
      <c r="N70" s="19">
        <v>0.68179999999999996</v>
      </c>
      <c r="O70" s="19">
        <v>1</v>
      </c>
      <c r="P70" s="20">
        <v>60950</v>
      </c>
      <c r="Q70" s="21" t="str">
        <f>HYPERLINK("https://www.collegecostcalculator.org/sewaneetheuniversityofthesouth", "$14820")</f>
        <v>$14820</v>
      </c>
      <c r="R70" s="22">
        <v>20343</v>
      </c>
      <c r="S70" s="22">
        <v>28819</v>
      </c>
      <c r="T70" s="20">
        <v>2950</v>
      </c>
      <c r="U70" s="20">
        <v>11870</v>
      </c>
      <c r="W70" s="19">
        <v>0.16869999999999999</v>
      </c>
      <c r="X70" s="19">
        <v>0.18179999999999999</v>
      </c>
      <c r="Z70" s="23">
        <v>1683</v>
      </c>
    </row>
    <row r="71" spans="1:26" ht="15.75" customHeight="1" x14ac:dyDescent="0.2">
      <c r="A71" s="17" t="str">
        <f>HYPERLINK("https://www.trincoll.edu", "Trinity College")</f>
        <v>Trinity College</v>
      </c>
      <c r="B71" s="18" t="s">
        <v>32</v>
      </c>
      <c r="C71" s="18" t="s">
        <v>94</v>
      </c>
      <c r="D71" s="18" t="s">
        <v>267</v>
      </c>
      <c r="E71" s="18">
        <v>1370</v>
      </c>
      <c r="F71" s="18" t="s">
        <v>115</v>
      </c>
      <c r="J71" s="19">
        <v>0.81020000000000003</v>
      </c>
      <c r="K71" s="19" t="s">
        <v>36</v>
      </c>
      <c r="L71" s="19">
        <v>0.81069999999999998</v>
      </c>
      <c r="M71" s="19">
        <v>0.8286</v>
      </c>
      <c r="N71" s="19">
        <v>0.78720000000000001</v>
      </c>
      <c r="O71" s="19">
        <v>0.82609999999999995</v>
      </c>
      <c r="P71" s="20">
        <v>71470</v>
      </c>
      <c r="Q71" s="21" t="str">
        <f>HYPERLINK("https://trincoll.studentaidcalculator.com/", "$10082")</f>
        <v>$10082</v>
      </c>
      <c r="R71" s="22">
        <v>11196</v>
      </c>
      <c r="S71" s="22">
        <v>25471</v>
      </c>
      <c r="T71" s="20">
        <v>2500</v>
      </c>
      <c r="U71" s="20">
        <v>7582</v>
      </c>
      <c r="V71" s="18" t="s">
        <v>37</v>
      </c>
      <c r="W71" s="19">
        <v>0.12970000000000001</v>
      </c>
      <c r="X71" s="19">
        <v>0.34960000000000002</v>
      </c>
      <c r="Y71" s="18" t="s">
        <v>37</v>
      </c>
      <c r="Z71" s="23">
        <v>2174</v>
      </c>
    </row>
    <row r="72" spans="1:26" ht="15.75" customHeight="1" x14ac:dyDescent="0.2">
      <c r="A72" s="17" t="str">
        <f>HYPERLINK("https://new.trinity.edu/", "Trinity University")</f>
        <v>Trinity University</v>
      </c>
      <c r="B72" s="18" t="s">
        <v>32</v>
      </c>
      <c r="C72" s="18" t="s">
        <v>146</v>
      </c>
      <c r="D72" s="18" t="s">
        <v>268</v>
      </c>
      <c r="E72" s="18">
        <v>1353</v>
      </c>
      <c r="F72" s="18" t="s">
        <v>35</v>
      </c>
      <c r="J72" s="19">
        <v>0.79720000000000002</v>
      </c>
      <c r="K72" s="19">
        <v>0.8</v>
      </c>
      <c r="L72" s="19">
        <v>0.79949999999999999</v>
      </c>
      <c r="M72" s="19">
        <v>0.63160000000000005</v>
      </c>
      <c r="N72" s="19">
        <v>0.80410000000000004</v>
      </c>
      <c r="O72" s="19">
        <v>0.71150000000000002</v>
      </c>
      <c r="P72" s="20">
        <v>56880</v>
      </c>
      <c r="Q72" s="21" t="str">
        <f>HYPERLINK("https://new.trinity.edu/admissions-aid/net-price-calculator", "$12693")</f>
        <v>$12693</v>
      </c>
      <c r="R72" s="22">
        <v>17578</v>
      </c>
      <c r="S72" s="22">
        <v>24537</v>
      </c>
      <c r="T72" s="20">
        <v>2400</v>
      </c>
      <c r="U72" s="20">
        <v>10293</v>
      </c>
      <c r="W72" s="19">
        <v>0.1593</v>
      </c>
      <c r="X72" s="19">
        <v>0.44169999999999998</v>
      </c>
      <c r="Y72" s="18" t="s">
        <v>37</v>
      </c>
      <c r="Z72" s="23">
        <v>2393</v>
      </c>
    </row>
    <row r="73" spans="1:26" ht="15.75" customHeight="1" x14ac:dyDescent="0.2">
      <c r="A73" s="17" t="str">
        <f>HYPERLINK("https://www.truman.edu", "Truman State University")</f>
        <v>Truman State University</v>
      </c>
      <c r="B73" s="18" t="s">
        <v>49</v>
      </c>
      <c r="C73" s="18" t="s">
        <v>164</v>
      </c>
      <c r="D73" s="18" t="s">
        <v>269</v>
      </c>
      <c r="E73" s="18">
        <v>1291</v>
      </c>
      <c r="F73" s="18" t="s">
        <v>35</v>
      </c>
      <c r="J73" s="19">
        <v>0.74890000000000001</v>
      </c>
      <c r="K73" s="19">
        <v>0.56578947400000001</v>
      </c>
      <c r="L73" s="19">
        <v>0.7609999999999999</v>
      </c>
      <c r="M73" s="19">
        <v>0.74070000000000003</v>
      </c>
      <c r="N73" s="19">
        <v>0.63639999999999997</v>
      </c>
      <c r="O73" s="19">
        <v>0.81820000000000004</v>
      </c>
      <c r="P73" s="20">
        <v>27878</v>
      </c>
      <c r="Q73" s="21" t="str">
        <f>HYPERLINK("https://netprice.truman.edu", "$15552")</f>
        <v>$15552</v>
      </c>
      <c r="R73" s="22">
        <v>19474</v>
      </c>
      <c r="S73" s="22">
        <v>21987</v>
      </c>
      <c r="T73" s="20">
        <v>4800</v>
      </c>
      <c r="U73" s="20">
        <v>10752.76331360947</v>
      </c>
      <c r="W73" s="19">
        <v>0.18659999999999999</v>
      </c>
      <c r="X73" s="19">
        <v>0.2114</v>
      </c>
      <c r="Z73" s="23">
        <v>5241</v>
      </c>
    </row>
    <row r="74" spans="1:26" ht="15.75" customHeight="1" x14ac:dyDescent="0.2">
      <c r="A74" s="17" t="str">
        <f>HYPERLINK("https://www.union.edu/", "Union College")</f>
        <v>Union College</v>
      </c>
      <c r="B74" s="18" t="s">
        <v>32</v>
      </c>
      <c r="C74" s="18" t="s">
        <v>38</v>
      </c>
      <c r="D74" s="18" t="s">
        <v>270</v>
      </c>
      <c r="E74" s="18" t="s">
        <v>36</v>
      </c>
      <c r="F74" s="18" t="s">
        <v>90</v>
      </c>
      <c r="G74" s="18" t="s">
        <v>40</v>
      </c>
      <c r="H74" s="18" t="s">
        <v>271</v>
      </c>
      <c r="I74" s="18" t="s">
        <v>272</v>
      </c>
      <c r="J74" s="19">
        <v>0.85440000000000005</v>
      </c>
      <c r="K74" s="19" t="s">
        <v>36</v>
      </c>
      <c r="L74" s="19">
        <v>0.86539999999999995</v>
      </c>
      <c r="M74" s="19">
        <v>0.66669999999999996</v>
      </c>
      <c r="N74" s="19">
        <v>0.79490000000000005</v>
      </c>
      <c r="O74" s="19">
        <v>0.89190000000000003</v>
      </c>
      <c r="P74" s="20">
        <v>68610</v>
      </c>
      <c r="Q74" s="21" t="str">
        <f>HYPERLINK("https://npc.collegeboard.org/student/app/union", "$14640")</f>
        <v>$14640</v>
      </c>
      <c r="R74" s="22">
        <v>21162</v>
      </c>
      <c r="S74" s="22">
        <v>28250</v>
      </c>
      <c r="T74" s="20">
        <v>2001</v>
      </c>
      <c r="U74" s="20">
        <v>12639</v>
      </c>
      <c r="V74" s="18" t="s">
        <v>37</v>
      </c>
      <c r="W74" s="19">
        <v>0.128</v>
      </c>
      <c r="X74" s="19">
        <v>0.27829999999999999</v>
      </c>
      <c r="Z74" s="23">
        <v>2167</v>
      </c>
    </row>
    <row r="75" spans="1:26" ht="15.75" customHeight="1" x14ac:dyDescent="0.2">
      <c r="A75" s="17" t="str">
        <f>HYPERLINK("https://www.usmma.edu", "United States Merchant Marine Academy")</f>
        <v>United States Merchant Marine Academy</v>
      </c>
      <c r="B75" s="18" t="s">
        <v>49</v>
      </c>
      <c r="C75" s="18" t="s">
        <v>38</v>
      </c>
      <c r="D75" s="18" t="s">
        <v>273</v>
      </c>
      <c r="E75" s="18">
        <v>1269</v>
      </c>
      <c r="F75" s="18" t="s">
        <v>35</v>
      </c>
      <c r="J75" s="19">
        <v>0.80510000000000004</v>
      </c>
      <c r="K75" s="19" t="s">
        <v>36</v>
      </c>
      <c r="L75" s="19">
        <v>0.79</v>
      </c>
      <c r="M75" s="19">
        <v>0.8</v>
      </c>
      <c r="N75" s="19">
        <v>0.95240000000000002</v>
      </c>
      <c r="O75" s="19">
        <v>0.8125</v>
      </c>
      <c r="P75" s="20" t="s">
        <v>36</v>
      </c>
      <c r="Q75" s="21" t="str">
        <f>HYPERLINK("https://www.usmma.edu/admissions/financial-aid/cost-attendance", "$6286")</f>
        <v>$6286</v>
      </c>
      <c r="R75" s="22">
        <v>8429</v>
      </c>
      <c r="S75" s="22">
        <v>8429</v>
      </c>
      <c r="T75" s="20" t="s">
        <v>36</v>
      </c>
      <c r="U75" s="20" t="s">
        <v>36</v>
      </c>
      <c r="W75" s="19">
        <v>7.6300000000000007E-2</v>
      </c>
      <c r="X75" s="19">
        <v>0.25469999999999998</v>
      </c>
      <c r="Z75" s="23">
        <v>954</v>
      </c>
    </row>
    <row r="76" spans="1:26" ht="15.75" customHeight="1" x14ac:dyDescent="0.2">
      <c r="A76" s="17" t="str">
        <f>HYPERLINK("https://www.ucdavis.edu", "University of California-Davis")</f>
        <v>University of California-Davis</v>
      </c>
      <c r="B76" s="18" t="s">
        <v>49</v>
      </c>
      <c r="C76" s="18" t="s">
        <v>68</v>
      </c>
      <c r="D76" s="18" t="s">
        <v>274</v>
      </c>
      <c r="E76" s="18">
        <v>1286</v>
      </c>
      <c r="F76" s="18" t="s">
        <v>35</v>
      </c>
      <c r="J76" s="19">
        <v>0.85189999999999999</v>
      </c>
      <c r="K76" s="19">
        <v>0.72173464099999995</v>
      </c>
      <c r="L76" s="19">
        <v>0.86499999999999999</v>
      </c>
      <c r="M76" s="19">
        <v>0.76</v>
      </c>
      <c r="N76" s="19">
        <v>0.76980000000000004</v>
      </c>
      <c r="O76" s="19">
        <v>0.89249999999999996</v>
      </c>
      <c r="P76" s="20">
        <v>63743</v>
      </c>
      <c r="Q76" s="21" t="str">
        <f>HYPERLINK("https://financialaid.ucdavis.edu/AidEstimator/", "$39941")</f>
        <v>$39941</v>
      </c>
      <c r="R76" s="22">
        <v>43706</v>
      </c>
      <c r="S76" s="22">
        <v>48717</v>
      </c>
      <c r="T76" s="20">
        <v>5174</v>
      </c>
      <c r="U76" s="20">
        <v>34767.247545582053</v>
      </c>
      <c r="W76" s="19">
        <v>0.38500000000000001</v>
      </c>
      <c r="X76" s="19">
        <v>0.74839999999999995</v>
      </c>
      <c r="Z76" s="23">
        <v>30046</v>
      </c>
    </row>
    <row r="77" spans="1:26" ht="15.75" customHeight="1" x14ac:dyDescent="0.2">
      <c r="A77" s="17" t="str">
        <f>HYPERLINK("https://www.ucsb.edu", "University of California-Santa Barbara")</f>
        <v>University of California-Santa Barbara</v>
      </c>
      <c r="B77" s="18" t="s">
        <v>49</v>
      </c>
      <c r="C77" s="18" t="s">
        <v>68</v>
      </c>
      <c r="D77" s="18" t="s">
        <v>275</v>
      </c>
      <c r="E77" s="18">
        <v>1346</v>
      </c>
      <c r="F77" s="18" t="s">
        <v>35</v>
      </c>
      <c r="J77" s="19">
        <v>0.81489999999999996</v>
      </c>
      <c r="K77" s="19">
        <v>0.66267605600000001</v>
      </c>
      <c r="L77" s="19">
        <v>0.84219999999999995</v>
      </c>
      <c r="M77" s="19">
        <v>0.77529999999999999</v>
      </c>
      <c r="N77" s="19">
        <v>0.76790000000000003</v>
      </c>
      <c r="O77" s="19">
        <v>0.83389999999999997</v>
      </c>
      <c r="P77" s="20">
        <v>64125</v>
      </c>
      <c r="Q77" s="21" t="str">
        <f>HYPERLINK("https://www.finaid.ucsb.edu/Prospective/AidEstimator.aspx", "$39884")</f>
        <v>$39884</v>
      </c>
      <c r="R77" s="22">
        <v>43923</v>
      </c>
      <c r="S77" s="22">
        <v>51166</v>
      </c>
      <c r="T77" s="20">
        <v>6491</v>
      </c>
      <c r="U77" s="20">
        <v>33393.396017699117</v>
      </c>
      <c r="W77" s="19">
        <v>0.3649</v>
      </c>
      <c r="X77" s="19">
        <v>0.68049999999999999</v>
      </c>
      <c r="Z77" s="23">
        <v>22181</v>
      </c>
    </row>
    <row r="78" spans="1:26" ht="15.75" customHeight="1" x14ac:dyDescent="0.2">
      <c r="A78" s="17" t="str">
        <f>HYPERLINK("https://uconn.edu/", "University of Connecticut")</f>
        <v>University of Connecticut</v>
      </c>
      <c r="B78" s="18" t="s">
        <v>49</v>
      </c>
      <c r="C78" s="18" t="s">
        <v>94</v>
      </c>
      <c r="D78" s="18" t="s">
        <v>276</v>
      </c>
      <c r="E78" s="18">
        <v>1313</v>
      </c>
      <c r="F78" s="18" t="s">
        <v>35</v>
      </c>
      <c r="J78" s="19">
        <v>0.82850000000000001</v>
      </c>
      <c r="K78" s="19">
        <v>0.63967136200000008</v>
      </c>
      <c r="L78" s="19">
        <v>0.85099999999999998</v>
      </c>
      <c r="M78" s="19">
        <v>0.69420000000000004</v>
      </c>
      <c r="N78" s="19">
        <v>0.77780000000000005</v>
      </c>
      <c r="O78" s="19">
        <v>0.84</v>
      </c>
      <c r="P78" s="20">
        <v>53112</v>
      </c>
      <c r="Q78" s="21" t="str">
        <f>HYPERLINK("https://financialaid.uconn.edu/pricecalc/", "$35143")</f>
        <v>$35143</v>
      </c>
      <c r="R78" s="22">
        <v>41835</v>
      </c>
      <c r="S78" s="22">
        <v>46548</v>
      </c>
      <c r="T78" s="20">
        <v>3650</v>
      </c>
      <c r="U78" s="20">
        <v>31493.823529411758</v>
      </c>
      <c r="W78" s="19">
        <v>0.20849999999999999</v>
      </c>
      <c r="X78" s="19">
        <v>0.41449999999999998</v>
      </c>
      <c r="Z78" s="23">
        <v>18930</v>
      </c>
    </row>
    <row r="79" spans="1:26" ht="15.75" customHeight="1" x14ac:dyDescent="0.2">
      <c r="A79" s="17" t="str">
        <f>HYPERLINK("https://www.ufl.edu/", "University of Florida-Online")</f>
        <v>University of Florida-Online</v>
      </c>
      <c r="B79" s="18" t="s">
        <v>49</v>
      </c>
      <c r="C79" s="18" t="s">
        <v>162</v>
      </c>
      <c r="D79" s="18" t="s">
        <v>277</v>
      </c>
      <c r="E79" s="18">
        <v>1356</v>
      </c>
      <c r="F79" s="18" t="s">
        <v>35</v>
      </c>
      <c r="J79" s="19">
        <v>0.88029999999999997</v>
      </c>
      <c r="K79" s="19">
        <v>0.79632792500000005</v>
      </c>
      <c r="L79" s="19">
        <v>0.89249999999999996</v>
      </c>
      <c r="M79" s="19">
        <v>0.81740000000000002</v>
      </c>
      <c r="N79" s="19">
        <v>0.87609999999999999</v>
      </c>
      <c r="O79" s="19">
        <v>0.88980000000000004</v>
      </c>
      <c r="P79" s="20">
        <v>43409</v>
      </c>
      <c r="Q79" s="21" t="str">
        <f>HYPERLINK("https://npc.collegeboard.org/student/app/ufl", "$28713")</f>
        <v>$28713</v>
      </c>
      <c r="R79" s="22">
        <v>29989</v>
      </c>
      <c r="S79" s="22">
        <v>33620</v>
      </c>
      <c r="T79" s="20">
        <v>4840</v>
      </c>
      <c r="U79" s="20">
        <v>23873.53696498054</v>
      </c>
      <c r="W79" s="19">
        <v>0.26069999999999999</v>
      </c>
      <c r="X79" s="19">
        <v>0.4526</v>
      </c>
      <c r="Z79" s="23">
        <v>33655</v>
      </c>
    </row>
    <row r="80" spans="1:26" ht="15.75" customHeight="1" x14ac:dyDescent="0.2">
      <c r="A80" s="17" t="str">
        <f>HYPERLINK("https://www.ufonline.ufl.edu", "University of Florida")</f>
        <v>University of Florida</v>
      </c>
      <c r="B80" s="18" t="s">
        <v>49</v>
      </c>
      <c r="C80" s="18" t="s">
        <v>162</v>
      </c>
      <c r="D80" s="18" t="s">
        <v>277</v>
      </c>
      <c r="E80" s="18">
        <v>1235</v>
      </c>
      <c r="F80" s="18" t="s">
        <v>35</v>
      </c>
      <c r="J80" s="19" t="s">
        <v>36</v>
      </c>
      <c r="K80" s="19">
        <v>0.79632792500000005</v>
      </c>
      <c r="L80" s="19" t="s">
        <v>36</v>
      </c>
      <c r="M80" s="19" t="s">
        <v>36</v>
      </c>
      <c r="N80" s="19" t="s">
        <v>36</v>
      </c>
      <c r="O80" s="19" t="s">
        <v>36</v>
      </c>
      <c r="P80" s="20">
        <v>30360</v>
      </c>
      <c r="Q80" s="21" t="str">
        <f>HYPERLINK("https://ufonline.ufl.edu/net-price-calculator/", "$20699")</f>
        <v>$20699</v>
      </c>
      <c r="R80" s="22">
        <v>20598</v>
      </c>
      <c r="S80" s="22">
        <v>23604</v>
      </c>
      <c r="T80" s="20">
        <v>3870</v>
      </c>
      <c r="U80" s="20">
        <v>16829.538461538461</v>
      </c>
      <c r="W80" s="19">
        <v>0.31830000000000003</v>
      </c>
      <c r="X80" s="19">
        <v>0.37590000000000001</v>
      </c>
      <c r="Z80" s="23">
        <v>2735</v>
      </c>
    </row>
    <row r="81" spans="1:26" ht="15.75" customHeight="1" x14ac:dyDescent="0.2">
      <c r="A81" s="17" t="str">
        <f>HYPERLINK("https://www.uga.edu", "University of Georgia")</f>
        <v>University of Georgia</v>
      </c>
      <c r="B81" s="18" t="s">
        <v>49</v>
      </c>
      <c r="C81" s="18" t="s">
        <v>107</v>
      </c>
      <c r="D81" s="18" t="s">
        <v>278</v>
      </c>
      <c r="E81" s="18">
        <v>1316</v>
      </c>
      <c r="F81" s="18" t="s">
        <v>35</v>
      </c>
      <c r="J81" s="19">
        <v>0.85270000000000001</v>
      </c>
      <c r="K81" s="19">
        <v>0.66077441100000001</v>
      </c>
      <c r="L81" s="19">
        <v>0.86160000000000003</v>
      </c>
      <c r="M81" s="19">
        <v>0.83260000000000001</v>
      </c>
      <c r="N81" s="19">
        <v>0.83850000000000002</v>
      </c>
      <c r="O81" s="19">
        <v>0.84699999999999998</v>
      </c>
      <c r="P81" s="20">
        <v>44978</v>
      </c>
      <c r="Q81" s="21" t="str">
        <f>HYPERLINK("https://osfa.uga.edu/sites/default/files/npcalc.htm", "$30032")</f>
        <v>$30032</v>
      </c>
      <c r="R81" s="22">
        <v>34159</v>
      </c>
      <c r="S81" s="22">
        <v>36107</v>
      </c>
      <c r="T81" s="20">
        <v>4526</v>
      </c>
      <c r="U81" s="20">
        <v>25506.573264781491</v>
      </c>
      <c r="W81" s="19">
        <v>0.21529999999999999</v>
      </c>
      <c r="X81" s="19">
        <v>0.30709999999999998</v>
      </c>
      <c r="Z81" s="23">
        <v>28740</v>
      </c>
    </row>
    <row r="82" spans="1:26" ht="15.75" customHeight="1" x14ac:dyDescent="0.2">
      <c r="A82" s="17" t="str">
        <f>HYPERLINK("https://www.illinois.edu/", "University of Illinois at Urbana-Champaign")</f>
        <v>University of Illinois at Urbana-Champaign</v>
      </c>
      <c r="B82" s="18" t="s">
        <v>49</v>
      </c>
      <c r="C82" s="18" t="s">
        <v>137</v>
      </c>
      <c r="D82" s="18" t="s">
        <v>279</v>
      </c>
      <c r="E82" s="18">
        <v>1376</v>
      </c>
      <c r="F82" s="18" t="s">
        <v>35</v>
      </c>
      <c r="J82" s="19">
        <v>0.85029999999999994</v>
      </c>
      <c r="K82" s="19">
        <v>0.74782608700000008</v>
      </c>
      <c r="L82" s="19">
        <v>0.87660000000000005</v>
      </c>
      <c r="M82" s="19">
        <v>0.78</v>
      </c>
      <c r="N82" s="19">
        <v>0.76019999999999999</v>
      </c>
      <c r="O82" s="19">
        <v>0.85660000000000003</v>
      </c>
      <c r="P82" s="20">
        <v>46202</v>
      </c>
      <c r="Q82" s="21" t="str">
        <f>HYPERLINK("https://www.osfa.illinois.edu/resources/calculators", "$25609")</f>
        <v>$25609</v>
      </c>
      <c r="R82" s="22">
        <v>33344</v>
      </c>
      <c r="S82" s="22">
        <v>39387</v>
      </c>
      <c r="T82" s="20">
        <v>3700</v>
      </c>
      <c r="U82" s="20">
        <v>21909.426229508201</v>
      </c>
      <c r="W82" s="19">
        <v>0.21249999999999999</v>
      </c>
      <c r="X82" s="19">
        <v>0.54899999999999993</v>
      </c>
      <c r="Z82" s="23">
        <v>32884</v>
      </c>
    </row>
    <row r="83" spans="1:26" ht="15.75" customHeight="1" x14ac:dyDescent="0.2">
      <c r="A83" s="17" t="str">
        <f>HYPERLINK("https://www.umd.edu", "University of Maryland-College Park")</f>
        <v>University of Maryland-College Park</v>
      </c>
      <c r="B83" s="18" t="s">
        <v>49</v>
      </c>
      <c r="C83" s="18" t="s">
        <v>124</v>
      </c>
      <c r="D83" s="18" t="s">
        <v>280</v>
      </c>
      <c r="E83" s="18">
        <v>1396</v>
      </c>
      <c r="F83" s="18" t="s">
        <v>35</v>
      </c>
      <c r="J83" s="19">
        <v>0.85289999999999999</v>
      </c>
      <c r="K83" s="19">
        <v>0.65678776299999997</v>
      </c>
      <c r="L83" s="19">
        <v>0.85770000000000002</v>
      </c>
      <c r="M83" s="19">
        <v>0.79510000000000003</v>
      </c>
      <c r="N83" s="19">
        <v>0.84960000000000002</v>
      </c>
      <c r="O83" s="19">
        <v>0.90439999999999998</v>
      </c>
      <c r="P83" s="20">
        <v>49698</v>
      </c>
      <c r="Q83" s="21" t="str">
        <f>HYPERLINK("https://www.financialaid.umd.edu/NetPriceCalculator/index.html", "$33931")</f>
        <v>$33931</v>
      </c>
      <c r="R83" s="22">
        <v>41268</v>
      </c>
      <c r="S83" s="22">
        <v>46386</v>
      </c>
      <c r="T83" s="20">
        <v>3690</v>
      </c>
      <c r="U83" s="20">
        <v>30241.494845360819</v>
      </c>
      <c r="W83" s="19">
        <v>0.18629999999999999</v>
      </c>
      <c r="X83" s="19">
        <v>0.49609999999999999</v>
      </c>
      <c r="Z83" s="23">
        <v>29273</v>
      </c>
    </row>
    <row r="84" spans="1:26" ht="15.75" customHeight="1" x14ac:dyDescent="0.2">
      <c r="A84" s="17" t="str">
        <f>HYPERLINK("https://www.umich.edu", "University of Michigan-Ann Arbor")</f>
        <v>University of Michigan-Ann Arbor</v>
      </c>
      <c r="B84" s="18" t="s">
        <v>49</v>
      </c>
      <c r="C84" s="18" t="s">
        <v>226</v>
      </c>
      <c r="D84" s="18" t="s">
        <v>282</v>
      </c>
      <c r="E84" s="18">
        <v>1436</v>
      </c>
      <c r="F84" s="18" t="s">
        <v>35</v>
      </c>
      <c r="J84" s="19">
        <v>0.91590000000000005</v>
      </c>
      <c r="K84" s="19">
        <v>0.70327102799999996</v>
      </c>
      <c r="L84" s="19">
        <v>0.92420000000000002</v>
      </c>
      <c r="M84" s="19">
        <v>0.84250000000000003</v>
      </c>
      <c r="N84" s="19">
        <v>0.87170000000000003</v>
      </c>
      <c r="O84" s="19">
        <v>0.93679999999999997</v>
      </c>
      <c r="P84" s="20">
        <v>62176</v>
      </c>
      <c r="Q84" s="21" t="str">
        <f>HYPERLINK("https://npc.collegeboard.org/student/app/umich", "$37641")</f>
        <v>$37641</v>
      </c>
      <c r="R84" s="22">
        <v>43419</v>
      </c>
      <c r="S84" s="22">
        <v>51229</v>
      </c>
      <c r="T84" s="20">
        <v>3502</v>
      </c>
      <c r="U84" s="20">
        <v>34139.251473477401</v>
      </c>
      <c r="W84" s="19">
        <v>0.1535</v>
      </c>
      <c r="X84" s="19">
        <v>0.39489999999999997</v>
      </c>
      <c r="Z84" s="23">
        <v>29550</v>
      </c>
    </row>
    <row r="85" spans="1:26" ht="15.75" customHeight="1" x14ac:dyDescent="0.2">
      <c r="A85" s="17" t="str">
        <f>HYPERLINK("https://r.umn.edu", "University of Minnesota-Rochester")</f>
        <v>University of Minnesota-Rochester</v>
      </c>
      <c r="B85" s="18" t="s">
        <v>49</v>
      </c>
      <c r="C85" s="18" t="s">
        <v>72</v>
      </c>
      <c r="D85" s="18" t="s">
        <v>170</v>
      </c>
      <c r="E85" s="18">
        <v>1186</v>
      </c>
      <c r="F85" s="18" t="s">
        <v>35</v>
      </c>
      <c r="J85" s="19">
        <v>0.61260000000000003</v>
      </c>
      <c r="K85" s="19">
        <v>0.61793260999999999</v>
      </c>
      <c r="L85" s="19">
        <v>0.64200000000000002</v>
      </c>
      <c r="M85" s="19">
        <v>0.7</v>
      </c>
      <c r="N85" s="19">
        <v>0.33329999999999999</v>
      </c>
      <c r="O85" s="19">
        <v>0.28570000000000001</v>
      </c>
      <c r="P85" s="20">
        <v>25940</v>
      </c>
      <c r="Q85" s="33" t="str">
        <f>HYPERLINK("https://npc.collegeboard.org/student/app/tcumn", "$6273")</f>
        <v>$6273</v>
      </c>
      <c r="R85" s="22">
        <v>12103</v>
      </c>
      <c r="S85" s="22">
        <v>20703</v>
      </c>
      <c r="T85" s="20">
        <v>3200</v>
      </c>
      <c r="U85" s="20">
        <v>3073.6956521739121</v>
      </c>
      <c r="W85" s="19">
        <v>0.33100000000000002</v>
      </c>
      <c r="X85" s="19">
        <v>0.29630000000000001</v>
      </c>
      <c r="Z85" s="18">
        <v>459</v>
      </c>
    </row>
    <row r="86" spans="1:26" ht="15.75" customHeight="1" x14ac:dyDescent="0.2">
      <c r="A86" s="17" t="str">
        <f>HYPERLINK("https://twin-cities.umn.edu", "University of Minnesota-Twin Cities")</f>
        <v>University of Minnesota-Twin Cities</v>
      </c>
      <c r="B86" s="18" t="s">
        <v>49</v>
      </c>
      <c r="C86" s="18" t="s">
        <v>72</v>
      </c>
      <c r="D86" s="18" t="s">
        <v>283</v>
      </c>
      <c r="E86" s="18">
        <v>1349</v>
      </c>
      <c r="F86" s="18" t="s">
        <v>35</v>
      </c>
      <c r="J86" s="19">
        <v>0.80099999999999993</v>
      </c>
      <c r="K86" s="19">
        <v>0.61793260999999999</v>
      </c>
      <c r="L86" s="19">
        <v>0.81220000000000003</v>
      </c>
      <c r="M86" s="19">
        <v>0.71609999999999996</v>
      </c>
      <c r="N86" s="19">
        <v>0.755</v>
      </c>
      <c r="O86" s="19">
        <v>0.73009999999999997</v>
      </c>
      <c r="P86" s="20">
        <v>39655</v>
      </c>
      <c r="Q86" s="33" t="str">
        <f>HYPERLINK("https://npc.collegeboard.org/student/app/tcumn", "$21858")</f>
        <v>$21858</v>
      </c>
      <c r="R86" s="22">
        <v>26430</v>
      </c>
      <c r="S86" s="22">
        <v>33523</v>
      </c>
      <c r="T86" s="20">
        <v>3200</v>
      </c>
      <c r="U86" s="20">
        <v>18658.127659574471</v>
      </c>
      <c r="W86" s="19">
        <v>0.189</v>
      </c>
      <c r="X86" s="19">
        <v>0.32300000000000001</v>
      </c>
      <c r="Z86" s="18">
        <v>31535</v>
      </c>
    </row>
    <row r="87" spans="1:26" ht="15.75" customHeight="1" x14ac:dyDescent="0.2">
      <c r="A87" s="17" t="str">
        <f>HYPERLINK("https://www.pitt.edu", "University of Pittsburgh-Pittsburgh Campus")</f>
        <v>University of Pittsburgh-Pittsburgh Campus</v>
      </c>
      <c r="B87" s="18" t="s">
        <v>49</v>
      </c>
      <c r="C87" s="18" t="s">
        <v>65</v>
      </c>
      <c r="D87" s="18" t="s">
        <v>74</v>
      </c>
      <c r="E87" s="18">
        <v>1349</v>
      </c>
      <c r="F87" s="18" t="s">
        <v>35</v>
      </c>
      <c r="J87" s="19">
        <v>0.82489999999999997</v>
      </c>
      <c r="K87" s="19">
        <v>0.53456221199999998</v>
      </c>
      <c r="L87" s="19">
        <v>0.83509999999999995</v>
      </c>
      <c r="M87" s="19">
        <v>0.65149999999999997</v>
      </c>
      <c r="N87" s="19">
        <v>0.82140000000000002</v>
      </c>
      <c r="O87" s="19">
        <v>0.83279999999999998</v>
      </c>
      <c r="P87" s="20">
        <v>44812</v>
      </c>
      <c r="Q87" s="33" t="str">
        <f>HYPERLINK("https://npc.collegeboard.org/student/app/pitt", "$33808")</f>
        <v>$33808</v>
      </c>
      <c r="R87" s="22">
        <v>38424</v>
      </c>
      <c r="S87" s="22">
        <v>41050</v>
      </c>
      <c r="T87" s="20">
        <v>3220</v>
      </c>
      <c r="U87" s="20">
        <v>30588.620817843868</v>
      </c>
      <c r="W87" s="19">
        <v>0.15690000000000001</v>
      </c>
      <c r="X87" s="19">
        <v>0.28239999999999998</v>
      </c>
      <c r="Z87" s="18">
        <v>19134</v>
      </c>
    </row>
    <row r="88" spans="1:26" ht="15.75" customHeight="1" x14ac:dyDescent="0.2">
      <c r="A88" s="17" t="str">
        <f>HYPERLINK("https://www.uprrp.edu", "University of Puerto Rico-Rio Piedras")</f>
        <v>University of Puerto Rico-Rio Piedras</v>
      </c>
      <c r="B88" s="18" t="s">
        <v>49</v>
      </c>
      <c r="C88" s="18" t="s">
        <v>284</v>
      </c>
      <c r="D88" s="18" t="s">
        <v>285</v>
      </c>
      <c r="E88" s="18" t="s">
        <v>36</v>
      </c>
      <c r="F88" s="18" t="s">
        <v>45</v>
      </c>
      <c r="J88" s="19">
        <v>0.57840000000000003</v>
      </c>
      <c r="K88" s="19">
        <v>0.43540669900000001</v>
      </c>
      <c r="L88" s="19">
        <v>0.1429</v>
      </c>
      <c r="M88" s="19">
        <v>1</v>
      </c>
      <c r="N88" s="19">
        <v>0.58250000000000002</v>
      </c>
      <c r="O88" s="19">
        <v>0</v>
      </c>
      <c r="P88" s="20">
        <v>20434</v>
      </c>
      <c r="Q88" s="33" t="str">
        <f>HYPERLINK("https://www.uprrp.edu/", "$14591")</f>
        <v>$14591</v>
      </c>
      <c r="R88" s="22">
        <v>17383</v>
      </c>
      <c r="S88" s="22">
        <v>19072</v>
      </c>
      <c r="T88" s="20">
        <v>4621</v>
      </c>
      <c r="U88" s="20">
        <v>9970.2165841584156</v>
      </c>
      <c r="W88" s="19">
        <v>0.60919999999999996</v>
      </c>
      <c r="X88" s="19">
        <v>0.99129999999999996</v>
      </c>
      <c r="Z88" s="18">
        <v>11763</v>
      </c>
    </row>
    <row r="89" spans="1:26" ht="15.75" customHeight="1" x14ac:dyDescent="0.2">
      <c r="A89" s="17" t="str">
        <f>HYPERLINK("https://www.pugetsound.edu", "University of Puget Sound")</f>
        <v>University of Puget Sound</v>
      </c>
      <c r="B89" s="18" t="s">
        <v>32</v>
      </c>
      <c r="C89" s="18" t="s">
        <v>184</v>
      </c>
      <c r="D89" s="18" t="s">
        <v>286</v>
      </c>
      <c r="E89" s="18" t="s">
        <v>36</v>
      </c>
      <c r="F89" s="18" t="s">
        <v>45</v>
      </c>
      <c r="J89" s="19">
        <v>0.78069999999999995</v>
      </c>
      <c r="K89" s="19">
        <v>0.72649572699999998</v>
      </c>
      <c r="L89" s="19">
        <v>0.7903</v>
      </c>
      <c r="M89" s="19">
        <v>0.66669999999999996</v>
      </c>
      <c r="N89" s="19">
        <v>0.75509999999999999</v>
      </c>
      <c r="O89" s="19">
        <v>0.84850000000000003</v>
      </c>
      <c r="P89" s="20">
        <v>63510</v>
      </c>
      <c r="Q89" s="33" t="str">
        <f>HYPERLINK("https://www.collegecostcalculator.org/pugetsound", "$30336")</f>
        <v>$30336</v>
      </c>
      <c r="R89" s="22">
        <v>33678</v>
      </c>
      <c r="S89" s="22">
        <v>35680</v>
      </c>
      <c r="T89" s="20">
        <v>3300</v>
      </c>
      <c r="U89" s="20">
        <v>27036</v>
      </c>
      <c r="W89" s="19">
        <v>0.1356</v>
      </c>
      <c r="X89" s="19">
        <v>0.28970000000000001</v>
      </c>
      <c r="Z89" s="18">
        <v>2413</v>
      </c>
    </row>
    <row r="90" spans="1:26" ht="15.75" customHeight="1" x14ac:dyDescent="0.2">
      <c r="A90" s="17" t="str">
        <f>HYPERLINK("https://www.sandiego.edu", "University of San Diego")</f>
        <v>University of San Diego</v>
      </c>
      <c r="B90" s="18" t="s">
        <v>32</v>
      </c>
      <c r="C90" s="18" t="s">
        <v>68</v>
      </c>
      <c r="D90" s="18" t="s">
        <v>288</v>
      </c>
      <c r="E90" s="18">
        <v>1302</v>
      </c>
      <c r="F90" s="18" t="s">
        <v>35</v>
      </c>
      <c r="J90" s="19">
        <v>0.8175</v>
      </c>
      <c r="K90" s="19">
        <v>0.8152173909999999</v>
      </c>
      <c r="L90" s="19">
        <v>0.8135</v>
      </c>
      <c r="M90" s="19">
        <v>0.65710000000000002</v>
      </c>
      <c r="N90" s="19">
        <v>0.87719999999999998</v>
      </c>
      <c r="O90" s="19">
        <v>0.80599999999999994</v>
      </c>
      <c r="P90" s="20">
        <v>65426</v>
      </c>
      <c r="Q90" s="33" t="str">
        <f>HYPERLINK("https://www.sandiego.edu/admissions/undergraduate/tuition-financial-aid/net-price-calculator.php", "$24800")</f>
        <v>$24800</v>
      </c>
      <c r="R90" s="22">
        <v>27916</v>
      </c>
      <c r="S90" s="22">
        <v>33504</v>
      </c>
      <c r="T90" s="20">
        <v>5088</v>
      </c>
      <c r="U90" s="20">
        <v>19712</v>
      </c>
      <c r="W90" s="19">
        <v>0.1535</v>
      </c>
      <c r="X90" s="19">
        <v>0.48140000000000011</v>
      </c>
      <c r="Z90" s="18">
        <v>5677</v>
      </c>
    </row>
    <row r="91" spans="1:26" ht="15.75" customHeight="1" x14ac:dyDescent="0.2">
      <c r="A91" s="17" t="str">
        <f>HYPERLINK("https://utulsa.edu", "University of Tulsa")</f>
        <v>University of Tulsa</v>
      </c>
      <c r="B91" s="18" t="s">
        <v>32</v>
      </c>
      <c r="C91" s="18" t="s">
        <v>290</v>
      </c>
      <c r="D91" s="18" t="s">
        <v>291</v>
      </c>
      <c r="E91" s="18">
        <v>1335</v>
      </c>
      <c r="F91" s="18" t="s">
        <v>35</v>
      </c>
      <c r="J91" s="19">
        <v>0.68520000000000003</v>
      </c>
      <c r="K91" s="19">
        <v>0.46218487400000002</v>
      </c>
      <c r="L91" s="19">
        <v>0.71309999999999996</v>
      </c>
      <c r="M91" s="19">
        <v>0.625</v>
      </c>
      <c r="N91" s="19">
        <v>0.4783</v>
      </c>
      <c r="O91" s="19">
        <v>0.72729999999999995</v>
      </c>
      <c r="P91" s="20">
        <v>59435</v>
      </c>
      <c r="Q91" s="33" t="str">
        <f>HYPERLINK("https://utulsa.studentaidcalculator.com", "$19880")</f>
        <v>$19880</v>
      </c>
      <c r="R91" s="22">
        <v>23227</v>
      </c>
      <c r="S91" s="22">
        <v>26044</v>
      </c>
      <c r="T91" s="20">
        <v>6810</v>
      </c>
      <c r="U91" s="20">
        <v>13070</v>
      </c>
      <c r="W91" s="19">
        <v>0.15179999999999999</v>
      </c>
      <c r="X91" s="19">
        <v>0.43240000000000001</v>
      </c>
      <c r="Z91" s="18">
        <v>3316</v>
      </c>
    </row>
    <row r="92" spans="1:26" ht="15.75" customHeight="1" x14ac:dyDescent="0.2">
      <c r="A92" s="17" t="str">
        <f>HYPERLINK("https://www.wisc.edu", "University of Wisconsin-Madison")</f>
        <v>University of Wisconsin-Madison</v>
      </c>
      <c r="B92" s="18" t="s">
        <v>49</v>
      </c>
      <c r="C92" s="18" t="s">
        <v>196</v>
      </c>
      <c r="D92" s="18" t="s">
        <v>295</v>
      </c>
      <c r="E92" s="18">
        <v>1361</v>
      </c>
      <c r="F92" s="18" t="s">
        <v>35</v>
      </c>
      <c r="J92" s="19">
        <v>0.87229999999999996</v>
      </c>
      <c r="K92" s="19">
        <v>0.68920676200000008</v>
      </c>
      <c r="L92" s="19">
        <v>0.8821</v>
      </c>
      <c r="M92" s="19">
        <v>0.76670000000000005</v>
      </c>
      <c r="N92" s="19">
        <v>0.80769999999999997</v>
      </c>
      <c r="O92" s="19">
        <v>0.85709999999999997</v>
      </c>
      <c r="P92" s="20">
        <v>49885</v>
      </c>
      <c r="Q92" s="33" t="str">
        <f>HYPERLINK("https://financialaid.wisc.edu/net-price-calculator/", "$33378")</f>
        <v>$33378</v>
      </c>
      <c r="R92" s="22">
        <v>41852</v>
      </c>
      <c r="S92" s="22">
        <v>46912</v>
      </c>
      <c r="T92" s="20">
        <v>4260</v>
      </c>
      <c r="U92" s="20">
        <v>29118.580645161292</v>
      </c>
      <c r="W92" s="19">
        <v>0.12570000000000001</v>
      </c>
      <c r="X92" s="19">
        <v>0.26819999999999999</v>
      </c>
      <c r="Z92" s="18">
        <v>29930</v>
      </c>
    </row>
    <row r="93" spans="1:26" ht="15.75" customHeight="1" x14ac:dyDescent="0.2">
      <c r="A93" s="17" t="str">
        <f>HYPERLINK("https://WWW.VT.EDU", "Virginia Polytechnic Institute and State University")</f>
        <v>Virginia Polytechnic Institute and State University</v>
      </c>
      <c r="B93" s="18" t="s">
        <v>49</v>
      </c>
      <c r="C93" s="18" t="s">
        <v>83</v>
      </c>
      <c r="D93" s="18" t="s">
        <v>297</v>
      </c>
      <c r="E93" s="18">
        <v>1284</v>
      </c>
      <c r="F93" s="18" t="s">
        <v>35</v>
      </c>
      <c r="J93" s="19">
        <v>0.84400000000000008</v>
      </c>
      <c r="K93" s="19">
        <v>0.70443349799999999</v>
      </c>
      <c r="L93" s="19">
        <v>0.85519999999999996</v>
      </c>
      <c r="M93" s="19">
        <v>0.7087</v>
      </c>
      <c r="N93" s="19">
        <v>0.82400000000000007</v>
      </c>
      <c r="O93" s="19">
        <v>0.872</v>
      </c>
      <c r="P93" s="20">
        <v>44024</v>
      </c>
      <c r="Q93" s="33" t="str">
        <f>HYPERLINK("https://www.apps.finaid.vt.edu/apps/NPC/npcalc.htm", "$31713")</f>
        <v>$31713</v>
      </c>
      <c r="R93" s="22">
        <v>36340</v>
      </c>
      <c r="S93" s="22">
        <v>40497</v>
      </c>
      <c r="T93" s="20">
        <v>4090</v>
      </c>
      <c r="U93" s="20">
        <v>27623.279069767439</v>
      </c>
      <c r="W93" s="19">
        <v>0.16170000000000001</v>
      </c>
      <c r="X93" s="19">
        <v>0.3397</v>
      </c>
      <c r="Z93" s="18">
        <v>27120</v>
      </c>
    </row>
    <row r="94" spans="1:26" ht="15.75" customHeight="1" x14ac:dyDescent="0.2">
      <c r="A94" s="17" t="str">
        <f>HYPERLINK("https://www.westmont.edu", "Westmont College")</f>
        <v>Westmont College</v>
      </c>
      <c r="B94" s="18" t="s">
        <v>32</v>
      </c>
      <c r="C94" s="18" t="s">
        <v>68</v>
      </c>
      <c r="D94" s="18" t="s">
        <v>275</v>
      </c>
      <c r="E94" s="18">
        <v>1262</v>
      </c>
      <c r="F94" s="18" t="s">
        <v>35</v>
      </c>
      <c r="J94" s="19">
        <v>0.69789999999999996</v>
      </c>
      <c r="K94" s="19">
        <v>0.48648648700000002</v>
      </c>
      <c r="L94" s="19">
        <v>0.71740000000000004</v>
      </c>
      <c r="M94" s="19">
        <v>0.5</v>
      </c>
      <c r="N94" s="19">
        <v>0.65790000000000004</v>
      </c>
      <c r="O94" s="19">
        <v>0.75</v>
      </c>
      <c r="P94" s="20">
        <v>60930</v>
      </c>
      <c r="Q94" s="33" t="str">
        <f>HYPERLINK("https://www.westmont.edu/a/net-price-calculator.html", "$22662")</f>
        <v>$22662</v>
      </c>
      <c r="R94" s="22">
        <v>25571</v>
      </c>
      <c r="S94" s="22">
        <v>29594</v>
      </c>
      <c r="T94" s="20">
        <v>3000</v>
      </c>
      <c r="U94" s="20">
        <v>19662</v>
      </c>
      <c r="W94" s="19">
        <v>0.18720000000000001</v>
      </c>
      <c r="X94" s="19">
        <v>0.38290000000000002</v>
      </c>
      <c r="Z94" s="18">
        <v>1285</v>
      </c>
    </row>
    <row r="95" spans="1:26" ht="15.75" customHeight="1" x14ac:dyDescent="0.2">
      <c r="A95" s="17" t="str">
        <f>HYPERLINK("https://www.wheaton.edu", "Wheaton College")</f>
        <v>Wheaton College</v>
      </c>
      <c r="B95" s="18" t="s">
        <v>32</v>
      </c>
      <c r="C95" s="18" t="s">
        <v>137</v>
      </c>
      <c r="D95" s="18" t="s">
        <v>299</v>
      </c>
      <c r="E95" s="18">
        <v>1356</v>
      </c>
      <c r="F95" s="18" t="s">
        <v>35</v>
      </c>
      <c r="J95" s="19">
        <v>0.88929999999999998</v>
      </c>
      <c r="K95" s="19">
        <v>0.82926829299999993</v>
      </c>
      <c r="L95" s="19">
        <v>0.89959999999999996</v>
      </c>
      <c r="M95" s="19">
        <v>0.77780000000000005</v>
      </c>
      <c r="N95" s="19">
        <v>0.8125</v>
      </c>
      <c r="O95" s="19">
        <v>0.87270000000000003</v>
      </c>
      <c r="P95" s="20">
        <v>47696</v>
      </c>
      <c r="Q95" s="33" t="str">
        <f>HYPERLINK("https://www.wheaton.edu/admissions-and-aid/cost-and-aid/cost/estimate-your-college-costs/federal-net-price-calculator/", "$16846")</f>
        <v>$16846</v>
      </c>
      <c r="R95" s="22">
        <v>18474</v>
      </c>
      <c r="S95" s="22">
        <v>24461</v>
      </c>
      <c r="T95" s="20">
        <v>2700</v>
      </c>
      <c r="U95" s="20">
        <v>14146</v>
      </c>
      <c r="W95" s="19">
        <v>0.1946</v>
      </c>
      <c r="X95" s="19">
        <v>0.25169999999999998</v>
      </c>
      <c r="Z95" s="18">
        <v>2356</v>
      </c>
    </row>
    <row r="96" spans="1:26" ht="15.75" customHeight="1" x14ac:dyDescent="0.2">
      <c r="A96" s="17" t="str">
        <f>HYPERLINK("https://www.wpi.edu/", "Worcester Polytechnic Institute")</f>
        <v>Worcester Polytechnic Institute</v>
      </c>
      <c r="B96" s="18" t="s">
        <v>32</v>
      </c>
      <c r="C96" s="18" t="s">
        <v>33</v>
      </c>
      <c r="D96" s="18" t="s">
        <v>86</v>
      </c>
      <c r="E96" s="18" t="s">
        <v>36</v>
      </c>
      <c r="F96" s="18" t="s">
        <v>45</v>
      </c>
      <c r="J96" s="19">
        <v>0.88649999999999995</v>
      </c>
      <c r="K96" s="19">
        <v>0.67961165099999998</v>
      </c>
      <c r="L96" s="19">
        <v>0.90400000000000003</v>
      </c>
      <c r="M96" s="19">
        <v>0.76</v>
      </c>
      <c r="N96" s="19">
        <v>0.80259999999999998</v>
      </c>
      <c r="O96" s="19">
        <v>0.91839999999999999</v>
      </c>
      <c r="P96" s="20">
        <v>65046</v>
      </c>
      <c r="Q96" s="33" t="str">
        <f>HYPERLINK("https://www.wpi.edu/admissions/tuition-aid/financial-need/net-price-calculator", "$28767")</f>
        <v>$28767</v>
      </c>
      <c r="R96" s="22">
        <v>33493</v>
      </c>
      <c r="S96" s="22">
        <v>39727</v>
      </c>
      <c r="T96" s="20">
        <v>2200</v>
      </c>
      <c r="U96" s="20">
        <v>26567</v>
      </c>
      <c r="W96" s="19">
        <v>0.1216</v>
      </c>
      <c r="X96" s="19">
        <v>0.36499999999999999</v>
      </c>
      <c r="Z96" s="18">
        <v>4337</v>
      </c>
    </row>
    <row r="97" spans="1:26" ht="15.75" customHeight="1" x14ac:dyDescent="0.2">
      <c r="A97" s="34"/>
      <c r="B97" s="34"/>
      <c r="C97" s="34"/>
      <c r="D97" s="34"/>
      <c r="E97" s="19"/>
      <c r="F97" s="19"/>
      <c r="G97" s="19"/>
      <c r="H97" s="19"/>
      <c r="I97" s="19"/>
      <c r="J97" s="19"/>
      <c r="K97" s="19"/>
      <c r="L97" s="19"/>
      <c r="M97" s="19"/>
      <c r="N97" s="19"/>
      <c r="O97" s="19"/>
      <c r="P97" s="20"/>
      <c r="Q97" s="20"/>
      <c r="R97" s="22"/>
      <c r="S97" s="22"/>
      <c r="T97" s="20"/>
      <c r="U97" s="20"/>
      <c r="V97" s="20"/>
      <c r="W97" s="19"/>
      <c r="X97" s="19"/>
      <c r="Y97" s="19"/>
      <c r="Z97" s="23"/>
    </row>
    <row r="98" spans="1:26" ht="15.75" customHeight="1" x14ac:dyDescent="0.2">
      <c r="A98" s="34"/>
      <c r="B98" s="34"/>
      <c r="C98" s="34"/>
      <c r="D98" s="34"/>
      <c r="E98" s="19"/>
      <c r="F98" s="19"/>
      <c r="G98" s="19"/>
      <c r="H98" s="19"/>
      <c r="I98" s="19"/>
      <c r="J98" s="19"/>
      <c r="K98" s="19"/>
      <c r="L98" s="19"/>
      <c r="M98" s="19"/>
      <c r="N98" s="19"/>
      <c r="O98" s="19"/>
      <c r="P98" s="20"/>
      <c r="Q98" s="20"/>
      <c r="R98" s="22"/>
      <c r="S98" s="22"/>
      <c r="T98" s="20"/>
      <c r="U98" s="20"/>
      <c r="V98" s="20"/>
      <c r="W98" s="19"/>
      <c r="X98" s="19"/>
      <c r="Y98" s="19"/>
      <c r="Z98" s="23"/>
    </row>
    <row r="99" spans="1:26" ht="15.75" customHeight="1" x14ac:dyDescent="0.2">
      <c r="A99" s="34"/>
      <c r="B99" s="34"/>
      <c r="C99" s="34"/>
      <c r="D99" s="34"/>
      <c r="E99" s="19"/>
      <c r="F99" s="19"/>
      <c r="G99" s="19"/>
      <c r="H99" s="19"/>
      <c r="I99" s="19"/>
      <c r="J99" s="19"/>
      <c r="K99" s="19"/>
      <c r="L99" s="19"/>
      <c r="M99" s="19"/>
      <c r="N99" s="19"/>
      <c r="O99" s="19"/>
      <c r="P99" s="20"/>
      <c r="Q99" s="20"/>
      <c r="R99" s="22"/>
      <c r="S99" s="22"/>
      <c r="T99" s="20"/>
      <c r="U99" s="20"/>
      <c r="V99" s="20"/>
      <c r="W99" s="19"/>
      <c r="X99" s="19"/>
      <c r="Y99" s="19"/>
      <c r="Z99" s="23"/>
    </row>
    <row r="100" spans="1:26" ht="15.75" customHeight="1" x14ac:dyDescent="0.2">
      <c r="A100" s="34"/>
      <c r="B100" s="34"/>
      <c r="C100" s="34"/>
      <c r="D100" s="34"/>
      <c r="E100" s="19"/>
      <c r="F100" s="19"/>
      <c r="G100" s="19"/>
      <c r="H100" s="19"/>
      <c r="I100" s="19"/>
      <c r="J100" s="19"/>
      <c r="K100" s="19"/>
      <c r="L100" s="19"/>
      <c r="M100" s="19"/>
      <c r="N100" s="19"/>
      <c r="O100" s="19"/>
      <c r="P100" s="20"/>
      <c r="Q100" s="20"/>
      <c r="R100" s="22"/>
      <c r="S100" s="22"/>
      <c r="T100" s="20"/>
      <c r="U100" s="20"/>
      <c r="V100" s="20"/>
      <c r="W100" s="19"/>
      <c r="X100" s="19"/>
      <c r="Y100" s="19"/>
      <c r="Z100" s="23"/>
    </row>
    <row r="101" spans="1:26" ht="15.75" customHeight="1" x14ac:dyDescent="0.2">
      <c r="A101" s="34"/>
      <c r="B101" s="34"/>
      <c r="C101" s="34"/>
      <c r="D101" s="34"/>
      <c r="E101" s="19"/>
      <c r="F101" s="19"/>
      <c r="G101" s="19"/>
      <c r="H101" s="19"/>
      <c r="I101" s="19"/>
      <c r="J101" s="19"/>
      <c r="K101" s="19"/>
      <c r="L101" s="19"/>
      <c r="M101" s="19"/>
      <c r="N101" s="19"/>
      <c r="O101" s="19"/>
      <c r="P101" s="20"/>
      <c r="Q101" s="20"/>
      <c r="R101" s="22"/>
      <c r="S101" s="22"/>
      <c r="T101" s="20"/>
      <c r="U101" s="20"/>
      <c r="V101" s="20"/>
      <c r="W101" s="19"/>
      <c r="X101" s="19"/>
      <c r="Y101" s="19"/>
      <c r="Z101" s="23"/>
    </row>
    <row r="102" spans="1:26" ht="15.75" customHeight="1" x14ac:dyDescent="0.2">
      <c r="A102" s="34"/>
      <c r="B102" s="34"/>
      <c r="C102" s="34"/>
      <c r="D102" s="34"/>
      <c r="E102" s="19"/>
      <c r="F102" s="19"/>
      <c r="G102" s="19"/>
      <c r="H102" s="19"/>
      <c r="I102" s="19"/>
      <c r="J102" s="19"/>
      <c r="K102" s="19"/>
      <c r="L102" s="19"/>
      <c r="M102" s="19"/>
      <c r="N102" s="19"/>
      <c r="O102" s="19"/>
      <c r="P102" s="20"/>
      <c r="Q102" s="20"/>
      <c r="R102" s="22"/>
      <c r="S102" s="22"/>
      <c r="T102" s="20"/>
      <c r="U102" s="20"/>
      <c r="V102" s="20"/>
      <c r="W102" s="19"/>
      <c r="X102" s="19"/>
      <c r="Y102" s="19"/>
      <c r="Z102" s="23"/>
    </row>
    <row r="103" spans="1:26" ht="15.75" customHeight="1" x14ac:dyDescent="0.2">
      <c r="A103" s="34"/>
      <c r="B103" s="34"/>
      <c r="C103" s="34"/>
      <c r="D103" s="34"/>
      <c r="E103" s="19"/>
      <c r="F103" s="19"/>
      <c r="G103" s="19"/>
      <c r="H103" s="19"/>
      <c r="I103" s="19"/>
      <c r="J103" s="19"/>
      <c r="K103" s="19"/>
      <c r="L103" s="19"/>
      <c r="M103" s="19"/>
      <c r="N103" s="19"/>
      <c r="O103" s="19"/>
      <c r="P103" s="20"/>
      <c r="Q103" s="20"/>
      <c r="R103" s="22"/>
      <c r="S103" s="22"/>
      <c r="T103" s="20"/>
      <c r="U103" s="20"/>
      <c r="V103" s="20"/>
      <c r="W103" s="19"/>
      <c r="X103" s="19"/>
      <c r="Y103" s="19"/>
      <c r="Z103" s="23"/>
    </row>
    <row r="104" spans="1:26" ht="15.75" customHeight="1" x14ac:dyDescent="0.2">
      <c r="A104" s="34"/>
      <c r="B104" s="34"/>
      <c r="C104" s="34"/>
      <c r="D104" s="34"/>
      <c r="E104" s="19"/>
      <c r="F104" s="19"/>
      <c r="G104" s="19"/>
      <c r="H104" s="19"/>
      <c r="I104" s="19"/>
      <c r="J104" s="19"/>
      <c r="K104" s="19"/>
      <c r="L104" s="19"/>
      <c r="M104" s="19"/>
      <c r="N104" s="19"/>
      <c r="O104" s="19"/>
      <c r="P104" s="20"/>
      <c r="Q104" s="20"/>
      <c r="R104" s="22"/>
      <c r="S104" s="22"/>
      <c r="T104" s="20"/>
      <c r="U104" s="20"/>
      <c r="V104" s="20"/>
      <c r="W104" s="19"/>
      <c r="X104" s="19"/>
      <c r="Y104" s="19"/>
      <c r="Z104" s="23"/>
    </row>
    <row r="105" spans="1:26" ht="15.75" customHeight="1" x14ac:dyDescent="0.2">
      <c r="A105" s="34"/>
      <c r="B105" s="34"/>
      <c r="C105" s="34"/>
      <c r="D105" s="34"/>
      <c r="E105" s="19"/>
      <c r="F105" s="19"/>
      <c r="G105" s="19"/>
      <c r="H105" s="19"/>
      <c r="I105" s="19"/>
      <c r="J105" s="19"/>
      <c r="K105" s="19"/>
      <c r="L105" s="19"/>
      <c r="M105" s="19"/>
      <c r="N105" s="19"/>
      <c r="O105" s="19"/>
      <c r="P105" s="20"/>
      <c r="Q105" s="20"/>
      <c r="R105" s="22"/>
      <c r="S105" s="22"/>
      <c r="T105" s="20"/>
      <c r="U105" s="20"/>
      <c r="V105" s="20"/>
      <c r="W105" s="19"/>
      <c r="X105" s="19"/>
      <c r="Y105" s="19"/>
      <c r="Z105" s="23"/>
    </row>
    <row r="106" spans="1:26" ht="15.75" customHeight="1" x14ac:dyDescent="0.2">
      <c r="A106" s="34"/>
      <c r="B106" s="34"/>
      <c r="C106" s="34"/>
      <c r="D106" s="34"/>
      <c r="E106" s="19"/>
      <c r="F106" s="19"/>
      <c r="G106" s="19"/>
      <c r="H106" s="19"/>
      <c r="I106" s="19"/>
      <c r="J106" s="19"/>
      <c r="K106" s="19"/>
      <c r="L106" s="19"/>
      <c r="M106" s="19"/>
      <c r="N106" s="19"/>
      <c r="O106" s="19"/>
      <c r="P106" s="20"/>
      <c r="Q106" s="20"/>
      <c r="R106" s="22"/>
      <c r="S106" s="22"/>
      <c r="T106" s="20"/>
      <c r="U106" s="20"/>
      <c r="V106" s="20"/>
      <c r="W106" s="19"/>
      <c r="X106" s="19"/>
      <c r="Y106" s="19"/>
      <c r="Z106" s="23"/>
    </row>
    <row r="107" spans="1:26" ht="15.75" customHeight="1" x14ac:dyDescent="0.2">
      <c r="A107" s="34"/>
      <c r="B107" s="34"/>
      <c r="C107" s="34"/>
      <c r="D107" s="34"/>
      <c r="E107" s="19"/>
      <c r="F107" s="19"/>
      <c r="G107" s="19"/>
      <c r="H107" s="19"/>
      <c r="I107" s="19"/>
      <c r="J107" s="19"/>
      <c r="K107" s="19"/>
      <c r="L107" s="19"/>
      <c r="M107" s="19"/>
      <c r="N107" s="19"/>
      <c r="O107" s="19"/>
      <c r="P107" s="20"/>
      <c r="Q107" s="20"/>
      <c r="R107" s="22"/>
      <c r="S107" s="22"/>
      <c r="T107" s="20"/>
      <c r="U107" s="20"/>
      <c r="V107" s="20"/>
      <c r="W107" s="19"/>
      <c r="X107" s="19"/>
      <c r="Y107" s="19"/>
      <c r="Z107" s="23"/>
    </row>
    <row r="108" spans="1:26" ht="15.75" customHeight="1" x14ac:dyDescent="0.2">
      <c r="A108" s="34"/>
      <c r="B108" s="34"/>
      <c r="C108" s="34"/>
      <c r="D108" s="34"/>
      <c r="E108" s="19"/>
      <c r="F108" s="19"/>
      <c r="G108" s="19"/>
      <c r="H108" s="19"/>
      <c r="I108" s="19"/>
      <c r="J108" s="19"/>
      <c r="K108" s="19"/>
      <c r="L108" s="19"/>
      <c r="M108" s="19"/>
      <c r="N108" s="19"/>
      <c r="O108" s="19"/>
      <c r="P108" s="20"/>
      <c r="Q108" s="20"/>
      <c r="R108" s="22"/>
      <c r="S108" s="22"/>
      <c r="T108" s="20"/>
      <c r="U108" s="20"/>
      <c r="V108" s="20"/>
      <c r="W108" s="19"/>
      <c r="X108" s="19"/>
      <c r="Y108" s="19"/>
      <c r="Z108" s="23"/>
    </row>
    <row r="109" spans="1:26" ht="15.75" customHeight="1" x14ac:dyDescent="0.2">
      <c r="A109" s="34"/>
      <c r="B109" s="34"/>
      <c r="C109" s="34"/>
      <c r="D109" s="34"/>
      <c r="E109" s="19"/>
      <c r="F109" s="19"/>
      <c r="G109" s="19"/>
      <c r="H109" s="19"/>
      <c r="I109" s="19"/>
      <c r="J109" s="19"/>
      <c r="K109" s="19"/>
      <c r="L109" s="19"/>
      <c r="M109" s="19"/>
      <c r="N109" s="19"/>
      <c r="O109" s="19"/>
      <c r="P109" s="20"/>
      <c r="Q109" s="20"/>
      <c r="R109" s="22"/>
      <c r="S109" s="22"/>
      <c r="T109" s="20"/>
      <c r="U109" s="20"/>
      <c r="V109" s="20"/>
      <c r="W109" s="19"/>
      <c r="X109" s="19"/>
      <c r="Y109" s="19"/>
      <c r="Z109" s="23"/>
    </row>
    <row r="110" spans="1:26" ht="15.75" customHeight="1" x14ac:dyDescent="0.2">
      <c r="A110" s="34"/>
      <c r="B110" s="34"/>
      <c r="C110" s="34"/>
      <c r="D110" s="34"/>
      <c r="E110" s="19"/>
      <c r="F110" s="19"/>
      <c r="G110" s="19"/>
      <c r="H110" s="19"/>
      <c r="I110" s="19"/>
      <c r="J110" s="19"/>
      <c r="K110" s="19"/>
      <c r="L110" s="19"/>
      <c r="M110" s="19"/>
      <c r="N110" s="19"/>
      <c r="O110" s="19"/>
      <c r="P110" s="20"/>
      <c r="Q110" s="20"/>
      <c r="R110" s="22"/>
      <c r="S110" s="22"/>
      <c r="T110" s="20"/>
      <c r="U110" s="20"/>
      <c r="V110" s="20"/>
      <c r="W110" s="19"/>
      <c r="X110" s="19"/>
      <c r="Y110" s="19"/>
      <c r="Z110" s="23"/>
    </row>
    <row r="111" spans="1:26" ht="15.75" customHeight="1" x14ac:dyDescent="0.2">
      <c r="A111" s="34"/>
      <c r="B111" s="34"/>
      <c r="C111" s="34"/>
      <c r="D111" s="34"/>
      <c r="E111" s="19"/>
      <c r="F111" s="19"/>
      <c r="G111" s="19"/>
      <c r="H111" s="19"/>
      <c r="I111" s="19"/>
      <c r="J111" s="19"/>
      <c r="K111" s="19"/>
      <c r="L111" s="19"/>
      <c r="M111" s="19"/>
      <c r="N111" s="19"/>
      <c r="O111" s="19"/>
      <c r="P111" s="20"/>
      <c r="Q111" s="20"/>
      <c r="R111" s="22"/>
      <c r="S111" s="22"/>
      <c r="T111" s="20"/>
      <c r="U111" s="20"/>
      <c r="V111" s="20"/>
      <c r="W111" s="19"/>
      <c r="X111" s="19"/>
      <c r="Y111" s="19"/>
      <c r="Z111" s="23"/>
    </row>
    <row r="112" spans="1:26" ht="15.75" customHeight="1" x14ac:dyDescent="0.2">
      <c r="A112" s="34"/>
      <c r="B112" s="34"/>
      <c r="C112" s="34"/>
      <c r="D112" s="34"/>
      <c r="E112" s="19"/>
      <c r="F112" s="19"/>
      <c r="G112" s="19"/>
      <c r="H112" s="19"/>
      <c r="I112" s="19"/>
      <c r="J112" s="19"/>
      <c r="K112" s="19"/>
      <c r="L112" s="19"/>
      <c r="M112" s="19"/>
      <c r="N112" s="19"/>
      <c r="O112" s="19"/>
      <c r="P112" s="20"/>
      <c r="Q112" s="20"/>
      <c r="R112" s="22"/>
      <c r="S112" s="22"/>
      <c r="T112" s="20"/>
      <c r="U112" s="20"/>
      <c r="V112" s="20"/>
      <c r="W112" s="19"/>
      <c r="X112" s="19"/>
      <c r="Y112" s="19"/>
      <c r="Z112" s="23"/>
    </row>
    <row r="113" spans="1:26" ht="15.75" customHeight="1" x14ac:dyDescent="0.2">
      <c r="A113" s="34"/>
      <c r="B113" s="34"/>
      <c r="C113" s="34"/>
      <c r="D113" s="34"/>
      <c r="E113" s="19"/>
      <c r="F113" s="19"/>
      <c r="G113" s="19"/>
      <c r="H113" s="19"/>
      <c r="I113" s="19"/>
      <c r="J113" s="19"/>
      <c r="K113" s="19"/>
      <c r="L113" s="19"/>
      <c r="M113" s="19"/>
      <c r="N113" s="19"/>
      <c r="O113" s="19"/>
      <c r="P113" s="20"/>
      <c r="Q113" s="20"/>
      <c r="R113" s="22"/>
      <c r="S113" s="22"/>
      <c r="T113" s="20"/>
      <c r="U113" s="20"/>
      <c r="V113" s="20"/>
      <c r="W113" s="19"/>
      <c r="X113" s="19"/>
      <c r="Y113" s="19"/>
      <c r="Z113" s="23"/>
    </row>
    <row r="114" spans="1:26" ht="15.75" customHeight="1" x14ac:dyDescent="0.2">
      <c r="A114" s="34"/>
      <c r="B114" s="34"/>
      <c r="C114" s="34"/>
      <c r="D114" s="34"/>
      <c r="E114" s="19"/>
      <c r="F114" s="19"/>
      <c r="G114" s="19"/>
      <c r="H114" s="19"/>
      <c r="I114" s="19"/>
      <c r="J114" s="19"/>
      <c r="K114" s="19"/>
      <c r="L114" s="19"/>
      <c r="M114" s="19"/>
      <c r="N114" s="19"/>
      <c r="O114" s="19"/>
      <c r="P114" s="20"/>
      <c r="Q114" s="20"/>
      <c r="R114" s="22"/>
      <c r="S114" s="22"/>
      <c r="T114" s="20"/>
      <c r="U114" s="20"/>
      <c r="V114" s="20"/>
      <c r="W114" s="19"/>
      <c r="X114" s="19"/>
      <c r="Y114" s="19"/>
      <c r="Z114" s="23"/>
    </row>
    <row r="115" spans="1:26" ht="15.75" customHeight="1" x14ac:dyDescent="0.2">
      <c r="A115" s="34"/>
      <c r="B115" s="34"/>
      <c r="C115" s="34"/>
      <c r="D115" s="34"/>
      <c r="E115" s="19"/>
      <c r="F115" s="19"/>
      <c r="G115" s="19"/>
      <c r="H115" s="19"/>
      <c r="I115" s="19"/>
      <c r="J115" s="19"/>
      <c r="K115" s="19"/>
      <c r="L115" s="19"/>
      <c r="M115" s="19"/>
      <c r="N115" s="19"/>
      <c r="O115" s="19"/>
      <c r="P115" s="20"/>
      <c r="Q115" s="20"/>
      <c r="R115" s="22"/>
      <c r="S115" s="22"/>
      <c r="T115" s="20"/>
      <c r="U115" s="20"/>
      <c r="V115" s="20"/>
      <c r="W115" s="19"/>
      <c r="X115" s="19"/>
      <c r="Y115" s="19"/>
      <c r="Z115" s="23"/>
    </row>
    <row r="116" spans="1:26" ht="15.75" customHeight="1" x14ac:dyDescent="0.2">
      <c r="A116" s="34"/>
      <c r="B116" s="34"/>
      <c r="C116" s="34"/>
      <c r="D116" s="34"/>
      <c r="E116" s="19"/>
      <c r="F116" s="19"/>
      <c r="G116" s="19"/>
      <c r="H116" s="19"/>
      <c r="I116" s="19"/>
      <c r="J116" s="19"/>
      <c r="K116" s="19"/>
      <c r="L116" s="19"/>
      <c r="M116" s="19"/>
      <c r="N116" s="19"/>
      <c r="O116" s="19"/>
      <c r="P116" s="20"/>
      <c r="Q116" s="20"/>
      <c r="R116" s="22"/>
      <c r="S116" s="22"/>
      <c r="T116" s="20"/>
      <c r="U116" s="20"/>
      <c r="V116" s="20"/>
      <c r="W116" s="19"/>
      <c r="X116" s="19"/>
      <c r="Y116" s="19"/>
      <c r="Z116" s="23"/>
    </row>
    <row r="117" spans="1:26" ht="15.75" customHeight="1" x14ac:dyDescent="0.2">
      <c r="A117" s="34"/>
      <c r="B117" s="34"/>
      <c r="C117" s="34"/>
      <c r="D117" s="34"/>
      <c r="E117" s="19"/>
      <c r="F117" s="19"/>
      <c r="G117" s="19"/>
      <c r="H117" s="19"/>
      <c r="I117" s="19"/>
      <c r="J117" s="19"/>
      <c r="K117" s="19"/>
      <c r="L117" s="19"/>
      <c r="M117" s="19"/>
      <c r="N117" s="19"/>
      <c r="O117" s="19"/>
      <c r="P117" s="20"/>
      <c r="Q117" s="20"/>
      <c r="R117" s="22"/>
      <c r="S117" s="22"/>
      <c r="T117" s="20"/>
      <c r="U117" s="20"/>
      <c r="V117" s="20"/>
      <c r="W117" s="19"/>
      <c r="X117" s="19"/>
      <c r="Y117" s="19"/>
      <c r="Z117" s="23"/>
    </row>
    <row r="118" spans="1:26" ht="15.75" customHeight="1" x14ac:dyDescent="0.2">
      <c r="A118" s="34"/>
      <c r="B118" s="34"/>
      <c r="C118" s="34"/>
      <c r="D118" s="34"/>
      <c r="E118" s="19"/>
      <c r="F118" s="19"/>
      <c r="G118" s="19"/>
      <c r="H118" s="19"/>
      <c r="I118" s="19"/>
      <c r="J118" s="19"/>
      <c r="K118" s="19"/>
      <c r="L118" s="19"/>
      <c r="M118" s="19"/>
      <c r="N118" s="19"/>
      <c r="O118" s="19"/>
      <c r="P118" s="20"/>
      <c r="Q118" s="20"/>
      <c r="R118" s="22"/>
      <c r="S118" s="22"/>
      <c r="T118" s="20"/>
      <c r="U118" s="20"/>
      <c r="V118" s="20"/>
      <c r="W118" s="19"/>
      <c r="X118" s="19"/>
      <c r="Y118" s="19"/>
      <c r="Z118" s="23"/>
    </row>
    <row r="119" spans="1:26" ht="15.75" customHeight="1" x14ac:dyDescent="0.2">
      <c r="A119" s="34"/>
      <c r="B119" s="34"/>
      <c r="C119" s="34"/>
      <c r="D119" s="34"/>
      <c r="E119" s="19"/>
      <c r="F119" s="19"/>
      <c r="G119" s="19"/>
      <c r="H119" s="19"/>
      <c r="I119" s="19"/>
      <c r="J119" s="19"/>
      <c r="K119" s="19"/>
      <c r="L119" s="19"/>
      <c r="M119" s="19"/>
      <c r="N119" s="19"/>
      <c r="O119" s="19"/>
      <c r="P119" s="20"/>
      <c r="Q119" s="20"/>
      <c r="R119" s="22"/>
      <c r="S119" s="22"/>
      <c r="T119" s="20"/>
      <c r="U119" s="20"/>
      <c r="V119" s="20"/>
      <c r="W119" s="19"/>
      <c r="X119" s="19"/>
      <c r="Y119" s="19"/>
      <c r="Z119" s="23"/>
    </row>
    <row r="120" spans="1:26" ht="15.75" customHeight="1" x14ac:dyDescent="0.2">
      <c r="A120" s="34"/>
      <c r="B120" s="34"/>
      <c r="C120" s="34"/>
      <c r="D120" s="34"/>
      <c r="E120" s="19"/>
      <c r="F120" s="19"/>
      <c r="G120" s="19"/>
      <c r="H120" s="19"/>
      <c r="I120" s="19"/>
      <c r="J120" s="19"/>
      <c r="K120" s="19"/>
      <c r="L120" s="19"/>
      <c r="M120" s="19"/>
      <c r="N120" s="19"/>
      <c r="O120" s="19"/>
      <c r="P120" s="20"/>
      <c r="Q120" s="20"/>
      <c r="R120" s="22"/>
      <c r="S120" s="22"/>
      <c r="T120" s="20"/>
      <c r="U120" s="20"/>
      <c r="V120" s="20"/>
      <c r="W120" s="19"/>
      <c r="X120" s="19"/>
      <c r="Y120" s="19"/>
      <c r="Z120" s="23"/>
    </row>
    <row r="121" spans="1:26" ht="15.75" customHeight="1" x14ac:dyDescent="0.2">
      <c r="A121" s="34"/>
      <c r="B121" s="34"/>
      <c r="C121" s="34"/>
      <c r="D121" s="34"/>
      <c r="E121" s="19"/>
      <c r="F121" s="19"/>
      <c r="G121" s="19"/>
      <c r="H121" s="19"/>
      <c r="I121" s="19"/>
      <c r="J121" s="19"/>
      <c r="K121" s="19"/>
      <c r="L121" s="19"/>
      <c r="M121" s="19"/>
      <c r="N121" s="19"/>
      <c r="O121" s="19"/>
      <c r="P121" s="20"/>
      <c r="Q121" s="20"/>
      <c r="R121" s="22"/>
      <c r="S121" s="22"/>
      <c r="T121" s="20"/>
      <c r="U121" s="20"/>
      <c r="V121" s="20"/>
      <c r="W121" s="19"/>
      <c r="X121" s="19"/>
      <c r="Y121" s="19"/>
      <c r="Z121" s="23"/>
    </row>
    <row r="122" spans="1:26" ht="15.75" customHeight="1" x14ac:dyDescent="0.2">
      <c r="A122" s="34"/>
      <c r="B122" s="34"/>
      <c r="C122" s="34"/>
      <c r="D122" s="34"/>
      <c r="E122" s="19"/>
      <c r="F122" s="19"/>
      <c r="G122" s="19"/>
      <c r="H122" s="19"/>
      <c r="I122" s="19"/>
      <c r="J122" s="19"/>
      <c r="K122" s="19"/>
      <c r="L122" s="19"/>
      <c r="M122" s="19"/>
      <c r="N122" s="19"/>
      <c r="O122" s="19"/>
      <c r="P122" s="20"/>
      <c r="Q122" s="20"/>
      <c r="R122" s="22"/>
      <c r="S122" s="22"/>
      <c r="T122" s="20"/>
      <c r="U122" s="20"/>
      <c r="V122" s="20"/>
      <c r="W122" s="19"/>
      <c r="X122" s="19"/>
      <c r="Y122" s="19"/>
      <c r="Z122" s="23"/>
    </row>
    <row r="123" spans="1:26" ht="15.75" customHeight="1" x14ac:dyDescent="0.2">
      <c r="A123" s="34"/>
      <c r="B123" s="34"/>
      <c r="C123" s="34"/>
      <c r="D123" s="34"/>
      <c r="E123" s="19"/>
      <c r="F123" s="19"/>
      <c r="G123" s="19"/>
      <c r="H123" s="19"/>
      <c r="I123" s="19"/>
      <c r="J123" s="19"/>
      <c r="K123" s="19"/>
      <c r="L123" s="19"/>
      <c r="M123" s="19"/>
      <c r="N123" s="19"/>
      <c r="O123" s="19"/>
      <c r="P123" s="20"/>
      <c r="Q123" s="20"/>
      <c r="R123" s="22"/>
      <c r="S123" s="22"/>
      <c r="T123" s="20"/>
      <c r="U123" s="20"/>
      <c r="V123" s="20"/>
      <c r="W123" s="19"/>
      <c r="X123" s="19"/>
      <c r="Y123" s="19"/>
      <c r="Z123" s="23"/>
    </row>
    <row r="124" spans="1:26" ht="15.75" customHeight="1" x14ac:dyDescent="0.2">
      <c r="A124" s="34"/>
      <c r="B124" s="34"/>
      <c r="C124" s="34"/>
      <c r="D124" s="34"/>
      <c r="E124" s="19"/>
      <c r="F124" s="19"/>
      <c r="G124" s="19"/>
      <c r="H124" s="19"/>
      <c r="I124" s="19"/>
      <c r="J124" s="19"/>
      <c r="K124" s="19"/>
      <c r="L124" s="19"/>
      <c r="M124" s="19"/>
      <c r="N124" s="19"/>
      <c r="O124" s="19"/>
      <c r="P124" s="20"/>
      <c r="Q124" s="20"/>
      <c r="R124" s="22"/>
      <c r="S124" s="22"/>
      <c r="T124" s="20"/>
      <c r="U124" s="20"/>
      <c r="V124" s="20"/>
      <c r="W124" s="19"/>
      <c r="X124" s="19"/>
      <c r="Y124" s="19"/>
      <c r="Z124" s="23"/>
    </row>
    <row r="125" spans="1:26" ht="15.75" customHeight="1" x14ac:dyDescent="0.2">
      <c r="A125" s="34"/>
      <c r="B125" s="34"/>
      <c r="C125" s="34"/>
      <c r="D125" s="34"/>
      <c r="E125" s="19"/>
      <c r="F125" s="19"/>
      <c r="G125" s="19"/>
      <c r="H125" s="19"/>
      <c r="I125" s="19"/>
      <c r="J125" s="19"/>
      <c r="K125" s="19"/>
      <c r="L125" s="19"/>
      <c r="M125" s="19"/>
      <c r="N125" s="19"/>
      <c r="O125" s="19"/>
      <c r="P125" s="20"/>
      <c r="Q125" s="20"/>
      <c r="R125" s="22"/>
      <c r="S125" s="22"/>
      <c r="T125" s="20"/>
      <c r="U125" s="20"/>
      <c r="V125" s="20"/>
      <c r="W125" s="19"/>
      <c r="X125" s="19"/>
      <c r="Y125" s="19"/>
      <c r="Z125" s="23"/>
    </row>
    <row r="126" spans="1:26" ht="15.75" customHeight="1" x14ac:dyDescent="0.2">
      <c r="A126" s="34"/>
      <c r="B126" s="34"/>
      <c r="C126" s="34"/>
      <c r="D126" s="34"/>
      <c r="E126" s="19"/>
      <c r="F126" s="19"/>
      <c r="G126" s="19"/>
      <c r="H126" s="19"/>
      <c r="I126" s="19"/>
      <c r="J126" s="19"/>
      <c r="K126" s="19"/>
      <c r="L126" s="19"/>
      <c r="M126" s="19"/>
      <c r="N126" s="19"/>
      <c r="O126" s="19"/>
      <c r="P126" s="20"/>
      <c r="Q126" s="20"/>
      <c r="R126" s="22"/>
      <c r="S126" s="22"/>
      <c r="T126" s="20"/>
      <c r="U126" s="20"/>
      <c r="V126" s="20"/>
      <c r="W126" s="19"/>
      <c r="X126" s="19"/>
      <c r="Y126" s="19"/>
      <c r="Z126" s="23"/>
    </row>
    <row r="127" spans="1:26" ht="15.75" customHeight="1" x14ac:dyDescent="0.2">
      <c r="A127" s="34"/>
      <c r="B127" s="34"/>
      <c r="C127" s="34"/>
      <c r="D127" s="34"/>
      <c r="E127" s="19"/>
      <c r="F127" s="19"/>
      <c r="G127" s="19"/>
      <c r="H127" s="19"/>
      <c r="I127" s="19"/>
      <c r="J127" s="19"/>
      <c r="K127" s="19"/>
      <c r="L127" s="19"/>
      <c r="M127" s="19"/>
      <c r="N127" s="19"/>
      <c r="O127" s="19"/>
      <c r="P127" s="20"/>
      <c r="Q127" s="20"/>
      <c r="R127" s="22"/>
      <c r="S127" s="22"/>
      <c r="T127" s="20"/>
      <c r="U127" s="20"/>
      <c r="V127" s="20"/>
      <c r="W127" s="19"/>
      <c r="X127" s="19"/>
      <c r="Y127" s="19"/>
      <c r="Z127" s="23"/>
    </row>
    <row r="128" spans="1:26" ht="15.75" customHeight="1" x14ac:dyDescent="0.2">
      <c r="A128" s="34"/>
      <c r="B128" s="34"/>
      <c r="C128" s="34"/>
      <c r="D128" s="34"/>
      <c r="E128" s="19"/>
      <c r="F128" s="19"/>
      <c r="G128" s="19"/>
      <c r="H128" s="19"/>
      <c r="I128" s="19"/>
      <c r="J128" s="19"/>
      <c r="K128" s="19"/>
      <c r="L128" s="19"/>
      <c r="M128" s="19"/>
      <c r="N128" s="19"/>
      <c r="O128" s="19"/>
      <c r="P128" s="20"/>
      <c r="Q128" s="20"/>
      <c r="R128" s="22"/>
      <c r="S128" s="22"/>
      <c r="T128" s="20"/>
      <c r="U128" s="20"/>
      <c r="V128" s="20"/>
      <c r="W128" s="19"/>
      <c r="X128" s="19"/>
      <c r="Y128" s="19"/>
      <c r="Z128" s="23"/>
    </row>
    <row r="129" spans="1:26" ht="15.75" customHeight="1" x14ac:dyDescent="0.2">
      <c r="A129" s="34"/>
      <c r="B129" s="34"/>
      <c r="C129" s="34"/>
      <c r="D129" s="34"/>
      <c r="E129" s="19"/>
      <c r="F129" s="19"/>
      <c r="G129" s="19"/>
      <c r="H129" s="19"/>
      <c r="I129" s="19"/>
      <c r="J129" s="19"/>
      <c r="K129" s="19"/>
      <c r="L129" s="19"/>
      <c r="M129" s="19"/>
      <c r="N129" s="19"/>
      <c r="O129" s="19"/>
      <c r="P129" s="20"/>
      <c r="Q129" s="20"/>
      <c r="R129" s="22"/>
      <c r="S129" s="22"/>
      <c r="T129" s="20"/>
      <c r="U129" s="20"/>
      <c r="V129" s="20"/>
      <c r="W129" s="19"/>
      <c r="X129" s="19"/>
      <c r="Y129" s="19"/>
      <c r="Z129" s="23"/>
    </row>
    <row r="130" spans="1:26" ht="15.75" customHeight="1" x14ac:dyDescent="0.2">
      <c r="A130" s="34"/>
      <c r="B130" s="34"/>
      <c r="C130" s="34"/>
      <c r="D130" s="34"/>
      <c r="E130" s="19"/>
      <c r="F130" s="19"/>
      <c r="G130" s="19"/>
      <c r="H130" s="19"/>
      <c r="I130" s="19"/>
      <c r="J130" s="19"/>
      <c r="K130" s="19"/>
      <c r="L130" s="19"/>
      <c r="M130" s="19"/>
      <c r="N130" s="19"/>
      <c r="O130" s="19"/>
      <c r="P130" s="20"/>
      <c r="Q130" s="20"/>
      <c r="R130" s="22"/>
      <c r="S130" s="22"/>
      <c r="T130" s="20"/>
      <c r="U130" s="20"/>
      <c r="V130" s="20"/>
      <c r="W130" s="19"/>
      <c r="X130" s="19"/>
      <c r="Y130" s="19"/>
      <c r="Z130" s="23"/>
    </row>
    <row r="131" spans="1:26" ht="15.75" customHeight="1" x14ac:dyDescent="0.2">
      <c r="A131" s="34"/>
      <c r="B131" s="34"/>
      <c r="C131" s="34"/>
      <c r="D131" s="34"/>
      <c r="E131" s="19"/>
      <c r="F131" s="19"/>
      <c r="G131" s="19"/>
      <c r="H131" s="19"/>
      <c r="I131" s="19"/>
      <c r="J131" s="19"/>
      <c r="K131" s="19"/>
      <c r="L131" s="19"/>
      <c r="M131" s="19"/>
      <c r="N131" s="19"/>
      <c r="O131" s="19"/>
      <c r="P131" s="20"/>
      <c r="Q131" s="20"/>
      <c r="R131" s="22"/>
      <c r="S131" s="22"/>
      <c r="T131" s="20"/>
      <c r="U131" s="20"/>
      <c r="V131" s="20"/>
      <c r="W131" s="19"/>
      <c r="X131" s="19"/>
      <c r="Y131" s="19"/>
      <c r="Z131" s="23"/>
    </row>
    <row r="132" spans="1:26" ht="15.75" customHeight="1" x14ac:dyDescent="0.2">
      <c r="A132" s="34"/>
      <c r="B132" s="34"/>
      <c r="C132" s="34"/>
      <c r="D132" s="34"/>
      <c r="E132" s="19"/>
      <c r="F132" s="19"/>
      <c r="G132" s="19"/>
      <c r="H132" s="19"/>
      <c r="I132" s="19"/>
      <c r="J132" s="19"/>
      <c r="K132" s="19"/>
      <c r="L132" s="19"/>
      <c r="M132" s="19"/>
      <c r="N132" s="19"/>
      <c r="O132" s="19"/>
      <c r="P132" s="20"/>
      <c r="Q132" s="20"/>
      <c r="R132" s="22"/>
      <c r="S132" s="22"/>
      <c r="T132" s="20"/>
      <c r="U132" s="20"/>
      <c r="V132" s="20"/>
      <c r="W132" s="19"/>
      <c r="X132" s="19"/>
      <c r="Y132" s="19"/>
      <c r="Z132" s="23"/>
    </row>
    <row r="133" spans="1:26" ht="15.75" customHeight="1" x14ac:dyDescent="0.2">
      <c r="A133" s="34"/>
      <c r="B133" s="34"/>
      <c r="C133" s="34"/>
      <c r="D133" s="34"/>
      <c r="E133" s="19"/>
      <c r="F133" s="19"/>
      <c r="G133" s="19"/>
      <c r="H133" s="19"/>
      <c r="I133" s="19"/>
      <c r="J133" s="19"/>
      <c r="K133" s="19"/>
      <c r="L133" s="19"/>
      <c r="M133" s="19"/>
      <c r="N133" s="19"/>
      <c r="O133" s="19"/>
      <c r="P133" s="20"/>
      <c r="Q133" s="20"/>
      <c r="R133" s="22"/>
      <c r="S133" s="22"/>
      <c r="T133" s="20"/>
      <c r="U133" s="20"/>
      <c r="V133" s="20"/>
      <c r="W133" s="19"/>
      <c r="X133" s="19"/>
      <c r="Y133" s="19"/>
      <c r="Z133" s="23"/>
    </row>
    <row r="134" spans="1:26" ht="15.75" customHeight="1" x14ac:dyDescent="0.2">
      <c r="A134" s="34"/>
      <c r="B134" s="34"/>
      <c r="C134" s="34"/>
      <c r="D134" s="34"/>
      <c r="E134" s="19"/>
      <c r="F134" s="19"/>
      <c r="G134" s="19"/>
      <c r="H134" s="19"/>
      <c r="I134" s="19"/>
      <c r="J134" s="19"/>
      <c r="K134" s="19"/>
      <c r="L134" s="19"/>
      <c r="M134" s="19"/>
      <c r="N134" s="19"/>
      <c r="O134" s="19"/>
      <c r="P134" s="20"/>
      <c r="Q134" s="20"/>
      <c r="R134" s="22"/>
      <c r="S134" s="22"/>
      <c r="T134" s="20"/>
      <c r="U134" s="20"/>
      <c r="V134" s="20"/>
      <c r="W134" s="19"/>
      <c r="X134" s="19"/>
      <c r="Y134" s="19"/>
      <c r="Z134" s="23"/>
    </row>
    <row r="135" spans="1:26" ht="15.75" customHeight="1" x14ac:dyDescent="0.2">
      <c r="A135" s="34"/>
      <c r="B135" s="34"/>
      <c r="C135" s="34"/>
      <c r="D135" s="34"/>
      <c r="E135" s="19"/>
      <c r="F135" s="19"/>
      <c r="G135" s="19"/>
      <c r="H135" s="19"/>
      <c r="I135" s="19"/>
      <c r="J135" s="19"/>
      <c r="K135" s="19"/>
      <c r="L135" s="19"/>
      <c r="M135" s="19"/>
      <c r="N135" s="19"/>
      <c r="O135" s="19"/>
      <c r="P135" s="20"/>
      <c r="Q135" s="20"/>
      <c r="R135" s="22"/>
      <c r="S135" s="22"/>
      <c r="T135" s="20"/>
      <c r="U135" s="20"/>
      <c r="V135" s="20"/>
      <c r="W135" s="19"/>
      <c r="X135" s="19"/>
      <c r="Y135" s="19"/>
      <c r="Z135" s="23"/>
    </row>
    <row r="136" spans="1:26" ht="15.75" customHeight="1" x14ac:dyDescent="0.2">
      <c r="A136" s="34"/>
      <c r="B136" s="34"/>
      <c r="C136" s="34"/>
      <c r="D136" s="34"/>
      <c r="E136" s="19"/>
      <c r="F136" s="19"/>
      <c r="G136" s="19"/>
      <c r="H136" s="19"/>
      <c r="I136" s="19"/>
      <c r="J136" s="19"/>
      <c r="K136" s="19"/>
      <c r="L136" s="19"/>
      <c r="M136" s="19"/>
      <c r="N136" s="19"/>
      <c r="O136" s="19"/>
      <c r="P136" s="20"/>
      <c r="Q136" s="20"/>
      <c r="R136" s="22"/>
      <c r="S136" s="22"/>
      <c r="T136" s="20"/>
      <c r="U136" s="20"/>
      <c r="V136" s="20"/>
      <c r="W136" s="19"/>
      <c r="X136" s="19"/>
      <c r="Y136" s="19"/>
      <c r="Z136" s="23"/>
    </row>
    <row r="137" spans="1:26" ht="15.75" customHeight="1" x14ac:dyDescent="0.2">
      <c r="A137" s="34"/>
      <c r="B137" s="34"/>
      <c r="C137" s="34"/>
      <c r="D137" s="34"/>
      <c r="E137" s="19"/>
      <c r="F137" s="19"/>
      <c r="G137" s="19"/>
      <c r="H137" s="19"/>
      <c r="I137" s="19"/>
      <c r="J137" s="19"/>
      <c r="K137" s="19"/>
      <c r="L137" s="19"/>
      <c r="M137" s="19"/>
      <c r="N137" s="19"/>
      <c r="O137" s="19"/>
      <c r="P137" s="20"/>
      <c r="Q137" s="20"/>
      <c r="R137" s="22"/>
      <c r="S137" s="22"/>
      <c r="T137" s="20"/>
      <c r="U137" s="20"/>
      <c r="V137" s="20"/>
      <c r="W137" s="19"/>
      <c r="X137" s="19"/>
      <c r="Y137" s="19"/>
      <c r="Z137" s="23"/>
    </row>
    <row r="138" spans="1:26" ht="15.75" customHeight="1" x14ac:dyDescent="0.2">
      <c r="A138" s="34"/>
      <c r="B138" s="34"/>
      <c r="C138" s="34"/>
      <c r="D138" s="34"/>
      <c r="E138" s="19"/>
      <c r="F138" s="19"/>
      <c r="G138" s="19"/>
      <c r="H138" s="19"/>
      <c r="I138" s="19"/>
      <c r="J138" s="19"/>
      <c r="K138" s="19"/>
      <c r="L138" s="19"/>
      <c r="M138" s="19"/>
      <c r="N138" s="19"/>
      <c r="O138" s="19"/>
      <c r="P138" s="20"/>
      <c r="Q138" s="20"/>
      <c r="R138" s="22"/>
      <c r="S138" s="22"/>
      <c r="T138" s="20"/>
      <c r="U138" s="20"/>
      <c r="V138" s="20"/>
      <c r="W138" s="19"/>
      <c r="X138" s="19"/>
      <c r="Y138" s="19"/>
      <c r="Z138" s="23"/>
    </row>
    <row r="139" spans="1:26" ht="15.75" customHeight="1" x14ac:dyDescent="0.2">
      <c r="A139" s="34"/>
      <c r="B139" s="34"/>
      <c r="C139" s="34"/>
      <c r="D139" s="34"/>
      <c r="E139" s="19"/>
      <c r="F139" s="19"/>
      <c r="G139" s="19"/>
      <c r="H139" s="19"/>
      <c r="I139" s="19"/>
      <c r="J139" s="19"/>
      <c r="K139" s="19"/>
      <c r="L139" s="19"/>
      <c r="M139" s="19"/>
      <c r="N139" s="19"/>
      <c r="O139" s="19"/>
      <c r="P139" s="20"/>
      <c r="Q139" s="20"/>
      <c r="R139" s="22"/>
      <c r="S139" s="22"/>
      <c r="T139" s="20"/>
      <c r="U139" s="20"/>
      <c r="V139" s="20"/>
      <c r="W139" s="19"/>
      <c r="X139" s="19"/>
      <c r="Y139" s="19"/>
      <c r="Z139" s="23"/>
    </row>
    <row r="140" spans="1:26" ht="15.75" customHeight="1" x14ac:dyDescent="0.2">
      <c r="A140" s="34"/>
      <c r="B140" s="34"/>
      <c r="C140" s="34"/>
      <c r="D140" s="34"/>
      <c r="E140" s="19"/>
      <c r="F140" s="19"/>
      <c r="G140" s="19"/>
      <c r="H140" s="19"/>
      <c r="I140" s="19"/>
      <c r="J140" s="19"/>
      <c r="K140" s="19"/>
      <c r="L140" s="19"/>
      <c r="M140" s="19"/>
      <c r="N140" s="19"/>
      <c r="O140" s="19"/>
      <c r="P140" s="20"/>
      <c r="Q140" s="20"/>
      <c r="R140" s="22"/>
      <c r="S140" s="22"/>
      <c r="T140" s="20"/>
      <c r="U140" s="20"/>
      <c r="V140" s="20"/>
      <c r="W140" s="19"/>
      <c r="X140" s="19"/>
      <c r="Y140" s="19"/>
      <c r="Z140" s="23"/>
    </row>
    <row r="141" spans="1:26" ht="15.75" customHeight="1" x14ac:dyDescent="0.2">
      <c r="A141" s="34"/>
      <c r="B141" s="34"/>
      <c r="C141" s="34"/>
      <c r="D141" s="34"/>
      <c r="E141" s="19"/>
      <c r="F141" s="19"/>
      <c r="G141" s="19"/>
      <c r="H141" s="19"/>
      <c r="I141" s="19"/>
      <c r="J141" s="19"/>
      <c r="K141" s="19"/>
      <c r="L141" s="19"/>
      <c r="M141" s="19"/>
      <c r="N141" s="19"/>
      <c r="O141" s="19"/>
      <c r="P141" s="20"/>
      <c r="Q141" s="20"/>
      <c r="R141" s="22"/>
      <c r="S141" s="22"/>
      <c r="T141" s="20"/>
      <c r="U141" s="20"/>
      <c r="V141" s="20"/>
      <c r="W141" s="19"/>
      <c r="X141" s="19"/>
      <c r="Y141" s="19"/>
      <c r="Z141" s="23"/>
    </row>
    <row r="142" spans="1:26" ht="15.75" customHeight="1" x14ac:dyDescent="0.2">
      <c r="A142" s="34"/>
      <c r="B142" s="34"/>
      <c r="C142" s="34"/>
      <c r="D142" s="34"/>
      <c r="E142" s="19"/>
      <c r="F142" s="19"/>
      <c r="G142" s="19"/>
      <c r="H142" s="19"/>
      <c r="I142" s="19"/>
      <c r="J142" s="19"/>
      <c r="K142" s="19"/>
      <c r="L142" s="19"/>
      <c r="M142" s="19"/>
      <c r="N142" s="19"/>
      <c r="O142" s="19"/>
      <c r="P142" s="20"/>
      <c r="Q142" s="20"/>
      <c r="R142" s="22"/>
      <c r="S142" s="22"/>
      <c r="T142" s="20"/>
      <c r="U142" s="20"/>
      <c r="V142" s="20"/>
      <c r="W142" s="19"/>
      <c r="X142" s="19"/>
      <c r="Y142" s="19"/>
      <c r="Z142" s="23"/>
    </row>
    <row r="143" spans="1:26" ht="15.75" customHeight="1" x14ac:dyDescent="0.2">
      <c r="A143" s="34"/>
      <c r="B143" s="34"/>
      <c r="C143" s="34"/>
      <c r="D143" s="34"/>
      <c r="E143" s="19"/>
      <c r="F143" s="19"/>
      <c r="G143" s="19"/>
      <c r="H143" s="19"/>
      <c r="I143" s="19"/>
      <c r="J143" s="19"/>
      <c r="K143" s="19"/>
      <c r="L143" s="19"/>
      <c r="M143" s="19"/>
      <c r="N143" s="19"/>
      <c r="O143" s="19"/>
      <c r="P143" s="20"/>
      <c r="Q143" s="20"/>
      <c r="R143" s="22"/>
      <c r="S143" s="22"/>
      <c r="T143" s="20"/>
      <c r="U143" s="20"/>
      <c r="V143" s="20"/>
      <c r="W143" s="19"/>
      <c r="X143" s="19"/>
      <c r="Y143" s="19"/>
      <c r="Z143" s="23"/>
    </row>
    <row r="144" spans="1:26" ht="15.75" customHeight="1" x14ac:dyDescent="0.2">
      <c r="A144" s="34"/>
      <c r="B144" s="34"/>
      <c r="C144" s="34"/>
      <c r="D144" s="34"/>
      <c r="E144" s="19"/>
      <c r="F144" s="19"/>
      <c r="G144" s="19"/>
      <c r="H144" s="19"/>
      <c r="I144" s="19"/>
      <c r="J144" s="19"/>
      <c r="K144" s="19"/>
      <c r="L144" s="19"/>
      <c r="M144" s="19"/>
      <c r="N144" s="19"/>
      <c r="O144" s="19"/>
      <c r="P144" s="20"/>
      <c r="Q144" s="20"/>
      <c r="R144" s="22"/>
      <c r="S144" s="22"/>
      <c r="T144" s="20"/>
      <c r="U144" s="20"/>
      <c r="V144" s="20"/>
      <c r="W144" s="19"/>
      <c r="X144" s="19"/>
      <c r="Y144" s="19"/>
      <c r="Z144" s="23"/>
    </row>
    <row r="145" spans="1:26" ht="15.75" customHeight="1" x14ac:dyDescent="0.2">
      <c r="A145" s="34"/>
      <c r="B145" s="34"/>
      <c r="C145" s="34"/>
      <c r="D145" s="34"/>
      <c r="E145" s="19"/>
      <c r="F145" s="19"/>
      <c r="G145" s="19"/>
      <c r="H145" s="19"/>
      <c r="I145" s="19"/>
      <c r="J145" s="19"/>
      <c r="K145" s="19"/>
      <c r="L145" s="19"/>
      <c r="M145" s="19"/>
      <c r="N145" s="19"/>
      <c r="O145" s="19"/>
      <c r="P145" s="20"/>
      <c r="Q145" s="20"/>
      <c r="R145" s="22"/>
      <c r="S145" s="22"/>
      <c r="T145" s="20"/>
      <c r="U145" s="20"/>
      <c r="V145" s="20"/>
      <c r="W145" s="19"/>
      <c r="X145" s="19"/>
      <c r="Y145" s="19"/>
      <c r="Z145" s="23"/>
    </row>
    <row r="146" spans="1:26" ht="15.75" customHeight="1" x14ac:dyDescent="0.2">
      <c r="A146" s="34"/>
      <c r="B146" s="34"/>
      <c r="C146" s="34"/>
      <c r="D146" s="34"/>
      <c r="E146" s="19"/>
      <c r="F146" s="19"/>
      <c r="G146" s="19"/>
      <c r="H146" s="19"/>
      <c r="I146" s="19"/>
      <c r="J146" s="19"/>
      <c r="K146" s="19"/>
      <c r="L146" s="19"/>
      <c r="M146" s="19"/>
      <c r="N146" s="19"/>
      <c r="O146" s="19"/>
      <c r="P146" s="20"/>
      <c r="Q146" s="20"/>
      <c r="R146" s="22"/>
      <c r="S146" s="22"/>
      <c r="T146" s="20"/>
      <c r="U146" s="20"/>
      <c r="V146" s="20"/>
      <c r="W146" s="19"/>
      <c r="X146" s="19"/>
      <c r="Y146" s="19"/>
      <c r="Z146" s="23"/>
    </row>
    <row r="147" spans="1:26" ht="15.75" customHeight="1" x14ac:dyDescent="0.2">
      <c r="A147" s="34"/>
      <c r="B147" s="34"/>
      <c r="C147" s="34"/>
      <c r="D147" s="34"/>
      <c r="E147" s="19"/>
      <c r="F147" s="19"/>
      <c r="G147" s="19"/>
      <c r="H147" s="19"/>
      <c r="I147" s="19"/>
      <c r="J147" s="19"/>
      <c r="K147" s="19"/>
      <c r="L147" s="19"/>
      <c r="M147" s="19"/>
      <c r="N147" s="19"/>
      <c r="O147" s="19"/>
      <c r="P147" s="20"/>
      <c r="Q147" s="20"/>
      <c r="R147" s="22"/>
      <c r="S147" s="22"/>
      <c r="T147" s="20"/>
      <c r="U147" s="20"/>
      <c r="V147" s="20"/>
      <c r="W147" s="19"/>
      <c r="X147" s="19"/>
      <c r="Y147" s="19"/>
      <c r="Z147" s="23"/>
    </row>
    <row r="148" spans="1:26" ht="15.75" customHeight="1" x14ac:dyDescent="0.2">
      <c r="A148" s="34"/>
      <c r="B148" s="34"/>
      <c r="C148" s="34"/>
      <c r="D148" s="34"/>
      <c r="E148" s="19"/>
      <c r="F148" s="19"/>
      <c r="G148" s="19"/>
      <c r="H148" s="19"/>
      <c r="I148" s="19"/>
      <c r="J148" s="19"/>
      <c r="K148" s="19"/>
      <c r="L148" s="19"/>
      <c r="M148" s="19"/>
      <c r="N148" s="19"/>
      <c r="O148" s="19"/>
      <c r="P148" s="20"/>
      <c r="Q148" s="20"/>
      <c r="R148" s="22"/>
      <c r="S148" s="22"/>
      <c r="T148" s="20"/>
      <c r="U148" s="20"/>
      <c r="V148" s="20"/>
      <c r="W148" s="19"/>
      <c r="X148" s="19"/>
      <c r="Y148" s="19"/>
      <c r="Z148" s="23"/>
    </row>
    <row r="149" spans="1:26" ht="15.75" customHeight="1" x14ac:dyDescent="0.2">
      <c r="A149" s="34"/>
      <c r="B149" s="34"/>
      <c r="C149" s="34"/>
      <c r="D149" s="34"/>
      <c r="E149" s="19"/>
      <c r="F149" s="19"/>
      <c r="G149" s="19"/>
      <c r="H149" s="19"/>
      <c r="I149" s="19"/>
      <c r="J149" s="19"/>
      <c r="K149" s="19"/>
      <c r="L149" s="19"/>
      <c r="M149" s="19"/>
      <c r="N149" s="19"/>
      <c r="O149" s="19"/>
      <c r="P149" s="20"/>
      <c r="Q149" s="20"/>
      <c r="R149" s="22"/>
      <c r="S149" s="22"/>
      <c r="T149" s="20"/>
      <c r="U149" s="20"/>
      <c r="V149" s="20"/>
      <c r="W149" s="19"/>
      <c r="X149" s="19"/>
      <c r="Y149" s="19"/>
      <c r="Z149" s="23"/>
    </row>
    <row r="150" spans="1:26" ht="15.75" customHeight="1" x14ac:dyDescent="0.2">
      <c r="A150" s="34"/>
      <c r="B150" s="34"/>
      <c r="C150" s="34"/>
      <c r="D150" s="34"/>
      <c r="E150" s="19"/>
      <c r="F150" s="19"/>
      <c r="G150" s="19"/>
      <c r="H150" s="19"/>
      <c r="I150" s="19"/>
      <c r="J150" s="19"/>
      <c r="K150" s="19"/>
      <c r="L150" s="19"/>
      <c r="M150" s="19"/>
      <c r="N150" s="19"/>
      <c r="O150" s="19"/>
      <c r="P150" s="20"/>
      <c r="Q150" s="20"/>
      <c r="R150" s="22"/>
      <c r="S150" s="22"/>
      <c r="T150" s="20"/>
      <c r="U150" s="20"/>
      <c r="V150" s="20"/>
      <c r="W150" s="19"/>
      <c r="X150" s="19"/>
      <c r="Y150" s="19"/>
      <c r="Z150" s="23"/>
    </row>
    <row r="151" spans="1:26" ht="15.75" customHeight="1" x14ac:dyDescent="0.2">
      <c r="A151" s="34"/>
      <c r="B151" s="34"/>
      <c r="C151" s="34"/>
      <c r="D151" s="34"/>
      <c r="E151" s="19"/>
      <c r="F151" s="19"/>
      <c r="G151" s="19"/>
      <c r="H151" s="19"/>
      <c r="I151" s="19"/>
      <c r="J151" s="19"/>
      <c r="K151" s="19"/>
      <c r="L151" s="19"/>
      <c r="M151" s="19"/>
      <c r="N151" s="19"/>
      <c r="O151" s="19"/>
      <c r="P151" s="20"/>
      <c r="Q151" s="20"/>
      <c r="R151" s="22"/>
      <c r="S151" s="22"/>
      <c r="T151" s="20"/>
      <c r="U151" s="20"/>
      <c r="V151" s="20"/>
      <c r="W151" s="19"/>
      <c r="X151" s="19"/>
      <c r="Y151" s="19"/>
      <c r="Z151" s="23"/>
    </row>
    <row r="152" spans="1:26" ht="15.75" customHeight="1" x14ac:dyDescent="0.2">
      <c r="A152" s="34"/>
      <c r="B152" s="34"/>
      <c r="C152" s="34"/>
      <c r="D152" s="34"/>
      <c r="E152" s="19"/>
      <c r="F152" s="19"/>
      <c r="G152" s="19"/>
      <c r="H152" s="19"/>
      <c r="I152" s="19"/>
      <c r="J152" s="19"/>
      <c r="K152" s="19"/>
      <c r="L152" s="19"/>
      <c r="M152" s="19"/>
      <c r="N152" s="19"/>
      <c r="O152" s="19"/>
      <c r="P152" s="20"/>
      <c r="Q152" s="20"/>
      <c r="R152" s="22"/>
      <c r="S152" s="22"/>
      <c r="T152" s="20"/>
      <c r="U152" s="20"/>
      <c r="V152" s="20"/>
      <c r="W152" s="19"/>
      <c r="X152" s="19"/>
      <c r="Y152" s="19"/>
      <c r="Z152" s="23"/>
    </row>
    <row r="153" spans="1:26" ht="15.75" customHeight="1" x14ac:dyDescent="0.2">
      <c r="A153" s="34"/>
      <c r="B153" s="34"/>
      <c r="C153" s="34"/>
      <c r="D153" s="34"/>
      <c r="E153" s="19"/>
      <c r="F153" s="19"/>
      <c r="G153" s="19"/>
      <c r="H153" s="19"/>
      <c r="I153" s="19"/>
      <c r="J153" s="19"/>
      <c r="K153" s="19"/>
      <c r="L153" s="19"/>
      <c r="M153" s="19"/>
      <c r="N153" s="19"/>
      <c r="O153" s="19"/>
      <c r="P153" s="20"/>
      <c r="Q153" s="20"/>
      <c r="R153" s="22"/>
      <c r="S153" s="22"/>
      <c r="T153" s="20"/>
      <c r="U153" s="20"/>
      <c r="V153" s="20"/>
      <c r="W153" s="19"/>
      <c r="X153" s="19"/>
      <c r="Y153" s="19"/>
      <c r="Z153" s="23"/>
    </row>
    <row r="154" spans="1:26" ht="15.75" customHeight="1" x14ac:dyDescent="0.2">
      <c r="A154" s="34"/>
      <c r="B154" s="34"/>
      <c r="C154" s="34"/>
      <c r="D154" s="34"/>
      <c r="E154" s="19"/>
      <c r="F154" s="19"/>
      <c r="G154" s="19"/>
      <c r="H154" s="19"/>
      <c r="I154" s="19"/>
      <c r="J154" s="19"/>
      <c r="K154" s="19"/>
      <c r="L154" s="19"/>
      <c r="M154" s="19"/>
      <c r="N154" s="19"/>
      <c r="O154" s="19"/>
      <c r="P154" s="20"/>
      <c r="Q154" s="20"/>
      <c r="R154" s="22"/>
      <c r="S154" s="22"/>
      <c r="T154" s="20"/>
      <c r="U154" s="20"/>
      <c r="V154" s="20"/>
      <c r="W154" s="19"/>
      <c r="X154" s="19"/>
      <c r="Y154" s="19"/>
      <c r="Z154" s="23"/>
    </row>
    <row r="155" spans="1:26" ht="15.75" customHeight="1" x14ac:dyDescent="0.2">
      <c r="A155" s="34"/>
      <c r="B155" s="34"/>
      <c r="C155" s="34"/>
      <c r="D155" s="34"/>
      <c r="E155" s="19"/>
      <c r="F155" s="19"/>
      <c r="G155" s="19"/>
      <c r="H155" s="19"/>
      <c r="I155" s="19"/>
      <c r="J155" s="19"/>
      <c r="K155" s="19"/>
      <c r="L155" s="19"/>
      <c r="M155" s="19"/>
      <c r="N155" s="19"/>
      <c r="O155" s="19"/>
      <c r="P155" s="20"/>
      <c r="Q155" s="20"/>
      <c r="R155" s="22"/>
      <c r="S155" s="22"/>
      <c r="T155" s="20"/>
      <c r="U155" s="20"/>
      <c r="V155" s="20"/>
      <c r="W155" s="19"/>
      <c r="X155" s="19"/>
      <c r="Y155" s="19"/>
      <c r="Z155" s="23"/>
    </row>
    <row r="156" spans="1:26" ht="15.75" customHeight="1" x14ac:dyDescent="0.2">
      <c r="A156" s="34"/>
      <c r="B156" s="34"/>
      <c r="C156" s="34"/>
      <c r="D156" s="34"/>
      <c r="E156" s="19"/>
      <c r="F156" s="19"/>
      <c r="G156" s="19"/>
      <c r="H156" s="19"/>
      <c r="I156" s="19"/>
      <c r="J156" s="19"/>
      <c r="K156" s="19"/>
      <c r="L156" s="19"/>
      <c r="M156" s="19"/>
      <c r="N156" s="19"/>
      <c r="O156" s="19"/>
      <c r="P156" s="20"/>
      <c r="Q156" s="20"/>
      <c r="R156" s="22"/>
      <c r="S156" s="22"/>
      <c r="T156" s="20"/>
      <c r="U156" s="20"/>
      <c r="V156" s="20"/>
      <c r="W156" s="19"/>
      <c r="X156" s="19"/>
      <c r="Y156" s="19"/>
      <c r="Z156" s="23"/>
    </row>
    <row r="157" spans="1:26" ht="15.75" customHeight="1" x14ac:dyDescent="0.2">
      <c r="A157" s="34"/>
      <c r="B157" s="34"/>
      <c r="C157" s="34"/>
      <c r="D157" s="34"/>
      <c r="E157" s="19"/>
      <c r="F157" s="19"/>
      <c r="G157" s="19"/>
      <c r="H157" s="19"/>
      <c r="I157" s="19"/>
      <c r="J157" s="19"/>
      <c r="K157" s="19"/>
      <c r="L157" s="19"/>
      <c r="M157" s="19"/>
      <c r="N157" s="19"/>
      <c r="O157" s="19"/>
      <c r="P157" s="20"/>
      <c r="Q157" s="20"/>
      <c r="R157" s="22"/>
      <c r="S157" s="22"/>
      <c r="T157" s="20"/>
      <c r="U157" s="20"/>
      <c r="V157" s="20"/>
      <c r="W157" s="19"/>
      <c r="X157" s="19"/>
      <c r="Y157" s="19"/>
      <c r="Z157" s="23"/>
    </row>
    <row r="158" spans="1:26" ht="15.75" customHeight="1" x14ac:dyDescent="0.2">
      <c r="A158" s="34"/>
      <c r="B158" s="34"/>
      <c r="C158" s="34"/>
      <c r="D158" s="34"/>
      <c r="E158" s="19"/>
      <c r="F158" s="19"/>
      <c r="G158" s="19"/>
      <c r="H158" s="19"/>
      <c r="I158" s="19"/>
      <c r="J158" s="19"/>
      <c r="K158" s="19"/>
      <c r="L158" s="19"/>
      <c r="M158" s="19"/>
      <c r="N158" s="19"/>
      <c r="O158" s="19"/>
      <c r="P158" s="20"/>
      <c r="Q158" s="20"/>
      <c r="R158" s="22"/>
      <c r="S158" s="22"/>
      <c r="T158" s="20"/>
      <c r="U158" s="20"/>
      <c r="V158" s="20"/>
      <c r="W158" s="19"/>
      <c r="X158" s="19"/>
      <c r="Y158" s="19"/>
      <c r="Z158" s="23"/>
    </row>
    <row r="159" spans="1:26" ht="15.75" customHeight="1" x14ac:dyDescent="0.2">
      <c r="A159" s="34"/>
      <c r="B159" s="34"/>
      <c r="C159" s="34"/>
      <c r="D159" s="34"/>
      <c r="E159" s="19"/>
      <c r="F159" s="19"/>
      <c r="G159" s="19"/>
      <c r="H159" s="19"/>
      <c r="I159" s="19"/>
      <c r="J159" s="19"/>
      <c r="K159" s="19"/>
      <c r="L159" s="19"/>
      <c r="M159" s="19"/>
      <c r="N159" s="19"/>
      <c r="O159" s="19"/>
      <c r="P159" s="20"/>
      <c r="Q159" s="20"/>
      <c r="R159" s="22"/>
      <c r="S159" s="22"/>
      <c r="T159" s="20"/>
      <c r="U159" s="20"/>
      <c r="V159" s="20"/>
      <c r="W159" s="19"/>
      <c r="X159" s="19"/>
      <c r="Y159" s="19"/>
      <c r="Z159" s="23"/>
    </row>
    <row r="160" spans="1:26" ht="15.75" customHeight="1" x14ac:dyDescent="0.2">
      <c r="A160" s="34"/>
      <c r="B160" s="34"/>
      <c r="C160" s="34"/>
      <c r="D160" s="34"/>
      <c r="E160" s="19"/>
      <c r="F160" s="19"/>
      <c r="G160" s="19"/>
      <c r="H160" s="19"/>
      <c r="I160" s="19"/>
      <c r="J160" s="19"/>
      <c r="K160" s="19"/>
      <c r="L160" s="19"/>
      <c r="M160" s="19"/>
      <c r="N160" s="19"/>
      <c r="O160" s="19"/>
      <c r="P160" s="20"/>
      <c r="Q160" s="20"/>
      <c r="R160" s="22"/>
      <c r="S160" s="22"/>
      <c r="T160" s="20"/>
      <c r="U160" s="20"/>
      <c r="V160" s="20"/>
      <c r="W160" s="19"/>
      <c r="X160" s="19"/>
      <c r="Y160" s="19"/>
      <c r="Z160" s="23"/>
    </row>
    <row r="161" spans="1:26" ht="15.75" customHeight="1" x14ac:dyDescent="0.2">
      <c r="A161" s="34"/>
      <c r="B161" s="34"/>
      <c r="C161" s="34"/>
      <c r="D161" s="34"/>
      <c r="E161" s="19"/>
      <c r="F161" s="19"/>
      <c r="G161" s="19"/>
      <c r="H161" s="19"/>
      <c r="I161" s="19"/>
      <c r="J161" s="19"/>
      <c r="K161" s="19"/>
      <c r="L161" s="19"/>
      <c r="M161" s="19"/>
      <c r="N161" s="19"/>
      <c r="O161" s="19"/>
      <c r="P161" s="20"/>
      <c r="Q161" s="20"/>
      <c r="R161" s="22"/>
      <c r="S161" s="22"/>
      <c r="T161" s="20"/>
      <c r="U161" s="20"/>
      <c r="V161" s="20"/>
      <c r="W161" s="19"/>
      <c r="X161" s="19"/>
      <c r="Y161" s="19"/>
      <c r="Z161" s="23"/>
    </row>
    <row r="162" spans="1:26" ht="15.75" customHeight="1" x14ac:dyDescent="0.2">
      <c r="A162" s="34"/>
      <c r="B162" s="34"/>
      <c r="C162" s="34"/>
      <c r="D162" s="34"/>
      <c r="E162" s="19"/>
      <c r="F162" s="19"/>
      <c r="G162" s="19"/>
      <c r="H162" s="19"/>
      <c r="I162" s="19"/>
      <c r="J162" s="19"/>
      <c r="K162" s="19"/>
      <c r="L162" s="19"/>
      <c r="M162" s="19"/>
      <c r="N162" s="19"/>
      <c r="O162" s="19"/>
      <c r="P162" s="20"/>
      <c r="Q162" s="20"/>
      <c r="R162" s="22"/>
      <c r="S162" s="22"/>
      <c r="T162" s="20"/>
      <c r="U162" s="20"/>
      <c r="V162" s="20"/>
      <c r="W162" s="19"/>
      <c r="X162" s="19"/>
      <c r="Y162" s="19"/>
      <c r="Z162" s="23"/>
    </row>
    <row r="163" spans="1:26" ht="15.75" customHeight="1" x14ac:dyDescent="0.2">
      <c r="A163" s="34"/>
      <c r="B163" s="34"/>
      <c r="C163" s="34"/>
      <c r="D163" s="34"/>
      <c r="E163" s="19"/>
      <c r="F163" s="19"/>
      <c r="G163" s="19"/>
      <c r="H163" s="19"/>
      <c r="I163" s="19"/>
      <c r="J163" s="19"/>
      <c r="K163" s="19"/>
      <c r="L163" s="19"/>
      <c r="M163" s="19"/>
      <c r="N163" s="19"/>
      <c r="O163" s="19"/>
      <c r="P163" s="20"/>
      <c r="Q163" s="20"/>
      <c r="R163" s="22"/>
      <c r="S163" s="22"/>
      <c r="T163" s="20"/>
      <c r="U163" s="20"/>
      <c r="V163" s="20"/>
      <c r="W163" s="19"/>
      <c r="X163" s="19"/>
      <c r="Y163" s="19"/>
      <c r="Z163" s="23"/>
    </row>
    <row r="164" spans="1:26" ht="15.75" customHeight="1" x14ac:dyDescent="0.2">
      <c r="A164" s="34"/>
      <c r="B164" s="34"/>
      <c r="C164" s="34"/>
      <c r="D164" s="34"/>
      <c r="E164" s="19"/>
      <c r="F164" s="19"/>
      <c r="G164" s="19"/>
      <c r="H164" s="19"/>
      <c r="I164" s="19"/>
      <c r="J164" s="19"/>
      <c r="K164" s="19"/>
      <c r="L164" s="19"/>
      <c r="M164" s="19"/>
      <c r="N164" s="19"/>
      <c r="O164" s="19"/>
      <c r="P164" s="20"/>
      <c r="Q164" s="20"/>
      <c r="R164" s="22"/>
      <c r="S164" s="22"/>
      <c r="T164" s="20"/>
      <c r="U164" s="20"/>
      <c r="V164" s="20"/>
      <c r="W164" s="19"/>
      <c r="X164" s="19"/>
      <c r="Y164" s="19"/>
      <c r="Z164" s="23"/>
    </row>
    <row r="165" spans="1:26" ht="15.75" customHeight="1" x14ac:dyDescent="0.2">
      <c r="A165" s="34"/>
      <c r="B165" s="34"/>
      <c r="C165" s="34"/>
      <c r="D165" s="34"/>
      <c r="E165" s="19"/>
      <c r="F165" s="19"/>
      <c r="G165" s="19"/>
      <c r="H165" s="19"/>
      <c r="I165" s="19"/>
      <c r="J165" s="19"/>
      <c r="K165" s="19"/>
      <c r="L165" s="19"/>
      <c r="M165" s="19"/>
      <c r="N165" s="19"/>
      <c r="O165" s="19"/>
      <c r="P165" s="20"/>
      <c r="Q165" s="20"/>
      <c r="R165" s="22"/>
      <c r="S165" s="22"/>
      <c r="T165" s="20"/>
      <c r="U165" s="20"/>
      <c r="V165" s="20"/>
      <c r="W165" s="19"/>
      <c r="X165" s="19"/>
      <c r="Y165" s="19"/>
      <c r="Z165" s="23"/>
    </row>
    <row r="166" spans="1:26" ht="15.75" customHeight="1" x14ac:dyDescent="0.2">
      <c r="A166" s="34"/>
      <c r="B166" s="34"/>
      <c r="C166" s="34"/>
      <c r="D166" s="34"/>
      <c r="E166" s="19"/>
      <c r="F166" s="19"/>
      <c r="G166" s="19"/>
      <c r="H166" s="19"/>
      <c r="I166" s="19"/>
      <c r="J166" s="19"/>
      <c r="K166" s="19"/>
      <c r="L166" s="19"/>
      <c r="M166" s="19"/>
      <c r="N166" s="19"/>
      <c r="O166" s="19"/>
      <c r="P166" s="20"/>
      <c r="Q166" s="20"/>
      <c r="R166" s="22"/>
      <c r="S166" s="22"/>
      <c r="T166" s="20"/>
      <c r="U166" s="20"/>
      <c r="V166" s="20"/>
      <c r="W166" s="19"/>
      <c r="X166" s="19"/>
      <c r="Y166" s="19"/>
      <c r="Z166" s="23"/>
    </row>
    <row r="167" spans="1:26" ht="15.75" customHeight="1" x14ac:dyDescent="0.2">
      <c r="A167" s="34"/>
      <c r="B167" s="34"/>
      <c r="C167" s="34"/>
      <c r="D167" s="34"/>
      <c r="E167" s="19"/>
      <c r="F167" s="19"/>
      <c r="G167" s="19"/>
      <c r="H167" s="19"/>
      <c r="I167" s="19"/>
      <c r="J167" s="19"/>
      <c r="K167" s="19"/>
      <c r="L167" s="19"/>
      <c r="M167" s="19"/>
      <c r="N167" s="19"/>
      <c r="O167" s="19"/>
      <c r="P167" s="20"/>
      <c r="Q167" s="20"/>
      <c r="R167" s="22"/>
      <c r="S167" s="22"/>
      <c r="T167" s="20"/>
      <c r="U167" s="20"/>
      <c r="V167" s="20"/>
      <c r="W167" s="19"/>
      <c r="X167" s="19"/>
      <c r="Y167" s="19"/>
      <c r="Z167" s="23"/>
    </row>
    <row r="168" spans="1:26" ht="15.75" customHeight="1" x14ac:dyDescent="0.2">
      <c r="A168" s="34"/>
      <c r="B168" s="34"/>
      <c r="C168" s="34"/>
      <c r="D168" s="34"/>
      <c r="E168" s="19"/>
      <c r="F168" s="19"/>
      <c r="G168" s="19"/>
      <c r="H168" s="19"/>
      <c r="I168" s="19"/>
      <c r="J168" s="19"/>
      <c r="K168" s="19"/>
      <c r="L168" s="19"/>
      <c r="M168" s="19"/>
      <c r="N168" s="19"/>
      <c r="O168" s="19"/>
      <c r="P168" s="20"/>
      <c r="Q168" s="20"/>
      <c r="R168" s="22"/>
      <c r="S168" s="22"/>
      <c r="T168" s="20"/>
      <c r="U168" s="20"/>
      <c r="V168" s="20"/>
      <c r="W168" s="19"/>
      <c r="X168" s="19"/>
      <c r="Y168" s="19"/>
      <c r="Z168" s="23"/>
    </row>
    <row r="169" spans="1:26" ht="15.75" customHeight="1" x14ac:dyDescent="0.2">
      <c r="A169" s="34"/>
      <c r="B169" s="34"/>
      <c r="C169" s="34"/>
      <c r="D169" s="34"/>
      <c r="E169" s="19"/>
      <c r="F169" s="19"/>
      <c r="G169" s="19"/>
      <c r="H169" s="19"/>
      <c r="I169" s="19"/>
      <c r="J169" s="19"/>
      <c r="K169" s="19"/>
      <c r="L169" s="19"/>
      <c r="M169" s="19"/>
      <c r="N169" s="19"/>
      <c r="O169" s="19"/>
      <c r="P169" s="20"/>
      <c r="Q169" s="20"/>
      <c r="R169" s="22"/>
      <c r="S169" s="22"/>
      <c r="T169" s="20"/>
      <c r="U169" s="20"/>
      <c r="V169" s="20"/>
      <c r="W169" s="19"/>
      <c r="X169" s="19"/>
      <c r="Y169" s="19"/>
      <c r="Z169" s="23"/>
    </row>
    <row r="170" spans="1:26" ht="15.75" customHeight="1" x14ac:dyDescent="0.2">
      <c r="A170" s="34"/>
      <c r="B170" s="34"/>
      <c r="C170" s="34"/>
      <c r="D170" s="34"/>
      <c r="E170" s="19"/>
      <c r="F170" s="19"/>
      <c r="G170" s="19"/>
      <c r="H170" s="19"/>
      <c r="I170" s="19"/>
      <c r="J170" s="19"/>
      <c r="K170" s="19"/>
      <c r="L170" s="19"/>
      <c r="M170" s="19"/>
      <c r="N170" s="19"/>
      <c r="O170" s="19"/>
      <c r="P170" s="20"/>
      <c r="Q170" s="20"/>
      <c r="R170" s="22"/>
      <c r="S170" s="22"/>
      <c r="T170" s="20"/>
      <c r="U170" s="20"/>
      <c r="V170" s="20"/>
      <c r="W170" s="19"/>
      <c r="X170" s="19"/>
      <c r="Y170" s="19"/>
      <c r="Z170" s="23"/>
    </row>
    <row r="171" spans="1:26" ht="15.75" customHeight="1" x14ac:dyDescent="0.2">
      <c r="A171" s="34"/>
      <c r="B171" s="34"/>
      <c r="C171" s="34"/>
      <c r="D171" s="34"/>
      <c r="E171" s="19"/>
      <c r="F171" s="19"/>
      <c r="G171" s="19"/>
      <c r="H171" s="19"/>
      <c r="I171" s="19"/>
      <c r="J171" s="19"/>
      <c r="K171" s="19"/>
      <c r="L171" s="19"/>
      <c r="M171" s="19"/>
      <c r="N171" s="19"/>
      <c r="O171" s="19"/>
      <c r="P171" s="20"/>
      <c r="Q171" s="20"/>
      <c r="R171" s="22"/>
      <c r="S171" s="22"/>
      <c r="T171" s="20"/>
      <c r="U171" s="20"/>
      <c r="V171" s="20"/>
      <c r="W171" s="19"/>
      <c r="X171" s="19"/>
      <c r="Y171" s="19"/>
      <c r="Z171" s="23"/>
    </row>
    <row r="172" spans="1:26" ht="15.75" customHeight="1" x14ac:dyDescent="0.2">
      <c r="A172" s="34"/>
      <c r="B172" s="34"/>
      <c r="C172" s="34"/>
      <c r="D172" s="34"/>
      <c r="E172" s="19"/>
      <c r="F172" s="19"/>
      <c r="G172" s="19"/>
      <c r="H172" s="19"/>
      <c r="I172" s="19"/>
      <c r="J172" s="19"/>
      <c r="K172" s="19"/>
      <c r="L172" s="19"/>
      <c r="M172" s="19"/>
      <c r="N172" s="19"/>
      <c r="O172" s="19"/>
      <c r="P172" s="20"/>
      <c r="Q172" s="20"/>
      <c r="R172" s="22"/>
      <c r="S172" s="22"/>
      <c r="T172" s="20"/>
      <c r="U172" s="20"/>
      <c r="V172" s="20"/>
      <c r="W172" s="19"/>
      <c r="X172" s="19"/>
      <c r="Y172" s="19"/>
      <c r="Z172" s="23"/>
    </row>
    <row r="173" spans="1:26" ht="15.75" customHeight="1" x14ac:dyDescent="0.2">
      <c r="A173" s="34"/>
      <c r="B173" s="34"/>
      <c r="C173" s="34"/>
      <c r="D173" s="34"/>
      <c r="E173" s="19"/>
      <c r="F173" s="19"/>
      <c r="G173" s="19"/>
      <c r="H173" s="19"/>
      <c r="I173" s="19"/>
      <c r="J173" s="19"/>
      <c r="K173" s="19"/>
      <c r="L173" s="19"/>
      <c r="M173" s="19"/>
      <c r="N173" s="19"/>
      <c r="O173" s="19"/>
      <c r="P173" s="20"/>
      <c r="Q173" s="20"/>
      <c r="R173" s="22"/>
      <c r="S173" s="22"/>
      <c r="T173" s="20"/>
      <c r="U173" s="20"/>
      <c r="V173" s="20"/>
      <c r="W173" s="19"/>
      <c r="X173" s="19"/>
      <c r="Y173" s="19"/>
      <c r="Z173" s="23"/>
    </row>
    <row r="174" spans="1:26" ht="15.75" customHeight="1" x14ac:dyDescent="0.2">
      <c r="A174" s="34"/>
      <c r="B174" s="34"/>
      <c r="C174" s="34"/>
      <c r="D174" s="34"/>
      <c r="E174" s="19"/>
      <c r="F174" s="19"/>
      <c r="G174" s="19"/>
      <c r="H174" s="19"/>
      <c r="I174" s="19"/>
      <c r="J174" s="19"/>
      <c r="K174" s="19"/>
      <c r="L174" s="19"/>
      <c r="M174" s="19"/>
      <c r="N174" s="19"/>
      <c r="O174" s="19"/>
      <c r="P174" s="20"/>
      <c r="Q174" s="20"/>
      <c r="R174" s="22"/>
      <c r="S174" s="22"/>
      <c r="T174" s="20"/>
      <c r="U174" s="20"/>
      <c r="V174" s="20"/>
      <c r="W174" s="19"/>
      <c r="X174" s="19"/>
      <c r="Y174" s="19"/>
      <c r="Z174" s="23"/>
    </row>
    <row r="175" spans="1:26" ht="15.75" customHeight="1" x14ac:dyDescent="0.2">
      <c r="A175" s="34"/>
      <c r="B175" s="34"/>
      <c r="C175" s="34"/>
      <c r="D175" s="34"/>
      <c r="E175" s="19"/>
      <c r="F175" s="19"/>
      <c r="G175" s="19"/>
      <c r="H175" s="19"/>
      <c r="I175" s="19"/>
      <c r="J175" s="19"/>
      <c r="K175" s="19"/>
      <c r="L175" s="19"/>
      <c r="M175" s="19"/>
      <c r="N175" s="19"/>
      <c r="O175" s="19"/>
      <c r="P175" s="20"/>
      <c r="Q175" s="20"/>
      <c r="R175" s="22"/>
      <c r="S175" s="22"/>
      <c r="T175" s="20"/>
      <c r="U175" s="20"/>
      <c r="V175" s="20"/>
      <c r="W175" s="19"/>
      <c r="X175" s="19"/>
      <c r="Y175" s="19"/>
      <c r="Z175" s="23"/>
    </row>
    <row r="176" spans="1:26" ht="15.75" customHeight="1" x14ac:dyDescent="0.2">
      <c r="A176" s="34"/>
      <c r="B176" s="34"/>
      <c r="C176" s="34"/>
      <c r="D176" s="34"/>
      <c r="E176" s="19"/>
      <c r="F176" s="19"/>
      <c r="G176" s="19"/>
      <c r="H176" s="19"/>
      <c r="I176" s="19"/>
      <c r="J176" s="19"/>
      <c r="K176" s="19"/>
      <c r="L176" s="19"/>
      <c r="M176" s="19"/>
      <c r="N176" s="19"/>
      <c r="O176" s="19"/>
      <c r="P176" s="20"/>
      <c r="Q176" s="20"/>
      <c r="R176" s="22"/>
      <c r="S176" s="22"/>
      <c r="T176" s="20"/>
      <c r="U176" s="20"/>
      <c r="V176" s="20"/>
      <c r="W176" s="19"/>
      <c r="X176" s="19"/>
      <c r="Y176" s="19"/>
      <c r="Z176" s="23"/>
    </row>
    <row r="177" spans="1:26" ht="15.75" customHeight="1" x14ac:dyDescent="0.2">
      <c r="A177" s="34"/>
      <c r="B177" s="34"/>
      <c r="C177" s="34"/>
      <c r="D177" s="34"/>
      <c r="E177" s="19"/>
      <c r="F177" s="19"/>
      <c r="G177" s="19"/>
      <c r="H177" s="19"/>
      <c r="I177" s="19"/>
      <c r="J177" s="19"/>
      <c r="K177" s="19"/>
      <c r="L177" s="19"/>
      <c r="M177" s="19"/>
      <c r="N177" s="19"/>
      <c r="O177" s="19"/>
      <c r="P177" s="20"/>
      <c r="Q177" s="20"/>
      <c r="R177" s="22"/>
      <c r="S177" s="22"/>
      <c r="T177" s="20"/>
      <c r="U177" s="20"/>
      <c r="V177" s="20"/>
      <c r="W177" s="19"/>
      <c r="X177" s="19"/>
      <c r="Y177" s="19"/>
      <c r="Z177" s="23"/>
    </row>
    <row r="178" spans="1:26" ht="15.75" customHeight="1" x14ac:dyDescent="0.2">
      <c r="A178" s="34"/>
      <c r="B178" s="34"/>
      <c r="C178" s="34"/>
      <c r="D178" s="34"/>
      <c r="E178" s="19"/>
      <c r="F178" s="19"/>
      <c r="G178" s="19"/>
      <c r="H178" s="19"/>
      <c r="I178" s="19"/>
      <c r="J178" s="19"/>
      <c r="K178" s="19"/>
      <c r="L178" s="19"/>
      <c r="M178" s="19"/>
      <c r="N178" s="19"/>
      <c r="O178" s="19"/>
      <c r="P178" s="20"/>
      <c r="Q178" s="20"/>
      <c r="R178" s="22"/>
      <c r="S178" s="22"/>
      <c r="T178" s="20"/>
      <c r="U178" s="20"/>
      <c r="V178" s="20"/>
      <c r="W178" s="19"/>
      <c r="X178" s="19"/>
      <c r="Y178" s="19"/>
      <c r="Z178" s="23"/>
    </row>
    <row r="179" spans="1:26" ht="15.75" customHeight="1" x14ac:dyDescent="0.2">
      <c r="A179" s="34"/>
      <c r="B179" s="34"/>
      <c r="C179" s="34"/>
      <c r="D179" s="34"/>
      <c r="E179" s="19"/>
      <c r="F179" s="19"/>
      <c r="G179" s="19"/>
      <c r="H179" s="19"/>
      <c r="I179" s="19"/>
      <c r="J179" s="19"/>
      <c r="K179" s="19"/>
      <c r="L179" s="19"/>
      <c r="M179" s="19"/>
      <c r="N179" s="19"/>
      <c r="O179" s="19"/>
      <c r="P179" s="20"/>
      <c r="Q179" s="20"/>
      <c r="R179" s="22"/>
      <c r="S179" s="22"/>
      <c r="T179" s="20"/>
      <c r="U179" s="20"/>
      <c r="V179" s="20"/>
      <c r="W179" s="19"/>
      <c r="X179" s="19"/>
      <c r="Y179" s="19"/>
      <c r="Z179" s="23"/>
    </row>
    <row r="180" spans="1:26" ht="15.75" customHeight="1" x14ac:dyDescent="0.2">
      <c r="A180" s="34"/>
      <c r="B180" s="34"/>
      <c r="C180" s="34"/>
      <c r="D180" s="34"/>
      <c r="E180" s="19"/>
      <c r="F180" s="19"/>
      <c r="G180" s="19"/>
      <c r="H180" s="19"/>
      <c r="I180" s="19"/>
      <c r="J180" s="19"/>
      <c r="K180" s="19"/>
      <c r="L180" s="19"/>
      <c r="M180" s="19"/>
      <c r="N180" s="19"/>
      <c r="O180" s="19"/>
      <c r="P180" s="20"/>
      <c r="Q180" s="20"/>
      <c r="R180" s="22"/>
      <c r="S180" s="22"/>
      <c r="T180" s="20"/>
      <c r="U180" s="20"/>
      <c r="V180" s="20"/>
      <c r="W180" s="19"/>
      <c r="X180" s="19"/>
      <c r="Y180" s="19"/>
      <c r="Z180" s="23"/>
    </row>
    <row r="181" spans="1:26" ht="15.75" customHeight="1" x14ac:dyDescent="0.2">
      <c r="A181" s="34"/>
      <c r="B181" s="34"/>
      <c r="C181" s="34"/>
      <c r="D181" s="34"/>
      <c r="E181" s="19"/>
      <c r="F181" s="19"/>
      <c r="G181" s="19"/>
      <c r="H181" s="19"/>
      <c r="I181" s="19"/>
      <c r="J181" s="19"/>
      <c r="K181" s="19"/>
      <c r="L181" s="19"/>
      <c r="M181" s="19"/>
      <c r="N181" s="19"/>
      <c r="O181" s="19"/>
      <c r="P181" s="20"/>
      <c r="Q181" s="20"/>
      <c r="R181" s="22"/>
      <c r="S181" s="22"/>
      <c r="T181" s="20"/>
      <c r="U181" s="20"/>
      <c r="V181" s="20"/>
      <c r="W181" s="19"/>
      <c r="X181" s="19"/>
      <c r="Y181" s="19"/>
      <c r="Z181" s="23"/>
    </row>
    <row r="182" spans="1:26" ht="15.75" customHeight="1" x14ac:dyDescent="0.2">
      <c r="A182" s="34"/>
      <c r="B182" s="34"/>
      <c r="C182" s="34"/>
      <c r="D182" s="34"/>
      <c r="E182" s="19"/>
      <c r="F182" s="19"/>
      <c r="G182" s="19"/>
      <c r="H182" s="19"/>
      <c r="I182" s="19"/>
      <c r="J182" s="19"/>
      <c r="K182" s="19"/>
      <c r="L182" s="19"/>
      <c r="M182" s="19"/>
      <c r="N182" s="19"/>
      <c r="O182" s="19"/>
      <c r="P182" s="20"/>
      <c r="Q182" s="20"/>
      <c r="R182" s="22"/>
      <c r="S182" s="22"/>
      <c r="T182" s="20"/>
      <c r="U182" s="20"/>
      <c r="V182" s="20"/>
      <c r="W182" s="19"/>
      <c r="X182" s="19"/>
      <c r="Y182" s="19"/>
      <c r="Z182" s="23"/>
    </row>
    <row r="183" spans="1:26" ht="15.75" customHeight="1" x14ac:dyDescent="0.2">
      <c r="A183" s="34"/>
      <c r="B183" s="34"/>
      <c r="C183" s="34"/>
      <c r="D183" s="34"/>
      <c r="E183" s="19"/>
      <c r="F183" s="19"/>
      <c r="G183" s="19"/>
      <c r="H183" s="19"/>
      <c r="I183" s="19"/>
      <c r="J183" s="19"/>
      <c r="K183" s="19"/>
      <c r="L183" s="19"/>
      <c r="M183" s="19"/>
      <c r="N183" s="19"/>
      <c r="O183" s="19"/>
      <c r="P183" s="20"/>
      <c r="Q183" s="20"/>
      <c r="R183" s="22"/>
      <c r="S183" s="22"/>
      <c r="T183" s="20"/>
      <c r="U183" s="20"/>
      <c r="V183" s="20"/>
      <c r="W183" s="19"/>
      <c r="X183" s="19"/>
      <c r="Y183" s="19"/>
      <c r="Z183" s="23"/>
    </row>
    <row r="184" spans="1:26" ht="15.75" customHeight="1" x14ac:dyDescent="0.2">
      <c r="A184" s="34"/>
      <c r="B184" s="34"/>
      <c r="C184" s="34"/>
      <c r="D184" s="34"/>
      <c r="E184" s="19"/>
      <c r="F184" s="19"/>
      <c r="G184" s="19"/>
      <c r="H184" s="19"/>
      <c r="I184" s="19"/>
      <c r="J184" s="19"/>
      <c r="K184" s="19"/>
      <c r="L184" s="19"/>
      <c r="M184" s="19"/>
      <c r="N184" s="19"/>
      <c r="O184" s="19"/>
      <c r="P184" s="20"/>
      <c r="Q184" s="20"/>
      <c r="R184" s="22"/>
      <c r="S184" s="22"/>
      <c r="T184" s="20"/>
      <c r="U184" s="20"/>
      <c r="V184" s="20"/>
      <c r="W184" s="19"/>
      <c r="X184" s="19"/>
      <c r="Y184" s="19"/>
      <c r="Z184" s="23"/>
    </row>
    <row r="185" spans="1:26" ht="15.75" customHeight="1" x14ac:dyDescent="0.2">
      <c r="A185" s="34"/>
      <c r="B185" s="34"/>
      <c r="C185" s="34"/>
      <c r="D185" s="34"/>
      <c r="E185" s="19"/>
      <c r="F185" s="19"/>
      <c r="G185" s="19"/>
      <c r="H185" s="19"/>
      <c r="I185" s="19"/>
      <c r="J185" s="19"/>
      <c r="K185" s="19"/>
      <c r="L185" s="19"/>
      <c r="M185" s="19"/>
      <c r="N185" s="19"/>
      <c r="O185" s="19"/>
      <c r="P185" s="20"/>
      <c r="Q185" s="20"/>
      <c r="R185" s="22"/>
      <c r="S185" s="22"/>
      <c r="T185" s="20"/>
      <c r="U185" s="20"/>
      <c r="V185" s="20"/>
      <c r="W185" s="19"/>
      <c r="X185" s="19"/>
      <c r="Y185" s="19"/>
      <c r="Z185" s="23"/>
    </row>
    <row r="186" spans="1:26" ht="15.75" customHeight="1" x14ac:dyDescent="0.2">
      <c r="A186" s="34"/>
      <c r="B186" s="34"/>
      <c r="C186" s="34"/>
      <c r="D186" s="34"/>
      <c r="E186" s="19"/>
      <c r="F186" s="19"/>
      <c r="G186" s="19"/>
      <c r="H186" s="19"/>
      <c r="I186" s="19"/>
      <c r="J186" s="19"/>
      <c r="K186" s="19"/>
      <c r="L186" s="19"/>
      <c r="M186" s="19"/>
      <c r="N186" s="19"/>
      <c r="O186" s="19"/>
      <c r="P186" s="20"/>
      <c r="Q186" s="20"/>
      <c r="R186" s="22"/>
      <c r="S186" s="22"/>
      <c r="T186" s="20"/>
      <c r="U186" s="20"/>
      <c r="V186" s="20"/>
      <c r="W186" s="19"/>
      <c r="X186" s="19"/>
      <c r="Y186" s="19"/>
      <c r="Z186" s="23"/>
    </row>
    <row r="187" spans="1:26" ht="15.75" customHeight="1" x14ac:dyDescent="0.2">
      <c r="A187" s="34"/>
      <c r="B187" s="34"/>
      <c r="C187" s="34"/>
      <c r="D187" s="34"/>
      <c r="E187" s="19"/>
      <c r="F187" s="19"/>
      <c r="G187" s="19"/>
      <c r="H187" s="19"/>
      <c r="I187" s="19"/>
      <c r="J187" s="19"/>
      <c r="K187" s="19"/>
      <c r="L187" s="19"/>
      <c r="M187" s="19"/>
      <c r="N187" s="19"/>
      <c r="O187" s="19"/>
      <c r="P187" s="20"/>
      <c r="Q187" s="20"/>
      <c r="R187" s="22"/>
      <c r="S187" s="22"/>
      <c r="T187" s="20"/>
      <c r="U187" s="20"/>
      <c r="V187" s="20"/>
      <c r="W187" s="19"/>
      <c r="X187" s="19"/>
      <c r="Y187" s="19"/>
      <c r="Z187" s="23"/>
    </row>
    <row r="188" spans="1:26" ht="15.75" customHeight="1" x14ac:dyDescent="0.2">
      <c r="A188" s="34"/>
      <c r="B188" s="34"/>
      <c r="C188" s="34"/>
      <c r="D188" s="34"/>
      <c r="E188" s="19"/>
      <c r="F188" s="19"/>
      <c r="G188" s="19"/>
      <c r="H188" s="19"/>
      <c r="I188" s="19"/>
      <c r="J188" s="19"/>
      <c r="K188" s="19"/>
      <c r="L188" s="19"/>
      <c r="M188" s="19"/>
      <c r="N188" s="19"/>
      <c r="O188" s="19"/>
      <c r="P188" s="20"/>
      <c r="Q188" s="20"/>
      <c r="R188" s="22"/>
      <c r="S188" s="22"/>
      <c r="T188" s="20"/>
      <c r="U188" s="20"/>
      <c r="V188" s="20"/>
      <c r="W188" s="19"/>
      <c r="X188" s="19"/>
      <c r="Y188" s="19"/>
      <c r="Z188" s="23"/>
    </row>
    <row r="189" spans="1:26" ht="15.75" customHeight="1" x14ac:dyDescent="0.2">
      <c r="A189" s="34"/>
      <c r="B189" s="34"/>
      <c r="C189" s="34"/>
      <c r="D189" s="34"/>
      <c r="E189" s="19"/>
      <c r="F189" s="19"/>
      <c r="G189" s="19"/>
      <c r="H189" s="19"/>
      <c r="I189" s="19"/>
      <c r="J189" s="19"/>
      <c r="K189" s="19"/>
      <c r="L189" s="19"/>
      <c r="M189" s="19"/>
      <c r="N189" s="19"/>
      <c r="O189" s="19"/>
      <c r="P189" s="20"/>
      <c r="Q189" s="20"/>
      <c r="R189" s="22"/>
      <c r="S189" s="22"/>
      <c r="T189" s="20"/>
      <c r="U189" s="20"/>
      <c r="V189" s="20"/>
      <c r="W189" s="19"/>
      <c r="X189" s="19"/>
      <c r="Y189" s="19"/>
      <c r="Z189" s="23"/>
    </row>
    <row r="190" spans="1:26" ht="15.75" customHeight="1" x14ac:dyDescent="0.2">
      <c r="A190" s="34"/>
      <c r="B190" s="34"/>
      <c r="C190" s="34"/>
      <c r="D190" s="34"/>
      <c r="E190" s="19"/>
      <c r="F190" s="19"/>
      <c r="G190" s="19"/>
      <c r="H190" s="19"/>
      <c r="I190" s="19"/>
      <c r="J190" s="19"/>
      <c r="K190" s="19"/>
      <c r="L190" s="19"/>
      <c r="M190" s="19"/>
      <c r="N190" s="19"/>
      <c r="O190" s="19"/>
      <c r="P190" s="20"/>
      <c r="Q190" s="20"/>
      <c r="R190" s="22"/>
      <c r="S190" s="22"/>
      <c r="T190" s="20"/>
      <c r="U190" s="20"/>
      <c r="V190" s="20"/>
      <c r="W190" s="19"/>
      <c r="X190" s="19"/>
      <c r="Y190" s="19"/>
      <c r="Z190" s="23"/>
    </row>
    <row r="191" spans="1:26" ht="15.75" customHeight="1" x14ac:dyDescent="0.2">
      <c r="A191" s="34"/>
      <c r="B191" s="34"/>
      <c r="C191" s="34"/>
      <c r="D191" s="34"/>
      <c r="E191" s="19"/>
      <c r="F191" s="19"/>
      <c r="G191" s="19"/>
      <c r="H191" s="19"/>
      <c r="I191" s="19"/>
      <c r="J191" s="19"/>
      <c r="K191" s="19"/>
      <c r="L191" s="19"/>
      <c r="M191" s="19"/>
      <c r="N191" s="19"/>
      <c r="O191" s="19"/>
      <c r="P191" s="20"/>
      <c r="Q191" s="20"/>
      <c r="R191" s="22"/>
      <c r="S191" s="22"/>
      <c r="T191" s="20"/>
      <c r="U191" s="20"/>
      <c r="V191" s="20"/>
      <c r="W191" s="19"/>
      <c r="X191" s="19"/>
      <c r="Y191" s="19"/>
      <c r="Z191" s="23"/>
    </row>
    <row r="192" spans="1:26" ht="15.75" customHeight="1" x14ac:dyDescent="0.2">
      <c r="A192" s="34"/>
      <c r="B192" s="34"/>
      <c r="C192" s="34"/>
      <c r="D192" s="34"/>
      <c r="E192" s="19"/>
      <c r="F192" s="19"/>
      <c r="G192" s="19"/>
      <c r="H192" s="19"/>
      <c r="I192" s="19"/>
      <c r="J192" s="19"/>
      <c r="K192" s="19"/>
      <c r="L192" s="19"/>
      <c r="M192" s="19"/>
      <c r="N192" s="19"/>
      <c r="O192" s="19"/>
      <c r="P192" s="20"/>
      <c r="Q192" s="20"/>
      <c r="R192" s="22"/>
      <c r="S192" s="22"/>
      <c r="T192" s="20"/>
      <c r="U192" s="20"/>
      <c r="V192" s="20"/>
      <c r="W192" s="19"/>
      <c r="X192" s="19"/>
      <c r="Y192" s="19"/>
      <c r="Z192" s="23"/>
    </row>
    <row r="193" spans="1:26" ht="15.75" customHeight="1" x14ac:dyDescent="0.2">
      <c r="A193" s="34"/>
      <c r="B193" s="34"/>
      <c r="C193" s="34"/>
      <c r="D193" s="34"/>
      <c r="E193" s="19"/>
      <c r="F193" s="19"/>
      <c r="G193" s="19"/>
      <c r="H193" s="19"/>
      <c r="I193" s="19"/>
      <c r="J193" s="19"/>
      <c r="K193" s="19"/>
      <c r="L193" s="19"/>
      <c r="M193" s="19"/>
      <c r="N193" s="19"/>
      <c r="O193" s="19"/>
      <c r="P193" s="20"/>
      <c r="Q193" s="20"/>
      <c r="R193" s="22"/>
      <c r="S193" s="22"/>
      <c r="T193" s="20"/>
      <c r="U193" s="20"/>
      <c r="V193" s="20"/>
      <c r="W193" s="19"/>
      <c r="X193" s="19"/>
      <c r="Y193" s="19"/>
      <c r="Z193" s="23"/>
    </row>
    <row r="194" spans="1:26" ht="15.75" customHeight="1" x14ac:dyDescent="0.2">
      <c r="A194" s="34"/>
      <c r="B194" s="34"/>
      <c r="C194" s="34"/>
      <c r="D194" s="34"/>
      <c r="E194" s="19"/>
      <c r="F194" s="19"/>
      <c r="G194" s="19"/>
      <c r="H194" s="19"/>
      <c r="I194" s="19"/>
      <c r="J194" s="19"/>
      <c r="K194" s="19"/>
      <c r="L194" s="19"/>
      <c r="M194" s="19"/>
      <c r="N194" s="19"/>
      <c r="O194" s="19"/>
      <c r="P194" s="20"/>
      <c r="Q194" s="20"/>
      <c r="R194" s="22"/>
      <c r="S194" s="22"/>
      <c r="T194" s="20"/>
      <c r="U194" s="20"/>
      <c r="V194" s="20"/>
      <c r="W194" s="19"/>
      <c r="X194" s="19"/>
      <c r="Y194" s="19"/>
      <c r="Z194" s="23"/>
    </row>
    <row r="195" spans="1:26" ht="15.75" customHeight="1" x14ac:dyDescent="0.2">
      <c r="A195" s="34"/>
      <c r="B195" s="34"/>
      <c r="C195" s="34"/>
      <c r="D195" s="34"/>
      <c r="E195" s="19"/>
      <c r="F195" s="19"/>
      <c r="G195" s="19"/>
      <c r="H195" s="19"/>
      <c r="I195" s="19"/>
      <c r="J195" s="19"/>
      <c r="K195" s="19"/>
      <c r="L195" s="19"/>
      <c r="M195" s="19"/>
      <c r="N195" s="19"/>
      <c r="O195" s="19"/>
      <c r="P195" s="20"/>
      <c r="Q195" s="20"/>
      <c r="R195" s="22"/>
      <c r="S195" s="22"/>
      <c r="T195" s="20"/>
      <c r="U195" s="20"/>
      <c r="V195" s="20"/>
      <c r="W195" s="19"/>
      <c r="X195" s="19"/>
      <c r="Y195" s="19"/>
      <c r="Z195" s="23"/>
    </row>
    <row r="196" spans="1:26" ht="15.75" customHeight="1" x14ac:dyDescent="0.2">
      <c r="A196" s="34"/>
      <c r="B196" s="34"/>
      <c r="C196" s="34"/>
      <c r="D196" s="34"/>
      <c r="E196" s="19"/>
      <c r="F196" s="19"/>
      <c r="G196" s="19"/>
      <c r="H196" s="19"/>
      <c r="I196" s="19"/>
      <c r="J196" s="19"/>
      <c r="K196" s="19"/>
      <c r="L196" s="19"/>
      <c r="M196" s="19"/>
      <c r="N196" s="19"/>
      <c r="O196" s="19"/>
      <c r="P196" s="20"/>
      <c r="Q196" s="20"/>
      <c r="R196" s="22"/>
      <c r="S196" s="22"/>
      <c r="T196" s="20"/>
      <c r="U196" s="20"/>
      <c r="V196" s="20"/>
      <c r="W196" s="19"/>
      <c r="X196" s="19"/>
      <c r="Y196" s="19"/>
      <c r="Z196" s="23"/>
    </row>
    <row r="197" spans="1:26" ht="15.75" customHeight="1" x14ac:dyDescent="0.2">
      <c r="A197" s="34"/>
      <c r="B197" s="34"/>
      <c r="C197" s="34"/>
      <c r="D197" s="34"/>
      <c r="E197" s="19"/>
      <c r="F197" s="19"/>
      <c r="G197" s="19"/>
      <c r="H197" s="19"/>
      <c r="I197" s="19"/>
      <c r="J197" s="19"/>
      <c r="K197" s="19"/>
      <c r="L197" s="19"/>
      <c r="M197" s="19"/>
      <c r="N197" s="19"/>
      <c r="O197" s="19"/>
      <c r="P197" s="20"/>
      <c r="Q197" s="20"/>
      <c r="R197" s="22"/>
      <c r="S197" s="22"/>
      <c r="T197" s="20"/>
      <c r="U197" s="20"/>
      <c r="V197" s="20"/>
      <c r="W197" s="19"/>
      <c r="X197" s="19"/>
      <c r="Y197" s="19"/>
      <c r="Z197" s="23"/>
    </row>
    <row r="198" spans="1:26" ht="15.75" customHeight="1" x14ac:dyDescent="0.2">
      <c r="A198" s="34"/>
      <c r="B198" s="34"/>
      <c r="C198" s="34"/>
      <c r="D198" s="34"/>
      <c r="E198" s="19"/>
      <c r="F198" s="19"/>
      <c r="G198" s="19"/>
      <c r="H198" s="19"/>
      <c r="I198" s="19"/>
      <c r="J198" s="19"/>
      <c r="K198" s="19"/>
      <c r="L198" s="19"/>
      <c r="M198" s="19"/>
      <c r="N198" s="19"/>
      <c r="O198" s="19"/>
      <c r="P198" s="20"/>
      <c r="Q198" s="20"/>
      <c r="R198" s="22"/>
      <c r="S198" s="22"/>
      <c r="T198" s="20"/>
      <c r="U198" s="20"/>
      <c r="V198" s="20"/>
      <c r="W198" s="19"/>
      <c r="X198" s="19"/>
      <c r="Y198" s="19"/>
      <c r="Z198" s="23"/>
    </row>
    <row r="199" spans="1:26" ht="15.75" customHeight="1" x14ac:dyDescent="0.2">
      <c r="A199" s="34"/>
      <c r="B199" s="34"/>
      <c r="C199" s="34"/>
      <c r="D199" s="34"/>
      <c r="E199" s="19"/>
      <c r="F199" s="19"/>
      <c r="G199" s="19"/>
      <c r="H199" s="19"/>
      <c r="I199" s="19"/>
      <c r="J199" s="19"/>
      <c r="K199" s="19"/>
      <c r="L199" s="19"/>
      <c r="M199" s="19"/>
      <c r="N199" s="19"/>
      <c r="O199" s="19"/>
      <c r="P199" s="20"/>
      <c r="Q199" s="20"/>
      <c r="R199" s="22"/>
      <c r="S199" s="22"/>
      <c r="T199" s="20"/>
      <c r="U199" s="20"/>
      <c r="V199" s="20"/>
      <c r="W199" s="19"/>
      <c r="X199" s="19"/>
      <c r="Y199" s="19"/>
      <c r="Z199" s="23"/>
    </row>
    <row r="200" spans="1:26" ht="15.75" customHeight="1" x14ac:dyDescent="0.2">
      <c r="A200" s="34"/>
      <c r="B200" s="34"/>
      <c r="C200" s="34"/>
      <c r="D200" s="34"/>
      <c r="E200" s="19"/>
      <c r="F200" s="19"/>
      <c r="G200" s="19"/>
      <c r="H200" s="19"/>
      <c r="I200" s="19"/>
      <c r="J200" s="19"/>
      <c r="K200" s="19"/>
      <c r="L200" s="19"/>
      <c r="M200" s="19"/>
      <c r="N200" s="19"/>
      <c r="O200" s="19"/>
      <c r="P200" s="20"/>
      <c r="Q200" s="20"/>
      <c r="R200" s="22"/>
      <c r="S200" s="22"/>
      <c r="T200" s="20"/>
      <c r="U200" s="20"/>
      <c r="V200" s="20"/>
      <c r="W200" s="19"/>
      <c r="X200" s="19"/>
      <c r="Y200" s="19"/>
      <c r="Z200" s="23"/>
    </row>
    <row r="201" spans="1:26" ht="15.75" customHeight="1" x14ac:dyDescent="0.2">
      <c r="A201" s="34"/>
      <c r="B201" s="34"/>
      <c r="C201" s="34"/>
      <c r="D201" s="34"/>
      <c r="E201" s="19"/>
      <c r="F201" s="19"/>
      <c r="G201" s="19"/>
      <c r="H201" s="19"/>
      <c r="I201" s="19"/>
      <c r="J201" s="19"/>
      <c r="K201" s="19"/>
      <c r="L201" s="19"/>
      <c r="M201" s="19"/>
      <c r="N201" s="19"/>
      <c r="O201" s="19"/>
      <c r="P201" s="20"/>
      <c r="Q201" s="20"/>
      <c r="R201" s="22"/>
      <c r="S201" s="22"/>
      <c r="T201" s="20"/>
      <c r="U201" s="20"/>
      <c r="V201" s="20"/>
      <c r="W201" s="19"/>
      <c r="X201" s="19"/>
      <c r="Y201" s="19"/>
      <c r="Z201" s="23"/>
    </row>
    <row r="202" spans="1:26" ht="15.75" customHeight="1" x14ac:dyDescent="0.2">
      <c r="A202" s="34"/>
      <c r="B202" s="34"/>
      <c r="C202" s="34"/>
      <c r="D202" s="34"/>
      <c r="E202" s="19"/>
      <c r="F202" s="19"/>
      <c r="G202" s="19"/>
      <c r="H202" s="19"/>
      <c r="I202" s="19"/>
      <c r="J202" s="19"/>
      <c r="K202" s="19"/>
      <c r="L202" s="19"/>
      <c r="M202" s="19"/>
      <c r="N202" s="19"/>
      <c r="O202" s="19"/>
      <c r="P202" s="20"/>
      <c r="Q202" s="20"/>
      <c r="R202" s="22"/>
      <c r="S202" s="22"/>
      <c r="T202" s="20"/>
      <c r="U202" s="20"/>
      <c r="V202" s="20"/>
      <c r="W202" s="19"/>
      <c r="X202" s="19"/>
      <c r="Y202" s="19"/>
      <c r="Z202" s="23"/>
    </row>
    <row r="203" spans="1:26" ht="15.75" customHeight="1" x14ac:dyDescent="0.2">
      <c r="A203" s="34"/>
      <c r="B203" s="34"/>
      <c r="C203" s="34"/>
      <c r="D203" s="34"/>
      <c r="E203" s="19"/>
      <c r="F203" s="19"/>
      <c r="G203" s="19"/>
      <c r="H203" s="19"/>
      <c r="I203" s="19"/>
      <c r="J203" s="19"/>
      <c r="K203" s="19"/>
      <c r="L203" s="19"/>
      <c r="M203" s="19"/>
      <c r="N203" s="19"/>
      <c r="O203" s="19"/>
      <c r="P203" s="20"/>
      <c r="Q203" s="20"/>
      <c r="R203" s="22"/>
      <c r="S203" s="22"/>
      <c r="T203" s="20"/>
      <c r="U203" s="20"/>
      <c r="V203" s="20"/>
      <c r="W203" s="19"/>
      <c r="X203" s="19"/>
      <c r="Y203" s="19"/>
      <c r="Z203" s="23"/>
    </row>
    <row r="204" spans="1:26" ht="15.75" customHeight="1" x14ac:dyDescent="0.2">
      <c r="A204" s="34"/>
      <c r="B204" s="34"/>
      <c r="C204" s="34"/>
      <c r="D204" s="34"/>
      <c r="E204" s="19"/>
      <c r="F204" s="19"/>
      <c r="G204" s="19"/>
      <c r="H204" s="19"/>
      <c r="I204" s="19"/>
      <c r="J204" s="19"/>
      <c r="K204" s="19"/>
      <c r="L204" s="19"/>
      <c r="M204" s="19"/>
      <c r="N204" s="19"/>
      <c r="O204" s="19"/>
      <c r="P204" s="20"/>
      <c r="Q204" s="20"/>
      <c r="R204" s="22"/>
      <c r="S204" s="22"/>
      <c r="T204" s="20"/>
      <c r="U204" s="20"/>
      <c r="V204" s="20"/>
      <c r="W204" s="19"/>
      <c r="X204" s="19"/>
      <c r="Y204" s="19"/>
      <c r="Z204" s="23"/>
    </row>
    <row r="205" spans="1:26" ht="15.75" customHeight="1" x14ac:dyDescent="0.2">
      <c r="A205" s="34"/>
      <c r="B205" s="34"/>
      <c r="C205" s="34"/>
      <c r="D205" s="34"/>
      <c r="E205" s="19"/>
      <c r="F205" s="19"/>
      <c r="G205" s="19"/>
      <c r="H205" s="19"/>
      <c r="I205" s="19"/>
      <c r="J205" s="19"/>
      <c r="K205" s="19"/>
      <c r="L205" s="19"/>
      <c r="M205" s="19"/>
      <c r="N205" s="19"/>
      <c r="O205" s="19"/>
      <c r="P205" s="20"/>
      <c r="Q205" s="20"/>
      <c r="R205" s="22"/>
      <c r="S205" s="22"/>
      <c r="T205" s="20"/>
      <c r="U205" s="20"/>
      <c r="V205" s="20"/>
      <c r="W205" s="19"/>
      <c r="X205" s="19"/>
      <c r="Y205" s="19"/>
      <c r="Z205" s="23"/>
    </row>
    <row r="206" spans="1:26" ht="15.75" customHeight="1" x14ac:dyDescent="0.2">
      <c r="A206" s="34"/>
      <c r="B206" s="34"/>
      <c r="C206" s="34"/>
      <c r="D206" s="34"/>
      <c r="E206" s="19"/>
      <c r="F206" s="19"/>
      <c r="G206" s="19"/>
      <c r="H206" s="19"/>
      <c r="I206" s="19"/>
      <c r="J206" s="19"/>
      <c r="K206" s="19"/>
      <c r="L206" s="19"/>
      <c r="M206" s="19"/>
      <c r="N206" s="19"/>
      <c r="O206" s="19"/>
      <c r="P206" s="20"/>
      <c r="Q206" s="20"/>
      <c r="R206" s="22"/>
      <c r="S206" s="22"/>
      <c r="T206" s="20"/>
      <c r="U206" s="20"/>
      <c r="V206" s="20"/>
      <c r="W206" s="19"/>
      <c r="X206" s="19"/>
      <c r="Y206" s="19"/>
      <c r="Z206" s="23"/>
    </row>
    <row r="207" spans="1:26" ht="15.75" customHeight="1" x14ac:dyDescent="0.2">
      <c r="A207" s="34"/>
      <c r="B207" s="34"/>
      <c r="C207" s="34"/>
      <c r="D207" s="34"/>
      <c r="E207" s="19"/>
      <c r="F207" s="19"/>
      <c r="G207" s="19"/>
      <c r="H207" s="19"/>
      <c r="I207" s="19"/>
      <c r="J207" s="19"/>
      <c r="K207" s="19"/>
      <c r="L207" s="19"/>
      <c r="M207" s="19"/>
      <c r="N207" s="19"/>
      <c r="O207" s="19"/>
      <c r="P207" s="20"/>
      <c r="Q207" s="20"/>
      <c r="R207" s="22"/>
      <c r="S207" s="22"/>
      <c r="T207" s="20"/>
      <c r="U207" s="20"/>
      <c r="V207" s="20"/>
      <c r="W207" s="19"/>
      <c r="X207" s="19"/>
      <c r="Y207" s="19"/>
      <c r="Z207" s="23"/>
    </row>
    <row r="208" spans="1:26" ht="15.75" customHeight="1" x14ac:dyDescent="0.2">
      <c r="A208" s="34"/>
      <c r="B208" s="34"/>
      <c r="C208" s="34"/>
      <c r="D208" s="34"/>
      <c r="E208" s="19"/>
      <c r="F208" s="19"/>
      <c r="G208" s="19"/>
      <c r="H208" s="19"/>
      <c r="I208" s="19"/>
      <c r="J208" s="19"/>
      <c r="K208" s="19"/>
      <c r="L208" s="19"/>
      <c r="M208" s="19"/>
      <c r="N208" s="19"/>
      <c r="O208" s="19"/>
      <c r="P208" s="20"/>
      <c r="Q208" s="20"/>
      <c r="R208" s="22"/>
      <c r="S208" s="22"/>
      <c r="T208" s="20"/>
      <c r="U208" s="20"/>
      <c r="V208" s="20"/>
      <c r="W208" s="19"/>
      <c r="X208" s="19"/>
      <c r="Y208" s="19"/>
      <c r="Z208" s="23"/>
    </row>
    <row r="209" spans="1:26" ht="15.75" customHeight="1" x14ac:dyDescent="0.2">
      <c r="A209" s="34"/>
      <c r="B209" s="34"/>
      <c r="C209" s="34"/>
      <c r="D209" s="34"/>
      <c r="E209" s="19"/>
      <c r="F209" s="19"/>
      <c r="G209" s="19"/>
      <c r="H209" s="19"/>
      <c r="I209" s="19"/>
      <c r="J209" s="19"/>
      <c r="K209" s="19"/>
      <c r="L209" s="19"/>
      <c r="M209" s="19"/>
      <c r="N209" s="19"/>
      <c r="O209" s="19"/>
      <c r="P209" s="20"/>
      <c r="Q209" s="20"/>
      <c r="R209" s="22"/>
      <c r="S209" s="22"/>
      <c r="T209" s="20"/>
      <c r="U209" s="20"/>
      <c r="V209" s="20"/>
      <c r="W209" s="19"/>
      <c r="X209" s="19"/>
      <c r="Y209" s="19"/>
      <c r="Z209" s="23"/>
    </row>
    <row r="210" spans="1:26" ht="15.75" customHeight="1" x14ac:dyDescent="0.2">
      <c r="A210" s="34"/>
      <c r="B210" s="34"/>
      <c r="C210" s="34"/>
      <c r="D210" s="34"/>
      <c r="E210" s="19"/>
      <c r="F210" s="19"/>
      <c r="G210" s="19"/>
      <c r="H210" s="19"/>
      <c r="I210" s="19"/>
      <c r="J210" s="19"/>
      <c r="K210" s="19"/>
      <c r="L210" s="19"/>
      <c r="M210" s="19"/>
      <c r="N210" s="19"/>
      <c r="O210" s="19"/>
      <c r="P210" s="20"/>
      <c r="Q210" s="20"/>
      <c r="R210" s="22"/>
      <c r="S210" s="22"/>
      <c r="T210" s="20"/>
      <c r="U210" s="20"/>
      <c r="V210" s="20"/>
      <c r="W210" s="19"/>
      <c r="X210" s="19"/>
      <c r="Y210" s="19"/>
      <c r="Z210" s="23"/>
    </row>
    <row r="211" spans="1:26" ht="15.75" customHeight="1" x14ac:dyDescent="0.2">
      <c r="A211" s="34"/>
      <c r="B211" s="34"/>
      <c r="C211" s="34"/>
      <c r="D211" s="34"/>
      <c r="E211" s="19"/>
      <c r="F211" s="19"/>
      <c r="G211" s="19"/>
      <c r="H211" s="19"/>
      <c r="I211" s="19"/>
      <c r="J211" s="19"/>
      <c r="K211" s="19"/>
      <c r="L211" s="19"/>
      <c r="M211" s="19"/>
      <c r="N211" s="19"/>
      <c r="O211" s="19"/>
      <c r="P211" s="20"/>
      <c r="Q211" s="20"/>
      <c r="R211" s="22"/>
      <c r="S211" s="22"/>
      <c r="T211" s="20"/>
      <c r="U211" s="20"/>
      <c r="V211" s="20"/>
      <c r="W211" s="19"/>
      <c r="X211" s="19"/>
      <c r="Y211" s="19"/>
      <c r="Z211" s="23"/>
    </row>
    <row r="212" spans="1:26" ht="15.75" customHeight="1" x14ac:dyDescent="0.2">
      <c r="A212" s="34"/>
      <c r="B212" s="34"/>
      <c r="C212" s="34"/>
      <c r="D212" s="34"/>
      <c r="E212" s="19"/>
      <c r="F212" s="19"/>
      <c r="G212" s="19"/>
      <c r="H212" s="19"/>
      <c r="I212" s="19"/>
      <c r="J212" s="19"/>
      <c r="K212" s="19"/>
      <c r="L212" s="19"/>
      <c r="M212" s="19"/>
      <c r="N212" s="19"/>
      <c r="O212" s="19"/>
      <c r="P212" s="20"/>
      <c r="Q212" s="20"/>
      <c r="R212" s="22"/>
      <c r="S212" s="22"/>
      <c r="T212" s="20"/>
      <c r="U212" s="20"/>
      <c r="V212" s="20"/>
      <c r="W212" s="19"/>
      <c r="X212" s="19"/>
      <c r="Y212" s="19"/>
      <c r="Z212" s="23"/>
    </row>
    <row r="213" spans="1:26" ht="15.75" customHeight="1" x14ac:dyDescent="0.2">
      <c r="A213" s="34"/>
      <c r="B213" s="34"/>
      <c r="C213" s="34"/>
      <c r="D213" s="34"/>
      <c r="E213" s="19"/>
      <c r="F213" s="19"/>
      <c r="G213" s="19"/>
      <c r="H213" s="19"/>
      <c r="I213" s="19"/>
      <c r="J213" s="19"/>
      <c r="K213" s="19"/>
      <c r="L213" s="19"/>
      <c r="M213" s="19"/>
      <c r="N213" s="19"/>
      <c r="O213" s="19"/>
      <c r="P213" s="20"/>
      <c r="Q213" s="20"/>
      <c r="R213" s="22"/>
      <c r="S213" s="22"/>
      <c r="T213" s="20"/>
      <c r="U213" s="20"/>
      <c r="V213" s="20"/>
      <c r="W213" s="19"/>
      <c r="X213" s="19"/>
      <c r="Y213" s="19"/>
      <c r="Z213" s="23"/>
    </row>
    <row r="214" spans="1:26" ht="15.75" customHeight="1" x14ac:dyDescent="0.2">
      <c r="A214" s="34"/>
      <c r="B214" s="34"/>
      <c r="C214" s="34"/>
      <c r="D214" s="34"/>
      <c r="E214" s="19"/>
      <c r="F214" s="19"/>
      <c r="G214" s="19"/>
      <c r="H214" s="19"/>
      <c r="I214" s="19"/>
      <c r="J214" s="19"/>
      <c r="K214" s="19"/>
      <c r="L214" s="19"/>
      <c r="M214" s="19"/>
      <c r="N214" s="19"/>
      <c r="O214" s="19"/>
      <c r="P214" s="20"/>
      <c r="Q214" s="20"/>
      <c r="R214" s="22"/>
      <c r="S214" s="22"/>
      <c r="T214" s="20"/>
      <c r="U214" s="20"/>
      <c r="V214" s="20"/>
      <c r="W214" s="19"/>
      <c r="X214" s="19"/>
      <c r="Y214" s="19"/>
      <c r="Z214" s="23"/>
    </row>
    <row r="215" spans="1:26" ht="15.75" customHeight="1" x14ac:dyDescent="0.2">
      <c r="A215" s="34"/>
      <c r="B215" s="34"/>
      <c r="C215" s="34"/>
      <c r="D215" s="34"/>
      <c r="E215" s="19"/>
      <c r="F215" s="19"/>
      <c r="G215" s="19"/>
      <c r="H215" s="19"/>
      <c r="I215" s="19"/>
      <c r="J215" s="19"/>
      <c r="K215" s="19"/>
      <c r="L215" s="19"/>
      <c r="M215" s="19"/>
      <c r="N215" s="19"/>
      <c r="O215" s="19"/>
      <c r="P215" s="20"/>
      <c r="Q215" s="20"/>
      <c r="R215" s="22"/>
      <c r="S215" s="22"/>
      <c r="T215" s="20"/>
      <c r="U215" s="20"/>
      <c r="V215" s="20"/>
      <c r="W215" s="19"/>
      <c r="X215" s="19"/>
      <c r="Y215" s="19"/>
      <c r="Z215" s="23"/>
    </row>
    <row r="216" spans="1:26" ht="15.75" customHeight="1" x14ac:dyDescent="0.2">
      <c r="A216" s="34"/>
      <c r="B216" s="34"/>
      <c r="C216" s="34"/>
      <c r="D216" s="34"/>
      <c r="E216" s="19"/>
      <c r="F216" s="19"/>
      <c r="G216" s="19"/>
      <c r="H216" s="19"/>
      <c r="I216" s="19"/>
      <c r="J216" s="19"/>
      <c r="K216" s="19"/>
      <c r="L216" s="19"/>
      <c r="M216" s="19"/>
      <c r="N216" s="19"/>
      <c r="O216" s="19"/>
      <c r="P216" s="20"/>
      <c r="Q216" s="20"/>
      <c r="R216" s="22"/>
      <c r="S216" s="22"/>
      <c r="T216" s="20"/>
      <c r="U216" s="20"/>
      <c r="V216" s="20"/>
      <c r="W216" s="19"/>
      <c r="X216" s="19"/>
      <c r="Y216" s="19"/>
      <c r="Z216" s="23"/>
    </row>
    <row r="217" spans="1:26" ht="15.75" customHeight="1" x14ac:dyDescent="0.2">
      <c r="A217" s="34"/>
      <c r="B217" s="34"/>
      <c r="C217" s="34"/>
      <c r="D217" s="34"/>
      <c r="E217" s="19"/>
      <c r="F217" s="19"/>
      <c r="G217" s="19"/>
      <c r="H217" s="19"/>
      <c r="I217" s="19"/>
      <c r="J217" s="19"/>
      <c r="K217" s="19"/>
      <c r="L217" s="19"/>
      <c r="M217" s="19"/>
      <c r="N217" s="19"/>
      <c r="O217" s="19"/>
      <c r="P217" s="20"/>
      <c r="Q217" s="20"/>
      <c r="R217" s="22"/>
      <c r="S217" s="22"/>
      <c r="T217" s="20"/>
      <c r="U217" s="20"/>
      <c r="V217" s="20"/>
      <c r="W217" s="19"/>
      <c r="X217" s="19"/>
      <c r="Y217" s="19"/>
      <c r="Z217" s="23"/>
    </row>
    <row r="218" spans="1:26" ht="15.75" customHeight="1" x14ac:dyDescent="0.2">
      <c r="A218" s="34"/>
      <c r="B218" s="34"/>
      <c r="C218" s="34"/>
      <c r="D218" s="34"/>
      <c r="E218" s="19"/>
      <c r="F218" s="19"/>
      <c r="G218" s="19"/>
      <c r="H218" s="19"/>
      <c r="I218" s="19"/>
      <c r="J218" s="19"/>
      <c r="K218" s="19"/>
      <c r="L218" s="19"/>
      <c r="M218" s="19"/>
      <c r="N218" s="19"/>
      <c r="O218" s="19"/>
      <c r="P218" s="20"/>
      <c r="Q218" s="20"/>
      <c r="R218" s="22"/>
      <c r="S218" s="22"/>
      <c r="T218" s="20"/>
      <c r="U218" s="20"/>
      <c r="V218" s="20"/>
      <c r="W218" s="19"/>
      <c r="X218" s="19"/>
      <c r="Y218" s="19"/>
      <c r="Z218" s="23"/>
    </row>
    <row r="219" spans="1:26" ht="15.75" customHeight="1" x14ac:dyDescent="0.2">
      <c r="A219" s="34"/>
      <c r="B219" s="34"/>
      <c r="C219" s="34"/>
      <c r="D219" s="34"/>
      <c r="E219" s="19"/>
      <c r="F219" s="19"/>
      <c r="G219" s="19"/>
      <c r="H219" s="19"/>
      <c r="I219" s="19"/>
      <c r="J219" s="19"/>
      <c r="K219" s="19"/>
      <c r="L219" s="19"/>
      <c r="M219" s="19"/>
      <c r="N219" s="19"/>
      <c r="O219" s="19"/>
      <c r="P219" s="20"/>
      <c r="Q219" s="20"/>
      <c r="R219" s="22"/>
      <c r="S219" s="22"/>
      <c r="T219" s="20"/>
      <c r="U219" s="20"/>
      <c r="V219" s="20"/>
      <c r="W219" s="19"/>
      <c r="X219" s="19"/>
      <c r="Y219" s="19"/>
      <c r="Z219" s="23"/>
    </row>
    <row r="220" spans="1:26" ht="15.75" customHeight="1" x14ac:dyDescent="0.2">
      <c r="A220" s="34"/>
      <c r="B220" s="34"/>
      <c r="C220" s="34"/>
      <c r="D220" s="34"/>
      <c r="E220" s="19"/>
      <c r="F220" s="19"/>
      <c r="G220" s="19"/>
      <c r="H220" s="19"/>
      <c r="I220" s="19"/>
      <c r="J220" s="19"/>
      <c r="K220" s="19"/>
      <c r="L220" s="19"/>
      <c r="M220" s="19"/>
      <c r="N220" s="19"/>
      <c r="O220" s="19"/>
      <c r="P220" s="20"/>
      <c r="Q220" s="20"/>
      <c r="R220" s="22"/>
      <c r="S220" s="22"/>
      <c r="T220" s="20"/>
      <c r="U220" s="20"/>
      <c r="V220" s="20"/>
      <c r="W220" s="19"/>
      <c r="X220" s="19"/>
      <c r="Y220" s="19"/>
      <c r="Z220" s="23"/>
    </row>
    <row r="221" spans="1:26" ht="15.75" customHeight="1" x14ac:dyDescent="0.2">
      <c r="A221" s="34"/>
      <c r="B221" s="34"/>
      <c r="C221" s="34"/>
      <c r="D221" s="34"/>
      <c r="E221" s="19"/>
      <c r="F221" s="19"/>
      <c r="G221" s="19"/>
      <c r="H221" s="19"/>
      <c r="I221" s="19"/>
      <c r="J221" s="19"/>
      <c r="K221" s="19"/>
      <c r="L221" s="19"/>
      <c r="M221" s="19"/>
      <c r="N221" s="19"/>
      <c r="O221" s="19"/>
      <c r="P221" s="20"/>
      <c r="Q221" s="20"/>
      <c r="R221" s="22"/>
      <c r="S221" s="22"/>
      <c r="T221" s="20"/>
      <c r="U221" s="20"/>
      <c r="V221" s="20"/>
      <c r="W221" s="19"/>
      <c r="X221" s="19"/>
      <c r="Y221" s="19"/>
      <c r="Z221" s="23"/>
    </row>
    <row r="222" spans="1:26" ht="15.75" customHeight="1" x14ac:dyDescent="0.2">
      <c r="A222" s="34"/>
      <c r="B222" s="34"/>
      <c r="C222" s="34"/>
      <c r="D222" s="34"/>
      <c r="E222" s="19"/>
      <c r="F222" s="19"/>
      <c r="G222" s="19"/>
      <c r="H222" s="19"/>
      <c r="I222" s="19"/>
      <c r="J222" s="19"/>
      <c r="K222" s="19"/>
      <c r="L222" s="19"/>
      <c r="M222" s="19"/>
      <c r="N222" s="19"/>
      <c r="O222" s="19"/>
      <c r="P222" s="20"/>
      <c r="Q222" s="20"/>
      <c r="R222" s="22"/>
      <c r="S222" s="22"/>
      <c r="T222" s="20"/>
      <c r="U222" s="20"/>
      <c r="V222" s="20"/>
      <c r="W222" s="19"/>
      <c r="X222" s="19"/>
      <c r="Y222" s="19"/>
      <c r="Z222" s="23"/>
    </row>
    <row r="223" spans="1:26" ht="15.75" customHeight="1" x14ac:dyDescent="0.2">
      <c r="A223" s="34"/>
      <c r="B223" s="34"/>
      <c r="C223" s="34"/>
      <c r="D223" s="34"/>
      <c r="E223" s="19"/>
      <c r="F223" s="19"/>
      <c r="G223" s="19"/>
      <c r="H223" s="19"/>
      <c r="I223" s="19"/>
      <c r="J223" s="19"/>
      <c r="K223" s="19"/>
      <c r="L223" s="19"/>
      <c r="M223" s="19"/>
      <c r="N223" s="19"/>
      <c r="O223" s="19"/>
      <c r="P223" s="20"/>
      <c r="Q223" s="20"/>
      <c r="R223" s="22"/>
      <c r="S223" s="22"/>
      <c r="T223" s="20"/>
      <c r="U223" s="20"/>
      <c r="V223" s="20"/>
      <c r="W223" s="19"/>
      <c r="X223" s="19"/>
      <c r="Y223" s="19"/>
      <c r="Z223" s="23"/>
    </row>
    <row r="224" spans="1:26" ht="15.75" customHeight="1" x14ac:dyDescent="0.2">
      <c r="A224" s="34"/>
      <c r="B224" s="34"/>
      <c r="C224" s="34"/>
      <c r="D224" s="34"/>
      <c r="E224" s="19"/>
      <c r="F224" s="19"/>
      <c r="G224" s="19"/>
      <c r="H224" s="19"/>
      <c r="I224" s="19"/>
      <c r="J224" s="19"/>
      <c r="K224" s="19"/>
      <c r="L224" s="19"/>
      <c r="M224" s="19"/>
      <c r="N224" s="19"/>
      <c r="O224" s="19"/>
      <c r="P224" s="20"/>
      <c r="Q224" s="20"/>
      <c r="R224" s="22"/>
      <c r="S224" s="22"/>
      <c r="T224" s="20"/>
      <c r="U224" s="20"/>
      <c r="V224" s="20"/>
      <c r="W224" s="19"/>
      <c r="X224" s="19"/>
      <c r="Y224" s="19"/>
      <c r="Z224" s="23"/>
    </row>
    <row r="225" spans="1:26" ht="15.75" customHeight="1" x14ac:dyDescent="0.2">
      <c r="A225" s="34"/>
      <c r="B225" s="34"/>
      <c r="C225" s="34"/>
      <c r="D225" s="34"/>
      <c r="E225" s="19"/>
      <c r="F225" s="19"/>
      <c r="G225" s="19"/>
      <c r="H225" s="19"/>
      <c r="I225" s="19"/>
      <c r="J225" s="19"/>
      <c r="K225" s="19"/>
      <c r="L225" s="19"/>
      <c r="M225" s="19"/>
      <c r="N225" s="19"/>
      <c r="O225" s="19"/>
      <c r="P225" s="20"/>
      <c r="Q225" s="20"/>
      <c r="R225" s="22"/>
      <c r="S225" s="22"/>
      <c r="T225" s="20"/>
      <c r="U225" s="20"/>
      <c r="V225" s="20"/>
      <c r="W225" s="19"/>
      <c r="X225" s="19"/>
      <c r="Y225" s="19"/>
      <c r="Z225" s="23"/>
    </row>
    <row r="226" spans="1:26" ht="15.75" customHeight="1" x14ac:dyDescent="0.2">
      <c r="A226" s="34"/>
      <c r="B226" s="34"/>
      <c r="C226" s="34"/>
      <c r="D226" s="34"/>
      <c r="E226" s="19"/>
      <c r="F226" s="19"/>
      <c r="G226" s="19"/>
      <c r="H226" s="19"/>
      <c r="I226" s="19"/>
      <c r="J226" s="19"/>
      <c r="K226" s="19"/>
      <c r="L226" s="19"/>
      <c r="M226" s="19"/>
      <c r="N226" s="19"/>
      <c r="O226" s="19"/>
      <c r="P226" s="20"/>
      <c r="Q226" s="20"/>
      <c r="R226" s="22"/>
      <c r="S226" s="22"/>
      <c r="T226" s="20"/>
      <c r="U226" s="20"/>
      <c r="V226" s="20"/>
      <c r="W226" s="19"/>
      <c r="X226" s="19"/>
      <c r="Y226" s="19"/>
      <c r="Z226" s="23"/>
    </row>
    <row r="227" spans="1:26" ht="15.75" customHeight="1" x14ac:dyDescent="0.2">
      <c r="A227" s="34"/>
      <c r="B227" s="34"/>
      <c r="C227" s="34"/>
      <c r="D227" s="34"/>
      <c r="E227" s="19"/>
      <c r="F227" s="19"/>
      <c r="G227" s="19"/>
      <c r="H227" s="19"/>
      <c r="I227" s="19"/>
      <c r="J227" s="19"/>
      <c r="K227" s="19"/>
      <c r="L227" s="19"/>
      <c r="M227" s="19"/>
      <c r="N227" s="19"/>
      <c r="O227" s="19"/>
      <c r="P227" s="20"/>
      <c r="Q227" s="20"/>
      <c r="R227" s="22"/>
      <c r="S227" s="22"/>
      <c r="T227" s="20"/>
      <c r="U227" s="20"/>
      <c r="V227" s="20"/>
      <c r="W227" s="19"/>
      <c r="X227" s="19"/>
      <c r="Y227" s="19"/>
      <c r="Z227" s="23"/>
    </row>
    <row r="228" spans="1:26" ht="15.75" customHeight="1" x14ac:dyDescent="0.2">
      <c r="A228" s="34"/>
      <c r="B228" s="34"/>
      <c r="C228" s="34"/>
      <c r="D228" s="34"/>
      <c r="E228" s="19"/>
      <c r="F228" s="19"/>
      <c r="G228" s="19"/>
      <c r="H228" s="19"/>
      <c r="I228" s="19"/>
      <c r="J228" s="19"/>
      <c r="K228" s="19"/>
      <c r="L228" s="19"/>
      <c r="M228" s="19"/>
      <c r="N228" s="19"/>
      <c r="O228" s="19"/>
      <c r="P228" s="20"/>
      <c r="Q228" s="20"/>
      <c r="R228" s="22"/>
      <c r="S228" s="22"/>
      <c r="T228" s="20"/>
      <c r="U228" s="20"/>
      <c r="V228" s="20"/>
      <c r="W228" s="19"/>
      <c r="X228" s="19"/>
      <c r="Y228" s="19"/>
      <c r="Z228" s="23"/>
    </row>
    <row r="229" spans="1:26" ht="15.75" customHeight="1" x14ac:dyDescent="0.2">
      <c r="A229" s="34"/>
      <c r="B229" s="34"/>
      <c r="C229" s="34"/>
      <c r="D229" s="34"/>
      <c r="E229" s="19"/>
      <c r="F229" s="19"/>
      <c r="G229" s="19"/>
      <c r="H229" s="19"/>
      <c r="I229" s="19"/>
      <c r="J229" s="19"/>
      <c r="K229" s="19"/>
      <c r="L229" s="19"/>
      <c r="M229" s="19"/>
      <c r="N229" s="19"/>
      <c r="O229" s="19"/>
      <c r="P229" s="20"/>
      <c r="Q229" s="20"/>
      <c r="R229" s="22"/>
      <c r="S229" s="22"/>
      <c r="T229" s="20"/>
      <c r="U229" s="20"/>
      <c r="V229" s="20"/>
      <c r="W229" s="19"/>
      <c r="X229" s="19"/>
      <c r="Y229" s="19"/>
      <c r="Z229" s="23"/>
    </row>
    <row r="230" spans="1:26" ht="15.75" customHeight="1" x14ac:dyDescent="0.2">
      <c r="A230" s="34"/>
      <c r="B230" s="34"/>
      <c r="C230" s="34"/>
      <c r="D230" s="34"/>
      <c r="E230" s="19"/>
      <c r="F230" s="19"/>
      <c r="G230" s="19"/>
      <c r="H230" s="19"/>
      <c r="I230" s="19"/>
      <c r="J230" s="19"/>
      <c r="K230" s="19"/>
      <c r="L230" s="19"/>
      <c r="M230" s="19"/>
      <c r="N230" s="19"/>
      <c r="O230" s="19"/>
      <c r="P230" s="20"/>
      <c r="Q230" s="20"/>
      <c r="R230" s="22"/>
      <c r="S230" s="22"/>
      <c r="T230" s="20"/>
      <c r="U230" s="20"/>
      <c r="V230" s="20"/>
      <c r="W230" s="19"/>
      <c r="X230" s="19"/>
      <c r="Y230" s="19"/>
      <c r="Z230" s="23"/>
    </row>
    <row r="231" spans="1:26" ht="15.75" customHeight="1" x14ac:dyDescent="0.2">
      <c r="A231" s="34"/>
      <c r="B231" s="34"/>
      <c r="C231" s="34"/>
      <c r="D231" s="34"/>
      <c r="E231" s="19"/>
      <c r="F231" s="19"/>
      <c r="G231" s="19"/>
      <c r="H231" s="19"/>
      <c r="I231" s="19"/>
      <c r="J231" s="19"/>
      <c r="K231" s="19"/>
      <c r="L231" s="19"/>
      <c r="M231" s="19"/>
      <c r="N231" s="19"/>
      <c r="O231" s="19"/>
      <c r="P231" s="20"/>
      <c r="Q231" s="20"/>
      <c r="R231" s="22"/>
      <c r="S231" s="22"/>
      <c r="T231" s="20"/>
      <c r="U231" s="20"/>
      <c r="V231" s="20"/>
      <c r="W231" s="19"/>
      <c r="X231" s="19"/>
      <c r="Y231" s="19"/>
      <c r="Z231" s="23"/>
    </row>
    <row r="232" spans="1:26" ht="15.75" customHeight="1" x14ac:dyDescent="0.2">
      <c r="A232" s="34"/>
      <c r="B232" s="34"/>
      <c r="C232" s="34"/>
      <c r="D232" s="34"/>
      <c r="E232" s="19"/>
      <c r="F232" s="19"/>
      <c r="G232" s="19"/>
      <c r="H232" s="19"/>
      <c r="I232" s="19"/>
      <c r="J232" s="19"/>
      <c r="K232" s="19"/>
      <c r="L232" s="19"/>
      <c r="M232" s="19"/>
      <c r="N232" s="19"/>
      <c r="O232" s="19"/>
      <c r="P232" s="20"/>
      <c r="Q232" s="20"/>
      <c r="R232" s="22"/>
      <c r="S232" s="22"/>
      <c r="T232" s="20"/>
      <c r="U232" s="20"/>
      <c r="V232" s="20"/>
      <c r="W232" s="19"/>
      <c r="X232" s="19"/>
      <c r="Y232" s="19"/>
      <c r="Z232" s="23"/>
    </row>
    <row r="233" spans="1:26" ht="15.75" customHeight="1" x14ac:dyDescent="0.2">
      <c r="A233" s="34"/>
      <c r="B233" s="34"/>
      <c r="C233" s="34"/>
      <c r="D233" s="34"/>
      <c r="E233" s="19"/>
      <c r="F233" s="19"/>
      <c r="G233" s="19"/>
      <c r="H233" s="19"/>
      <c r="I233" s="19"/>
      <c r="J233" s="19"/>
      <c r="K233" s="19"/>
      <c r="L233" s="19"/>
      <c r="M233" s="19"/>
      <c r="N233" s="19"/>
      <c r="O233" s="19"/>
      <c r="P233" s="20"/>
      <c r="Q233" s="20"/>
      <c r="R233" s="22"/>
      <c r="S233" s="22"/>
      <c r="T233" s="20"/>
      <c r="U233" s="20"/>
      <c r="V233" s="20"/>
      <c r="W233" s="19"/>
      <c r="X233" s="19"/>
      <c r="Y233" s="19"/>
      <c r="Z233" s="23"/>
    </row>
    <row r="234" spans="1:26" ht="15.75" customHeight="1" x14ac:dyDescent="0.2">
      <c r="A234" s="34"/>
      <c r="B234" s="34"/>
      <c r="C234" s="34"/>
      <c r="D234" s="34"/>
      <c r="E234" s="19"/>
      <c r="F234" s="19"/>
      <c r="G234" s="19"/>
      <c r="H234" s="19"/>
      <c r="I234" s="19"/>
      <c r="J234" s="19"/>
      <c r="K234" s="19"/>
      <c r="L234" s="19"/>
      <c r="M234" s="19"/>
      <c r="N234" s="19"/>
      <c r="O234" s="19"/>
      <c r="P234" s="20"/>
      <c r="Q234" s="20"/>
      <c r="R234" s="22"/>
      <c r="S234" s="22"/>
      <c r="T234" s="20"/>
      <c r="U234" s="20"/>
      <c r="V234" s="20"/>
      <c r="W234" s="19"/>
      <c r="X234" s="19"/>
      <c r="Y234" s="19"/>
      <c r="Z234" s="23"/>
    </row>
    <row r="235" spans="1:26" ht="15.75" customHeight="1" x14ac:dyDescent="0.2">
      <c r="A235" s="34"/>
      <c r="B235" s="34"/>
      <c r="C235" s="34"/>
      <c r="D235" s="34"/>
      <c r="E235" s="19"/>
      <c r="F235" s="19"/>
      <c r="G235" s="19"/>
      <c r="H235" s="19"/>
      <c r="I235" s="19"/>
      <c r="J235" s="19"/>
      <c r="K235" s="19"/>
      <c r="L235" s="19"/>
      <c r="M235" s="19"/>
      <c r="N235" s="19"/>
      <c r="O235" s="19"/>
      <c r="P235" s="20"/>
      <c r="Q235" s="20"/>
      <c r="R235" s="22"/>
      <c r="S235" s="22"/>
      <c r="T235" s="20"/>
      <c r="U235" s="20"/>
      <c r="V235" s="20"/>
      <c r="W235" s="19"/>
      <c r="X235" s="19"/>
      <c r="Y235" s="19"/>
      <c r="Z235" s="23"/>
    </row>
    <row r="236" spans="1:26" ht="15.75" customHeight="1" x14ac:dyDescent="0.2">
      <c r="A236" s="34"/>
      <c r="B236" s="34"/>
      <c r="C236" s="34"/>
      <c r="D236" s="34"/>
      <c r="E236" s="19"/>
      <c r="F236" s="19"/>
      <c r="G236" s="19"/>
      <c r="H236" s="19"/>
      <c r="I236" s="19"/>
      <c r="J236" s="19"/>
      <c r="K236" s="19"/>
      <c r="L236" s="19"/>
      <c r="M236" s="19"/>
      <c r="N236" s="19"/>
      <c r="O236" s="19"/>
      <c r="P236" s="20"/>
      <c r="Q236" s="20"/>
      <c r="R236" s="22"/>
      <c r="S236" s="22"/>
      <c r="T236" s="20"/>
      <c r="U236" s="20"/>
      <c r="V236" s="20"/>
      <c r="W236" s="19"/>
      <c r="X236" s="19"/>
      <c r="Y236" s="19"/>
      <c r="Z236" s="23"/>
    </row>
    <row r="237" spans="1:26" ht="15.75" customHeight="1" x14ac:dyDescent="0.2">
      <c r="A237" s="34"/>
      <c r="B237" s="34"/>
      <c r="C237" s="34"/>
      <c r="D237" s="34"/>
      <c r="E237" s="19"/>
      <c r="F237" s="19"/>
      <c r="G237" s="19"/>
      <c r="H237" s="19"/>
      <c r="I237" s="19"/>
      <c r="J237" s="19"/>
      <c r="K237" s="19"/>
      <c r="L237" s="19"/>
      <c r="M237" s="19"/>
      <c r="N237" s="19"/>
      <c r="O237" s="19"/>
      <c r="P237" s="20"/>
      <c r="Q237" s="20"/>
      <c r="R237" s="22"/>
      <c r="S237" s="22"/>
      <c r="T237" s="20"/>
      <c r="U237" s="20"/>
      <c r="V237" s="20"/>
      <c r="W237" s="19"/>
      <c r="X237" s="19"/>
      <c r="Y237" s="19"/>
      <c r="Z237" s="23"/>
    </row>
    <row r="238" spans="1:26" ht="15.75" customHeight="1" x14ac:dyDescent="0.2">
      <c r="A238" s="34"/>
      <c r="B238" s="34"/>
      <c r="C238" s="34"/>
      <c r="D238" s="34"/>
      <c r="E238" s="19"/>
      <c r="F238" s="19"/>
      <c r="G238" s="19"/>
      <c r="H238" s="19"/>
      <c r="I238" s="19"/>
      <c r="J238" s="19"/>
      <c r="K238" s="19"/>
      <c r="L238" s="19"/>
      <c r="M238" s="19"/>
      <c r="N238" s="19"/>
      <c r="O238" s="19"/>
      <c r="P238" s="20"/>
      <c r="Q238" s="20"/>
      <c r="R238" s="22"/>
      <c r="S238" s="22"/>
      <c r="T238" s="20"/>
      <c r="U238" s="20"/>
      <c r="V238" s="20"/>
      <c r="W238" s="19"/>
      <c r="X238" s="19"/>
      <c r="Y238" s="19"/>
      <c r="Z238" s="23"/>
    </row>
    <row r="239" spans="1:26" ht="15.75" customHeight="1" x14ac:dyDescent="0.2">
      <c r="A239" s="34"/>
      <c r="B239" s="34"/>
      <c r="C239" s="34"/>
      <c r="D239" s="34"/>
      <c r="E239" s="19"/>
      <c r="F239" s="19"/>
      <c r="G239" s="19"/>
      <c r="H239" s="19"/>
      <c r="I239" s="19"/>
      <c r="J239" s="19"/>
      <c r="K239" s="19"/>
      <c r="L239" s="19"/>
      <c r="M239" s="19"/>
      <c r="N239" s="19"/>
      <c r="O239" s="19"/>
      <c r="P239" s="20"/>
      <c r="Q239" s="20"/>
      <c r="R239" s="22"/>
      <c r="S239" s="22"/>
      <c r="T239" s="20"/>
      <c r="U239" s="20"/>
      <c r="V239" s="20"/>
      <c r="W239" s="19"/>
      <c r="X239" s="19"/>
      <c r="Y239" s="19"/>
      <c r="Z239" s="23"/>
    </row>
    <row r="240" spans="1:26" ht="15.75" customHeight="1" x14ac:dyDescent="0.2">
      <c r="A240" s="34"/>
      <c r="B240" s="34"/>
      <c r="C240" s="34"/>
      <c r="D240" s="34"/>
      <c r="E240" s="19"/>
      <c r="F240" s="19"/>
      <c r="G240" s="19"/>
      <c r="H240" s="19"/>
      <c r="I240" s="19"/>
      <c r="J240" s="19"/>
      <c r="K240" s="19"/>
      <c r="L240" s="19"/>
      <c r="M240" s="19"/>
      <c r="N240" s="19"/>
      <c r="O240" s="19"/>
      <c r="P240" s="20"/>
      <c r="Q240" s="20"/>
      <c r="R240" s="22"/>
      <c r="S240" s="22"/>
      <c r="T240" s="20"/>
      <c r="U240" s="20"/>
      <c r="V240" s="20"/>
      <c r="W240" s="19"/>
      <c r="X240" s="19"/>
      <c r="Y240" s="19"/>
      <c r="Z240" s="23"/>
    </row>
    <row r="241" spans="1:26" ht="15.75" customHeight="1" x14ac:dyDescent="0.2">
      <c r="A241" s="34"/>
      <c r="B241" s="34"/>
      <c r="C241" s="34"/>
      <c r="D241" s="34"/>
      <c r="E241" s="19"/>
      <c r="F241" s="19"/>
      <c r="G241" s="19"/>
      <c r="H241" s="19"/>
      <c r="I241" s="19"/>
      <c r="J241" s="19"/>
      <c r="K241" s="19"/>
      <c r="L241" s="19"/>
      <c r="M241" s="19"/>
      <c r="N241" s="19"/>
      <c r="O241" s="19"/>
      <c r="P241" s="20"/>
      <c r="Q241" s="20"/>
      <c r="R241" s="22"/>
      <c r="S241" s="22"/>
      <c r="T241" s="20"/>
      <c r="U241" s="20"/>
      <c r="V241" s="20"/>
      <c r="W241" s="19"/>
      <c r="X241" s="19"/>
      <c r="Y241" s="19"/>
      <c r="Z241" s="23"/>
    </row>
    <row r="242" spans="1:26" ht="15.75" customHeight="1" x14ac:dyDescent="0.2">
      <c r="A242" s="34"/>
      <c r="B242" s="34"/>
      <c r="C242" s="34"/>
      <c r="D242" s="34"/>
      <c r="E242" s="19"/>
      <c r="F242" s="19"/>
      <c r="G242" s="19"/>
      <c r="H242" s="19"/>
      <c r="I242" s="19"/>
      <c r="J242" s="19"/>
      <c r="K242" s="19"/>
      <c r="L242" s="19"/>
      <c r="M242" s="19"/>
      <c r="N242" s="19"/>
      <c r="O242" s="19"/>
      <c r="P242" s="20"/>
      <c r="Q242" s="20"/>
      <c r="R242" s="22"/>
      <c r="S242" s="22"/>
      <c r="T242" s="20"/>
      <c r="U242" s="20"/>
      <c r="V242" s="20"/>
      <c r="W242" s="19"/>
      <c r="X242" s="19"/>
      <c r="Y242" s="19"/>
      <c r="Z242" s="23"/>
    </row>
    <row r="243" spans="1:26" ht="15.75" customHeight="1" x14ac:dyDescent="0.2">
      <c r="A243" s="34"/>
      <c r="B243" s="34"/>
      <c r="C243" s="34"/>
      <c r="D243" s="34"/>
      <c r="E243" s="19"/>
      <c r="F243" s="19"/>
      <c r="G243" s="19"/>
      <c r="H243" s="19"/>
      <c r="I243" s="19"/>
      <c r="J243" s="19"/>
      <c r="K243" s="19"/>
      <c r="L243" s="19"/>
      <c r="M243" s="19"/>
      <c r="N243" s="19"/>
      <c r="O243" s="19"/>
      <c r="P243" s="20"/>
      <c r="Q243" s="20"/>
      <c r="R243" s="22"/>
      <c r="S243" s="22"/>
      <c r="T243" s="20"/>
      <c r="U243" s="20"/>
      <c r="V243" s="20"/>
      <c r="W243" s="19"/>
      <c r="X243" s="19"/>
      <c r="Y243" s="19"/>
      <c r="Z243" s="23"/>
    </row>
    <row r="244" spans="1:26" ht="15.75" customHeight="1" x14ac:dyDescent="0.2">
      <c r="A244" s="34"/>
      <c r="B244" s="34"/>
      <c r="C244" s="34"/>
      <c r="D244" s="34"/>
      <c r="E244" s="19"/>
      <c r="F244" s="19"/>
      <c r="G244" s="19"/>
      <c r="H244" s="19"/>
      <c r="I244" s="19"/>
      <c r="J244" s="19"/>
      <c r="K244" s="19"/>
      <c r="L244" s="19"/>
      <c r="M244" s="19"/>
      <c r="N244" s="19"/>
      <c r="O244" s="19"/>
      <c r="P244" s="20"/>
      <c r="Q244" s="20"/>
      <c r="R244" s="22"/>
      <c r="S244" s="22"/>
      <c r="T244" s="20"/>
      <c r="U244" s="20"/>
      <c r="V244" s="20"/>
      <c r="W244" s="19"/>
      <c r="X244" s="19"/>
      <c r="Y244" s="19"/>
      <c r="Z244" s="23"/>
    </row>
    <row r="245" spans="1:26" ht="15.75" customHeight="1" x14ac:dyDescent="0.2">
      <c r="A245" s="34"/>
      <c r="B245" s="34"/>
      <c r="C245" s="34"/>
      <c r="D245" s="34"/>
      <c r="E245" s="19"/>
      <c r="F245" s="19"/>
      <c r="G245" s="19"/>
      <c r="H245" s="19"/>
      <c r="I245" s="19"/>
      <c r="J245" s="19"/>
      <c r="K245" s="19"/>
      <c r="L245" s="19"/>
      <c r="M245" s="19"/>
      <c r="N245" s="19"/>
      <c r="O245" s="19"/>
      <c r="P245" s="20"/>
      <c r="Q245" s="20"/>
      <c r="R245" s="22"/>
      <c r="S245" s="22"/>
      <c r="T245" s="20"/>
      <c r="U245" s="20"/>
      <c r="V245" s="20"/>
      <c r="W245" s="19"/>
      <c r="X245" s="19"/>
      <c r="Y245" s="19"/>
      <c r="Z245" s="23"/>
    </row>
    <row r="246" spans="1:26" ht="15.75" customHeight="1" x14ac:dyDescent="0.2">
      <c r="A246" s="34"/>
      <c r="B246" s="34"/>
      <c r="C246" s="34"/>
      <c r="D246" s="34"/>
      <c r="E246" s="19"/>
      <c r="F246" s="19"/>
      <c r="G246" s="19"/>
      <c r="H246" s="19"/>
      <c r="I246" s="19"/>
      <c r="J246" s="19"/>
      <c r="K246" s="19"/>
      <c r="L246" s="19"/>
      <c r="M246" s="19"/>
      <c r="N246" s="19"/>
      <c r="O246" s="19"/>
      <c r="P246" s="20"/>
      <c r="Q246" s="20"/>
      <c r="R246" s="22"/>
      <c r="S246" s="22"/>
      <c r="T246" s="20"/>
      <c r="U246" s="20"/>
      <c r="V246" s="20"/>
      <c r="W246" s="19"/>
      <c r="X246" s="19"/>
      <c r="Y246" s="19"/>
      <c r="Z246" s="23"/>
    </row>
    <row r="247" spans="1:26" ht="15.75" customHeight="1" x14ac:dyDescent="0.2">
      <c r="A247" s="34"/>
      <c r="B247" s="34"/>
      <c r="C247" s="34"/>
      <c r="D247" s="34"/>
      <c r="E247" s="19"/>
      <c r="F247" s="19"/>
      <c r="G247" s="19"/>
      <c r="H247" s="19"/>
      <c r="I247" s="19"/>
      <c r="J247" s="19"/>
      <c r="K247" s="19"/>
      <c r="L247" s="19"/>
      <c r="M247" s="19"/>
      <c r="N247" s="19"/>
      <c r="O247" s="19"/>
      <c r="P247" s="20"/>
      <c r="Q247" s="20"/>
      <c r="R247" s="22"/>
      <c r="S247" s="22"/>
      <c r="T247" s="20"/>
      <c r="U247" s="20"/>
      <c r="V247" s="20"/>
      <c r="W247" s="19"/>
      <c r="X247" s="19"/>
      <c r="Y247" s="19"/>
      <c r="Z247" s="23"/>
    </row>
    <row r="248" spans="1:26" ht="15.75" customHeight="1" x14ac:dyDescent="0.2">
      <c r="A248" s="34"/>
      <c r="B248" s="34"/>
      <c r="C248" s="34"/>
      <c r="D248" s="34"/>
      <c r="E248" s="19"/>
      <c r="F248" s="19"/>
      <c r="G248" s="19"/>
      <c r="H248" s="19"/>
      <c r="I248" s="19"/>
      <c r="J248" s="19"/>
      <c r="K248" s="19"/>
      <c r="L248" s="19"/>
      <c r="M248" s="19"/>
      <c r="N248" s="19"/>
      <c r="O248" s="19"/>
      <c r="P248" s="20"/>
      <c r="Q248" s="20"/>
      <c r="R248" s="22"/>
      <c r="S248" s="22"/>
      <c r="T248" s="20"/>
      <c r="U248" s="20"/>
      <c r="V248" s="20"/>
      <c r="W248" s="19"/>
      <c r="X248" s="19"/>
      <c r="Y248" s="19"/>
      <c r="Z248" s="23"/>
    </row>
    <row r="249" spans="1:26" ht="15.75" customHeight="1" x14ac:dyDescent="0.2">
      <c r="A249" s="34"/>
      <c r="B249" s="34"/>
      <c r="C249" s="34"/>
      <c r="D249" s="34"/>
      <c r="E249" s="19"/>
      <c r="F249" s="19"/>
      <c r="G249" s="19"/>
      <c r="H249" s="19"/>
      <c r="I249" s="19"/>
      <c r="J249" s="19"/>
      <c r="K249" s="19"/>
      <c r="L249" s="19"/>
      <c r="M249" s="19"/>
      <c r="N249" s="19"/>
      <c r="O249" s="19"/>
      <c r="P249" s="20"/>
      <c r="Q249" s="20"/>
      <c r="R249" s="22"/>
      <c r="S249" s="22"/>
      <c r="T249" s="20"/>
      <c r="U249" s="20"/>
      <c r="V249" s="20"/>
      <c r="W249" s="19"/>
      <c r="X249" s="19"/>
      <c r="Y249" s="19"/>
      <c r="Z249" s="23"/>
    </row>
    <row r="250" spans="1:26" ht="15.75" customHeight="1" x14ac:dyDescent="0.2">
      <c r="A250" s="34"/>
      <c r="B250" s="34"/>
      <c r="C250" s="34"/>
      <c r="D250" s="34"/>
      <c r="E250" s="19"/>
      <c r="F250" s="19"/>
      <c r="G250" s="19"/>
      <c r="H250" s="19"/>
      <c r="I250" s="19"/>
      <c r="J250" s="19"/>
      <c r="K250" s="19"/>
      <c r="L250" s="19"/>
      <c r="M250" s="19"/>
      <c r="N250" s="19"/>
      <c r="O250" s="19"/>
      <c r="P250" s="20"/>
      <c r="Q250" s="20"/>
      <c r="R250" s="22"/>
      <c r="S250" s="22"/>
      <c r="T250" s="20"/>
      <c r="U250" s="20"/>
      <c r="V250" s="20"/>
      <c r="W250" s="19"/>
      <c r="X250" s="19"/>
      <c r="Y250" s="19"/>
      <c r="Z250" s="23"/>
    </row>
    <row r="251" spans="1:26" ht="15.75" customHeight="1" x14ac:dyDescent="0.2">
      <c r="A251" s="34"/>
      <c r="B251" s="34"/>
      <c r="C251" s="34"/>
      <c r="D251" s="34"/>
      <c r="E251" s="19"/>
      <c r="F251" s="19"/>
      <c r="G251" s="19"/>
      <c r="H251" s="19"/>
      <c r="I251" s="19"/>
      <c r="J251" s="19"/>
      <c r="K251" s="19"/>
      <c r="L251" s="19"/>
      <c r="M251" s="19"/>
      <c r="N251" s="19"/>
      <c r="O251" s="19"/>
      <c r="P251" s="20"/>
      <c r="Q251" s="20"/>
      <c r="R251" s="22"/>
      <c r="S251" s="22"/>
      <c r="T251" s="20"/>
      <c r="U251" s="20"/>
      <c r="V251" s="20"/>
      <c r="W251" s="19"/>
      <c r="X251" s="19"/>
      <c r="Y251" s="19"/>
      <c r="Z251" s="23"/>
    </row>
    <row r="252" spans="1:26" ht="15.75" customHeight="1" x14ac:dyDescent="0.2">
      <c r="A252" s="34"/>
      <c r="B252" s="34"/>
      <c r="C252" s="34"/>
      <c r="D252" s="34"/>
      <c r="E252" s="19"/>
      <c r="F252" s="19"/>
      <c r="G252" s="19"/>
      <c r="H252" s="19"/>
      <c r="I252" s="19"/>
      <c r="J252" s="19"/>
      <c r="K252" s="19"/>
      <c r="L252" s="19"/>
      <c r="M252" s="19"/>
      <c r="N252" s="19"/>
      <c r="O252" s="19"/>
      <c r="P252" s="20"/>
      <c r="Q252" s="20"/>
      <c r="R252" s="22"/>
      <c r="S252" s="22"/>
      <c r="T252" s="20"/>
      <c r="U252" s="20"/>
      <c r="V252" s="20"/>
      <c r="W252" s="19"/>
      <c r="X252" s="19"/>
      <c r="Y252" s="19"/>
      <c r="Z252" s="23"/>
    </row>
    <row r="253" spans="1:26" ht="15.75" customHeight="1" x14ac:dyDescent="0.2">
      <c r="A253" s="34"/>
      <c r="B253" s="34"/>
      <c r="C253" s="34"/>
      <c r="D253" s="34"/>
      <c r="E253" s="19"/>
      <c r="F253" s="19"/>
      <c r="G253" s="19"/>
      <c r="H253" s="19"/>
      <c r="I253" s="19"/>
      <c r="J253" s="19"/>
      <c r="K253" s="19"/>
      <c r="L253" s="19"/>
      <c r="M253" s="19"/>
      <c r="N253" s="19"/>
      <c r="O253" s="19"/>
      <c r="P253" s="20"/>
      <c r="Q253" s="20"/>
      <c r="R253" s="22"/>
      <c r="S253" s="22"/>
      <c r="T253" s="20"/>
      <c r="U253" s="20"/>
      <c r="V253" s="20"/>
      <c r="W253" s="19"/>
      <c r="X253" s="19"/>
      <c r="Y253" s="19"/>
      <c r="Z253" s="23"/>
    </row>
    <row r="254" spans="1:26" ht="15.75" customHeight="1" x14ac:dyDescent="0.2">
      <c r="A254" s="34"/>
      <c r="B254" s="34"/>
      <c r="C254" s="34"/>
      <c r="D254" s="34"/>
      <c r="E254" s="19"/>
      <c r="F254" s="19"/>
      <c r="G254" s="19"/>
      <c r="H254" s="19"/>
      <c r="I254" s="19"/>
      <c r="J254" s="19"/>
      <c r="K254" s="19"/>
      <c r="L254" s="19"/>
      <c r="M254" s="19"/>
      <c r="N254" s="19"/>
      <c r="O254" s="19"/>
      <c r="P254" s="20"/>
      <c r="Q254" s="20"/>
      <c r="R254" s="22"/>
      <c r="S254" s="22"/>
      <c r="T254" s="20"/>
      <c r="U254" s="20"/>
      <c r="V254" s="20"/>
      <c r="W254" s="19"/>
      <c r="X254" s="19"/>
      <c r="Y254" s="19"/>
      <c r="Z254" s="23"/>
    </row>
    <row r="255" spans="1:26" ht="15.75" customHeight="1" x14ac:dyDescent="0.2">
      <c r="A255" s="34"/>
      <c r="B255" s="34"/>
      <c r="C255" s="34"/>
      <c r="D255" s="34"/>
      <c r="E255" s="19"/>
      <c r="F255" s="19"/>
      <c r="G255" s="19"/>
      <c r="H255" s="19"/>
      <c r="I255" s="19"/>
      <c r="J255" s="19"/>
      <c r="K255" s="19"/>
      <c r="L255" s="19"/>
      <c r="M255" s="19"/>
      <c r="N255" s="19"/>
      <c r="O255" s="19"/>
      <c r="P255" s="20"/>
      <c r="Q255" s="20"/>
      <c r="R255" s="22"/>
      <c r="S255" s="22"/>
      <c r="T255" s="20"/>
      <c r="U255" s="20"/>
      <c r="V255" s="20"/>
      <c r="W255" s="19"/>
      <c r="X255" s="19"/>
      <c r="Y255" s="19"/>
      <c r="Z255" s="23"/>
    </row>
    <row r="256" spans="1:26" ht="15.75" customHeight="1" x14ac:dyDescent="0.2">
      <c r="A256" s="34"/>
      <c r="B256" s="34"/>
      <c r="C256" s="34"/>
      <c r="D256" s="34"/>
      <c r="E256" s="19"/>
      <c r="F256" s="19"/>
      <c r="G256" s="19"/>
      <c r="H256" s="19"/>
      <c r="I256" s="19"/>
      <c r="J256" s="19"/>
      <c r="K256" s="19"/>
      <c r="L256" s="19"/>
      <c r="M256" s="19"/>
      <c r="N256" s="19"/>
      <c r="O256" s="19"/>
      <c r="P256" s="20"/>
      <c r="Q256" s="20"/>
      <c r="R256" s="22"/>
      <c r="S256" s="22"/>
      <c r="T256" s="20"/>
      <c r="U256" s="20"/>
      <c r="V256" s="20"/>
      <c r="W256" s="19"/>
      <c r="X256" s="19"/>
      <c r="Y256" s="19"/>
      <c r="Z256" s="23"/>
    </row>
    <row r="257" spans="1:26" ht="15.75" customHeight="1" x14ac:dyDescent="0.2">
      <c r="A257" s="34"/>
      <c r="B257" s="34"/>
      <c r="C257" s="34"/>
      <c r="D257" s="34"/>
      <c r="E257" s="19"/>
      <c r="F257" s="19"/>
      <c r="G257" s="19"/>
      <c r="H257" s="19"/>
      <c r="I257" s="19"/>
      <c r="J257" s="19"/>
      <c r="K257" s="19"/>
      <c r="L257" s="19"/>
      <c r="M257" s="19"/>
      <c r="N257" s="19"/>
      <c r="O257" s="19"/>
      <c r="P257" s="20"/>
      <c r="Q257" s="20"/>
      <c r="R257" s="22"/>
      <c r="S257" s="22"/>
      <c r="T257" s="20"/>
      <c r="U257" s="20"/>
      <c r="V257" s="20"/>
      <c r="W257" s="19"/>
      <c r="X257" s="19"/>
      <c r="Y257" s="19"/>
      <c r="Z257" s="23"/>
    </row>
    <row r="258" spans="1:26" ht="15.75" customHeight="1" x14ac:dyDescent="0.2">
      <c r="A258" s="34"/>
      <c r="B258" s="34"/>
      <c r="C258" s="34"/>
      <c r="D258" s="34"/>
      <c r="E258" s="19"/>
      <c r="F258" s="19"/>
      <c r="G258" s="19"/>
      <c r="H258" s="19"/>
      <c r="I258" s="19"/>
      <c r="J258" s="19"/>
      <c r="K258" s="19"/>
      <c r="L258" s="19"/>
      <c r="M258" s="19"/>
      <c r="N258" s="19"/>
      <c r="O258" s="19"/>
      <c r="P258" s="20"/>
      <c r="Q258" s="20"/>
      <c r="R258" s="22"/>
      <c r="S258" s="22"/>
      <c r="T258" s="20"/>
      <c r="U258" s="20"/>
      <c r="V258" s="20"/>
      <c r="W258" s="19"/>
      <c r="X258" s="19"/>
      <c r="Y258" s="19"/>
      <c r="Z258" s="23"/>
    </row>
    <row r="259" spans="1:26" ht="15.75" customHeight="1" x14ac:dyDescent="0.2">
      <c r="A259" s="34"/>
      <c r="B259" s="34"/>
      <c r="C259" s="34"/>
      <c r="D259" s="34"/>
      <c r="E259" s="19"/>
      <c r="F259" s="19"/>
      <c r="G259" s="19"/>
      <c r="H259" s="19"/>
      <c r="I259" s="19"/>
      <c r="J259" s="19"/>
      <c r="K259" s="19"/>
      <c r="L259" s="19"/>
      <c r="M259" s="19"/>
      <c r="N259" s="19"/>
      <c r="O259" s="19"/>
      <c r="P259" s="20"/>
      <c r="Q259" s="20"/>
      <c r="R259" s="22"/>
      <c r="S259" s="22"/>
      <c r="T259" s="20"/>
      <c r="U259" s="20"/>
      <c r="V259" s="20"/>
      <c r="W259" s="19"/>
      <c r="X259" s="19"/>
      <c r="Y259" s="19"/>
      <c r="Z259" s="23"/>
    </row>
    <row r="260" spans="1:26" ht="15.75" customHeight="1" x14ac:dyDescent="0.2">
      <c r="A260" s="34"/>
      <c r="B260" s="34"/>
      <c r="C260" s="34"/>
      <c r="D260" s="34"/>
      <c r="E260" s="19"/>
      <c r="F260" s="19"/>
      <c r="G260" s="19"/>
      <c r="H260" s="19"/>
      <c r="I260" s="19"/>
      <c r="J260" s="19"/>
      <c r="K260" s="19"/>
      <c r="L260" s="19"/>
      <c r="M260" s="19"/>
      <c r="N260" s="19"/>
      <c r="O260" s="19"/>
      <c r="P260" s="20"/>
      <c r="Q260" s="20"/>
      <c r="R260" s="22"/>
      <c r="S260" s="22"/>
      <c r="T260" s="20"/>
      <c r="U260" s="20"/>
      <c r="V260" s="20"/>
      <c r="W260" s="19"/>
      <c r="X260" s="19"/>
      <c r="Y260" s="19"/>
      <c r="Z260" s="23"/>
    </row>
    <row r="261" spans="1:26" ht="15.75" customHeight="1" x14ac:dyDescent="0.2">
      <c r="A261" s="34"/>
      <c r="B261" s="34"/>
      <c r="C261" s="34"/>
      <c r="D261" s="34"/>
      <c r="E261" s="19"/>
      <c r="F261" s="19"/>
      <c r="G261" s="19"/>
      <c r="H261" s="19"/>
      <c r="I261" s="19"/>
      <c r="J261" s="19"/>
      <c r="K261" s="19"/>
      <c r="L261" s="19"/>
      <c r="M261" s="19"/>
      <c r="N261" s="19"/>
      <c r="O261" s="19"/>
      <c r="P261" s="20"/>
      <c r="Q261" s="20"/>
      <c r="R261" s="22"/>
      <c r="S261" s="22"/>
      <c r="T261" s="20"/>
      <c r="U261" s="20"/>
      <c r="V261" s="20"/>
      <c r="W261" s="19"/>
      <c r="X261" s="19"/>
      <c r="Y261" s="19"/>
      <c r="Z261" s="23"/>
    </row>
    <row r="262" spans="1:26" ht="15.75" customHeight="1" x14ac:dyDescent="0.2">
      <c r="A262" s="34"/>
      <c r="B262" s="34"/>
      <c r="C262" s="34"/>
      <c r="D262" s="34"/>
      <c r="E262" s="19"/>
      <c r="F262" s="19"/>
      <c r="G262" s="19"/>
      <c r="H262" s="19"/>
      <c r="I262" s="19"/>
      <c r="J262" s="19"/>
      <c r="K262" s="19"/>
      <c r="L262" s="19"/>
      <c r="M262" s="19"/>
      <c r="N262" s="19"/>
      <c r="O262" s="19"/>
      <c r="P262" s="20"/>
      <c r="Q262" s="20"/>
      <c r="R262" s="22"/>
      <c r="S262" s="22"/>
      <c r="T262" s="20"/>
      <c r="U262" s="20"/>
      <c r="V262" s="20"/>
      <c r="W262" s="19"/>
      <c r="X262" s="19"/>
      <c r="Y262" s="19"/>
      <c r="Z262" s="23"/>
    </row>
    <row r="263" spans="1:26" ht="15.75" customHeight="1" x14ac:dyDescent="0.2">
      <c r="A263" s="34"/>
      <c r="B263" s="34"/>
      <c r="C263" s="34"/>
      <c r="D263" s="34"/>
      <c r="E263" s="19"/>
      <c r="F263" s="19"/>
      <c r="G263" s="19"/>
      <c r="H263" s="19"/>
      <c r="I263" s="19"/>
      <c r="J263" s="19"/>
      <c r="K263" s="19"/>
      <c r="L263" s="19"/>
      <c r="M263" s="19"/>
      <c r="N263" s="19"/>
      <c r="O263" s="19"/>
      <c r="P263" s="20"/>
      <c r="Q263" s="20"/>
      <c r="R263" s="22"/>
      <c r="S263" s="22"/>
      <c r="T263" s="20"/>
      <c r="U263" s="20"/>
      <c r="V263" s="20"/>
      <c r="W263" s="19"/>
      <c r="X263" s="19"/>
      <c r="Y263" s="19"/>
      <c r="Z263" s="23"/>
    </row>
    <row r="264" spans="1:26" ht="15.75" customHeight="1" x14ac:dyDescent="0.2">
      <c r="A264" s="34"/>
      <c r="B264" s="34"/>
      <c r="C264" s="34"/>
      <c r="D264" s="34"/>
      <c r="E264" s="19"/>
      <c r="F264" s="19"/>
      <c r="G264" s="19"/>
      <c r="H264" s="19"/>
      <c r="I264" s="19"/>
      <c r="J264" s="19"/>
      <c r="K264" s="19"/>
      <c r="L264" s="19"/>
      <c r="M264" s="19"/>
      <c r="N264" s="19"/>
      <c r="O264" s="19"/>
      <c r="P264" s="20"/>
      <c r="Q264" s="20"/>
      <c r="R264" s="22"/>
      <c r="S264" s="22"/>
      <c r="T264" s="20"/>
      <c r="U264" s="20"/>
      <c r="V264" s="20"/>
      <c r="W264" s="19"/>
      <c r="X264" s="19"/>
      <c r="Y264" s="19"/>
      <c r="Z264" s="23"/>
    </row>
    <row r="265" spans="1:26" ht="15.75" customHeight="1" x14ac:dyDescent="0.2">
      <c r="A265" s="34"/>
      <c r="B265" s="34"/>
      <c r="C265" s="34"/>
      <c r="D265" s="34"/>
      <c r="E265" s="19"/>
      <c r="F265" s="19"/>
      <c r="G265" s="19"/>
      <c r="H265" s="19"/>
      <c r="I265" s="19"/>
      <c r="J265" s="19"/>
      <c r="K265" s="19"/>
      <c r="L265" s="19"/>
      <c r="M265" s="19"/>
      <c r="N265" s="19"/>
      <c r="O265" s="19"/>
      <c r="P265" s="20"/>
      <c r="Q265" s="20"/>
      <c r="R265" s="22"/>
      <c r="S265" s="22"/>
      <c r="T265" s="20"/>
      <c r="U265" s="20"/>
      <c r="V265" s="20"/>
      <c r="W265" s="19"/>
      <c r="X265" s="19"/>
      <c r="Y265" s="19"/>
      <c r="Z265" s="23"/>
    </row>
    <row r="266" spans="1:26" ht="15.75" customHeight="1" x14ac:dyDescent="0.2">
      <c r="A266" s="34"/>
      <c r="B266" s="34"/>
      <c r="C266" s="34"/>
      <c r="D266" s="34"/>
      <c r="E266" s="19"/>
      <c r="F266" s="19"/>
      <c r="G266" s="19"/>
      <c r="H266" s="19"/>
      <c r="I266" s="19"/>
      <c r="J266" s="19"/>
      <c r="K266" s="19"/>
      <c r="L266" s="19"/>
      <c r="M266" s="19"/>
      <c r="N266" s="19"/>
      <c r="O266" s="19"/>
      <c r="P266" s="20"/>
      <c r="Q266" s="20"/>
      <c r="R266" s="22"/>
      <c r="S266" s="22"/>
      <c r="T266" s="20"/>
      <c r="U266" s="20"/>
      <c r="V266" s="20"/>
      <c r="W266" s="19"/>
      <c r="X266" s="19"/>
      <c r="Y266" s="19"/>
      <c r="Z266" s="23"/>
    </row>
    <row r="267" spans="1:26" ht="15.75" customHeight="1" x14ac:dyDescent="0.2">
      <c r="A267" s="34"/>
      <c r="B267" s="34"/>
      <c r="C267" s="34"/>
      <c r="D267" s="34"/>
      <c r="E267" s="19"/>
      <c r="F267" s="19"/>
      <c r="G267" s="19"/>
      <c r="H267" s="19"/>
      <c r="I267" s="19"/>
      <c r="J267" s="19"/>
      <c r="K267" s="19"/>
      <c r="L267" s="19"/>
      <c r="M267" s="19"/>
      <c r="N267" s="19"/>
      <c r="O267" s="19"/>
      <c r="P267" s="20"/>
      <c r="Q267" s="20"/>
      <c r="R267" s="22"/>
      <c r="S267" s="22"/>
      <c r="T267" s="20"/>
      <c r="U267" s="20"/>
      <c r="V267" s="20"/>
      <c r="W267" s="19"/>
      <c r="X267" s="19"/>
      <c r="Y267" s="19"/>
      <c r="Z267" s="23"/>
    </row>
    <row r="268" spans="1:26" ht="15.75" customHeight="1" x14ac:dyDescent="0.2">
      <c r="A268" s="34"/>
      <c r="B268" s="34"/>
      <c r="C268" s="34"/>
      <c r="D268" s="34"/>
      <c r="E268" s="19"/>
      <c r="F268" s="19"/>
      <c r="G268" s="19"/>
      <c r="H268" s="19"/>
      <c r="I268" s="19"/>
      <c r="J268" s="19"/>
      <c r="K268" s="19"/>
      <c r="L268" s="19"/>
      <c r="M268" s="19"/>
      <c r="N268" s="19"/>
      <c r="O268" s="19"/>
      <c r="P268" s="20"/>
      <c r="Q268" s="20"/>
      <c r="R268" s="22"/>
      <c r="S268" s="22"/>
      <c r="T268" s="20"/>
      <c r="U268" s="20"/>
      <c r="V268" s="20"/>
      <c r="W268" s="19"/>
      <c r="X268" s="19"/>
      <c r="Y268" s="19"/>
      <c r="Z268" s="23"/>
    </row>
    <row r="269" spans="1:26" ht="15.75" customHeight="1" x14ac:dyDescent="0.2">
      <c r="A269" s="34"/>
      <c r="B269" s="34"/>
      <c r="C269" s="34"/>
      <c r="D269" s="34"/>
      <c r="E269" s="19"/>
      <c r="F269" s="19"/>
      <c r="G269" s="19"/>
      <c r="H269" s="19"/>
      <c r="I269" s="19"/>
      <c r="J269" s="19"/>
      <c r="K269" s="19"/>
      <c r="L269" s="19"/>
      <c r="M269" s="19"/>
      <c r="N269" s="19"/>
      <c r="O269" s="19"/>
      <c r="P269" s="20"/>
      <c r="Q269" s="20"/>
      <c r="R269" s="22"/>
      <c r="S269" s="22"/>
      <c r="T269" s="20"/>
      <c r="U269" s="20"/>
      <c r="V269" s="20"/>
      <c r="W269" s="19"/>
      <c r="X269" s="19"/>
      <c r="Y269" s="19"/>
      <c r="Z269" s="23"/>
    </row>
    <row r="270" spans="1:26" ht="15.75" customHeight="1" x14ac:dyDescent="0.2">
      <c r="A270" s="34"/>
      <c r="B270" s="34"/>
      <c r="C270" s="34"/>
      <c r="D270" s="34"/>
      <c r="E270" s="19"/>
      <c r="F270" s="19"/>
      <c r="G270" s="19"/>
      <c r="H270" s="19"/>
      <c r="I270" s="19"/>
      <c r="J270" s="19"/>
      <c r="K270" s="19"/>
      <c r="L270" s="19"/>
      <c r="M270" s="19"/>
      <c r="N270" s="19"/>
      <c r="O270" s="19"/>
      <c r="P270" s="20"/>
      <c r="Q270" s="20"/>
      <c r="R270" s="22"/>
      <c r="S270" s="22"/>
      <c r="T270" s="20"/>
      <c r="U270" s="20"/>
      <c r="V270" s="20"/>
      <c r="W270" s="19"/>
      <c r="X270" s="19"/>
      <c r="Y270" s="19"/>
      <c r="Z270" s="23"/>
    </row>
    <row r="271" spans="1:26" ht="15.75" customHeight="1" x14ac:dyDescent="0.2">
      <c r="A271" s="34"/>
      <c r="B271" s="34"/>
      <c r="C271" s="34"/>
      <c r="D271" s="34"/>
      <c r="E271" s="19"/>
      <c r="F271" s="19"/>
      <c r="G271" s="19"/>
      <c r="H271" s="19"/>
      <c r="I271" s="19"/>
      <c r="J271" s="19"/>
      <c r="K271" s="19"/>
      <c r="L271" s="19"/>
      <c r="M271" s="19"/>
      <c r="N271" s="19"/>
      <c r="O271" s="19"/>
      <c r="P271" s="20"/>
      <c r="Q271" s="20"/>
      <c r="R271" s="22"/>
      <c r="S271" s="22"/>
      <c r="T271" s="20"/>
      <c r="U271" s="20"/>
      <c r="V271" s="20"/>
      <c r="W271" s="19"/>
      <c r="X271" s="19"/>
      <c r="Y271" s="19"/>
      <c r="Z271" s="23"/>
    </row>
    <row r="272" spans="1:26" ht="15.75" customHeight="1" x14ac:dyDescent="0.2">
      <c r="A272" s="34"/>
      <c r="B272" s="34"/>
      <c r="C272" s="34"/>
      <c r="D272" s="34"/>
      <c r="E272" s="19"/>
      <c r="F272" s="19"/>
      <c r="G272" s="19"/>
      <c r="H272" s="19"/>
      <c r="I272" s="19"/>
      <c r="J272" s="19"/>
      <c r="K272" s="19"/>
      <c r="L272" s="19"/>
      <c r="M272" s="19"/>
      <c r="N272" s="19"/>
      <c r="O272" s="19"/>
      <c r="P272" s="20"/>
      <c r="Q272" s="20"/>
      <c r="R272" s="22"/>
      <c r="S272" s="22"/>
      <c r="T272" s="20"/>
      <c r="U272" s="20"/>
      <c r="V272" s="20"/>
      <c r="W272" s="19"/>
      <c r="X272" s="19"/>
      <c r="Y272" s="19"/>
      <c r="Z272" s="23"/>
    </row>
    <row r="273" spans="1:26" ht="15.75" customHeight="1" x14ac:dyDescent="0.2">
      <c r="A273" s="34"/>
      <c r="B273" s="34"/>
      <c r="C273" s="34"/>
      <c r="D273" s="34"/>
      <c r="E273" s="19"/>
      <c r="F273" s="19"/>
      <c r="G273" s="19"/>
      <c r="H273" s="19"/>
      <c r="I273" s="19"/>
      <c r="J273" s="19"/>
      <c r="K273" s="19"/>
      <c r="L273" s="19"/>
      <c r="M273" s="19"/>
      <c r="N273" s="19"/>
      <c r="O273" s="19"/>
      <c r="P273" s="20"/>
      <c r="Q273" s="20"/>
      <c r="R273" s="22"/>
      <c r="S273" s="22"/>
      <c r="T273" s="20"/>
      <c r="U273" s="20"/>
      <c r="V273" s="20"/>
      <c r="W273" s="19"/>
      <c r="X273" s="19"/>
      <c r="Y273" s="19"/>
      <c r="Z273" s="23"/>
    </row>
    <row r="274" spans="1:26" ht="15.75" customHeight="1" x14ac:dyDescent="0.2">
      <c r="A274" s="34"/>
      <c r="B274" s="34"/>
      <c r="C274" s="34"/>
      <c r="D274" s="34"/>
      <c r="E274" s="19"/>
      <c r="F274" s="19"/>
      <c r="G274" s="19"/>
      <c r="H274" s="19"/>
      <c r="I274" s="19"/>
      <c r="J274" s="19"/>
      <c r="K274" s="19"/>
      <c r="L274" s="19"/>
      <c r="M274" s="19"/>
      <c r="N274" s="19"/>
      <c r="O274" s="19"/>
      <c r="P274" s="20"/>
      <c r="Q274" s="20"/>
      <c r="R274" s="22"/>
      <c r="S274" s="22"/>
      <c r="T274" s="20"/>
      <c r="U274" s="20"/>
      <c r="V274" s="20"/>
      <c r="W274" s="19"/>
      <c r="X274" s="19"/>
      <c r="Y274" s="19"/>
      <c r="Z274" s="23"/>
    </row>
    <row r="275" spans="1:26" ht="15.75" customHeight="1" x14ac:dyDescent="0.2">
      <c r="A275" s="34"/>
      <c r="B275" s="34"/>
      <c r="C275" s="34"/>
      <c r="D275" s="34"/>
      <c r="E275" s="19"/>
      <c r="F275" s="19"/>
      <c r="G275" s="19"/>
      <c r="H275" s="19"/>
      <c r="I275" s="19"/>
      <c r="J275" s="19"/>
      <c r="K275" s="19"/>
      <c r="L275" s="19"/>
      <c r="M275" s="19"/>
      <c r="N275" s="19"/>
      <c r="O275" s="19"/>
      <c r="P275" s="20"/>
      <c r="Q275" s="20"/>
      <c r="R275" s="22"/>
      <c r="S275" s="22"/>
      <c r="T275" s="20"/>
      <c r="U275" s="20"/>
      <c r="V275" s="20"/>
      <c r="W275" s="19"/>
      <c r="X275" s="19"/>
      <c r="Y275" s="19"/>
      <c r="Z275" s="23"/>
    </row>
    <row r="276" spans="1:26" ht="15.75" customHeight="1" x14ac:dyDescent="0.2">
      <c r="A276" s="34"/>
      <c r="B276" s="34"/>
      <c r="C276" s="34"/>
      <c r="D276" s="34"/>
      <c r="E276" s="19"/>
      <c r="F276" s="19"/>
      <c r="G276" s="19"/>
      <c r="H276" s="19"/>
      <c r="I276" s="19"/>
      <c r="J276" s="19"/>
      <c r="K276" s="19"/>
      <c r="L276" s="19"/>
      <c r="M276" s="19"/>
      <c r="N276" s="19"/>
      <c r="O276" s="19"/>
      <c r="P276" s="20"/>
      <c r="Q276" s="20"/>
      <c r="R276" s="22"/>
      <c r="S276" s="22"/>
      <c r="T276" s="20"/>
      <c r="U276" s="20"/>
      <c r="V276" s="20"/>
      <c r="W276" s="19"/>
      <c r="X276" s="19"/>
      <c r="Y276" s="19"/>
      <c r="Z276" s="23"/>
    </row>
    <row r="277" spans="1:26" ht="15.75" customHeight="1" x14ac:dyDescent="0.2">
      <c r="A277" s="34"/>
      <c r="B277" s="34"/>
      <c r="C277" s="34"/>
      <c r="D277" s="34"/>
      <c r="E277" s="19"/>
      <c r="F277" s="19"/>
      <c r="G277" s="19"/>
      <c r="H277" s="19"/>
      <c r="I277" s="19"/>
      <c r="J277" s="19"/>
      <c r="K277" s="19"/>
      <c r="L277" s="19"/>
      <c r="M277" s="19"/>
      <c r="N277" s="19"/>
      <c r="O277" s="19"/>
      <c r="P277" s="20"/>
      <c r="Q277" s="20"/>
      <c r="R277" s="22"/>
      <c r="S277" s="22"/>
      <c r="T277" s="20"/>
      <c r="U277" s="20"/>
      <c r="V277" s="20"/>
      <c r="W277" s="19"/>
      <c r="X277" s="19"/>
      <c r="Y277" s="19"/>
      <c r="Z277" s="23"/>
    </row>
    <row r="278" spans="1:26" ht="15.75" customHeight="1" x14ac:dyDescent="0.2">
      <c r="A278" s="34"/>
      <c r="B278" s="34"/>
      <c r="C278" s="34"/>
      <c r="D278" s="34"/>
      <c r="E278" s="19"/>
      <c r="F278" s="19"/>
      <c r="G278" s="19"/>
      <c r="H278" s="19"/>
      <c r="I278" s="19"/>
      <c r="J278" s="19"/>
      <c r="K278" s="19"/>
      <c r="L278" s="19"/>
      <c r="M278" s="19"/>
      <c r="N278" s="19"/>
      <c r="O278" s="19"/>
      <c r="P278" s="20"/>
      <c r="Q278" s="20"/>
      <c r="R278" s="22"/>
      <c r="S278" s="22"/>
      <c r="T278" s="20"/>
      <c r="U278" s="20"/>
      <c r="V278" s="20"/>
      <c r="W278" s="19"/>
      <c r="X278" s="19"/>
      <c r="Y278" s="19"/>
      <c r="Z278" s="23"/>
    </row>
    <row r="279" spans="1:26" ht="15.75" customHeight="1" x14ac:dyDescent="0.2">
      <c r="A279" s="34"/>
      <c r="B279" s="34"/>
      <c r="C279" s="34"/>
      <c r="D279" s="34"/>
      <c r="E279" s="19"/>
      <c r="F279" s="19"/>
      <c r="G279" s="19"/>
      <c r="H279" s="19"/>
      <c r="I279" s="19"/>
      <c r="J279" s="19"/>
      <c r="K279" s="19"/>
      <c r="L279" s="19"/>
      <c r="M279" s="19"/>
      <c r="N279" s="19"/>
      <c r="O279" s="19"/>
      <c r="P279" s="20"/>
      <c r="Q279" s="20"/>
      <c r="R279" s="22"/>
      <c r="S279" s="22"/>
      <c r="T279" s="20"/>
      <c r="U279" s="20"/>
      <c r="V279" s="20"/>
      <c r="W279" s="19"/>
      <c r="X279" s="19"/>
      <c r="Y279" s="19"/>
      <c r="Z279" s="23"/>
    </row>
    <row r="280" spans="1:26" ht="15.75" customHeight="1" x14ac:dyDescent="0.2">
      <c r="A280" s="34"/>
      <c r="B280" s="34"/>
      <c r="C280" s="34"/>
      <c r="D280" s="34"/>
      <c r="E280" s="19"/>
      <c r="F280" s="19"/>
      <c r="G280" s="19"/>
      <c r="H280" s="19"/>
      <c r="I280" s="19"/>
      <c r="J280" s="19"/>
      <c r="K280" s="19"/>
      <c r="L280" s="19"/>
      <c r="M280" s="19"/>
      <c r="N280" s="19"/>
      <c r="O280" s="19"/>
      <c r="P280" s="20"/>
      <c r="Q280" s="20"/>
      <c r="R280" s="22"/>
      <c r="S280" s="22"/>
      <c r="T280" s="20"/>
      <c r="U280" s="20"/>
      <c r="V280" s="20"/>
      <c r="W280" s="19"/>
      <c r="X280" s="19"/>
      <c r="Y280" s="19"/>
      <c r="Z280" s="23"/>
    </row>
    <row r="281" spans="1:26" ht="15.75" customHeight="1" x14ac:dyDescent="0.2">
      <c r="A281" s="34"/>
      <c r="B281" s="34"/>
      <c r="C281" s="34"/>
      <c r="D281" s="34"/>
      <c r="E281" s="19"/>
      <c r="F281" s="19"/>
      <c r="G281" s="19"/>
      <c r="H281" s="19"/>
      <c r="I281" s="19"/>
      <c r="J281" s="19"/>
      <c r="K281" s="19"/>
      <c r="L281" s="19"/>
      <c r="M281" s="19"/>
      <c r="N281" s="19"/>
      <c r="O281" s="19"/>
      <c r="P281" s="20"/>
      <c r="Q281" s="20"/>
      <c r="R281" s="22"/>
      <c r="S281" s="22"/>
      <c r="T281" s="20"/>
      <c r="U281" s="20"/>
      <c r="V281" s="20"/>
      <c r="W281" s="19"/>
      <c r="X281" s="19"/>
      <c r="Y281" s="19"/>
      <c r="Z281" s="23"/>
    </row>
    <row r="282" spans="1:26" ht="15.75" customHeight="1" x14ac:dyDescent="0.2">
      <c r="A282" s="34"/>
      <c r="B282" s="34"/>
      <c r="C282" s="34"/>
      <c r="D282" s="34"/>
      <c r="E282" s="19"/>
      <c r="F282" s="19"/>
      <c r="G282" s="19"/>
      <c r="H282" s="19"/>
      <c r="I282" s="19"/>
      <c r="J282" s="19"/>
      <c r="K282" s="19"/>
      <c r="L282" s="19"/>
      <c r="M282" s="19"/>
      <c r="N282" s="19"/>
      <c r="O282" s="19"/>
      <c r="P282" s="20"/>
      <c r="Q282" s="20"/>
      <c r="R282" s="22"/>
      <c r="S282" s="22"/>
      <c r="T282" s="20"/>
      <c r="U282" s="20"/>
      <c r="V282" s="20"/>
      <c r="W282" s="19"/>
      <c r="X282" s="19"/>
      <c r="Y282" s="19"/>
      <c r="Z282" s="23"/>
    </row>
    <row r="283" spans="1:26" ht="15.75" customHeight="1" x14ac:dyDescent="0.2">
      <c r="A283" s="34"/>
      <c r="B283" s="34"/>
      <c r="C283" s="34"/>
      <c r="D283" s="34"/>
      <c r="E283" s="19"/>
      <c r="F283" s="19"/>
      <c r="G283" s="19"/>
      <c r="H283" s="19"/>
      <c r="I283" s="19"/>
      <c r="J283" s="19"/>
      <c r="K283" s="19"/>
      <c r="L283" s="19"/>
      <c r="M283" s="19"/>
      <c r="N283" s="19"/>
      <c r="O283" s="19"/>
      <c r="P283" s="20"/>
      <c r="Q283" s="20"/>
      <c r="R283" s="22"/>
      <c r="S283" s="22"/>
      <c r="T283" s="20"/>
      <c r="U283" s="20"/>
      <c r="V283" s="20"/>
      <c r="W283" s="19"/>
      <c r="X283" s="19"/>
      <c r="Y283" s="19"/>
      <c r="Z283" s="23"/>
    </row>
    <row r="284" spans="1:26" ht="15.75" customHeight="1" x14ac:dyDescent="0.2">
      <c r="A284" s="34"/>
      <c r="B284" s="34"/>
      <c r="C284" s="34"/>
      <c r="D284" s="34"/>
      <c r="E284" s="19"/>
      <c r="F284" s="19"/>
      <c r="G284" s="19"/>
      <c r="H284" s="19"/>
      <c r="I284" s="19"/>
      <c r="J284" s="19"/>
      <c r="K284" s="19"/>
      <c r="L284" s="19"/>
      <c r="M284" s="19"/>
      <c r="N284" s="19"/>
      <c r="O284" s="19"/>
      <c r="P284" s="20"/>
      <c r="Q284" s="20"/>
      <c r="R284" s="22"/>
      <c r="S284" s="22"/>
      <c r="T284" s="20"/>
      <c r="U284" s="20"/>
      <c r="V284" s="20"/>
      <c r="W284" s="19"/>
      <c r="X284" s="19"/>
      <c r="Y284" s="19"/>
      <c r="Z284" s="23"/>
    </row>
    <row r="285" spans="1:26" ht="15.75" customHeight="1" x14ac:dyDescent="0.2">
      <c r="A285" s="34"/>
      <c r="B285" s="34"/>
      <c r="C285" s="34"/>
      <c r="D285" s="34"/>
      <c r="E285" s="19"/>
      <c r="F285" s="19"/>
      <c r="G285" s="19"/>
      <c r="H285" s="19"/>
      <c r="I285" s="19"/>
      <c r="J285" s="19"/>
      <c r="K285" s="19"/>
      <c r="L285" s="19"/>
      <c r="M285" s="19"/>
      <c r="N285" s="19"/>
      <c r="O285" s="19"/>
      <c r="P285" s="20"/>
      <c r="Q285" s="20"/>
      <c r="R285" s="22"/>
      <c r="S285" s="22"/>
      <c r="T285" s="20"/>
      <c r="U285" s="20"/>
      <c r="V285" s="20"/>
      <c r="W285" s="19"/>
      <c r="X285" s="19"/>
      <c r="Y285" s="19"/>
      <c r="Z285" s="23"/>
    </row>
    <row r="286" spans="1:26" ht="15.75" customHeight="1" x14ac:dyDescent="0.2">
      <c r="A286" s="34"/>
      <c r="B286" s="34"/>
      <c r="C286" s="34"/>
      <c r="D286" s="34"/>
      <c r="E286" s="19"/>
      <c r="F286" s="19"/>
      <c r="G286" s="19"/>
      <c r="H286" s="19"/>
      <c r="I286" s="19"/>
      <c r="J286" s="19"/>
      <c r="K286" s="19"/>
      <c r="L286" s="19"/>
      <c r="M286" s="19"/>
      <c r="N286" s="19"/>
      <c r="O286" s="19"/>
      <c r="P286" s="20"/>
      <c r="Q286" s="20"/>
      <c r="R286" s="22"/>
      <c r="S286" s="22"/>
      <c r="T286" s="20"/>
      <c r="U286" s="20"/>
      <c r="V286" s="20"/>
      <c r="W286" s="19"/>
      <c r="X286" s="19"/>
      <c r="Y286" s="19"/>
      <c r="Z286" s="23"/>
    </row>
    <row r="287" spans="1:26" ht="15.75" customHeight="1" x14ac:dyDescent="0.2">
      <c r="A287" s="34"/>
      <c r="B287" s="34"/>
      <c r="C287" s="34"/>
      <c r="D287" s="34"/>
      <c r="E287" s="19"/>
      <c r="F287" s="19"/>
      <c r="G287" s="19"/>
      <c r="H287" s="19"/>
      <c r="I287" s="19"/>
      <c r="J287" s="19"/>
      <c r="K287" s="19"/>
      <c r="L287" s="19"/>
      <c r="M287" s="19"/>
      <c r="N287" s="19"/>
      <c r="O287" s="19"/>
      <c r="P287" s="20"/>
      <c r="Q287" s="20"/>
      <c r="R287" s="22"/>
      <c r="S287" s="22"/>
      <c r="T287" s="20"/>
      <c r="U287" s="20"/>
      <c r="V287" s="20"/>
      <c r="W287" s="19"/>
      <c r="X287" s="19"/>
      <c r="Y287" s="19"/>
      <c r="Z287" s="23"/>
    </row>
    <row r="288" spans="1:26" ht="15.75" customHeight="1" x14ac:dyDescent="0.2">
      <c r="A288" s="34"/>
      <c r="B288" s="34"/>
      <c r="C288" s="34"/>
      <c r="D288" s="34"/>
      <c r="E288" s="19"/>
      <c r="F288" s="19"/>
      <c r="G288" s="19"/>
      <c r="H288" s="19"/>
      <c r="I288" s="19"/>
      <c r="J288" s="19"/>
      <c r="K288" s="19"/>
      <c r="L288" s="19"/>
      <c r="M288" s="19"/>
      <c r="N288" s="19"/>
      <c r="O288" s="19"/>
      <c r="P288" s="20"/>
      <c r="Q288" s="20"/>
      <c r="R288" s="22"/>
      <c r="S288" s="22"/>
      <c r="T288" s="20"/>
      <c r="U288" s="20"/>
      <c r="V288" s="20"/>
      <c r="W288" s="19"/>
      <c r="X288" s="19"/>
      <c r="Y288" s="19"/>
      <c r="Z288" s="23"/>
    </row>
    <row r="289" spans="1:26" ht="15.75" customHeight="1" x14ac:dyDescent="0.2">
      <c r="A289" s="34"/>
      <c r="B289" s="34"/>
      <c r="C289" s="34"/>
      <c r="D289" s="34"/>
      <c r="E289" s="19"/>
      <c r="F289" s="19"/>
      <c r="G289" s="19"/>
      <c r="H289" s="19"/>
      <c r="I289" s="19"/>
      <c r="J289" s="19"/>
      <c r="K289" s="19"/>
      <c r="L289" s="19"/>
      <c r="M289" s="19"/>
      <c r="N289" s="19"/>
      <c r="O289" s="19"/>
      <c r="P289" s="20"/>
      <c r="Q289" s="20"/>
      <c r="R289" s="22"/>
      <c r="S289" s="22"/>
      <c r="T289" s="20"/>
      <c r="U289" s="20"/>
      <c r="V289" s="20"/>
      <c r="W289" s="19"/>
      <c r="X289" s="19"/>
      <c r="Y289" s="19"/>
      <c r="Z289" s="23"/>
    </row>
    <row r="290" spans="1:26" ht="15.75" customHeight="1" x14ac:dyDescent="0.2">
      <c r="A290" s="34"/>
      <c r="B290" s="34"/>
      <c r="C290" s="34"/>
      <c r="D290" s="34"/>
      <c r="E290" s="19"/>
      <c r="F290" s="19"/>
      <c r="G290" s="19"/>
      <c r="H290" s="19"/>
      <c r="I290" s="19"/>
      <c r="J290" s="19"/>
      <c r="K290" s="19"/>
      <c r="L290" s="19"/>
      <c r="M290" s="19"/>
      <c r="N290" s="19"/>
      <c r="O290" s="19"/>
      <c r="P290" s="20"/>
      <c r="Q290" s="20"/>
      <c r="R290" s="22"/>
      <c r="S290" s="22"/>
      <c r="T290" s="20"/>
      <c r="U290" s="20"/>
      <c r="V290" s="20"/>
      <c r="W290" s="19"/>
      <c r="X290" s="19"/>
      <c r="Y290" s="19"/>
      <c r="Z290" s="23"/>
    </row>
    <row r="291" spans="1:26" ht="15.75" customHeight="1" x14ac:dyDescent="0.2">
      <c r="A291" s="34"/>
      <c r="B291" s="34"/>
      <c r="C291" s="34"/>
      <c r="D291" s="34"/>
      <c r="E291" s="19"/>
      <c r="F291" s="19"/>
      <c r="G291" s="19"/>
      <c r="H291" s="19"/>
      <c r="I291" s="19"/>
      <c r="J291" s="19"/>
      <c r="K291" s="19"/>
      <c r="L291" s="19"/>
      <c r="M291" s="19"/>
      <c r="N291" s="19"/>
      <c r="O291" s="19"/>
      <c r="P291" s="20"/>
      <c r="Q291" s="20"/>
      <c r="R291" s="22"/>
      <c r="S291" s="22"/>
      <c r="T291" s="20"/>
      <c r="U291" s="20"/>
      <c r="V291" s="20"/>
      <c r="W291" s="19"/>
      <c r="X291" s="19"/>
      <c r="Y291" s="19"/>
      <c r="Z291" s="23"/>
    </row>
    <row r="292" spans="1:26" ht="15.75" customHeight="1" x14ac:dyDescent="0.2">
      <c r="A292" s="34"/>
      <c r="B292" s="34"/>
      <c r="C292" s="34"/>
      <c r="D292" s="34"/>
      <c r="E292" s="19"/>
      <c r="F292" s="19"/>
      <c r="G292" s="19"/>
      <c r="H292" s="19"/>
      <c r="I292" s="19"/>
      <c r="J292" s="19"/>
      <c r="K292" s="19"/>
      <c r="L292" s="19"/>
      <c r="M292" s="19"/>
      <c r="N292" s="19"/>
      <c r="O292" s="19"/>
      <c r="P292" s="20"/>
      <c r="Q292" s="20"/>
      <c r="R292" s="22"/>
      <c r="S292" s="22"/>
      <c r="T292" s="20"/>
      <c r="U292" s="20"/>
      <c r="V292" s="20"/>
      <c r="W292" s="19"/>
      <c r="X292" s="19"/>
      <c r="Y292" s="19"/>
      <c r="Z292" s="23"/>
    </row>
    <row r="293" spans="1:26" ht="15.75" customHeight="1" x14ac:dyDescent="0.2">
      <c r="A293" s="34"/>
      <c r="B293" s="34"/>
      <c r="C293" s="34"/>
      <c r="D293" s="34"/>
      <c r="E293" s="19"/>
      <c r="F293" s="19"/>
      <c r="G293" s="19"/>
      <c r="H293" s="19"/>
      <c r="I293" s="19"/>
      <c r="J293" s="19"/>
      <c r="K293" s="19"/>
      <c r="L293" s="19"/>
      <c r="M293" s="19"/>
      <c r="N293" s="19"/>
      <c r="O293" s="19"/>
      <c r="P293" s="20"/>
      <c r="Q293" s="20"/>
      <c r="R293" s="22"/>
      <c r="S293" s="22"/>
      <c r="T293" s="20"/>
      <c r="U293" s="20"/>
      <c r="V293" s="20"/>
      <c r="W293" s="19"/>
      <c r="X293" s="19"/>
      <c r="Y293" s="19"/>
      <c r="Z293" s="23"/>
    </row>
    <row r="294" spans="1:26" ht="15.75" customHeight="1" x14ac:dyDescent="0.2">
      <c r="A294" s="34"/>
      <c r="B294" s="34"/>
      <c r="C294" s="34"/>
      <c r="D294" s="34"/>
      <c r="E294" s="19"/>
      <c r="F294" s="19"/>
      <c r="G294" s="19"/>
      <c r="H294" s="19"/>
      <c r="I294" s="19"/>
      <c r="J294" s="19"/>
      <c r="K294" s="19"/>
      <c r="L294" s="19"/>
      <c r="M294" s="19"/>
      <c r="N294" s="19"/>
      <c r="O294" s="19"/>
      <c r="P294" s="20"/>
      <c r="Q294" s="20"/>
      <c r="R294" s="22"/>
      <c r="S294" s="22"/>
      <c r="T294" s="20"/>
      <c r="U294" s="20"/>
      <c r="V294" s="20"/>
      <c r="W294" s="19"/>
      <c r="X294" s="19"/>
      <c r="Y294" s="19"/>
      <c r="Z294" s="23"/>
    </row>
    <row r="295" spans="1:26" ht="15.75" customHeight="1" x14ac:dyDescent="0.2">
      <c r="A295" s="34"/>
      <c r="B295" s="34"/>
      <c r="C295" s="34"/>
      <c r="D295" s="34"/>
      <c r="E295" s="19"/>
      <c r="F295" s="19"/>
      <c r="G295" s="19"/>
      <c r="H295" s="19"/>
      <c r="I295" s="19"/>
      <c r="J295" s="19"/>
      <c r="K295" s="19"/>
      <c r="L295" s="19"/>
      <c r="M295" s="19"/>
      <c r="N295" s="19"/>
      <c r="O295" s="19"/>
      <c r="P295" s="20"/>
      <c r="Q295" s="20"/>
      <c r="R295" s="22"/>
      <c r="S295" s="22"/>
      <c r="T295" s="20"/>
      <c r="U295" s="20"/>
      <c r="V295" s="20"/>
      <c r="W295" s="19"/>
      <c r="X295" s="19"/>
      <c r="Y295" s="19"/>
      <c r="Z295" s="23"/>
    </row>
    <row r="296" spans="1:26" ht="15.75" customHeight="1" x14ac:dyDescent="0.2">
      <c r="A296" s="34"/>
      <c r="B296" s="34"/>
      <c r="C296" s="34"/>
      <c r="D296" s="34"/>
      <c r="E296" s="19"/>
      <c r="F296" s="19"/>
      <c r="G296" s="19"/>
      <c r="H296" s="19"/>
      <c r="I296" s="19"/>
      <c r="J296" s="19"/>
      <c r="K296" s="19"/>
      <c r="L296" s="19"/>
      <c r="M296" s="19"/>
      <c r="N296" s="19"/>
      <c r="O296" s="19"/>
      <c r="P296" s="20"/>
      <c r="Q296" s="20"/>
      <c r="R296" s="22"/>
      <c r="S296" s="22"/>
      <c r="T296" s="20"/>
      <c r="U296" s="20"/>
      <c r="V296" s="20"/>
      <c r="W296" s="19"/>
      <c r="X296" s="19"/>
      <c r="Y296" s="19"/>
      <c r="Z296" s="23"/>
    </row>
    <row r="297" spans="1:26" ht="15.75" customHeight="1" x14ac:dyDescent="0.2">
      <c r="A297" s="34"/>
      <c r="B297" s="34"/>
      <c r="C297" s="34"/>
      <c r="D297" s="34"/>
      <c r="E297" s="19"/>
      <c r="F297" s="19"/>
      <c r="G297" s="19"/>
      <c r="H297" s="19"/>
      <c r="I297" s="19"/>
      <c r="J297" s="19"/>
      <c r="K297" s="19"/>
      <c r="L297" s="19"/>
      <c r="M297" s="19"/>
      <c r="N297" s="19"/>
      <c r="O297" s="19"/>
      <c r="P297" s="20"/>
      <c r="Q297" s="20"/>
      <c r="R297" s="22"/>
      <c r="S297" s="22"/>
      <c r="T297" s="20"/>
      <c r="U297" s="20"/>
      <c r="V297" s="20"/>
      <c r="W297" s="19"/>
      <c r="X297" s="19"/>
      <c r="Y297" s="19"/>
      <c r="Z297" s="23"/>
    </row>
    <row r="298" spans="1:26" ht="15.75" customHeight="1" x14ac:dyDescent="0.2">
      <c r="A298" s="34"/>
      <c r="B298" s="34"/>
      <c r="C298" s="34"/>
      <c r="D298" s="34"/>
      <c r="E298" s="19"/>
      <c r="F298" s="19"/>
      <c r="G298" s="19"/>
      <c r="H298" s="19"/>
      <c r="I298" s="19"/>
      <c r="J298" s="19"/>
      <c r="K298" s="19"/>
      <c r="L298" s="19"/>
      <c r="M298" s="19"/>
      <c r="N298" s="19"/>
      <c r="O298" s="19"/>
      <c r="P298" s="20"/>
      <c r="Q298" s="20"/>
      <c r="R298" s="22"/>
      <c r="S298" s="22"/>
      <c r="T298" s="20"/>
      <c r="U298" s="20"/>
      <c r="V298" s="20"/>
      <c r="W298" s="19"/>
      <c r="X298" s="19"/>
      <c r="Y298" s="19"/>
      <c r="Z298" s="23"/>
    </row>
    <row r="299" spans="1:26" ht="15.75" customHeight="1" x14ac:dyDescent="0.2">
      <c r="A299" s="34"/>
      <c r="B299" s="34"/>
      <c r="C299" s="34"/>
      <c r="D299" s="34"/>
      <c r="E299" s="19"/>
      <c r="F299" s="19"/>
      <c r="G299" s="19"/>
      <c r="H299" s="19"/>
      <c r="I299" s="19"/>
      <c r="J299" s="19"/>
      <c r="K299" s="19"/>
      <c r="L299" s="19"/>
      <c r="M299" s="19"/>
      <c r="N299" s="19"/>
      <c r="O299" s="19"/>
      <c r="P299" s="20"/>
      <c r="Q299" s="20"/>
      <c r="R299" s="22"/>
      <c r="S299" s="22"/>
      <c r="T299" s="20"/>
      <c r="U299" s="20"/>
      <c r="V299" s="20"/>
      <c r="W299" s="19"/>
      <c r="X299" s="19"/>
      <c r="Y299" s="19"/>
      <c r="Z299" s="23"/>
    </row>
    <row r="300" spans="1:26" ht="15.75" customHeight="1" x14ac:dyDescent="0.2">
      <c r="A300" s="34"/>
      <c r="B300" s="34"/>
      <c r="C300" s="34"/>
      <c r="D300" s="34"/>
      <c r="E300" s="19"/>
      <c r="F300" s="19"/>
      <c r="G300" s="19"/>
      <c r="H300" s="19"/>
      <c r="I300" s="19"/>
      <c r="J300" s="19"/>
      <c r="K300" s="19"/>
      <c r="L300" s="19"/>
      <c r="M300" s="19"/>
      <c r="N300" s="19"/>
      <c r="O300" s="19"/>
      <c r="P300" s="20"/>
      <c r="Q300" s="20"/>
      <c r="R300" s="22"/>
      <c r="S300" s="22"/>
      <c r="T300" s="20"/>
      <c r="U300" s="20"/>
      <c r="V300" s="20"/>
      <c r="W300" s="19"/>
      <c r="X300" s="19"/>
      <c r="Y300" s="19"/>
      <c r="Z300" s="23"/>
    </row>
    <row r="301" spans="1:26" ht="15.75" customHeight="1" x14ac:dyDescent="0.2">
      <c r="A301" s="34"/>
      <c r="B301" s="34"/>
      <c r="C301" s="34"/>
      <c r="D301" s="34"/>
      <c r="E301" s="19"/>
      <c r="F301" s="19"/>
      <c r="G301" s="19"/>
      <c r="H301" s="19"/>
      <c r="I301" s="19"/>
      <c r="J301" s="19"/>
      <c r="K301" s="19"/>
      <c r="L301" s="19"/>
      <c r="M301" s="19"/>
      <c r="N301" s="19"/>
      <c r="O301" s="19"/>
      <c r="P301" s="20"/>
      <c r="Q301" s="20"/>
      <c r="R301" s="22"/>
      <c r="S301" s="22"/>
      <c r="T301" s="20"/>
      <c r="U301" s="20"/>
      <c r="V301" s="20"/>
      <c r="W301" s="19"/>
      <c r="X301" s="19"/>
      <c r="Y301" s="19"/>
      <c r="Z301" s="23"/>
    </row>
    <row r="302" spans="1:26" ht="15.75" customHeight="1" x14ac:dyDescent="0.2">
      <c r="A302" s="34"/>
      <c r="B302" s="34"/>
      <c r="C302" s="34"/>
      <c r="D302" s="34"/>
      <c r="E302" s="19"/>
      <c r="F302" s="19"/>
      <c r="G302" s="19"/>
      <c r="H302" s="19"/>
      <c r="I302" s="19"/>
      <c r="J302" s="19"/>
      <c r="K302" s="19"/>
      <c r="L302" s="19"/>
      <c r="M302" s="19"/>
      <c r="N302" s="19"/>
      <c r="O302" s="19"/>
      <c r="P302" s="20"/>
      <c r="Q302" s="20"/>
      <c r="R302" s="22"/>
      <c r="S302" s="22"/>
      <c r="T302" s="20"/>
      <c r="U302" s="20"/>
      <c r="V302" s="20"/>
      <c r="W302" s="19"/>
      <c r="X302" s="19"/>
      <c r="Y302" s="19"/>
      <c r="Z302" s="23"/>
    </row>
    <row r="303" spans="1:26" ht="15.75" customHeight="1" x14ac:dyDescent="0.2">
      <c r="A303" s="34"/>
      <c r="B303" s="34"/>
      <c r="C303" s="34"/>
      <c r="D303" s="34"/>
      <c r="E303" s="19"/>
      <c r="F303" s="19"/>
      <c r="G303" s="19"/>
      <c r="H303" s="19"/>
      <c r="I303" s="19"/>
      <c r="J303" s="19"/>
      <c r="K303" s="19"/>
      <c r="L303" s="19"/>
      <c r="M303" s="19"/>
      <c r="N303" s="19"/>
      <c r="O303" s="19"/>
      <c r="P303" s="20"/>
      <c r="Q303" s="20"/>
      <c r="R303" s="22"/>
      <c r="S303" s="22"/>
      <c r="T303" s="20"/>
      <c r="U303" s="20"/>
      <c r="V303" s="20"/>
      <c r="W303" s="19"/>
      <c r="X303" s="19"/>
      <c r="Y303" s="19"/>
      <c r="Z303" s="23"/>
    </row>
    <row r="304" spans="1:26" ht="15.75" customHeight="1" x14ac:dyDescent="0.2">
      <c r="A304" s="34"/>
      <c r="B304" s="34"/>
      <c r="C304" s="34"/>
      <c r="D304" s="34"/>
      <c r="E304" s="19"/>
      <c r="F304" s="19"/>
      <c r="G304" s="19"/>
      <c r="H304" s="19"/>
      <c r="I304" s="19"/>
      <c r="J304" s="19"/>
      <c r="K304" s="19"/>
      <c r="L304" s="19"/>
      <c r="M304" s="19"/>
      <c r="N304" s="19"/>
      <c r="O304" s="19"/>
      <c r="P304" s="20"/>
      <c r="Q304" s="20"/>
      <c r="R304" s="22"/>
      <c r="S304" s="22"/>
      <c r="T304" s="20"/>
      <c r="U304" s="20"/>
      <c r="V304" s="20"/>
      <c r="W304" s="19"/>
      <c r="X304" s="19"/>
      <c r="Y304" s="19"/>
      <c r="Z304" s="23"/>
    </row>
    <row r="305" spans="1:26" ht="15.75" customHeight="1" x14ac:dyDescent="0.2">
      <c r="A305" s="34"/>
      <c r="B305" s="34"/>
      <c r="C305" s="34"/>
      <c r="D305" s="34"/>
      <c r="E305" s="19"/>
      <c r="F305" s="19"/>
      <c r="G305" s="19"/>
      <c r="H305" s="19"/>
      <c r="I305" s="19"/>
      <c r="J305" s="19"/>
      <c r="K305" s="19"/>
      <c r="L305" s="19"/>
      <c r="M305" s="19"/>
      <c r="N305" s="19"/>
      <c r="O305" s="19"/>
      <c r="P305" s="20"/>
      <c r="Q305" s="20"/>
      <c r="R305" s="22"/>
      <c r="S305" s="22"/>
      <c r="T305" s="20"/>
      <c r="U305" s="20"/>
      <c r="V305" s="20"/>
      <c r="W305" s="19"/>
      <c r="X305" s="19"/>
      <c r="Y305" s="19"/>
      <c r="Z305" s="23"/>
    </row>
    <row r="306" spans="1:26" ht="15.75" customHeight="1" x14ac:dyDescent="0.2">
      <c r="A306" s="34"/>
      <c r="B306" s="34"/>
      <c r="C306" s="34"/>
      <c r="D306" s="34"/>
      <c r="E306" s="19"/>
      <c r="F306" s="19"/>
      <c r="G306" s="19"/>
      <c r="H306" s="19"/>
      <c r="I306" s="19"/>
      <c r="J306" s="19"/>
      <c r="K306" s="19"/>
      <c r="L306" s="19"/>
      <c r="M306" s="19"/>
      <c r="N306" s="19"/>
      <c r="O306" s="19"/>
      <c r="P306" s="20"/>
      <c r="Q306" s="20"/>
      <c r="R306" s="22"/>
      <c r="S306" s="22"/>
      <c r="T306" s="20"/>
      <c r="U306" s="20"/>
      <c r="V306" s="20"/>
      <c r="W306" s="19"/>
      <c r="X306" s="19"/>
      <c r="Y306" s="19"/>
      <c r="Z306" s="23"/>
    </row>
    <row r="307" spans="1:26" ht="15.75" customHeight="1" x14ac:dyDescent="0.2">
      <c r="A307" s="34"/>
      <c r="B307" s="34"/>
      <c r="C307" s="34"/>
      <c r="D307" s="34"/>
      <c r="E307" s="19"/>
      <c r="F307" s="19"/>
      <c r="G307" s="19"/>
      <c r="H307" s="19"/>
      <c r="I307" s="19"/>
      <c r="J307" s="19"/>
      <c r="K307" s="19"/>
      <c r="L307" s="19"/>
      <c r="M307" s="19"/>
      <c r="N307" s="19"/>
      <c r="O307" s="19"/>
      <c r="P307" s="20"/>
      <c r="Q307" s="20"/>
      <c r="R307" s="22"/>
      <c r="S307" s="22"/>
      <c r="T307" s="20"/>
      <c r="U307" s="20"/>
      <c r="V307" s="20"/>
      <c r="W307" s="19"/>
      <c r="X307" s="19"/>
      <c r="Y307" s="19"/>
      <c r="Z307" s="23"/>
    </row>
    <row r="308" spans="1:26" ht="15.75" customHeight="1" x14ac:dyDescent="0.2">
      <c r="A308" s="34"/>
      <c r="B308" s="34"/>
      <c r="C308" s="34"/>
      <c r="D308" s="34"/>
      <c r="E308" s="19"/>
      <c r="F308" s="19"/>
      <c r="G308" s="19"/>
      <c r="H308" s="19"/>
      <c r="I308" s="19"/>
      <c r="J308" s="19"/>
      <c r="K308" s="19"/>
      <c r="L308" s="19"/>
      <c r="M308" s="19"/>
      <c r="N308" s="19"/>
      <c r="O308" s="19"/>
      <c r="P308" s="20"/>
      <c r="Q308" s="20"/>
      <c r="R308" s="22"/>
      <c r="S308" s="22"/>
      <c r="T308" s="20"/>
      <c r="U308" s="20"/>
      <c r="V308" s="20"/>
      <c r="W308" s="19"/>
      <c r="X308" s="19"/>
      <c r="Y308" s="19"/>
      <c r="Z308" s="23"/>
    </row>
    <row r="309" spans="1:26" ht="15.75" customHeight="1" x14ac:dyDescent="0.2">
      <c r="A309" s="34"/>
      <c r="B309" s="34"/>
      <c r="C309" s="34"/>
      <c r="D309" s="34"/>
      <c r="E309" s="19"/>
      <c r="F309" s="19"/>
      <c r="G309" s="19"/>
      <c r="H309" s="19"/>
      <c r="I309" s="19"/>
      <c r="J309" s="19"/>
      <c r="K309" s="19"/>
      <c r="L309" s="19"/>
      <c r="M309" s="19"/>
      <c r="N309" s="19"/>
      <c r="O309" s="19"/>
      <c r="P309" s="20"/>
      <c r="Q309" s="20"/>
      <c r="R309" s="22"/>
      <c r="S309" s="22"/>
      <c r="T309" s="20"/>
      <c r="U309" s="20"/>
      <c r="V309" s="20"/>
      <c r="W309" s="19"/>
      <c r="X309" s="19"/>
      <c r="Y309" s="19"/>
      <c r="Z309" s="23"/>
    </row>
    <row r="310" spans="1:26" ht="15.75" customHeight="1" x14ac:dyDescent="0.2">
      <c r="A310" s="34"/>
      <c r="B310" s="34"/>
      <c r="C310" s="34"/>
      <c r="D310" s="34"/>
      <c r="E310" s="19"/>
      <c r="F310" s="19"/>
      <c r="G310" s="19"/>
      <c r="H310" s="19"/>
      <c r="I310" s="19"/>
      <c r="J310" s="19"/>
      <c r="K310" s="19"/>
      <c r="L310" s="19"/>
      <c r="M310" s="19"/>
      <c r="N310" s="19"/>
      <c r="O310" s="19"/>
      <c r="P310" s="20"/>
      <c r="Q310" s="20"/>
      <c r="R310" s="22"/>
      <c r="S310" s="22"/>
      <c r="T310" s="20"/>
      <c r="U310" s="20"/>
      <c r="V310" s="20"/>
      <c r="W310" s="19"/>
      <c r="X310" s="19"/>
      <c r="Y310" s="19"/>
      <c r="Z310" s="23"/>
    </row>
    <row r="311" spans="1:26" ht="15.75" customHeight="1" x14ac:dyDescent="0.2">
      <c r="A311" s="34"/>
      <c r="B311" s="34"/>
      <c r="C311" s="34"/>
      <c r="D311" s="34"/>
      <c r="E311" s="19"/>
      <c r="F311" s="19"/>
      <c r="G311" s="19"/>
      <c r="H311" s="19"/>
      <c r="I311" s="19"/>
      <c r="J311" s="19"/>
      <c r="K311" s="19"/>
      <c r="L311" s="19"/>
      <c r="M311" s="19"/>
      <c r="N311" s="19"/>
      <c r="O311" s="19"/>
      <c r="P311" s="20"/>
      <c r="Q311" s="20"/>
      <c r="R311" s="22"/>
      <c r="S311" s="22"/>
      <c r="T311" s="20"/>
      <c r="U311" s="20"/>
      <c r="V311" s="20"/>
      <c r="W311" s="19"/>
      <c r="X311" s="19"/>
      <c r="Y311" s="19"/>
      <c r="Z311" s="23"/>
    </row>
    <row r="312" spans="1:26" ht="15.75" customHeight="1" x14ac:dyDescent="0.2">
      <c r="A312" s="34"/>
      <c r="B312" s="34"/>
      <c r="C312" s="34"/>
      <c r="D312" s="34"/>
      <c r="E312" s="19"/>
      <c r="F312" s="19"/>
      <c r="G312" s="19"/>
      <c r="H312" s="19"/>
      <c r="I312" s="19"/>
      <c r="J312" s="19"/>
      <c r="K312" s="19"/>
      <c r="L312" s="19"/>
      <c r="M312" s="19"/>
      <c r="N312" s="19"/>
      <c r="O312" s="19"/>
      <c r="P312" s="20"/>
      <c r="Q312" s="20"/>
      <c r="R312" s="22"/>
      <c r="S312" s="22"/>
      <c r="T312" s="20"/>
      <c r="U312" s="20"/>
      <c r="V312" s="20"/>
      <c r="W312" s="19"/>
      <c r="X312" s="19"/>
      <c r="Y312" s="19"/>
      <c r="Z312" s="23"/>
    </row>
    <row r="313" spans="1:26" ht="15.75" customHeight="1" x14ac:dyDescent="0.2">
      <c r="A313" s="34"/>
      <c r="B313" s="34"/>
      <c r="C313" s="34"/>
      <c r="D313" s="34"/>
      <c r="E313" s="19"/>
      <c r="F313" s="19"/>
      <c r="G313" s="19"/>
      <c r="H313" s="19"/>
      <c r="I313" s="19"/>
      <c r="J313" s="19"/>
      <c r="K313" s="19"/>
      <c r="L313" s="19"/>
      <c r="M313" s="19"/>
      <c r="N313" s="19"/>
      <c r="O313" s="19"/>
      <c r="P313" s="20"/>
      <c r="Q313" s="20"/>
      <c r="R313" s="22"/>
      <c r="S313" s="22"/>
      <c r="T313" s="20"/>
      <c r="U313" s="20"/>
      <c r="V313" s="20"/>
      <c r="W313" s="19"/>
      <c r="X313" s="19"/>
      <c r="Y313" s="19"/>
      <c r="Z313" s="23"/>
    </row>
    <row r="314" spans="1:26" ht="15.75" customHeight="1" x14ac:dyDescent="0.2">
      <c r="A314" s="34"/>
      <c r="B314" s="34"/>
      <c r="C314" s="34"/>
      <c r="D314" s="34"/>
      <c r="E314" s="19"/>
      <c r="F314" s="19"/>
      <c r="G314" s="19"/>
      <c r="H314" s="19"/>
      <c r="I314" s="19"/>
      <c r="J314" s="19"/>
      <c r="K314" s="19"/>
      <c r="L314" s="19"/>
      <c r="M314" s="19"/>
      <c r="N314" s="19"/>
      <c r="O314" s="19"/>
      <c r="P314" s="20"/>
      <c r="Q314" s="20"/>
      <c r="R314" s="22"/>
      <c r="S314" s="22"/>
      <c r="T314" s="20"/>
      <c r="U314" s="20"/>
      <c r="V314" s="20"/>
      <c r="W314" s="19"/>
      <c r="X314" s="19"/>
      <c r="Y314" s="19"/>
      <c r="Z314" s="23"/>
    </row>
    <row r="315" spans="1:26" ht="15.75" customHeight="1" x14ac:dyDescent="0.2">
      <c r="A315" s="34"/>
      <c r="B315" s="34"/>
      <c r="C315" s="34"/>
      <c r="D315" s="34"/>
      <c r="E315" s="19"/>
      <c r="F315" s="19"/>
      <c r="G315" s="19"/>
      <c r="H315" s="19"/>
      <c r="I315" s="19"/>
      <c r="J315" s="19"/>
      <c r="K315" s="19"/>
      <c r="L315" s="19"/>
      <c r="M315" s="19"/>
      <c r="N315" s="19"/>
      <c r="O315" s="19"/>
      <c r="P315" s="20"/>
      <c r="Q315" s="20"/>
      <c r="R315" s="22"/>
      <c r="S315" s="22"/>
      <c r="T315" s="20"/>
      <c r="U315" s="20"/>
      <c r="V315" s="20"/>
      <c r="W315" s="19"/>
      <c r="X315" s="19"/>
      <c r="Y315" s="19"/>
      <c r="Z315" s="23"/>
    </row>
    <row r="316" spans="1:26" ht="15.75" customHeight="1" x14ac:dyDescent="0.2">
      <c r="A316" s="34"/>
      <c r="B316" s="34"/>
      <c r="C316" s="34"/>
      <c r="D316" s="34"/>
      <c r="E316" s="19"/>
      <c r="F316" s="19"/>
      <c r="G316" s="19"/>
      <c r="H316" s="19"/>
      <c r="I316" s="19"/>
      <c r="J316" s="19"/>
      <c r="K316" s="19"/>
      <c r="L316" s="19"/>
      <c r="M316" s="19"/>
      <c r="N316" s="19"/>
      <c r="O316" s="19"/>
      <c r="P316" s="20"/>
      <c r="Q316" s="20"/>
      <c r="R316" s="22"/>
      <c r="S316" s="22"/>
      <c r="T316" s="20"/>
      <c r="U316" s="20"/>
      <c r="V316" s="20"/>
      <c r="W316" s="19"/>
      <c r="X316" s="19"/>
      <c r="Y316" s="19"/>
      <c r="Z316" s="23"/>
    </row>
    <row r="317" spans="1:26" ht="15.75" customHeight="1" x14ac:dyDescent="0.2">
      <c r="A317" s="34"/>
      <c r="B317" s="34"/>
      <c r="C317" s="34"/>
      <c r="D317" s="34"/>
      <c r="E317" s="19"/>
      <c r="F317" s="19"/>
      <c r="G317" s="19"/>
      <c r="H317" s="19"/>
      <c r="I317" s="19"/>
      <c r="J317" s="19"/>
      <c r="K317" s="19"/>
      <c r="L317" s="19"/>
      <c r="M317" s="19"/>
      <c r="N317" s="19"/>
      <c r="O317" s="19"/>
      <c r="P317" s="20"/>
      <c r="Q317" s="20"/>
      <c r="R317" s="22"/>
      <c r="S317" s="22"/>
      <c r="T317" s="20"/>
      <c r="U317" s="20"/>
      <c r="V317" s="20"/>
      <c r="W317" s="19"/>
      <c r="X317" s="19"/>
      <c r="Y317" s="19"/>
      <c r="Z317" s="23"/>
    </row>
    <row r="318" spans="1:26" ht="15.75" customHeight="1" x14ac:dyDescent="0.2">
      <c r="A318" s="34"/>
      <c r="B318" s="34"/>
      <c r="C318" s="34"/>
      <c r="D318" s="34"/>
      <c r="E318" s="19"/>
      <c r="F318" s="19"/>
      <c r="G318" s="19"/>
      <c r="H318" s="19"/>
      <c r="I318" s="19"/>
      <c r="J318" s="19"/>
      <c r="K318" s="19"/>
      <c r="L318" s="19"/>
      <c r="M318" s="19"/>
      <c r="N318" s="19"/>
      <c r="O318" s="19"/>
      <c r="P318" s="20"/>
      <c r="Q318" s="20"/>
      <c r="R318" s="22"/>
      <c r="S318" s="22"/>
      <c r="T318" s="20"/>
      <c r="U318" s="20"/>
      <c r="V318" s="20"/>
      <c r="W318" s="19"/>
      <c r="X318" s="19"/>
      <c r="Y318" s="19"/>
      <c r="Z318" s="23"/>
    </row>
    <row r="319" spans="1:26" ht="15.75" customHeight="1" x14ac:dyDescent="0.2">
      <c r="A319" s="34"/>
      <c r="B319" s="34"/>
      <c r="C319" s="34"/>
      <c r="D319" s="34"/>
      <c r="E319" s="19"/>
      <c r="F319" s="19"/>
      <c r="G319" s="19"/>
      <c r="H319" s="19"/>
      <c r="I319" s="19"/>
      <c r="J319" s="19"/>
      <c r="K319" s="19"/>
      <c r="L319" s="19"/>
      <c r="M319" s="19"/>
      <c r="N319" s="19"/>
      <c r="O319" s="19"/>
      <c r="P319" s="20"/>
      <c r="Q319" s="20"/>
      <c r="R319" s="22"/>
      <c r="S319" s="22"/>
      <c r="T319" s="20"/>
      <c r="U319" s="20"/>
      <c r="V319" s="20"/>
      <c r="W319" s="19"/>
      <c r="X319" s="19"/>
      <c r="Y319" s="19"/>
      <c r="Z319" s="23"/>
    </row>
    <row r="320" spans="1:26" ht="15.75" customHeight="1" x14ac:dyDescent="0.2">
      <c r="A320" s="34"/>
      <c r="B320" s="34"/>
      <c r="C320" s="34"/>
      <c r="D320" s="34"/>
      <c r="E320" s="19"/>
      <c r="F320" s="19"/>
      <c r="G320" s="19"/>
      <c r="H320" s="19"/>
      <c r="I320" s="19"/>
      <c r="J320" s="19"/>
      <c r="K320" s="19"/>
      <c r="L320" s="19"/>
      <c r="M320" s="19"/>
      <c r="N320" s="19"/>
      <c r="O320" s="19"/>
      <c r="P320" s="20"/>
      <c r="Q320" s="20"/>
      <c r="R320" s="22"/>
      <c r="S320" s="22"/>
      <c r="T320" s="20"/>
      <c r="U320" s="20"/>
      <c r="V320" s="20"/>
      <c r="W320" s="19"/>
      <c r="X320" s="19"/>
      <c r="Y320" s="19"/>
      <c r="Z320" s="23"/>
    </row>
    <row r="321" spans="1:26" ht="15.75" customHeight="1" x14ac:dyDescent="0.2">
      <c r="A321" s="34"/>
      <c r="B321" s="34"/>
      <c r="C321" s="34"/>
      <c r="D321" s="34"/>
      <c r="E321" s="19"/>
      <c r="F321" s="19"/>
      <c r="G321" s="19"/>
      <c r="H321" s="19"/>
      <c r="I321" s="19"/>
      <c r="J321" s="19"/>
      <c r="K321" s="19"/>
      <c r="L321" s="19"/>
      <c r="M321" s="19"/>
      <c r="N321" s="19"/>
      <c r="O321" s="19"/>
      <c r="P321" s="20"/>
      <c r="Q321" s="20"/>
      <c r="R321" s="22"/>
      <c r="S321" s="22"/>
      <c r="T321" s="20"/>
      <c r="U321" s="20"/>
      <c r="V321" s="20"/>
      <c r="W321" s="19"/>
      <c r="X321" s="19"/>
      <c r="Y321" s="19"/>
      <c r="Z321" s="23"/>
    </row>
    <row r="322" spans="1:26" ht="15.75" customHeight="1" x14ac:dyDescent="0.2">
      <c r="A322" s="34"/>
      <c r="B322" s="34"/>
      <c r="C322" s="34"/>
      <c r="D322" s="34"/>
      <c r="E322" s="19"/>
      <c r="F322" s="19"/>
      <c r="G322" s="19"/>
      <c r="H322" s="19"/>
      <c r="I322" s="19"/>
      <c r="J322" s="19"/>
      <c r="K322" s="19"/>
      <c r="L322" s="19"/>
      <c r="M322" s="19"/>
      <c r="N322" s="19"/>
      <c r="O322" s="19"/>
      <c r="P322" s="20"/>
      <c r="Q322" s="20"/>
      <c r="R322" s="22"/>
      <c r="S322" s="22"/>
      <c r="T322" s="20"/>
      <c r="U322" s="20"/>
      <c r="V322" s="20"/>
      <c r="W322" s="19"/>
      <c r="X322" s="19"/>
      <c r="Y322" s="19"/>
      <c r="Z322" s="23"/>
    </row>
    <row r="323" spans="1:26" ht="15.75" customHeight="1" x14ac:dyDescent="0.2">
      <c r="A323" s="34"/>
      <c r="B323" s="34"/>
      <c r="C323" s="34"/>
      <c r="D323" s="34"/>
      <c r="E323" s="19"/>
      <c r="F323" s="19"/>
      <c r="G323" s="19"/>
      <c r="H323" s="19"/>
      <c r="I323" s="19"/>
      <c r="J323" s="19"/>
      <c r="K323" s="19"/>
      <c r="L323" s="19"/>
      <c r="M323" s="19"/>
      <c r="N323" s="19"/>
      <c r="O323" s="19"/>
      <c r="P323" s="20"/>
      <c r="Q323" s="20"/>
      <c r="R323" s="22"/>
      <c r="S323" s="22"/>
      <c r="T323" s="20"/>
      <c r="U323" s="20"/>
      <c r="V323" s="20"/>
      <c r="W323" s="19"/>
      <c r="X323" s="19"/>
      <c r="Y323" s="19"/>
      <c r="Z323" s="23"/>
    </row>
    <row r="324" spans="1:26" ht="15.75" customHeight="1" x14ac:dyDescent="0.2">
      <c r="A324" s="34"/>
      <c r="B324" s="34"/>
      <c r="C324" s="34"/>
      <c r="D324" s="34"/>
      <c r="E324" s="19"/>
      <c r="F324" s="19"/>
      <c r="G324" s="19"/>
      <c r="H324" s="19"/>
      <c r="I324" s="19"/>
      <c r="J324" s="19"/>
      <c r="K324" s="19"/>
      <c r="L324" s="19"/>
      <c r="M324" s="19"/>
      <c r="N324" s="19"/>
      <c r="O324" s="19"/>
      <c r="P324" s="20"/>
      <c r="Q324" s="20"/>
      <c r="R324" s="22"/>
      <c r="S324" s="22"/>
      <c r="T324" s="20"/>
      <c r="U324" s="20"/>
      <c r="V324" s="20"/>
      <c r="W324" s="19"/>
      <c r="X324" s="19"/>
      <c r="Y324" s="19"/>
      <c r="Z324" s="23"/>
    </row>
    <row r="325" spans="1:26" ht="15.75" customHeight="1" x14ac:dyDescent="0.2">
      <c r="A325" s="34"/>
      <c r="B325" s="34"/>
      <c r="C325" s="34"/>
      <c r="D325" s="34"/>
      <c r="E325" s="19"/>
      <c r="F325" s="19"/>
      <c r="G325" s="19"/>
      <c r="H325" s="19"/>
      <c r="I325" s="19"/>
      <c r="J325" s="19"/>
      <c r="K325" s="19"/>
      <c r="L325" s="19"/>
      <c r="M325" s="19"/>
      <c r="N325" s="19"/>
      <c r="O325" s="19"/>
      <c r="P325" s="20"/>
      <c r="Q325" s="20"/>
      <c r="R325" s="22"/>
      <c r="S325" s="22"/>
      <c r="T325" s="20"/>
      <c r="U325" s="20"/>
      <c r="V325" s="20"/>
      <c r="W325" s="19"/>
      <c r="X325" s="19"/>
      <c r="Y325" s="19"/>
      <c r="Z325" s="23"/>
    </row>
    <row r="326" spans="1:26" ht="15.75" customHeight="1" x14ac:dyDescent="0.2">
      <c r="A326" s="34"/>
      <c r="B326" s="34"/>
      <c r="C326" s="34"/>
      <c r="D326" s="34"/>
      <c r="E326" s="19"/>
      <c r="F326" s="19"/>
      <c r="G326" s="19"/>
      <c r="H326" s="19"/>
      <c r="I326" s="19"/>
      <c r="J326" s="19"/>
      <c r="K326" s="19"/>
      <c r="L326" s="19"/>
      <c r="M326" s="19"/>
      <c r="N326" s="19"/>
      <c r="O326" s="19"/>
      <c r="P326" s="20"/>
      <c r="Q326" s="20"/>
      <c r="R326" s="22"/>
      <c r="S326" s="22"/>
      <c r="T326" s="20"/>
      <c r="U326" s="20"/>
      <c r="V326" s="20"/>
      <c r="W326" s="19"/>
      <c r="X326" s="19"/>
      <c r="Y326" s="19"/>
      <c r="Z326" s="23"/>
    </row>
    <row r="327" spans="1:26" ht="15.75" customHeight="1" x14ac:dyDescent="0.2">
      <c r="A327" s="34"/>
      <c r="B327" s="34"/>
      <c r="C327" s="34"/>
      <c r="D327" s="34"/>
      <c r="E327" s="19"/>
      <c r="F327" s="19"/>
      <c r="G327" s="19"/>
      <c r="H327" s="19"/>
      <c r="I327" s="19"/>
      <c r="J327" s="19"/>
      <c r="K327" s="19"/>
      <c r="L327" s="19"/>
      <c r="M327" s="19"/>
      <c r="N327" s="19"/>
      <c r="O327" s="19"/>
      <c r="P327" s="20"/>
      <c r="Q327" s="20"/>
      <c r="R327" s="22"/>
      <c r="S327" s="22"/>
      <c r="T327" s="20"/>
      <c r="U327" s="20"/>
      <c r="V327" s="20"/>
      <c r="W327" s="19"/>
      <c r="X327" s="19"/>
      <c r="Y327" s="19"/>
      <c r="Z327" s="23"/>
    </row>
    <row r="328" spans="1:26" ht="15.75" customHeight="1" x14ac:dyDescent="0.2">
      <c r="A328" s="34"/>
      <c r="B328" s="34"/>
      <c r="C328" s="34"/>
      <c r="D328" s="34"/>
      <c r="E328" s="19"/>
      <c r="F328" s="19"/>
      <c r="G328" s="19"/>
      <c r="H328" s="19"/>
      <c r="I328" s="19"/>
      <c r="J328" s="19"/>
      <c r="K328" s="19"/>
      <c r="L328" s="19"/>
      <c r="M328" s="19"/>
      <c r="N328" s="19"/>
      <c r="O328" s="19"/>
      <c r="P328" s="20"/>
      <c r="Q328" s="20"/>
      <c r="R328" s="22"/>
      <c r="S328" s="22"/>
      <c r="T328" s="20"/>
      <c r="U328" s="20"/>
      <c r="V328" s="20"/>
      <c r="W328" s="19"/>
      <c r="X328" s="19"/>
      <c r="Y328" s="19"/>
      <c r="Z328" s="23"/>
    </row>
    <row r="329" spans="1:26" ht="15.75" customHeight="1" x14ac:dyDescent="0.2">
      <c r="A329" s="34"/>
      <c r="B329" s="34"/>
      <c r="C329" s="34"/>
      <c r="D329" s="34"/>
      <c r="E329" s="19"/>
      <c r="F329" s="19"/>
      <c r="G329" s="19"/>
      <c r="H329" s="19"/>
      <c r="I329" s="19"/>
      <c r="J329" s="19"/>
      <c r="K329" s="19"/>
      <c r="L329" s="19"/>
      <c r="M329" s="19"/>
      <c r="N329" s="19"/>
      <c r="O329" s="19"/>
      <c r="P329" s="20"/>
      <c r="Q329" s="20"/>
      <c r="R329" s="22"/>
      <c r="S329" s="22"/>
      <c r="T329" s="20"/>
      <c r="U329" s="20"/>
      <c r="V329" s="20"/>
      <c r="W329" s="19"/>
      <c r="X329" s="19"/>
      <c r="Y329" s="19"/>
      <c r="Z329" s="23"/>
    </row>
    <row r="330" spans="1:26" ht="15.75" customHeight="1" x14ac:dyDescent="0.2">
      <c r="A330" s="34"/>
      <c r="B330" s="34"/>
      <c r="C330" s="34"/>
      <c r="D330" s="34"/>
      <c r="E330" s="19"/>
      <c r="F330" s="19"/>
      <c r="G330" s="19"/>
      <c r="H330" s="19"/>
      <c r="I330" s="19"/>
      <c r="J330" s="19"/>
      <c r="K330" s="19"/>
      <c r="L330" s="19"/>
      <c r="M330" s="19"/>
      <c r="N330" s="19"/>
      <c r="O330" s="19"/>
      <c r="P330" s="20"/>
      <c r="Q330" s="20"/>
      <c r="R330" s="22"/>
      <c r="S330" s="22"/>
      <c r="T330" s="20"/>
      <c r="U330" s="20"/>
      <c r="V330" s="20"/>
      <c r="W330" s="19"/>
      <c r="X330" s="19"/>
      <c r="Y330" s="19"/>
      <c r="Z330" s="23"/>
    </row>
    <row r="331" spans="1:26" ht="15.75" customHeight="1" x14ac:dyDescent="0.2">
      <c r="A331" s="34"/>
      <c r="B331" s="34"/>
      <c r="C331" s="34"/>
      <c r="D331" s="34"/>
      <c r="E331" s="19"/>
      <c r="F331" s="19"/>
      <c r="G331" s="19"/>
      <c r="H331" s="19"/>
      <c r="I331" s="19"/>
      <c r="J331" s="19"/>
      <c r="K331" s="19"/>
      <c r="L331" s="19"/>
      <c r="M331" s="19"/>
      <c r="N331" s="19"/>
      <c r="O331" s="19"/>
      <c r="P331" s="20"/>
      <c r="Q331" s="20"/>
      <c r="R331" s="22"/>
      <c r="S331" s="22"/>
      <c r="T331" s="20"/>
      <c r="U331" s="20"/>
      <c r="V331" s="20"/>
      <c r="W331" s="19"/>
      <c r="X331" s="19"/>
      <c r="Y331" s="19"/>
      <c r="Z331" s="23"/>
    </row>
    <row r="332" spans="1:26" ht="15.75" customHeight="1" x14ac:dyDescent="0.2">
      <c r="A332" s="34"/>
      <c r="B332" s="34"/>
      <c r="C332" s="34"/>
      <c r="D332" s="34"/>
      <c r="E332" s="19"/>
      <c r="F332" s="19"/>
      <c r="G332" s="19"/>
      <c r="H332" s="19"/>
      <c r="I332" s="19"/>
      <c r="J332" s="19"/>
      <c r="K332" s="19"/>
      <c r="L332" s="19"/>
      <c r="M332" s="19"/>
      <c r="N332" s="19"/>
      <c r="O332" s="19"/>
      <c r="P332" s="20"/>
      <c r="Q332" s="20"/>
      <c r="R332" s="22"/>
      <c r="S332" s="22"/>
      <c r="T332" s="20"/>
      <c r="U332" s="20"/>
      <c r="V332" s="20"/>
      <c r="W332" s="19"/>
      <c r="X332" s="19"/>
      <c r="Y332" s="19"/>
      <c r="Z332" s="23"/>
    </row>
    <row r="333" spans="1:26" ht="15.75" customHeight="1" x14ac:dyDescent="0.2">
      <c r="A333" s="34"/>
      <c r="B333" s="34"/>
      <c r="C333" s="34"/>
      <c r="D333" s="34"/>
      <c r="E333" s="19"/>
      <c r="F333" s="19"/>
      <c r="G333" s="19"/>
      <c r="H333" s="19"/>
      <c r="I333" s="19"/>
      <c r="J333" s="19"/>
      <c r="K333" s="19"/>
      <c r="L333" s="19"/>
      <c r="M333" s="19"/>
      <c r="N333" s="19"/>
      <c r="O333" s="19"/>
      <c r="P333" s="20"/>
      <c r="Q333" s="20"/>
      <c r="R333" s="22"/>
      <c r="S333" s="22"/>
      <c r="T333" s="20"/>
      <c r="U333" s="20"/>
      <c r="V333" s="20"/>
      <c r="W333" s="19"/>
      <c r="X333" s="19"/>
      <c r="Y333" s="19"/>
      <c r="Z333" s="23"/>
    </row>
    <row r="334" spans="1:26" ht="15.75" customHeight="1" x14ac:dyDescent="0.2">
      <c r="A334" s="34"/>
      <c r="B334" s="34"/>
      <c r="C334" s="34"/>
      <c r="D334" s="34"/>
      <c r="E334" s="19"/>
      <c r="F334" s="19"/>
      <c r="G334" s="19"/>
      <c r="H334" s="19"/>
      <c r="I334" s="19"/>
      <c r="J334" s="19"/>
      <c r="K334" s="19"/>
      <c r="L334" s="19"/>
      <c r="M334" s="19"/>
      <c r="N334" s="19"/>
      <c r="O334" s="19"/>
      <c r="P334" s="20"/>
      <c r="Q334" s="20"/>
      <c r="R334" s="22"/>
      <c r="S334" s="22"/>
      <c r="T334" s="20"/>
      <c r="U334" s="20"/>
      <c r="V334" s="20"/>
      <c r="W334" s="19"/>
      <c r="X334" s="19"/>
      <c r="Y334" s="19"/>
      <c r="Z334" s="23"/>
    </row>
    <row r="335" spans="1:26" ht="15.75" customHeight="1" x14ac:dyDescent="0.2">
      <c r="A335" s="34"/>
      <c r="B335" s="34"/>
      <c r="C335" s="34"/>
      <c r="D335" s="34"/>
      <c r="E335" s="19"/>
      <c r="F335" s="19"/>
      <c r="G335" s="19"/>
      <c r="H335" s="19"/>
      <c r="I335" s="19"/>
      <c r="J335" s="19"/>
      <c r="K335" s="19"/>
      <c r="L335" s="19"/>
      <c r="M335" s="19"/>
      <c r="N335" s="19"/>
      <c r="O335" s="19"/>
      <c r="P335" s="20"/>
      <c r="Q335" s="20"/>
      <c r="R335" s="22"/>
      <c r="S335" s="22"/>
      <c r="T335" s="20"/>
      <c r="U335" s="20"/>
      <c r="V335" s="20"/>
      <c r="W335" s="19"/>
      <c r="X335" s="19"/>
      <c r="Y335" s="19"/>
      <c r="Z335" s="23"/>
    </row>
    <row r="336" spans="1:26" ht="15.75" customHeight="1" x14ac:dyDescent="0.2">
      <c r="A336" s="34"/>
      <c r="B336" s="34"/>
      <c r="C336" s="34"/>
      <c r="D336" s="34"/>
      <c r="E336" s="19"/>
      <c r="F336" s="19"/>
      <c r="G336" s="19"/>
      <c r="H336" s="19"/>
      <c r="I336" s="19"/>
      <c r="J336" s="19"/>
      <c r="K336" s="19"/>
      <c r="L336" s="19"/>
      <c r="M336" s="19"/>
      <c r="N336" s="19"/>
      <c r="O336" s="19"/>
      <c r="P336" s="20"/>
      <c r="Q336" s="20"/>
      <c r="R336" s="22"/>
      <c r="S336" s="22"/>
      <c r="T336" s="20"/>
      <c r="U336" s="20"/>
      <c r="V336" s="20"/>
      <c r="W336" s="19"/>
      <c r="X336" s="19"/>
      <c r="Y336" s="19"/>
      <c r="Z336" s="23"/>
    </row>
    <row r="337" spans="1:26" ht="15.75" customHeight="1" x14ac:dyDescent="0.2">
      <c r="A337" s="34"/>
      <c r="B337" s="34"/>
      <c r="C337" s="34"/>
      <c r="D337" s="34"/>
      <c r="E337" s="19"/>
      <c r="F337" s="19"/>
      <c r="G337" s="19"/>
      <c r="H337" s="19"/>
      <c r="I337" s="19"/>
      <c r="J337" s="19"/>
      <c r="K337" s="19"/>
      <c r="L337" s="19"/>
      <c r="M337" s="19"/>
      <c r="N337" s="19"/>
      <c r="O337" s="19"/>
      <c r="P337" s="20"/>
      <c r="Q337" s="20"/>
      <c r="R337" s="22"/>
      <c r="S337" s="22"/>
      <c r="T337" s="20"/>
      <c r="U337" s="20"/>
      <c r="V337" s="20"/>
      <c r="W337" s="19"/>
      <c r="X337" s="19"/>
      <c r="Y337" s="19"/>
      <c r="Z337" s="23"/>
    </row>
    <row r="338" spans="1:26" ht="15.75" customHeight="1" x14ac:dyDescent="0.2">
      <c r="A338" s="34"/>
      <c r="B338" s="34"/>
      <c r="C338" s="34"/>
      <c r="D338" s="34"/>
      <c r="E338" s="19"/>
      <c r="F338" s="19"/>
      <c r="G338" s="19"/>
      <c r="H338" s="19"/>
      <c r="I338" s="19"/>
      <c r="J338" s="19"/>
      <c r="K338" s="19"/>
      <c r="L338" s="19"/>
      <c r="M338" s="19"/>
      <c r="N338" s="19"/>
      <c r="O338" s="19"/>
      <c r="P338" s="20"/>
      <c r="Q338" s="20"/>
      <c r="R338" s="22"/>
      <c r="S338" s="22"/>
      <c r="T338" s="20"/>
      <c r="U338" s="20"/>
      <c r="V338" s="20"/>
      <c r="W338" s="19"/>
      <c r="X338" s="19"/>
      <c r="Y338" s="19"/>
      <c r="Z338" s="23"/>
    </row>
    <row r="339" spans="1:26" ht="15.75" customHeight="1" x14ac:dyDescent="0.2">
      <c r="A339" s="34"/>
      <c r="B339" s="34"/>
      <c r="C339" s="34"/>
      <c r="D339" s="34"/>
      <c r="E339" s="19"/>
      <c r="F339" s="19"/>
      <c r="G339" s="19"/>
      <c r="H339" s="19"/>
      <c r="I339" s="19"/>
      <c r="J339" s="19"/>
      <c r="K339" s="19"/>
      <c r="L339" s="19"/>
      <c r="M339" s="19"/>
      <c r="N339" s="19"/>
      <c r="O339" s="19"/>
      <c r="P339" s="20"/>
      <c r="Q339" s="20"/>
      <c r="R339" s="22"/>
      <c r="S339" s="22"/>
      <c r="T339" s="20"/>
      <c r="U339" s="20"/>
      <c r="V339" s="20"/>
      <c r="W339" s="19"/>
      <c r="X339" s="19"/>
      <c r="Y339" s="19"/>
      <c r="Z339" s="23"/>
    </row>
    <row r="340" spans="1:26" ht="15.75" customHeight="1" x14ac:dyDescent="0.2">
      <c r="A340" s="34"/>
      <c r="B340" s="34"/>
      <c r="C340" s="34"/>
      <c r="D340" s="34"/>
      <c r="E340" s="19"/>
      <c r="F340" s="19"/>
      <c r="G340" s="19"/>
      <c r="H340" s="19"/>
      <c r="I340" s="19"/>
      <c r="J340" s="19"/>
      <c r="K340" s="19"/>
      <c r="L340" s="19"/>
      <c r="M340" s="19"/>
      <c r="N340" s="19"/>
      <c r="O340" s="19"/>
      <c r="P340" s="20"/>
      <c r="Q340" s="20"/>
      <c r="R340" s="22"/>
      <c r="S340" s="22"/>
      <c r="T340" s="20"/>
      <c r="U340" s="20"/>
      <c r="V340" s="20"/>
      <c r="W340" s="19"/>
      <c r="X340" s="19"/>
      <c r="Y340" s="19"/>
      <c r="Z340" s="23"/>
    </row>
    <row r="341" spans="1:26" ht="15.75" customHeight="1" x14ac:dyDescent="0.2">
      <c r="A341" s="34"/>
      <c r="B341" s="34"/>
      <c r="C341" s="34"/>
      <c r="D341" s="34"/>
      <c r="E341" s="19"/>
      <c r="F341" s="19"/>
      <c r="G341" s="19"/>
      <c r="H341" s="19"/>
      <c r="I341" s="19"/>
      <c r="J341" s="19"/>
      <c r="K341" s="19"/>
      <c r="L341" s="19"/>
      <c r="M341" s="19"/>
      <c r="N341" s="19"/>
      <c r="O341" s="19"/>
      <c r="P341" s="20"/>
      <c r="Q341" s="20"/>
      <c r="R341" s="22"/>
      <c r="S341" s="22"/>
      <c r="T341" s="20"/>
      <c r="U341" s="20"/>
      <c r="V341" s="20"/>
      <c r="W341" s="19"/>
      <c r="X341" s="19"/>
      <c r="Y341" s="19"/>
      <c r="Z341" s="23"/>
    </row>
    <row r="342" spans="1:26" ht="15.75" customHeight="1" x14ac:dyDescent="0.2">
      <c r="A342" s="34"/>
      <c r="B342" s="34"/>
      <c r="C342" s="34"/>
      <c r="D342" s="34"/>
      <c r="E342" s="19"/>
      <c r="F342" s="19"/>
      <c r="G342" s="19"/>
      <c r="H342" s="19"/>
      <c r="I342" s="19"/>
      <c r="J342" s="19"/>
      <c r="K342" s="19"/>
      <c r="L342" s="19"/>
      <c r="M342" s="19"/>
      <c r="N342" s="19"/>
      <c r="O342" s="19"/>
      <c r="P342" s="20"/>
      <c r="Q342" s="20"/>
      <c r="R342" s="22"/>
      <c r="S342" s="22"/>
      <c r="T342" s="20"/>
      <c r="U342" s="20"/>
      <c r="V342" s="20"/>
      <c r="W342" s="19"/>
      <c r="X342" s="19"/>
      <c r="Y342" s="19"/>
      <c r="Z342" s="23"/>
    </row>
    <row r="343" spans="1:26" ht="15.75" customHeight="1" x14ac:dyDescent="0.2">
      <c r="A343" s="34"/>
      <c r="B343" s="34"/>
      <c r="C343" s="34"/>
      <c r="D343" s="34"/>
      <c r="E343" s="19"/>
      <c r="F343" s="19"/>
      <c r="G343" s="19"/>
      <c r="H343" s="19"/>
      <c r="I343" s="19"/>
      <c r="J343" s="19"/>
      <c r="K343" s="19"/>
      <c r="L343" s="19"/>
      <c r="M343" s="19"/>
      <c r="N343" s="19"/>
      <c r="O343" s="19"/>
      <c r="P343" s="20"/>
      <c r="Q343" s="20"/>
      <c r="R343" s="22"/>
      <c r="S343" s="22"/>
      <c r="T343" s="20"/>
      <c r="U343" s="20"/>
      <c r="V343" s="20"/>
      <c r="W343" s="19"/>
      <c r="X343" s="19"/>
      <c r="Y343" s="19"/>
      <c r="Z343" s="23"/>
    </row>
    <row r="344" spans="1:26" ht="15.75" customHeight="1" x14ac:dyDescent="0.2">
      <c r="A344" s="34"/>
      <c r="B344" s="34"/>
      <c r="C344" s="34"/>
      <c r="D344" s="34"/>
      <c r="E344" s="19"/>
      <c r="F344" s="19"/>
      <c r="G344" s="19"/>
      <c r="H344" s="19"/>
      <c r="I344" s="19"/>
      <c r="J344" s="19"/>
      <c r="K344" s="19"/>
      <c r="L344" s="19"/>
      <c r="M344" s="19"/>
      <c r="N344" s="19"/>
      <c r="O344" s="19"/>
      <c r="P344" s="20"/>
      <c r="Q344" s="20"/>
      <c r="R344" s="22"/>
      <c r="S344" s="22"/>
      <c r="T344" s="20"/>
      <c r="U344" s="20"/>
      <c r="V344" s="20"/>
      <c r="W344" s="19"/>
      <c r="X344" s="19"/>
      <c r="Y344" s="19"/>
      <c r="Z344" s="23"/>
    </row>
    <row r="345" spans="1:26" ht="15.75" customHeight="1" x14ac:dyDescent="0.2">
      <c r="A345" s="34"/>
      <c r="B345" s="34"/>
      <c r="C345" s="34"/>
      <c r="D345" s="34"/>
      <c r="E345" s="19"/>
      <c r="F345" s="19"/>
      <c r="G345" s="19"/>
      <c r="H345" s="19"/>
      <c r="I345" s="19"/>
      <c r="J345" s="19"/>
      <c r="K345" s="19"/>
      <c r="L345" s="19"/>
      <c r="M345" s="19"/>
      <c r="N345" s="19"/>
      <c r="O345" s="19"/>
      <c r="P345" s="20"/>
      <c r="Q345" s="20"/>
      <c r="R345" s="22"/>
      <c r="S345" s="22"/>
      <c r="T345" s="20"/>
      <c r="U345" s="20"/>
      <c r="V345" s="20"/>
      <c r="W345" s="19"/>
      <c r="X345" s="19"/>
      <c r="Y345" s="19"/>
      <c r="Z345" s="23"/>
    </row>
    <row r="346" spans="1:26" ht="15.75" customHeight="1" x14ac:dyDescent="0.2">
      <c r="A346" s="34"/>
      <c r="B346" s="34"/>
      <c r="C346" s="34"/>
      <c r="D346" s="34"/>
      <c r="E346" s="19"/>
      <c r="F346" s="19"/>
      <c r="G346" s="19"/>
      <c r="H346" s="19"/>
      <c r="I346" s="19"/>
      <c r="J346" s="19"/>
      <c r="K346" s="19"/>
      <c r="L346" s="19"/>
      <c r="M346" s="19"/>
      <c r="N346" s="19"/>
      <c r="O346" s="19"/>
      <c r="P346" s="20"/>
      <c r="Q346" s="20"/>
      <c r="R346" s="22"/>
      <c r="S346" s="22"/>
      <c r="T346" s="20"/>
      <c r="U346" s="20"/>
      <c r="V346" s="20"/>
      <c r="W346" s="19"/>
      <c r="X346" s="19"/>
      <c r="Y346" s="19"/>
      <c r="Z346" s="23"/>
    </row>
    <row r="347" spans="1:26" ht="15.75" customHeight="1" x14ac:dyDescent="0.2">
      <c r="A347" s="34"/>
      <c r="B347" s="34"/>
      <c r="C347" s="34"/>
      <c r="D347" s="34"/>
      <c r="E347" s="19"/>
      <c r="F347" s="19"/>
      <c r="G347" s="19"/>
      <c r="H347" s="19"/>
      <c r="I347" s="19"/>
      <c r="J347" s="19"/>
      <c r="K347" s="19"/>
      <c r="L347" s="19"/>
      <c r="M347" s="19"/>
      <c r="N347" s="19"/>
      <c r="O347" s="19"/>
      <c r="P347" s="20"/>
      <c r="Q347" s="20"/>
      <c r="R347" s="22"/>
      <c r="S347" s="22"/>
      <c r="T347" s="20"/>
      <c r="U347" s="20"/>
      <c r="V347" s="20"/>
      <c r="W347" s="19"/>
      <c r="X347" s="19"/>
      <c r="Y347" s="19"/>
      <c r="Z347" s="23"/>
    </row>
    <row r="348" spans="1:26" ht="15.75" customHeight="1" x14ac:dyDescent="0.2">
      <c r="A348" s="34"/>
      <c r="B348" s="34"/>
      <c r="C348" s="34"/>
      <c r="D348" s="34"/>
      <c r="E348" s="19"/>
      <c r="F348" s="19"/>
      <c r="G348" s="19"/>
      <c r="H348" s="19"/>
      <c r="I348" s="19"/>
      <c r="J348" s="19"/>
      <c r="K348" s="19"/>
      <c r="L348" s="19"/>
      <c r="M348" s="19"/>
      <c r="N348" s="19"/>
      <c r="O348" s="19"/>
      <c r="P348" s="20"/>
      <c r="Q348" s="20"/>
      <c r="R348" s="22"/>
      <c r="S348" s="22"/>
      <c r="T348" s="20"/>
      <c r="U348" s="20"/>
      <c r="V348" s="20"/>
      <c r="W348" s="19"/>
      <c r="X348" s="19"/>
      <c r="Y348" s="19"/>
      <c r="Z348" s="23"/>
    </row>
    <row r="349" spans="1:26" ht="15.75" customHeight="1" x14ac:dyDescent="0.2">
      <c r="A349" s="34"/>
      <c r="B349" s="34"/>
      <c r="C349" s="34"/>
      <c r="D349" s="34"/>
      <c r="E349" s="19"/>
      <c r="F349" s="19"/>
      <c r="G349" s="19"/>
      <c r="H349" s="19"/>
      <c r="I349" s="19"/>
      <c r="J349" s="19"/>
      <c r="K349" s="19"/>
      <c r="L349" s="19"/>
      <c r="M349" s="19"/>
      <c r="N349" s="19"/>
      <c r="O349" s="19"/>
      <c r="P349" s="20"/>
      <c r="Q349" s="20"/>
      <c r="R349" s="22"/>
      <c r="S349" s="22"/>
      <c r="T349" s="20"/>
      <c r="U349" s="20"/>
      <c r="V349" s="20"/>
      <c r="W349" s="19"/>
      <c r="X349" s="19"/>
      <c r="Y349" s="19"/>
      <c r="Z349" s="23"/>
    </row>
    <row r="350" spans="1:26" ht="15.75" customHeight="1" x14ac:dyDescent="0.2">
      <c r="A350" s="34"/>
      <c r="B350" s="34"/>
      <c r="C350" s="34"/>
      <c r="D350" s="34"/>
      <c r="E350" s="19"/>
      <c r="F350" s="19"/>
      <c r="G350" s="19"/>
      <c r="H350" s="19"/>
      <c r="I350" s="19"/>
      <c r="J350" s="19"/>
      <c r="K350" s="19"/>
      <c r="L350" s="19"/>
      <c r="M350" s="19"/>
      <c r="N350" s="19"/>
      <c r="O350" s="19"/>
      <c r="P350" s="20"/>
      <c r="Q350" s="20"/>
      <c r="R350" s="22"/>
      <c r="S350" s="22"/>
      <c r="T350" s="20"/>
      <c r="U350" s="20"/>
      <c r="V350" s="20"/>
      <c r="W350" s="19"/>
      <c r="X350" s="19"/>
      <c r="Y350" s="19"/>
      <c r="Z350" s="23"/>
    </row>
    <row r="351" spans="1:26" ht="15.75" customHeight="1" x14ac:dyDescent="0.2">
      <c r="A351" s="34"/>
      <c r="B351" s="34"/>
      <c r="C351" s="34"/>
      <c r="D351" s="34"/>
      <c r="E351" s="19"/>
      <c r="F351" s="19"/>
      <c r="G351" s="19"/>
      <c r="H351" s="19"/>
      <c r="I351" s="19"/>
      <c r="J351" s="19"/>
      <c r="K351" s="19"/>
      <c r="L351" s="19"/>
      <c r="M351" s="19"/>
      <c r="N351" s="19"/>
      <c r="O351" s="19"/>
      <c r="P351" s="20"/>
      <c r="Q351" s="20"/>
      <c r="R351" s="22"/>
      <c r="S351" s="22"/>
      <c r="T351" s="20"/>
      <c r="U351" s="20"/>
      <c r="V351" s="20"/>
      <c r="W351" s="19"/>
      <c r="X351" s="19"/>
      <c r="Y351" s="19"/>
      <c r="Z351" s="23"/>
    </row>
    <row r="352" spans="1:26" ht="15.75" customHeight="1" x14ac:dyDescent="0.2">
      <c r="A352" s="34"/>
      <c r="B352" s="34"/>
      <c r="C352" s="34"/>
      <c r="D352" s="34"/>
      <c r="E352" s="19"/>
      <c r="F352" s="19"/>
      <c r="G352" s="19"/>
      <c r="H352" s="19"/>
      <c r="I352" s="19"/>
      <c r="J352" s="19"/>
      <c r="K352" s="19"/>
      <c r="L352" s="19"/>
      <c r="M352" s="19"/>
      <c r="N352" s="19"/>
      <c r="O352" s="19"/>
      <c r="P352" s="20"/>
      <c r="Q352" s="20"/>
      <c r="R352" s="22"/>
      <c r="S352" s="22"/>
      <c r="T352" s="20"/>
      <c r="U352" s="20"/>
      <c r="V352" s="20"/>
      <c r="W352" s="19"/>
      <c r="X352" s="19"/>
      <c r="Y352" s="19"/>
      <c r="Z352" s="23"/>
    </row>
    <row r="353" spans="1:26" ht="15.75" customHeight="1" x14ac:dyDescent="0.2">
      <c r="A353" s="34"/>
      <c r="B353" s="34"/>
      <c r="C353" s="34"/>
      <c r="D353" s="34"/>
      <c r="E353" s="19"/>
      <c r="F353" s="19"/>
      <c r="G353" s="19"/>
      <c r="H353" s="19"/>
      <c r="I353" s="19"/>
      <c r="J353" s="19"/>
      <c r="K353" s="19"/>
      <c r="L353" s="19"/>
      <c r="M353" s="19"/>
      <c r="N353" s="19"/>
      <c r="O353" s="19"/>
      <c r="P353" s="20"/>
      <c r="Q353" s="20"/>
      <c r="R353" s="22"/>
      <c r="S353" s="22"/>
      <c r="T353" s="20"/>
      <c r="U353" s="20"/>
      <c r="V353" s="20"/>
      <c r="W353" s="19"/>
      <c r="X353" s="19"/>
      <c r="Y353" s="19"/>
      <c r="Z353" s="23"/>
    </row>
    <row r="354" spans="1:26" ht="15.75" customHeight="1" x14ac:dyDescent="0.2">
      <c r="A354" s="34"/>
      <c r="B354" s="34"/>
      <c r="C354" s="34"/>
      <c r="D354" s="34"/>
      <c r="E354" s="19"/>
      <c r="F354" s="19"/>
      <c r="G354" s="19"/>
      <c r="H354" s="19"/>
      <c r="I354" s="19"/>
      <c r="J354" s="19"/>
      <c r="K354" s="19"/>
      <c r="L354" s="19"/>
      <c r="M354" s="19"/>
      <c r="N354" s="19"/>
      <c r="O354" s="19"/>
      <c r="P354" s="20"/>
      <c r="Q354" s="20"/>
      <c r="R354" s="22"/>
      <c r="S354" s="22"/>
      <c r="T354" s="20"/>
      <c r="U354" s="20"/>
      <c r="V354" s="20"/>
      <c r="W354" s="19"/>
      <c r="X354" s="19"/>
      <c r="Y354" s="19"/>
      <c r="Z354" s="23"/>
    </row>
    <row r="355" spans="1:26" ht="15.75" customHeight="1" x14ac:dyDescent="0.2">
      <c r="A355" s="34"/>
      <c r="B355" s="34"/>
      <c r="C355" s="34"/>
      <c r="D355" s="34"/>
      <c r="E355" s="19"/>
      <c r="F355" s="19"/>
      <c r="G355" s="19"/>
      <c r="H355" s="19"/>
      <c r="I355" s="19"/>
      <c r="J355" s="19"/>
      <c r="K355" s="19"/>
      <c r="L355" s="19"/>
      <c r="M355" s="19"/>
      <c r="N355" s="19"/>
      <c r="O355" s="19"/>
      <c r="P355" s="20"/>
      <c r="Q355" s="20"/>
      <c r="R355" s="22"/>
      <c r="S355" s="22"/>
      <c r="T355" s="20"/>
      <c r="U355" s="20"/>
      <c r="V355" s="20"/>
      <c r="W355" s="19"/>
      <c r="X355" s="19"/>
      <c r="Y355" s="19"/>
      <c r="Z355" s="23"/>
    </row>
    <row r="356" spans="1:26" ht="15.75" customHeight="1" x14ac:dyDescent="0.2">
      <c r="A356" s="34"/>
      <c r="B356" s="34"/>
      <c r="C356" s="34"/>
      <c r="D356" s="34"/>
      <c r="E356" s="19"/>
      <c r="F356" s="19"/>
      <c r="G356" s="19"/>
      <c r="H356" s="19"/>
      <c r="I356" s="19"/>
      <c r="J356" s="19"/>
      <c r="K356" s="19"/>
      <c r="L356" s="19"/>
      <c r="M356" s="19"/>
      <c r="N356" s="19"/>
      <c r="O356" s="19"/>
      <c r="P356" s="20"/>
      <c r="Q356" s="20"/>
      <c r="R356" s="22"/>
      <c r="S356" s="22"/>
      <c r="T356" s="20"/>
      <c r="U356" s="20"/>
      <c r="V356" s="20"/>
      <c r="W356" s="19"/>
      <c r="X356" s="19"/>
      <c r="Y356" s="19"/>
      <c r="Z356" s="23"/>
    </row>
    <row r="357" spans="1:26" ht="15.75" customHeight="1" x14ac:dyDescent="0.2">
      <c r="A357" s="34"/>
      <c r="B357" s="34"/>
      <c r="C357" s="34"/>
      <c r="D357" s="34"/>
      <c r="E357" s="19"/>
      <c r="F357" s="19"/>
      <c r="G357" s="19"/>
      <c r="H357" s="19"/>
      <c r="I357" s="19"/>
      <c r="J357" s="19"/>
      <c r="K357" s="19"/>
      <c r="L357" s="19"/>
      <c r="M357" s="19"/>
      <c r="N357" s="19"/>
      <c r="O357" s="19"/>
      <c r="P357" s="20"/>
      <c r="Q357" s="20"/>
      <c r="R357" s="22"/>
      <c r="S357" s="22"/>
      <c r="T357" s="20"/>
      <c r="U357" s="20"/>
      <c r="V357" s="20"/>
      <c r="W357" s="19"/>
      <c r="X357" s="19"/>
      <c r="Y357" s="19"/>
      <c r="Z357" s="23"/>
    </row>
    <row r="358" spans="1:26" ht="15.75" customHeight="1" x14ac:dyDescent="0.2">
      <c r="A358" s="34"/>
      <c r="B358" s="34"/>
      <c r="C358" s="34"/>
      <c r="D358" s="34"/>
      <c r="E358" s="19"/>
      <c r="F358" s="19"/>
      <c r="G358" s="19"/>
      <c r="H358" s="19"/>
      <c r="I358" s="19"/>
      <c r="J358" s="19"/>
      <c r="K358" s="19"/>
      <c r="L358" s="19"/>
      <c r="M358" s="19"/>
      <c r="N358" s="19"/>
      <c r="O358" s="19"/>
      <c r="P358" s="20"/>
      <c r="Q358" s="20"/>
      <c r="R358" s="22"/>
      <c r="S358" s="22"/>
      <c r="T358" s="20"/>
      <c r="U358" s="20"/>
      <c r="V358" s="20"/>
      <c r="W358" s="19"/>
      <c r="X358" s="19"/>
      <c r="Y358" s="19"/>
      <c r="Z358" s="23"/>
    </row>
    <row r="359" spans="1:26" ht="15.75" customHeight="1" x14ac:dyDescent="0.2">
      <c r="A359" s="34"/>
      <c r="B359" s="34"/>
      <c r="C359" s="34"/>
      <c r="D359" s="34"/>
      <c r="E359" s="19"/>
      <c r="F359" s="19"/>
      <c r="G359" s="19"/>
      <c r="H359" s="19"/>
      <c r="I359" s="19"/>
      <c r="J359" s="19"/>
      <c r="K359" s="19"/>
      <c r="L359" s="19"/>
      <c r="M359" s="19"/>
      <c r="N359" s="19"/>
      <c r="O359" s="19"/>
      <c r="P359" s="20"/>
      <c r="Q359" s="20"/>
      <c r="R359" s="22"/>
      <c r="S359" s="22"/>
      <c r="T359" s="20"/>
      <c r="U359" s="20"/>
      <c r="V359" s="20"/>
      <c r="W359" s="19"/>
      <c r="X359" s="19"/>
      <c r="Y359" s="19"/>
      <c r="Z359" s="23"/>
    </row>
    <row r="360" spans="1:26" ht="15.75" customHeight="1" x14ac:dyDescent="0.2">
      <c r="A360" s="34"/>
      <c r="B360" s="34"/>
      <c r="C360" s="34"/>
      <c r="D360" s="34"/>
      <c r="E360" s="19"/>
      <c r="F360" s="19"/>
      <c r="G360" s="19"/>
      <c r="H360" s="19"/>
      <c r="I360" s="19"/>
      <c r="J360" s="19"/>
      <c r="K360" s="19"/>
      <c r="L360" s="19"/>
      <c r="M360" s="19"/>
      <c r="N360" s="19"/>
      <c r="O360" s="19"/>
      <c r="P360" s="20"/>
      <c r="Q360" s="20"/>
      <c r="R360" s="22"/>
      <c r="S360" s="22"/>
      <c r="T360" s="20"/>
      <c r="U360" s="20"/>
      <c r="V360" s="20"/>
      <c r="W360" s="19"/>
      <c r="X360" s="19"/>
      <c r="Y360" s="19"/>
      <c r="Z360" s="23"/>
    </row>
    <row r="361" spans="1:26" ht="15.75" customHeight="1" x14ac:dyDescent="0.2">
      <c r="A361" s="34"/>
      <c r="B361" s="34"/>
      <c r="C361" s="34"/>
      <c r="D361" s="34"/>
      <c r="E361" s="19"/>
      <c r="F361" s="19"/>
      <c r="G361" s="19"/>
      <c r="H361" s="19"/>
      <c r="I361" s="19"/>
      <c r="J361" s="19"/>
      <c r="K361" s="19"/>
      <c r="L361" s="19"/>
      <c r="M361" s="19"/>
      <c r="N361" s="19"/>
      <c r="O361" s="19"/>
      <c r="P361" s="20"/>
      <c r="Q361" s="20"/>
      <c r="R361" s="22"/>
      <c r="S361" s="22"/>
      <c r="T361" s="20"/>
      <c r="U361" s="20"/>
      <c r="V361" s="20"/>
      <c r="W361" s="19"/>
      <c r="X361" s="19"/>
      <c r="Y361" s="19"/>
      <c r="Z361" s="23"/>
    </row>
    <row r="362" spans="1:26" ht="15.75" customHeight="1" x14ac:dyDescent="0.2">
      <c r="A362" s="34"/>
      <c r="B362" s="34"/>
      <c r="C362" s="34"/>
      <c r="D362" s="34"/>
      <c r="E362" s="19"/>
      <c r="F362" s="19"/>
      <c r="G362" s="19"/>
      <c r="H362" s="19"/>
      <c r="I362" s="19"/>
      <c r="J362" s="19"/>
      <c r="K362" s="19"/>
      <c r="L362" s="19"/>
      <c r="M362" s="19"/>
      <c r="N362" s="19"/>
      <c r="O362" s="19"/>
      <c r="P362" s="20"/>
      <c r="Q362" s="20"/>
      <c r="R362" s="22"/>
      <c r="S362" s="22"/>
      <c r="T362" s="20"/>
      <c r="U362" s="20"/>
      <c r="V362" s="20"/>
      <c r="W362" s="19"/>
      <c r="X362" s="19"/>
      <c r="Y362" s="19"/>
      <c r="Z362" s="23"/>
    </row>
    <row r="363" spans="1:26" ht="15.75" customHeight="1" x14ac:dyDescent="0.2">
      <c r="A363" s="34"/>
      <c r="B363" s="34"/>
      <c r="C363" s="34"/>
      <c r="D363" s="34"/>
      <c r="E363" s="19"/>
      <c r="F363" s="19"/>
      <c r="G363" s="19"/>
      <c r="H363" s="19"/>
      <c r="I363" s="19"/>
      <c r="J363" s="19"/>
      <c r="K363" s="19"/>
      <c r="L363" s="19"/>
      <c r="M363" s="19"/>
      <c r="N363" s="19"/>
      <c r="O363" s="19"/>
      <c r="P363" s="20"/>
      <c r="Q363" s="20"/>
      <c r="R363" s="22"/>
      <c r="S363" s="22"/>
      <c r="T363" s="20"/>
      <c r="U363" s="20"/>
      <c r="V363" s="20"/>
      <c r="W363" s="19"/>
      <c r="X363" s="19"/>
      <c r="Y363" s="19"/>
      <c r="Z363" s="23"/>
    </row>
    <row r="364" spans="1:26" ht="15.75" customHeight="1" x14ac:dyDescent="0.2">
      <c r="A364" s="34"/>
      <c r="B364" s="34"/>
      <c r="C364" s="34"/>
      <c r="D364" s="34"/>
      <c r="E364" s="19"/>
      <c r="F364" s="19"/>
      <c r="G364" s="19"/>
      <c r="H364" s="19"/>
      <c r="I364" s="19"/>
      <c r="J364" s="19"/>
      <c r="K364" s="19"/>
      <c r="L364" s="19"/>
      <c r="M364" s="19"/>
      <c r="N364" s="19"/>
      <c r="O364" s="19"/>
      <c r="P364" s="20"/>
      <c r="Q364" s="20"/>
      <c r="R364" s="22"/>
      <c r="S364" s="22"/>
      <c r="T364" s="20"/>
      <c r="U364" s="20"/>
      <c r="V364" s="20"/>
      <c r="W364" s="19"/>
      <c r="X364" s="19"/>
      <c r="Y364" s="19"/>
      <c r="Z364" s="23"/>
    </row>
    <row r="365" spans="1:26" ht="15.75" customHeight="1" x14ac:dyDescent="0.2">
      <c r="A365" s="34"/>
      <c r="B365" s="34"/>
      <c r="C365" s="34"/>
      <c r="D365" s="34"/>
      <c r="E365" s="19"/>
      <c r="F365" s="19"/>
      <c r="G365" s="19"/>
      <c r="H365" s="19"/>
      <c r="I365" s="19"/>
      <c r="J365" s="19"/>
      <c r="K365" s="19"/>
      <c r="L365" s="19"/>
      <c r="M365" s="19"/>
      <c r="N365" s="19"/>
      <c r="O365" s="19"/>
      <c r="P365" s="20"/>
      <c r="Q365" s="20"/>
      <c r="R365" s="22"/>
      <c r="S365" s="22"/>
      <c r="T365" s="20"/>
      <c r="U365" s="20"/>
      <c r="V365" s="20"/>
      <c r="W365" s="19"/>
      <c r="X365" s="19"/>
      <c r="Y365" s="19"/>
      <c r="Z365" s="23"/>
    </row>
    <row r="366" spans="1:26" ht="15.75" customHeight="1" x14ac:dyDescent="0.2">
      <c r="A366" s="34"/>
      <c r="B366" s="34"/>
      <c r="C366" s="34"/>
      <c r="D366" s="34"/>
      <c r="E366" s="19"/>
      <c r="F366" s="19"/>
      <c r="G366" s="19"/>
      <c r="H366" s="19"/>
      <c r="I366" s="19"/>
      <c r="J366" s="19"/>
      <c r="K366" s="19"/>
      <c r="L366" s="19"/>
      <c r="M366" s="19"/>
      <c r="N366" s="19"/>
      <c r="O366" s="19"/>
      <c r="P366" s="20"/>
      <c r="Q366" s="20"/>
      <c r="R366" s="22"/>
      <c r="S366" s="22"/>
      <c r="T366" s="20"/>
      <c r="U366" s="20"/>
      <c r="V366" s="20"/>
      <c r="W366" s="19"/>
      <c r="X366" s="19"/>
      <c r="Y366" s="19"/>
      <c r="Z366" s="23"/>
    </row>
    <row r="367" spans="1:26" ht="15.75" customHeight="1" x14ac:dyDescent="0.2">
      <c r="A367" s="34"/>
      <c r="B367" s="34"/>
      <c r="C367" s="34"/>
      <c r="D367" s="34"/>
      <c r="E367" s="19"/>
      <c r="F367" s="19"/>
      <c r="G367" s="19"/>
      <c r="H367" s="19"/>
      <c r="I367" s="19"/>
      <c r="J367" s="19"/>
      <c r="K367" s="19"/>
      <c r="L367" s="19"/>
      <c r="M367" s="19"/>
      <c r="N367" s="19"/>
      <c r="O367" s="19"/>
      <c r="P367" s="20"/>
      <c r="Q367" s="20"/>
      <c r="R367" s="22"/>
      <c r="S367" s="22"/>
      <c r="T367" s="20"/>
      <c r="U367" s="20"/>
      <c r="V367" s="20"/>
      <c r="W367" s="19"/>
      <c r="X367" s="19"/>
      <c r="Y367" s="19"/>
      <c r="Z367" s="23"/>
    </row>
    <row r="368" spans="1:26" ht="15.75" customHeight="1" x14ac:dyDescent="0.2">
      <c r="A368" s="34"/>
      <c r="B368" s="34"/>
      <c r="C368" s="34"/>
      <c r="D368" s="34"/>
      <c r="E368" s="19"/>
      <c r="F368" s="19"/>
      <c r="G368" s="19"/>
      <c r="H368" s="19"/>
      <c r="I368" s="19"/>
      <c r="J368" s="19"/>
      <c r="K368" s="19"/>
      <c r="L368" s="19"/>
      <c r="M368" s="19"/>
      <c r="N368" s="19"/>
      <c r="O368" s="19"/>
      <c r="P368" s="20"/>
      <c r="Q368" s="20"/>
      <c r="R368" s="22"/>
      <c r="S368" s="22"/>
      <c r="T368" s="20"/>
      <c r="U368" s="20"/>
      <c r="V368" s="20"/>
      <c r="W368" s="19"/>
      <c r="X368" s="19"/>
      <c r="Y368" s="19"/>
      <c r="Z368" s="23"/>
    </row>
    <row r="369" spans="1:26" ht="15.75" customHeight="1" x14ac:dyDescent="0.2">
      <c r="A369" s="34"/>
      <c r="B369" s="34"/>
      <c r="C369" s="34"/>
      <c r="D369" s="34"/>
      <c r="E369" s="19"/>
      <c r="F369" s="19"/>
      <c r="G369" s="19"/>
      <c r="H369" s="19"/>
      <c r="I369" s="19"/>
      <c r="J369" s="19"/>
      <c r="K369" s="19"/>
      <c r="L369" s="19"/>
      <c r="M369" s="19"/>
      <c r="N369" s="19"/>
      <c r="O369" s="19"/>
      <c r="P369" s="20"/>
      <c r="Q369" s="20"/>
      <c r="R369" s="22"/>
      <c r="S369" s="22"/>
      <c r="T369" s="20"/>
      <c r="U369" s="20"/>
      <c r="V369" s="20"/>
      <c r="W369" s="19"/>
      <c r="X369" s="19"/>
      <c r="Y369" s="19"/>
      <c r="Z369" s="23"/>
    </row>
    <row r="370" spans="1:26" ht="15.75" customHeight="1" x14ac:dyDescent="0.2">
      <c r="A370" s="34"/>
      <c r="B370" s="34"/>
      <c r="C370" s="34"/>
      <c r="D370" s="34"/>
      <c r="E370" s="19"/>
      <c r="F370" s="19"/>
      <c r="G370" s="19"/>
      <c r="H370" s="19"/>
      <c r="I370" s="19"/>
      <c r="J370" s="19"/>
      <c r="K370" s="19"/>
      <c r="L370" s="19"/>
      <c r="M370" s="19"/>
      <c r="N370" s="19"/>
      <c r="O370" s="19"/>
      <c r="P370" s="20"/>
      <c r="Q370" s="20"/>
      <c r="R370" s="22"/>
      <c r="S370" s="22"/>
      <c r="T370" s="20"/>
      <c r="U370" s="20"/>
      <c r="V370" s="20"/>
      <c r="W370" s="19"/>
      <c r="X370" s="19"/>
      <c r="Y370" s="19"/>
      <c r="Z370" s="23"/>
    </row>
    <row r="371" spans="1:26" ht="15.75" customHeight="1" x14ac:dyDescent="0.2">
      <c r="A371" s="34"/>
      <c r="B371" s="34"/>
      <c r="C371" s="34"/>
      <c r="D371" s="34"/>
      <c r="E371" s="19"/>
      <c r="F371" s="19"/>
      <c r="G371" s="19"/>
      <c r="H371" s="19"/>
      <c r="I371" s="19"/>
      <c r="J371" s="19"/>
      <c r="K371" s="19"/>
      <c r="L371" s="19"/>
      <c r="M371" s="19"/>
      <c r="N371" s="19"/>
      <c r="O371" s="19"/>
      <c r="P371" s="20"/>
      <c r="Q371" s="20"/>
      <c r="R371" s="22"/>
      <c r="S371" s="22"/>
      <c r="T371" s="20"/>
      <c r="U371" s="20"/>
      <c r="V371" s="20"/>
      <c r="W371" s="19"/>
      <c r="X371" s="19"/>
      <c r="Y371" s="19"/>
      <c r="Z371" s="23"/>
    </row>
    <row r="372" spans="1:26" ht="15.75" customHeight="1" x14ac:dyDescent="0.2">
      <c r="A372" s="34"/>
      <c r="B372" s="34"/>
      <c r="C372" s="34"/>
      <c r="D372" s="34"/>
      <c r="E372" s="19"/>
      <c r="F372" s="19"/>
      <c r="G372" s="19"/>
      <c r="H372" s="19"/>
      <c r="I372" s="19"/>
      <c r="J372" s="19"/>
      <c r="K372" s="19"/>
      <c r="L372" s="19"/>
      <c r="M372" s="19"/>
      <c r="N372" s="19"/>
      <c r="O372" s="19"/>
      <c r="P372" s="20"/>
      <c r="Q372" s="20"/>
      <c r="R372" s="22"/>
      <c r="S372" s="22"/>
      <c r="T372" s="20"/>
      <c r="U372" s="20"/>
      <c r="V372" s="20"/>
      <c r="W372" s="19"/>
      <c r="X372" s="19"/>
      <c r="Y372" s="19"/>
      <c r="Z372" s="23"/>
    </row>
    <row r="373" spans="1:26" ht="15.75" customHeight="1" x14ac:dyDescent="0.2">
      <c r="A373" s="34"/>
      <c r="B373" s="34"/>
      <c r="C373" s="34"/>
      <c r="D373" s="34"/>
      <c r="E373" s="19"/>
      <c r="F373" s="19"/>
      <c r="G373" s="19"/>
      <c r="H373" s="19"/>
      <c r="I373" s="19"/>
      <c r="J373" s="19"/>
      <c r="K373" s="19"/>
      <c r="L373" s="19"/>
      <c r="M373" s="19"/>
      <c r="N373" s="19"/>
      <c r="O373" s="19"/>
      <c r="P373" s="20"/>
      <c r="Q373" s="20"/>
      <c r="R373" s="22"/>
      <c r="S373" s="22"/>
      <c r="T373" s="20"/>
      <c r="U373" s="20"/>
      <c r="V373" s="20"/>
      <c r="W373" s="19"/>
      <c r="X373" s="19"/>
      <c r="Y373" s="19"/>
      <c r="Z373" s="23"/>
    </row>
    <row r="374" spans="1:26" ht="15.75" customHeight="1" x14ac:dyDescent="0.2">
      <c r="A374" s="34"/>
      <c r="B374" s="34"/>
      <c r="C374" s="34"/>
      <c r="D374" s="34"/>
      <c r="E374" s="19"/>
      <c r="F374" s="19"/>
      <c r="G374" s="19"/>
      <c r="H374" s="19"/>
      <c r="I374" s="19"/>
      <c r="J374" s="19"/>
      <c r="K374" s="19"/>
      <c r="L374" s="19"/>
      <c r="M374" s="19"/>
      <c r="N374" s="19"/>
      <c r="O374" s="19"/>
      <c r="P374" s="20"/>
      <c r="Q374" s="20"/>
      <c r="R374" s="22"/>
      <c r="S374" s="22"/>
      <c r="T374" s="20"/>
      <c r="U374" s="20"/>
      <c r="V374" s="20"/>
      <c r="W374" s="19"/>
      <c r="X374" s="19"/>
      <c r="Y374" s="19"/>
      <c r="Z374" s="23"/>
    </row>
    <row r="375" spans="1:26" ht="15.75" customHeight="1" x14ac:dyDescent="0.2">
      <c r="A375" s="34"/>
      <c r="B375" s="34"/>
      <c r="C375" s="34"/>
      <c r="D375" s="34"/>
      <c r="E375" s="19"/>
      <c r="F375" s="19"/>
      <c r="G375" s="19"/>
      <c r="H375" s="19"/>
      <c r="I375" s="19"/>
      <c r="J375" s="19"/>
      <c r="K375" s="19"/>
      <c r="L375" s="19"/>
      <c r="M375" s="19"/>
      <c r="N375" s="19"/>
      <c r="O375" s="19"/>
      <c r="P375" s="20"/>
      <c r="Q375" s="20"/>
      <c r="R375" s="22"/>
      <c r="S375" s="22"/>
      <c r="T375" s="20"/>
      <c r="U375" s="20"/>
      <c r="V375" s="20"/>
      <c r="W375" s="19"/>
      <c r="X375" s="19"/>
      <c r="Y375" s="19"/>
      <c r="Z375" s="23"/>
    </row>
    <row r="376" spans="1:26" ht="15.75" customHeight="1" x14ac:dyDescent="0.2">
      <c r="A376" s="34"/>
      <c r="B376" s="34"/>
      <c r="C376" s="34"/>
      <c r="D376" s="34"/>
      <c r="E376" s="19"/>
      <c r="F376" s="19"/>
      <c r="G376" s="19"/>
      <c r="H376" s="19"/>
      <c r="I376" s="19"/>
      <c r="J376" s="19"/>
      <c r="K376" s="19"/>
      <c r="L376" s="19"/>
      <c r="M376" s="19"/>
      <c r="N376" s="19"/>
      <c r="O376" s="19"/>
      <c r="P376" s="20"/>
      <c r="Q376" s="20"/>
      <c r="R376" s="22"/>
      <c r="S376" s="22"/>
      <c r="T376" s="20"/>
      <c r="U376" s="20"/>
      <c r="V376" s="20"/>
      <c r="W376" s="19"/>
      <c r="X376" s="19"/>
      <c r="Y376" s="19"/>
      <c r="Z376" s="23"/>
    </row>
    <row r="377" spans="1:26" ht="15.75" customHeight="1" x14ac:dyDescent="0.2">
      <c r="A377" s="34"/>
      <c r="B377" s="34"/>
      <c r="C377" s="34"/>
      <c r="D377" s="34"/>
      <c r="E377" s="19"/>
      <c r="F377" s="19"/>
      <c r="G377" s="19"/>
      <c r="H377" s="19"/>
      <c r="I377" s="19"/>
      <c r="J377" s="19"/>
      <c r="K377" s="19"/>
      <c r="L377" s="19"/>
      <c r="M377" s="19"/>
      <c r="N377" s="19"/>
      <c r="O377" s="19"/>
      <c r="P377" s="20"/>
      <c r="Q377" s="20"/>
      <c r="R377" s="22"/>
      <c r="S377" s="22"/>
      <c r="T377" s="20"/>
      <c r="U377" s="20"/>
      <c r="V377" s="20"/>
      <c r="W377" s="19"/>
      <c r="X377" s="19"/>
      <c r="Y377" s="19"/>
      <c r="Z377" s="23"/>
    </row>
    <row r="378" spans="1:26" ht="15.75" customHeight="1" x14ac:dyDescent="0.2">
      <c r="A378" s="34"/>
      <c r="B378" s="34"/>
      <c r="C378" s="34"/>
      <c r="D378" s="34"/>
      <c r="E378" s="19"/>
      <c r="F378" s="19"/>
      <c r="G378" s="19"/>
      <c r="H378" s="19"/>
      <c r="I378" s="19"/>
      <c r="J378" s="19"/>
      <c r="K378" s="19"/>
      <c r="L378" s="19"/>
      <c r="M378" s="19"/>
      <c r="N378" s="19"/>
      <c r="O378" s="19"/>
      <c r="P378" s="20"/>
      <c r="Q378" s="20"/>
      <c r="R378" s="22"/>
      <c r="S378" s="22"/>
      <c r="T378" s="20"/>
      <c r="U378" s="20"/>
      <c r="V378" s="20"/>
      <c r="W378" s="19"/>
      <c r="X378" s="19"/>
      <c r="Y378" s="19"/>
      <c r="Z378" s="23"/>
    </row>
    <row r="379" spans="1:26" ht="15.75" customHeight="1" x14ac:dyDescent="0.2">
      <c r="A379" s="34"/>
      <c r="B379" s="34"/>
      <c r="C379" s="34"/>
      <c r="D379" s="34"/>
      <c r="E379" s="19"/>
      <c r="F379" s="19"/>
      <c r="G379" s="19"/>
      <c r="H379" s="19"/>
      <c r="I379" s="19"/>
      <c r="J379" s="19"/>
      <c r="K379" s="19"/>
      <c r="L379" s="19"/>
      <c r="M379" s="19"/>
      <c r="N379" s="19"/>
      <c r="O379" s="19"/>
      <c r="P379" s="20"/>
      <c r="Q379" s="20"/>
      <c r="R379" s="22"/>
      <c r="S379" s="22"/>
      <c r="T379" s="20"/>
      <c r="U379" s="20"/>
      <c r="V379" s="20"/>
      <c r="W379" s="19"/>
      <c r="X379" s="19"/>
      <c r="Y379" s="19"/>
      <c r="Z379" s="23"/>
    </row>
    <row r="380" spans="1:26" ht="15.75" customHeight="1" x14ac:dyDescent="0.2">
      <c r="A380" s="34"/>
      <c r="B380" s="34"/>
      <c r="C380" s="34"/>
      <c r="D380" s="34"/>
      <c r="E380" s="19"/>
      <c r="F380" s="19"/>
      <c r="G380" s="19"/>
      <c r="H380" s="19"/>
      <c r="I380" s="19"/>
      <c r="J380" s="19"/>
      <c r="K380" s="19"/>
      <c r="L380" s="19"/>
      <c r="M380" s="19"/>
      <c r="N380" s="19"/>
      <c r="O380" s="19"/>
      <c r="P380" s="20"/>
      <c r="Q380" s="20"/>
      <c r="R380" s="22"/>
      <c r="S380" s="22"/>
      <c r="T380" s="20"/>
      <c r="U380" s="20"/>
      <c r="V380" s="20"/>
      <c r="W380" s="19"/>
      <c r="X380" s="19"/>
      <c r="Y380" s="19"/>
      <c r="Z380" s="23"/>
    </row>
    <row r="381" spans="1:26" ht="15.75" customHeight="1" x14ac:dyDescent="0.2">
      <c r="A381" s="34"/>
      <c r="B381" s="34"/>
      <c r="C381" s="34"/>
      <c r="D381" s="34"/>
      <c r="E381" s="19"/>
      <c r="F381" s="19"/>
      <c r="G381" s="19"/>
      <c r="H381" s="19"/>
      <c r="I381" s="19"/>
      <c r="J381" s="19"/>
      <c r="K381" s="19"/>
      <c r="L381" s="19"/>
      <c r="M381" s="19"/>
      <c r="N381" s="19"/>
      <c r="O381" s="19"/>
      <c r="P381" s="20"/>
      <c r="Q381" s="20"/>
      <c r="R381" s="22"/>
      <c r="S381" s="22"/>
      <c r="T381" s="20"/>
      <c r="U381" s="20"/>
      <c r="V381" s="20"/>
      <c r="W381" s="19"/>
      <c r="X381" s="19"/>
      <c r="Y381" s="19"/>
      <c r="Z381" s="23"/>
    </row>
    <row r="382" spans="1:26" ht="15.75" customHeight="1" x14ac:dyDescent="0.2">
      <c r="A382" s="34"/>
      <c r="B382" s="34"/>
      <c r="C382" s="34"/>
      <c r="D382" s="34"/>
      <c r="E382" s="19"/>
      <c r="F382" s="19"/>
      <c r="G382" s="19"/>
      <c r="H382" s="19"/>
      <c r="I382" s="19"/>
      <c r="J382" s="19"/>
      <c r="K382" s="19"/>
      <c r="L382" s="19"/>
      <c r="M382" s="19"/>
      <c r="N382" s="19"/>
      <c r="O382" s="19"/>
      <c r="P382" s="20"/>
      <c r="Q382" s="20"/>
      <c r="R382" s="22"/>
      <c r="S382" s="22"/>
      <c r="T382" s="20"/>
      <c r="U382" s="20"/>
      <c r="V382" s="20"/>
      <c r="W382" s="19"/>
      <c r="X382" s="19"/>
      <c r="Y382" s="19"/>
      <c r="Z382" s="23"/>
    </row>
    <row r="383" spans="1:26" ht="15.75" customHeight="1" x14ac:dyDescent="0.2">
      <c r="A383" s="34"/>
      <c r="B383" s="34"/>
      <c r="C383" s="34"/>
      <c r="D383" s="34"/>
      <c r="E383" s="19"/>
      <c r="F383" s="19"/>
      <c r="G383" s="19"/>
      <c r="H383" s="19"/>
      <c r="I383" s="19"/>
      <c r="J383" s="19"/>
      <c r="K383" s="19"/>
      <c r="L383" s="19"/>
      <c r="M383" s="19"/>
      <c r="N383" s="19"/>
      <c r="O383" s="19"/>
      <c r="P383" s="20"/>
      <c r="Q383" s="20"/>
      <c r="R383" s="22"/>
      <c r="S383" s="22"/>
      <c r="T383" s="20"/>
      <c r="U383" s="20"/>
      <c r="V383" s="20"/>
      <c r="W383" s="19"/>
      <c r="X383" s="19"/>
      <c r="Y383" s="19"/>
      <c r="Z383" s="23"/>
    </row>
    <row r="384" spans="1:26" ht="15.75" customHeight="1" x14ac:dyDescent="0.2">
      <c r="A384" s="34"/>
      <c r="B384" s="34"/>
      <c r="C384" s="34"/>
      <c r="D384" s="34"/>
      <c r="E384" s="19"/>
      <c r="F384" s="19"/>
      <c r="G384" s="19"/>
      <c r="H384" s="19"/>
      <c r="I384" s="19"/>
      <c r="J384" s="19"/>
      <c r="K384" s="19"/>
      <c r="L384" s="19"/>
      <c r="M384" s="19"/>
      <c r="N384" s="19"/>
      <c r="O384" s="19"/>
      <c r="P384" s="20"/>
      <c r="Q384" s="20"/>
      <c r="R384" s="22"/>
      <c r="S384" s="22"/>
      <c r="T384" s="20"/>
      <c r="U384" s="20"/>
      <c r="V384" s="20"/>
      <c r="W384" s="19"/>
      <c r="X384" s="19"/>
      <c r="Y384" s="19"/>
      <c r="Z384" s="23"/>
    </row>
    <row r="385" spans="1:26" ht="15.75" customHeight="1" x14ac:dyDescent="0.2">
      <c r="A385" s="34"/>
      <c r="B385" s="34"/>
      <c r="C385" s="34"/>
      <c r="D385" s="34"/>
      <c r="E385" s="19"/>
      <c r="F385" s="19"/>
      <c r="G385" s="19"/>
      <c r="H385" s="19"/>
      <c r="I385" s="19"/>
      <c r="J385" s="19"/>
      <c r="K385" s="19"/>
      <c r="L385" s="19"/>
      <c r="M385" s="19"/>
      <c r="N385" s="19"/>
      <c r="O385" s="19"/>
      <c r="P385" s="20"/>
      <c r="Q385" s="20"/>
      <c r="R385" s="22"/>
      <c r="S385" s="22"/>
      <c r="T385" s="20"/>
      <c r="U385" s="20"/>
      <c r="V385" s="20"/>
      <c r="W385" s="19"/>
      <c r="X385" s="19"/>
      <c r="Y385" s="19"/>
      <c r="Z385" s="23"/>
    </row>
    <row r="386" spans="1:26" ht="15.75" customHeight="1" x14ac:dyDescent="0.2">
      <c r="A386" s="34"/>
      <c r="B386" s="34"/>
      <c r="C386" s="34"/>
      <c r="D386" s="34"/>
      <c r="E386" s="19"/>
      <c r="F386" s="19"/>
      <c r="G386" s="19"/>
      <c r="H386" s="19"/>
      <c r="I386" s="19"/>
      <c r="J386" s="19"/>
      <c r="K386" s="19"/>
      <c r="L386" s="19"/>
      <c r="M386" s="19"/>
      <c r="N386" s="19"/>
      <c r="O386" s="19"/>
      <c r="P386" s="20"/>
      <c r="Q386" s="20"/>
      <c r="R386" s="22"/>
      <c r="S386" s="22"/>
      <c r="T386" s="20"/>
      <c r="U386" s="20"/>
      <c r="V386" s="20"/>
      <c r="W386" s="19"/>
      <c r="X386" s="19"/>
      <c r="Y386" s="19"/>
      <c r="Z386" s="23"/>
    </row>
    <row r="387" spans="1:26" ht="15.75" customHeight="1" x14ac:dyDescent="0.2">
      <c r="A387" s="34"/>
      <c r="B387" s="34"/>
      <c r="C387" s="34"/>
      <c r="D387" s="34"/>
      <c r="E387" s="19"/>
      <c r="F387" s="19"/>
      <c r="G387" s="19"/>
      <c r="H387" s="19"/>
      <c r="I387" s="19"/>
      <c r="J387" s="19"/>
      <c r="K387" s="19"/>
      <c r="L387" s="19"/>
      <c r="M387" s="19"/>
      <c r="N387" s="19"/>
      <c r="O387" s="19"/>
      <c r="P387" s="20"/>
      <c r="Q387" s="20"/>
      <c r="R387" s="22"/>
      <c r="S387" s="22"/>
      <c r="T387" s="20"/>
      <c r="U387" s="20"/>
      <c r="V387" s="20"/>
      <c r="W387" s="19"/>
      <c r="X387" s="19"/>
      <c r="Y387" s="19"/>
      <c r="Z387" s="23"/>
    </row>
    <row r="388" spans="1:26" ht="15.75" customHeight="1" x14ac:dyDescent="0.2">
      <c r="A388" s="34"/>
      <c r="B388" s="34"/>
      <c r="C388" s="34"/>
      <c r="D388" s="34"/>
      <c r="E388" s="19"/>
      <c r="F388" s="19"/>
      <c r="G388" s="19"/>
      <c r="H388" s="19"/>
      <c r="I388" s="19"/>
      <c r="J388" s="19"/>
      <c r="K388" s="19"/>
      <c r="L388" s="19"/>
      <c r="M388" s="19"/>
      <c r="N388" s="19"/>
      <c r="O388" s="19"/>
      <c r="P388" s="20"/>
      <c r="Q388" s="20"/>
      <c r="R388" s="22"/>
      <c r="S388" s="22"/>
      <c r="T388" s="20"/>
      <c r="U388" s="20"/>
      <c r="V388" s="20"/>
      <c r="W388" s="19"/>
      <c r="X388" s="19"/>
      <c r="Y388" s="19"/>
      <c r="Z388" s="23"/>
    </row>
    <row r="389" spans="1:26" ht="15.75" customHeight="1" x14ac:dyDescent="0.2">
      <c r="A389" s="34"/>
      <c r="B389" s="34"/>
      <c r="C389" s="34"/>
      <c r="D389" s="34"/>
      <c r="E389" s="19"/>
      <c r="F389" s="19"/>
      <c r="G389" s="19"/>
      <c r="H389" s="19"/>
      <c r="I389" s="19"/>
      <c r="J389" s="19"/>
      <c r="K389" s="19"/>
      <c r="L389" s="19"/>
      <c r="M389" s="19"/>
      <c r="N389" s="19"/>
      <c r="O389" s="19"/>
      <c r="P389" s="20"/>
      <c r="Q389" s="20"/>
      <c r="R389" s="22"/>
      <c r="S389" s="22"/>
      <c r="T389" s="20"/>
      <c r="U389" s="20"/>
      <c r="V389" s="20"/>
      <c r="W389" s="19"/>
      <c r="X389" s="19"/>
      <c r="Y389" s="19"/>
      <c r="Z389" s="23"/>
    </row>
    <row r="390" spans="1:26" ht="15.75" customHeight="1" x14ac:dyDescent="0.2">
      <c r="A390" s="34"/>
      <c r="B390" s="34"/>
      <c r="C390" s="34"/>
      <c r="D390" s="34"/>
      <c r="E390" s="19"/>
      <c r="F390" s="19"/>
      <c r="G390" s="19"/>
      <c r="H390" s="19"/>
      <c r="I390" s="19"/>
      <c r="J390" s="19"/>
      <c r="K390" s="19"/>
      <c r="L390" s="19"/>
      <c r="M390" s="19"/>
      <c r="N390" s="19"/>
      <c r="O390" s="19"/>
      <c r="P390" s="20"/>
      <c r="Q390" s="20"/>
      <c r="R390" s="22"/>
      <c r="S390" s="22"/>
      <c r="T390" s="20"/>
      <c r="U390" s="20"/>
      <c r="V390" s="20"/>
      <c r="W390" s="19"/>
      <c r="X390" s="19"/>
      <c r="Y390" s="19"/>
      <c r="Z390" s="23"/>
    </row>
    <row r="391" spans="1:26" ht="15.75" customHeight="1" x14ac:dyDescent="0.2">
      <c r="A391" s="34"/>
      <c r="B391" s="34"/>
      <c r="C391" s="34"/>
      <c r="D391" s="34"/>
      <c r="E391" s="19"/>
      <c r="F391" s="19"/>
      <c r="G391" s="19"/>
      <c r="H391" s="19"/>
      <c r="I391" s="19"/>
      <c r="J391" s="19"/>
      <c r="K391" s="19"/>
      <c r="L391" s="19"/>
      <c r="M391" s="19"/>
      <c r="N391" s="19"/>
      <c r="O391" s="19"/>
      <c r="P391" s="20"/>
      <c r="Q391" s="20"/>
      <c r="R391" s="22"/>
      <c r="S391" s="22"/>
      <c r="T391" s="20"/>
      <c r="U391" s="20"/>
      <c r="V391" s="20"/>
      <c r="W391" s="19"/>
      <c r="X391" s="19"/>
      <c r="Y391" s="19"/>
      <c r="Z391" s="23"/>
    </row>
    <row r="392" spans="1:26" ht="15.75" customHeight="1" x14ac:dyDescent="0.2">
      <c r="A392" s="34"/>
      <c r="B392" s="34"/>
      <c r="C392" s="34"/>
      <c r="D392" s="34"/>
      <c r="E392" s="19"/>
      <c r="F392" s="19"/>
      <c r="G392" s="19"/>
      <c r="H392" s="19"/>
      <c r="I392" s="19"/>
      <c r="J392" s="19"/>
      <c r="K392" s="19"/>
      <c r="L392" s="19"/>
      <c r="M392" s="19"/>
      <c r="N392" s="19"/>
      <c r="O392" s="19"/>
      <c r="P392" s="20"/>
      <c r="Q392" s="20"/>
      <c r="R392" s="22"/>
      <c r="S392" s="22"/>
      <c r="T392" s="20"/>
      <c r="U392" s="20"/>
      <c r="V392" s="20"/>
      <c r="W392" s="19"/>
      <c r="X392" s="19"/>
      <c r="Y392" s="19"/>
      <c r="Z392" s="23"/>
    </row>
    <row r="393" spans="1:26" ht="15.75" customHeight="1" x14ac:dyDescent="0.2">
      <c r="A393" s="34"/>
      <c r="B393" s="34"/>
      <c r="C393" s="34"/>
      <c r="D393" s="34"/>
      <c r="E393" s="19"/>
      <c r="F393" s="19"/>
      <c r="G393" s="19"/>
      <c r="H393" s="19"/>
      <c r="I393" s="19"/>
      <c r="J393" s="19"/>
      <c r="K393" s="19"/>
      <c r="L393" s="19"/>
      <c r="M393" s="19"/>
      <c r="N393" s="19"/>
      <c r="O393" s="19"/>
      <c r="P393" s="20"/>
      <c r="Q393" s="20"/>
      <c r="R393" s="22"/>
      <c r="S393" s="22"/>
      <c r="T393" s="20"/>
      <c r="U393" s="20"/>
      <c r="V393" s="20"/>
      <c r="W393" s="19"/>
      <c r="X393" s="19"/>
      <c r="Y393" s="19"/>
      <c r="Z393" s="23"/>
    </row>
    <row r="394" spans="1:26" ht="15.75" customHeight="1" x14ac:dyDescent="0.2">
      <c r="A394" s="34"/>
      <c r="B394" s="34"/>
      <c r="C394" s="34"/>
      <c r="D394" s="34"/>
      <c r="E394" s="19"/>
      <c r="F394" s="19"/>
      <c r="G394" s="19"/>
      <c r="H394" s="19"/>
      <c r="I394" s="19"/>
      <c r="J394" s="19"/>
      <c r="K394" s="19"/>
      <c r="L394" s="19"/>
      <c r="M394" s="19"/>
      <c r="N394" s="19"/>
      <c r="O394" s="19"/>
      <c r="P394" s="20"/>
      <c r="Q394" s="20"/>
      <c r="R394" s="22"/>
      <c r="S394" s="22"/>
      <c r="T394" s="20"/>
      <c r="U394" s="20"/>
      <c r="V394" s="20"/>
      <c r="W394" s="19"/>
      <c r="X394" s="19"/>
      <c r="Y394" s="19"/>
      <c r="Z394" s="23"/>
    </row>
    <row r="395" spans="1:26" ht="15.75" customHeight="1" x14ac:dyDescent="0.2">
      <c r="A395" s="34"/>
      <c r="B395" s="34"/>
      <c r="C395" s="34"/>
      <c r="D395" s="34"/>
      <c r="E395" s="19"/>
      <c r="F395" s="19"/>
      <c r="G395" s="19"/>
      <c r="H395" s="19"/>
      <c r="I395" s="19"/>
      <c r="J395" s="19"/>
      <c r="K395" s="19"/>
      <c r="L395" s="19"/>
      <c r="M395" s="19"/>
      <c r="N395" s="19"/>
      <c r="O395" s="19"/>
      <c r="P395" s="20"/>
      <c r="Q395" s="20"/>
      <c r="R395" s="22"/>
      <c r="S395" s="22"/>
      <c r="T395" s="20"/>
      <c r="U395" s="20"/>
      <c r="V395" s="20"/>
      <c r="W395" s="19"/>
      <c r="X395" s="19"/>
      <c r="Y395" s="19"/>
      <c r="Z395" s="23"/>
    </row>
    <row r="396" spans="1:26" ht="15.75" customHeight="1" x14ac:dyDescent="0.2">
      <c r="A396" s="34"/>
      <c r="B396" s="34"/>
      <c r="C396" s="34"/>
      <c r="D396" s="34"/>
      <c r="E396" s="19"/>
      <c r="F396" s="19"/>
      <c r="G396" s="19"/>
      <c r="H396" s="19"/>
      <c r="I396" s="19"/>
      <c r="J396" s="19"/>
      <c r="K396" s="19"/>
      <c r="L396" s="19"/>
      <c r="M396" s="19"/>
      <c r="N396" s="19"/>
      <c r="O396" s="19"/>
      <c r="P396" s="20"/>
      <c r="Q396" s="20"/>
      <c r="R396" s="22"/>
      <c r="S396" s="22"/>
      <c r="T396" s="20"/>
      <c r="U396" s="20"/>
      <c r="V396" s="20"/>
      <c r="W396" s="19"/>
      <c r="X396" s="19"/>
      <c r="Y396" s="19"/>
      <c r="Z396" s="23"/>
    </row>
    <row r="397" spans="1:26" ht="15.75" customHeight="1" x14ac:dyDescent="0.2">
      <c r="A397" s="34"/>
      <c r="B397" s="34"/>
      <c r="C397" s="34"/>
      <c r="D397" s="34"/>
      <c r="E397" s="19"/>
      <c r="F397" s="19"/>
      <c r="G397" s="19"/>
      <c r="H397" s="19"/>
      <c r="I397" s="19"/>
      <c r="J397" s="19"/>
      <c r="K397" s="19"/>
      <c r="L397" s="19"/>
      <c r="M397" s="19"/>
      <c r="N397" s="19"/>
      <c r="O397" s="19"/>
      <c r="P397" s="20"/>
      <c r="Q397" s="20"/>
      <c r="R397" s="22"/>
      <c r="S397" s="22"/>
      <c r="T397" s="20"/>
      <c r="U397" s="20"/>
      <c r="V397" s="20"/>
      <c r="W397" s="19"/>
      <c r="X397" s="19"/>
      <c r="Y397" s="19"/>
      <c r="Z397" s="23"/>
    </row>
    <row r="398" spans="1:26" ht="15.75" customHeight="1" x14ac:dyDescent="0.2">
      <c r="A398" s="34"/>
      <c r="B398" s="34"/>
      <c r="C398" s="34"/>
      <c r="D398" s="34"/>
      <c r="E398" s="19"/>
      <c r="F398" s="19"/>
      <c r="G398" s="19"/>
      <c r="H398" s="19"/>
      <c r="I398" s="19"/>
      <c r="J398" s="19"/>
      <c r="K398" s="19"/>
      <c r="L398" s="19"/>
      <c r="M398" s="19"/>
      <c r="N398" s="19"/>
      <c r="O398" s="19"/>
      <c r="P398" s="20"/>
      <c r="Q398" s="20"/>
      <c r="R398" s="22"/>
      <c r="S398" s="22"/>
      <c r="T398" s="20"/>
      <c r="U398" s="20"/>
      <c r="V398" s="20"/>
      <c r="W398" s="19"/>
      <c r="X398" s="19"/>
      <c r="Y398" s="19"/>
      <c r="Z398" s="23"/>
    </row>
    <row r="399" spans="1:26" ht="15.75" customHeight="1" x14ac:dyDescent="0.2">
      <c r="A399" s="34"/>
      <c r="B399" s="34"/>
      <c r="C399" s="34"/>
      <c r="D399" s="34"/>
      <c r="E399" s="19"/>
      <c r="F399" s="19"/>
      <c r="G399" s="19"/>
      <c r="H399" s="19"/>
      <c r="I399" s="19"/>
      <c r="J399" s="19"/>
      <c r="K399" s="19"/>
      <c r="L399" s="19"/>
      <c r="M399" s="19"/>
      <c r="N399" s="19"/>
      <c r="O399" s="19"/>
      <c r="P399" s="20"/>
      <c r="Q399" s="20"/>
      <c r="R399" s="22"/>
      <c r="S399" s="22"/>
      <c r="T399" s="20"/>
      <c r="U399" s="20"/>
      <c r="V399" s="20"/>
      <c r="W399" s="19"/>
      <c r="X399" s="19"/>
      <c r="Y399" s="19"/>
      <c r="Z399" s="23"/>
    </row>
    <row r="400" spans="1:26" ht="15.75" customHeight="1" x14ac:dyDescent="0.2">
      <c r="A400" s="34"/>
      <c r="B400" s="34"/>
      <c r="C400" s="34"/>
      <c r="D400" s="34"/>
      <c r="E400" s="19"/>
      <c r="F400" s="19"/>
      <c r="G400" s="19"/>
      <c r="H400" s="19"/>
      <c r="I400" s="19"/>
      <c r="J400" s="19"/>
      <c r="K400" s="19"/>
      <c r="L400" s="19"/>
      <c r="M400" s="19"/>
      <c r="N400" s="19"/>
      <c r="O400" s="19"/>
      <c r="P400" s="20"/>
      <c r="Q400" s="20"/>
      <c r="R400" s="22"/>
      <c r="S400" s="22"/>
      <c r="T400" s="20"/>
      <c r="U400" s="20"/>
      <c r="V400" s="20"/>
      <c r="W400" s="19"/>
      <c r="X400" s="19"/>
      <c r="Y400" s="19"/>
      <c r="Z400" s="23"/>
    </row>
    <row r="401" spans="1:26" ht="15.75" customHeight="1" x14ac:dyDescent="0.2">
      <c r="A401" s="34"/>
      <c r="B401" s="34"/>
      <c r="C401" s="34"/>
      <c r="D401" s="34"/>
      <c r="E401" s="19"/>
      <c r="F401" s="19"/>
      <c r="G401" s="19"/>
      <c r="H401" s="19"/>
      <c r="I401" s="19"/>
      <c r="J401" s="19"/>
      <c r="K401" s="19"/>
      <c r="L401" s="19"/>
      <c r="M401" s="19"/>
      <c r="N401" s="19"/>
      <c r="O401" s="19"/>
      <c r="P401" s="20"/>
      <c r="Q401" s="20"/>
      <c r="R401" s="22"/>
      <c r="S401" s="22"/>
      <c r="T401" s="20"/>
      <c r="U401" s="20"/>
      <c r="V401" s="20"/>
      <c r="W401" s="19"/>
      <c r="X401" s="19"/>
      <c r="Y401" s="19"/>
      <c r="Z401" s="23"/>
    </row>
    <row r="402" spans="1:26" ht="15.75" customHeight="1" x14ac:dyDescent="0.2">
      <c r="A402" s="34"/>
      <c r="B402" s="34"/>
      <c r="C402" s="34"/>
      <c r="D402" s="34"/>
      <c r="E402" s="19"/>
      <c r="F402" s="19"/>
      <c r="G402" s="19"/>
      <c r="H402" s="19"/>
      <c r="I402" s="19"/>
      <c r="J402" s="19"/>
      <c r="K402" s="19"/>
      <c r="L402" s="19"/>
      <c r="M402" s="19"/>
      <c r="N402" s="19"/>
      <c r="O402" s="19"/>
      <c r="P402" s="20"/>
      <c r="Q402" s="20"/>
      <c r="R402" s="22"/>
      <c r="S402" s="22"/>
      <c r="T402" s="20"/>
      <c r="U402" s="20"/>
      <c r="V402" s="20"/>
      <c r="W402" s="19"/>
      <c r="X402" s="19"/>
      <c r="Y402" s="19"/>
      <c r="Z402" s="23"/>
    </row>
    <row r="403" spans="1:26" ht="15.75" customHeight="1" x14ac:dyDescent="0.2">
      <c r="A403" s="34"/>
      <c r="B403" s="34"/>
      <c r="C403" s="34"/>
      <c r="D403" s="34"/>
      <c r="E403" s="19"/>
      <c r="F403" s="19"/>
      <c r="G403" s="19"/>
      <c r="H403" s="19"/>
      <c r="I403" s="19"/>
      <c r="J403" s="19"/>
      <c r="K403" s="19"/>
      <c r="L403" s="19"/>
      <c r="M403" s="19"/>
      <c r="N403" s="19"/>
      <c r="O403" s="19"/>
      <c r="P403" s="20"/>
      <c r="Q403" s="20"/>
      <c r="R403" s="22"/>
      <c r="S403" s="22"/>
      <c r="T403" s="20"/>
      <c r="U403" s="20"/>
      <c r="V403" s="20"/>
      <c r="W403" s="19"/>
      <c r="X403" s="19"/>
      <c r="Y403" s="19"/>
      <c r="Z403" s="23"/>
    </row>
    <row r="404" spans="1:26" ht="15.75" customHeight="1" x14ac:dyDescent="0.2">
      <c r="A404" s="34"/>
      <c r="B404" s="34"/>
      <c r="C404" s="34"/>
      <c r="D404" s="34"/>
      <c r="E404" s="19"/>
      <c r="F404" s="19"/>
      <c r="G404" s="19"/>
      <c r="H404" s="19"/>
      <c r="I404" s="19"/>
      <c r="J404" s="19"/>
      <c r="K404" s="19"/>
      <c r="L404" s="19"/>
      <c r="M404" s="19"/>
      <c r="N404" s="19"/>
      <c r="O404" s="19"/>
      <c r="P404" s="20"/>
      <c r="Q404" s="20"/>
      <c r="R404" s="22"/>
      <c r="S404" s="22"/>
      <c r="T404" s="20"/>
      <c r="U404" s="20"/>
      <c r="V404" s="20"/>
      <c r="W404" s="19"/>
      <c r="X404" s="19"/>
      <c r="Y404" s="19"/>
      <c r="Z404" s="23"/>
    </row>
    <row r="405" spans="1:26" ht="15.75" customHeight="1" x14ac:dyDescent="0.2">
      <c r="A405" s="34"/>
      <c r="B405" s="34"/>
      <c r="C405" s="34"/>
      <c r="D405" s="34"/>
      <c r="E405" s="19"/>
      <c r="F405" s="19"/>
      <c r="G405" s="19"/>
      <c r="H405" s="19"/>
      <c r="I405" s="19"/>
      <c r="J405" s="19"/>
      <c r="K405" s="19"/>
      <c r="L405" s="19"/>
      <c r="M405" s="19"/>
      <c r="N405" s="19"/>
      <c r="O405" s="19"/>
      <c r="P405" s="20"/>
      <c r="Q405" s="20"/>
      <c r="R405" s="22"/>
      <c r="S405" s="22"/>
      <c r="T405" s="20"/>
      <c r="U405" s="20"/>
      <c r="V405" s="20"/>
      <c r="W405" s="19"/>
      <c r="X405" s="19"/>
      <c r="Y405" s="19"/>
      <c r="Z405" s="23"/>
    </row>
    <row r="406" spans="1:26" ht="15.75" customHeight="1" x14ac:dyDescent="0.2">
      <c r="A406" s="34"/>
      <c r="B406" s="34"/>
      <c r="C406" s="34"/>
      <c r="D406" s="34"/>
      <c r="E406" s="19"/>
      <c r="F406" s="19"/>
      <c r="G406" s="19"/>
      <c r="H406" s="19"/>
      <c r="I406" s="19"/>
      <c r="J406" s="19"/>
      <c r="K406" s="19"/>
      <c r="L406" s="19"/>
      <c r="M406" s="19"/>
      <c r="N406" s="19"/>
      <c r="O406" s="19"/>
      <c r="P406" s="20"/>
      <c r="Q406" s="20"/>
      <c r="R406" s="22"/>
      <c r="S406" s="22"/>
      <c r="T406" s="20"/>
      <c r="U406" s="20"/>
      <c r="V406" s="20"/>
      <c r="W406" s="19"/>
      <c r="X406" s="19"/>
      <c r="Y406" s="19"/>
      <c r="Z406" s="23"/>
    </row>
    <row r="407" spans="1:26" ht="15.75" customHeight="1" x14ac:dyDescent="0.2">
      <c r="A407" s="34"/>
      <c r="B407" s="34"/>
      <c r="C407" s="34"/>
      <c r="D407" s="34"/>
      <c r="E407" s="19"/>
      <c r="F407" s="19"/>
      <c r="G407" s="19"/>
      <c r="H407" s="19"/>
      <c r="I407" s="19"/>
      <c r="J407" s="19"/>
      <c r="K407" s="19"/>
      <c r="L407" s="19"/>
      <c r="M407" s="19"/>
      <c r="N407" s="19"/>
      <c r="O407" s="19"/>
      <c r="P407" s="20"/>
      <c r="Q407" s="20"/>
      <c r="R407" s="22"/>
      <c r="S407" s="22"/>
      <c r="T407" s="20"/>
      <c r="U407" s="20"/>
      <c r="V407" s="20"/>
      <c r="W407" s="19"/>
      <c r="X407" s="19"/>
      <c r="Y407" s="19"/>
      <c r="Z407" s="23"/>
    </row>
    <row r="408" spans="1:26" ht="15.75" customHeight="1" x14ac:dyDescent="0.2">
      <c r="A408" s="34"/>
      <c r="B408" s="34"/>
      <c r="C408" s="34"/>
      <c r="D408" s="34"/>
      <c r="E408" s="19"/>
      <c r="F408" s="19"/>
      <c r="G408" s="19"/>
      <c r="H408" s="19"/>
      <c r="I408" s="19"/>
      <c r="J408" s="19"/>
      <c r="K408" s="19"/>
      <c r="L408" s="19"/>
      <c r="M408" s="19"/>
      <c r="N408" s="19"/>
      <c r="O408" s="19"/>
      <c r="P408" s="20"/>
      <c r="Q408" s="20"/>
      <c r="R408" s="22"/>
      <c r="S408" s="22"/>
      <c r="T408" s="20"/>
      <c r="U408" s="20"/>
      <c r="V408" s="20"/>
      <c r="W408" s="19"/>
      <c r="X408" s="19"/>
      <c r="Y408" s="19"/>
      <c r="Z408" s="23"/>
    </row>
    <row r="409" spans="1:26" ht="15.75" customHeight="1" x14ac:dyDescent="0.2">
      <c r="A409" s="34"/>
      <c r="B409" s="34"/>
      <c r="C409" s="34"/>
      <c r="D409" s="34"/>
      <c r="E409" s="19"/>
      <c r="F409" s="19"/>
      <c r="G409" s="19"/>
      <c r="H409" s="19"/>
      <c r="I409" s="19"/>
      <c r="J409" s="19"/>
      <c r="K409" s="19"/>
      <c r="L409" s="19"/>
      <c r="M409" s="19"/>
      <c r="N409" s="19"/>
      <c r="O409" s="19"/>
      <c r="P409" s="20"/>
      <c r="Q409" s="20"/>
      <c r="R409" s="22"/>
      <c r="S409" s="22"/>
      <c r="T409" s="20"/>
      <c r="U409" s="20"/>
      <c r="V409" s="20"/>
      <c r="W409" s="19"/>
      <c r="X409" s="19"/>
      <c r="Y409" s="19"/>
      <c r="Z409" s="23"/>
    </row>
    <row r="410" spans="1:26" ht="15.75" customHeight="1" x14ac:dyDescent="0.2">
      <c r="A410" s="34"/>
      <c r="B410" s="34"/>
      <c r="C410" s="34"/>
      <c r="D410" s="34"/>
      <c r="E410" s="19"/>
      <c r="F410" s="19"/>
      <c r="G410" s="19"/>
      <c r="H410" s="19"/>
      <c r="I410" s="19"/>
      <c r="J410" s="19"/>
      <c r="K410" s="19"/>
      <c r="L410" s="19"/>
      <c r="M410" s="19"/>
      <c r="N410" s="19"/>
      <c r="O410" s="19"/>
      <c r="P410" s="20"/>
      <c r="Q410" s="20"/>
      <c r="R410" s="22"/>
      <c r="S410" s="22"/>
      <c r="T410" s="20"/>
      <c r="U410" s="20"/>
      <c r="V410" s="20"/>
      <c r="W410" s="19"/>
      <c r="X410" s="19"/>
      <c r="Y410" s="19"/>
      <c r="Z410" s="23"/>
    </row>
    <row r="411" spans="1:26" ht="15.75" customHeight="1" x14ac:dyDescent="0.2">
      <c r="A411" s="34"/>
      <c r="B411" s="34"/>
      <c r="C411" s="34"/>
      <c r="D411" s="34"/>
      <c r="E411" s="19"/>
      <c r="F411" s="19"/>
      <c r="G411" s="19"/>
      <c r="H411" s="19"/>
      <c r="I411" s="19"/>
      <c r="J411" s="19"/>
      <c r="K411" s="19"/>
      <c r="L411" s="19"/>
      <c r="M411" s="19"/>
      <c r="N411" s="19"/>
      <c r="O411" s="19"/>
      <c r="P411" s="20"/>
      <c r="Q411" s="20"/>
      <c r="R411" s="22"/>
      <c r="S411" s="22"/>
      <c r="T411" s="20"/>
      <c r="U411" s="20"/>
      <c r="V411" s="20"/>
      <c r="W411" s="19"/>
      <c r="X411" s="19"/>
      <c r="Y411" s="19"/>
      <c r="Z411" s="23"/>
    </row>
    <row r="412" spans="1:26" ht="15.75" customHeight="1" x14ac:dyDescent="0.2">
      <c r="A412" s="34"/>
      <c r="B412" s="34"/>
      <c r="C412" s="34"/>
      <c r="D412" s="34"/>
      <c r="E412" s="19"/>
      <c r="F412" s="19"/>
      <c r="G412" s="19"/>
      <c r="H412" s="19"/>
      <c r="I412" s="19"/>
      <c r="J412" s="19"/>
      <c r="K412" s="19"/>
      <c r="L412" s="19"/>
      <c r="M412" s="19"/>
      <c r="N412" s="19"/>
      <c r="O412" s="19"/>
      <c r="P412" s="20"/>
      <c r="Q412" s="20"/>
      <c r="R412" s="22"/>
      <c r="S412" s="22"/>
      <c r="T412" s="20"/>
      <c r="U412" s="20"/>
      <c r="V412" s="20"/>
      <c r="W412" s="19"/>
      <c r="X412" s="19"/>
      <c r="Y412" s="19"/>
      <c r="Z412" s="23"/>
    </row>
    <row r="413" spans="1:26" ht="15.75" customHeight="1" x14ac:dyDescent="0.2">
      <c r="A413" s="34"/>
      <c r="B413" s="34"/>
      <c r="C413" s="34"/>
      <c r="D413" s="34"/>
      <c r="E413" s="19"/>
      <c r="F413" s="19"/>
      <c r="G413" s="19"/>
      <c r="H413" s="19"/>
      <c r="I413" s="19"/>
      <c r="J413" s="19"/>
      <c r="K413" s="19"/>
      <c r="L413" s="19"/>
      <c r="M413" s="19"/>
      <c r="N413" s="19"/>
      <c r="O413" s="19"/>
      <c r="P413" s="20"/>
      <c r="Q413" s="20"/>
      <c r="R413" s="22"/>
      <c r="S413" s="22"/>
      <c r="T413" s="20"/>
      <c r="U413" s="20"/>
      <c r="V413" s="20"/>
      <c r="W413" s="19"/>
      <c r="X413" s="19"/>
      <c r="Y413" s="19"/>
      <c r="Z413" s="23"/>
    </row>
    <row r="414" spans="1:26" ht="15.75" customHeight="1" x14ac:dyDescent="0.2">
      <c r="A414" s="34"/>
      <c r="B414" s="34"/>
      <c r="C414" s="34"/>
      <c r="D414" s="34"/>
      <c r="E414" s="19"/>
      <c r="F414" s="19"/>
      <c r="G414" s="19"/>
      <c r="H414" s="19"/>
      <c r="I414" s="19"/>
      <c r="J414" s="19"/>
      <c r="K414" s="19"/>
      <c r="L414" s="19"/>
      <c r="M414" s="19"/>
      <c r="N414" s="19"/>
      <c r="O414" s="19"/>
      <c r="P414" s="20"/>
      <c r="Q414" s="20"/>
      <c r="R414" s="22"/>
      <c r="S414" s="22"/>
      <c r="T414" s="20"/>
      <c r="U414" s="20"/>
      <c r="V414" s="20"/>
      <c r="W414" s="19"/>
      <c r="X414" s="19"/>
      <c r="Y414" s="19"/>
      <c r="Z414" s="23"/>
    </row>
    <row r="415" spans="1:26" ht="15.75" customHeight="1" x14ac:dyDescent="0.2">
      <c r="A415" s="34"/>
      <c r="B415" s="34"/>
      <c r="C415" s="34"/>
      <c r="D415" s="34"/>
      <c r="E415" s="19"/>
      <c r="F415" s="19"/>
      <c r="G415" s="19"/>
      <c r="H415" s="19"/>
      <c r="I415" s="19"/>
      <c r="J415" s="19"/>
      <c r="K415" s="19"/>
      <c r="L415" s="19"/>
      <c r="M415" s="19"/>
      <c r="N415" s="19"/>
      <c r="O415" s="19"/>
      <c r="P415" s="20"/>
      <c r="Q415" s="20"/>
      <c r="R415" s="22"/>
      <c r="S415" s="22"/>
      <c r="T415" s="20"/>
      <c r="U415" s="20"/>
      <c r="V415" s="20"/>
      <c r="W415" s="19"/>
      <c r="X415" s="19"/>
      <c r="Y415" s="19"/>
      <c r="Z415" s="23"/>
    </row>
    <row r="416" spans="1:26" ht="15.75" customHeight="1" x14ac:dyDescent="0.2">
      <c r="A416" s="34"/>
      <c r="B416" s="34"/>
      <c r="C416" s="34"/>
      <c r="D416" s="34"/>
      <c r="E416" s="19"/>
      <c r="F416" s="19"/>
      <c r="G416" s="19"/>
      <c r="H416" s="19"/>
      <c r="I416" s="19"/>
      <c r="J416" s="19"/>
      <c r="K416" s="19"/>
      <c r="L416" s="19"/>
      <c r="M416" s="19"/>
      <c r="N416" s="19"/>
      <c r="O416" s="19"/>
      <c r="P416" s="20"/>
      <c r="Q416" s="20"/>
      <c r="R416" s="22"/>
      <c r="S416" s="22"/>
      <c r="T416" s="20"/>
      <c r="U416" s="20"/>
      <c r="V416" s="20"/>
      <c r="W416" s="19"/>
      <c r="X416" s="19"/>
      <c r="Y416" s="19"/>
      <c r="Z416" s="23"/>
    </row>
    <row r="417" spans="1:26" ht="15.75" customHeight="1" x14ac:dyDescent="0.2">
      <c r="A417" s="34"/>
      <c r="B417" s="34"/>
      <c r="C417" s="34"/>
      <c r="D417" s="34"/>
      <c r="E417" s="19"/>
      <c r="F417" s="19"/>
      <c r="G417" s="19"/>
      <c r="H417" s="19"/>
      <c r="I417" s="19"/>
      <c r="J417" s="19"/>
      <c r="K417" s="19"/>
      <c r="L417" s="19"/>
      <c r="M417" s="19"/>
      <c r="N417" s="19"/>
      <c r="O417" s="19"/>
      <c r="P417" s="20"/>
      <c r="Q417" s="20"/>
      <c r="R417" s="22"/>
      <c r="S417" s="22"/>
      <c r="T417" s="20"/>
      <c r="U417" s="20"/>
      <c r="V417" s="20"/>
      <c r="W417" s="19"/>
      <c r="X417" s="19"/>
      <c r="Y417" s="19"/>
      <c r="Z417" s="23"/>
    </row>
    <row r="418" spans="1:26" ht="15.75" customHeight="1" x14ac:dyDescent="0.2">
      <c r="A418" s="34"/>
      <c r="B418" s="34"/>
      <c r="C418" s="34"/>
      <c r="D418" s="34"/>
      <c r="E418" s="19"/>
      <c r="F418" s="19"/>
      <c r="G418" s="19"/>
      <c r="H418" s="19"/>
      <c r="I418" s="19"/>
      <c r="J418" s="19"/>
      <c r="K418" s="19"/>
      <c r="L418" s="19"/>
      <c r="M418" s="19"/>
      <c r="N418" s="19"/>
      <c r="O418" s="19"/>
      <c r="P418" s="20"/>
      <c r="Q418" s="20"/>
      <c r="R418" s="22"/>
      <c r="S418" s="22"/>
      <c r="T418" s="20"/>
      <c r="U418" s="20"/>
      <c r="V418" s="20"/>
      <c r="W418" s="19"/>
      <c r="X418" s="19"/>
      <c r="Y418" s="19"/>
      <c r="Z418" s="23"/>
    </row>
    <row r="419" spans="1:26" ht="15.75" customHeight="1" x14ac:dyDescent="0.2">
      <c r="A419" s="34"/>
      <c r="B419" s="34"/>
      <c r="C419" s="34"/>
      <c r="D419" s="34"/>
      <c r="E419" s="19"/>
      <c r="F419" s="19"/>
      <c r="G419" s="19"/>
      <c r="H419" s="19"/>
      <c r="I419" s="19"/>
      <c r="J419" s="19"/>
      <c r="K419" s="19"/>
      <c r="L419" s="19"/>
      <c r="M419" s="19"/>
      <c r="N419" s="19"/>
      <c r="O419" s="19"/>
      <c r="P419" s="20"/>
      <c r="Q419" s="20"/>
      <c r="R419" s="22"/>
      <c r="S419" s="22"/>
      <c r="T419" s="20"/>
      <c r="U419" s="20"/>
      <c r="V419" s="20"/>
      <c r="W419" s="19"/>
      <c r="X419" s="19"/>
      <c r="Y419" s="19"/>
      <c r="Z419" s="23"/>
    </row>
    <row r="420" spans="1:26" ht="15.75" customHeight="1" x14ac:dyDescent="0.2">
      <c r="A420" s="34"/>
      <c r="B420" s="34"/>
      <c r="C420" s="34"/>
      <c r="D420" s="34"/>
      <c r="E420" s="19"/>
      <c r="F420" s="19"/>
      <c r="G420" s="19"/>
      <c r="H420" s="19"/>
      <c r="I420" s="19"/>
      <c r="J420" s="19"/>
      <c r="K420" s="19"/>
      <c r="L420" s="19"/>
      <c r="M420" s="19"/>
      <c r="N420" s="19"/>
      <c r="O420" s="19"/>
      <c r="P420" s="20"/>
      <c r="Q420" s="20"/>
      <c r="R420" s="22"/>
      <c r="S420" s="22"/>
      <c r="T420" s="20"/>
      <c r="U420" s="20"/>
      <c r="V420" s="20"/>
      <c r="W420" s="19"/>
      <c r="X420" s="19"/>
      <c r="Y420" s="19"/>
      <c r="Z420" s="23"/>
    </row>
    <row r="421" spans="1:26" ht="15.75" customHeight="1" x14ac:dyDescent="0.2">
      <c r="A421" s="34"/>
      <c r="B421" s="34"/>
      <c r="C421" s="34"/>
      <c r="D421" s="34"/>
      <c r="E421" s="19"/>
      <c r="F421" s="19"/>
      <c r="G421" s="19"/>
      <c r="H421" s="19"/>
      <c r="I421" s="19"/>
      <c r="J421" s="19"/>
      <c r="K421" s="19"/>
      <c r="L421" s="19"/>
      <c r="M421" s="19"/>
      <c r="N421" s="19"/>
      <c r="O421" s="19"/>
      <c r="P421" s="20"/>
      <c r="Q421" s="20"/>
      <c r="R421" s="22"/>
      <c r="S421" s="22"/>
      <c r="T421" s="20"/>
      <c r="U421" s="20"/>
      <c r="V421" s="20"/>
      <c r="W421" s="19"/>
      <c r="X421" s="19"/>
      <c r="Y421" s="19"/>
      <c r="Z421" s="23"/>
    </row>
    <row r="422" spans="1:26" ht="15.75" customHeight="1" x14ac:dyDescent="0.2">
      <c r="A422" s="34"/>
      <c r="B422" s="34"/>
      <c r="C422" s="34"/>
      <c r="D422" s="34"/>
      <c r="E422" s="19"/>
      <c r="F422" s="19"/>
      <c r="G422" s="19"/>
      <c r="H422" s="19"/>
      <c r="I422" s="19"/>
      <c r="J422" s="19"/>
      <c r="K422" s="19"/>
      <c r="L422" s="19"/>
      <c r="M422" s="19"/>
      <c r="N422" s="19"/>
      <c r="O422" s="19"/>
      <c r="P422" s="20"/>
      <c r="Q422" s="20"/>
      <c r="R422" s="22"/>
      <c r="S422" s="22"/>
      <c r="T422" s="20"/>
      <c r="U422" s="20"/>
      <c r="V422" s="20"/>
      <c r="W422" s="19"/>
      <c r="X422" s="19"/>
      <c r="Y422" s="19"/>
      <c r="Z422" s="23"/>
    </row>
    <row r="423" spans="1:26" ht="15.75" customHeight="1" x14ac:dyDescent="0.2">
      <c r="A423" s="34"/>
      <c r="B423" s="34"/>
      <c r="C423" s="34"/>
      <c r="D423" s="34"/>
      <c r="E423" s="19"/>
      <c r="F423" s="19"/>
      <c r="G423" s="19"/>
      <c r="H423" s="19"/>
      <c r="I423" s="19"/>
      <c r="J423" s="19"/>
      <c r="K423" s="19"/>
      <c r="L423" s="19"/>
      <c r="M423" s="19"/>
      <c r="N423" s="19"/>
      <c r="O423" s="19"/>
      <c r="P423" s="20"/>
      <c r="Q423" s="20"/>
      <c r="R423" s="22"/>
      <c r="S423" s="22"/>
      <c r="T423" s="20"/>
      <c r="U423" s="20"/>
      <c r="V423" s="20"/>
      <c r="W423" s="19"/>
      <c r="X423" s="19"/>
      <c r="Y423" s="19"/>
      <c r="Z423" s="23"/>
    </row>
    <row r="424" spans="1:26" ht="15.75" customHeight="1" x14ac:dyDescent="0.2">
      <c r="A424" s="34"/>
      <c r="B424" s="34"/>
      <c r="C424" s="34"/>
      <c r="D424" s="34"/>
      <c r="E424" s="19"/>
      <c r="F424" s="19"/>
      <c r="G424" s="19"/>
      <c r="H424" s="19"/>
      <c r="I424" s="19"/>
      <c r="J424" s="19"/>
      <c r="K424" s="19"/>
      <c r="L424" s="19"/>
      <c r="M424" s="19"/>
      <c r="N424" s="19"/>
      <c r="O424" s="19"/>
      <c r="P424" s="20"/>
      <c r="Q424" s="20"/>
      <c r="R424" s="22"/>
      <c r="S424" s="22"/>
      <c r="T424" s="20"/>
      <c r="U424" s="20"/>
      <c r="V424" s="20"/>
      <c r="W424" s="19"/>
      <c r="X424" s="19"/>
      <c r="Y424" s="19"/>
      <c r="Z424" s="23"/>
    </row>
    <row r="425" spans="1:26" ht="15.75" customHeight="1" x14ac:dyDescent="0.2">
      <c r="A425" s="34"/>
      <c r="B425" s="34"/>
      <c r="C425" s="34"/>
      <c r="D425" s="34"/>
      <c r="E425" s="19"/>
      <c r="F425" s="19"/>
      <c r="G425" s="19"/>
      <c r="H425" s="19"/>
      <c r="I425" s="19"/>
      <c r="J425" s="19"/>
      <c r="K425" s="19"/>
      <c r="L425" s="19"/>
      <c r="M425" s="19"/>
      <c r="N425" s="19"/>
      <c r="O425" s="19"/>
      <c r="P425" s="20"/>
      <c r="Q425" s="20"/>
      <c r="R425" s="22"/>
      <c r="S425" s="22"/>
      <c r="T425" s="20"/>
      <c r="U425" s="20"/>
      <c r="V425" s="20"/>
      <c r="W425" s="19"/>
      <c r="X425" s="19"/>
      <c r="Y425" s="19"/>
      <c r="Z425" s="23"/>
    </row>
    <row r="426" spans="1:26" ht="15.75" customHeight="1" x14ac:dyDescent="0.2">
      <c r="A426" s="34"/>
      <c r="B426" s="34"/>
      <c r="C426" s="34"/>
      <c r="D426" s="34"/>
      <c r="E426" s="19"/>
      <c r="F426" s="19"/>
      <c r="G426" s="19"/>
      <c r="H426" s="19"/>
      <c r="I426" s="19"/>
      <c r="J426" s="19"/>
      <c r="K426" s="19"/>
      <c r="L426" s="19"/>
      <c r="M426" s="19"/>
      <c r="N426" s="19"/>
      <c r="O426" s="19"/>
      <c r="P426" s="20"/>
      <c r="Q426" s="20"/>
      <c r="R426" s="22"/>
      <c r="S426" s="22"/>
      <c r="T426" s="20"/>
      <c r="U426" s="20"/>
      <c r="V426" s="20"/>
      <c r="W426" s="19"/>
      <c r="X426" s="19"/>
      <c r="Y426" s="19"/>
      <c r="Z426" s="23"/>
    </row>
    <row r="427" spans="1:26" ht="15.75" customHeight="1" x14ac:dyDescent="0.2">
      <c r="A427" s="34"/>
      <c r="B427" s="34"/>
      <c r="C427" s="34"/>
      <c r="D427" s="34"/>
      <c r="E427" s="19"/>
      <c r="F427" s="19"/>
      <c r="G427" s="19"/>
      <c r="H427" s="19"/>
      <c r="I427" s="19"/>
      <c r="J427" s="19"/>
      <c r="K427" s="19"/>
      <c r="L427" s="19"/>
      <c r="M427" s="19"/>
      <c r="N427" s="19"/>
      <c r="O427" s="19"/>
      <c r="P427" s="20"/>
      <c r="Q427" s="20"/>
      <c r="R427" s="22"/>
      <c r="S427" s="22"/>
      <c r="T427" s="20"/>
      <c r="U427" s="20"/>
      <c r="V427" s="20"/>
      <c r="W427" s="19"/>
      <c r="X427" s="19"/>
      <c r="Y427" s="19"/>
      <c r="Z427" s="23"/>
    </row>
    <row r="428" spans="1:26" ht="15.75" customHeight="1" x14ac:dyDescent="0.2">
      <c r="A428" s="34"/>
      <c r="B428" s="34"/>
      <c r="C428" s="34"/>
      <c r="D428" s="34"/>
      <c r="E428" s="19"/>
      <c r="F428" s="19"/>
      <c r="G428" s="19"/>
      <c r="H428" s="19"/>
      <c r="I428" s="19"/>
      <c r="J428" s="19"/>
      <c r="K428" s="19"/>
      <c r="L428" s="19"/>
      <c r="M428" s="19"/>
      <c r="N428" s="19"/>
      <c r="O428" s="19"/>
      <c r="P428" s="20"/>
      <c r="Q428" s="20"/>
      <c r="R428" s="22"/>
      <c r="S428" s="22"/>
      <c r="T428" s="20"/>
      <c r="U428" s="20"/>
      <c r="V428" s="20"/>
      <c r="W428" s="19"/>
      <c r="X428" s="19"/>
      <c r="Y428" s="19"/>
      <c r="Z428" s="23"/>
    </row>
    <row r="429" spans="1:26" ht="15.75" customHeight="1" x14ac:dyDescent="0.2">
      <c r="A429" s="34"/>
      <c r="B429" s="34"/>
      <c r="C429" s="34"/>
      <c r="D429" s="34"/>
      <c r="E429" s="19"/>
      <c r="F429" s="19"/>
      <c r="G429" s="19"/>
      <c r="H429" s="19"/>
      <c r="I429" s="19"/>
      <c r="J429" s="19"/>
      <c r="K429" s="19"/>
      <c r="L429" s="19"/>
      <c r="M429" s="19"/>
      <c r="N429" s="19"/>
      <c r="O429" s="19"/>
      <c r="P429" s="20"/>
      <c r="Q429" s="20"/>
      <c r="R429" s="22"/>
      <c r="S429" s="22"/>
      <c r="T429" s="20"/>
      <c r="U429" s="20"/>
      <c r="V429" s="20"/>
      <c r="W429" s="19"/>
      <c r="X429" s="19"/>
      <c r="Y429" s="19"/>
      <c r="Z429" s="23"/>
    </row>
    <row r="430" spans="1:26" ht="15.75" customHeight="1" x14ac:dyDescent="0.2">
      <c r="A430" s="34"/>
      <c r="B430" s="34"/>
      <c r="C430" s="34"/>
      <c r="D430" s="34"/>
      <c r="E430" s="19"/>
      <c r="F430" s="19"/>
      <c r="G430" s="19"/>
      <c r="H430" s="19"/>
      <c r="I430" s="19"/>
      <c r="J430" s="19"/>
      <c r="K430" s="19"/>
      <c r="L430" s="19"/>
      <c r="M430" s="19"/>
      <c r="N430" s="19"/>
      <c r="O430" s="19"/>
      <c r="P430" s="20"/>
      <c r="Q430" s="20"/>
      <c r="R430" s="22"/>
      <c r="S430" s="22"/>
      <c r="T430" s="20"/>
      <c r="U430" s="20"/>
      <c r="V430" s="20"/>
      <c r="W430" s="19"/>
      <c r="X430" s="19"/>
      <c r="Y430" s="19"/>
      <c r="Z430" s="23"/>
    </row>
    <row r="431" spans="1:26" ht="15.75" customHeight="1" x14ac:dyDescent="0.2">
      <c r="A431" s="34"/>
      <c r="B431" s="34"/>
      <c r="C431" s="34"/>
      <c r="D431" s="34"/>
      <c r="E431" s="19"/>
      <c r="F431" s="19"/>
      <c r="G431" s="19"/>
      <c r="H431" s="19"/>
      <c r="I431" s="19"/>
      <c r="J431" s="19"/>
      <c r="K431" s="19"/>
      <c r="L431" s="19"/>
      <c r="M431" s="19"/>
      <c r="N431" s="19"/>
      <c r="O431" s="19"/>
      <c r="P431" s="20"/>
      <c r="Q431" s="20"/>
      <c r="R431" s="22"/>
      <c r="S431" s="22"/>
      <c r="T431" s="20"/>
      <c r="U431" s="20"/>
      <c r="V431" s="20"/>
      <c r="W431" s="19"/>
      <c r="X431" s="19"/>
      <c r="Y431" s="19"/>
      <c r="Z431" s="23"/>
    </row>
    <row r="432" spans="1:26" ht="15.75" customHeight="1" x14ac:dyDescent="0.2">
      <c r="A432" s="34"/>
      <c r="B432" s="34"/>
      <c r="C432" s="34"/>
      <c r="D432" s="34"/>
      <c r="E432" s="19"/>
      <c r="F432" s="19"/>
      <c r="G432" s="19"/>
      <c r="H432" s="19"/>
      <c r="I432" s="19"/>
      <c r="J432" s="19"/>
      <c r="K432" s="19"/>
      <c r="L432" s="19"/>
      <c r="M432" s="19"/>
      <c r="N432" s="19"/>
      <c r="O432" s="19"/>
      <c r="P432" s="20"/>
      <c r="Q432" s="20"/>
      <c r="R432" s="22"/>
      <c r="S432" s="22"/>
      <c r="T432" s="20"/>
      <c r="U432" s="20"/>
      <c r="V432" s="20"/>
      <c r="W432" s="19"/>
      <c r="X432" s="19"/>
      <c r="Y432" s="19"/>
      <c r="Z432" s="23"/>
    </row>
    <row r="433" spans="1:26" ht="15.75" customHeight="1" x14ac:dyDescent="0.2">
      <c r="A433" s="34"/>
      <c r="B433" s="34"/>
      <c r="C433" s="34"/>
      <c r="D433" s="34"/>
      <c r="E433" s="19"/>
      <c r="F433" s="19"/>
      <c r="G433" s="19"/>
      <c r="H433" s="19"/>
      <c r="I433" s="19"/>
      <c r="J433" s="19"/>
      <c r="K433" s="19"/>
      <c r="L433" s="19"/>
      <c r="M433" s="19"/>
      <c r="N433" s="19"/>
      <c r="O433" s="19"/>
      <c r="P433" s="20"/>
      <c r="Q433" s="20"/>
      <c r="R433" s="22"/>
      <c r="S433" s="22"/>
      <c r="T433" s="20"/>
      <c r="U433" s="20"/>
      <c r="V433" s="20"/>
      <c r="W433" s="19"/>
      <c r="X433" s="19"/>
      <c r="Y433" s="19"/>
      <c r="Z433" s="23"/>
    </row>
    <row r="434" spans="1:26" ht="15.75" customHeight="1" x14ac:dyDescent="0.2">
      <c r="A434" s="34"/>
      <c r="B434" s="34"/>
      <c r="C434" s="34"/>
      <c r="D434" s="34"/>
      <c r="E434" s="19"/>
      <c r="F434" s="19"/>
      <c r="G434" s="19"/>
      <c r="H434" s="19"/>
      <c r="I434" s="19"/>
      <c r="J434" s="19"/>
      <c r="K434" s="19"/>
      <c r="L434" s="19"/>
      <c r="M434" s="19"/>
      <c r="N434" s="19"/>
      <c r="O434" s="19"/>
      <c r="P434" s="20"/>
      <c r="Q434" s="20"/>
      <c r="R434" s="22"/>
      <c r="S434" s="22"/>
      <c r="T434" s="20"/>
      <c r="U434" s="20"/>
      <c r="V434" s="20"/>
      <c r="W434" s="19"/>
      <c r="X434" s="19"/>
      <c r="Y434" s="19"/>
      <c r="Z434" s="23"/>
    </row>
    <row r="435" spans="1:26" ht="15.75" customHeight="1" x14ac:dyDescent="0.2">
      <c r="A435" s="34"/>
      <c r="B435" s="34"/>
      <c r="C435" s="34"/>
      <c r="D435" s="34"/>
      <c r="E435" s="19"/>
      <c r="F435" s="19"/>
      <c r="G435" s="19"/>
      <c r="H435" s="19"/>
      <c r="I435" s="19"/>
      <c r="J435" s="19"/>
      <c r="K435" s="19"/>
      <c r="L435" s="19"/>
      <c r="M435" s="19"/>
      <c r="N435" s="19"/>
      <c r="O435" s="19"/>
      <c r="P435" s="20"/>
      <c r="Q435" s="20"/>
      <c r="R435" s="22"/>
      <c r="S435" s="22"/>
      <c r="T435" s="20"/>
      <c r="U435" s="20"/>
      <c r="V435" s="20"/>
      <c r="W435" s="19"/>
      <c r="X435" s="19"/>
      <c r="Y435" s="19"/>
      <c r="Z435" s="23"/>
    </row>
    <row r="436" spans="1:26" ht="15.75" customHeight="1" x14ac:dyDescent="0.2">
      <c r="A436" s="34"/>
      <c r="B436" s="34"/>
      <c r="C436" s="34"/>
      <c r="D436" s="34"/>
      <c r="E436" s="19"/>
      <c r="F436" s="19"/>
      <c r="G436" s="19"/>
      <c r="H436" s="19"/>
      <c r="I436" s="19"/>
      <c r="J436" s="19"/>
      <c r="K436" s="19"/>
      <c r="L436" s="19"/>
      <c r="M436" s="19"/>
      <c r="N436" s="19"/>
      <c r="O436" s="19"/>
      <c r="P436" s="20"/>
      <c r="Q436" s="20"/>
      <c r="R436" s="22"/>
      <c r="S436" s="22"/>
      <c r="T436" s="20"/>
      <c r="U436" s="20"/>
      <c r="V436" s="20"/>
      <c r="W436" s="19"/>
      <c r="X436" s="19"/>
      <c r="Y436" s="19"/>
      <c r="Z436" s="23"/>
    </row>
    <row r="437" spans="1:26" ht="15.75" customHeight="1" x14ac:dyDescent="0.2">
      <c r="A437" s="34"/>
      <c r="B437" s="34"/>
      <c r="C437" s="34"/>
      <c r="D437" s="34"/>
      <c r="E437" s="19"/>
      <c r="F437" s="19"/>
      <c r="G437" s="19"/>
      <c r="H437" s="19"/>
      <c r="I437" s="19"/>
      <c r="J437" s="19"/>
      <c r="K437" s="19"/>
      <c r="L437" s="19"/>
      <c r="M437" s="19"/>
      <c r="N437" s="19"/>
      <c r="O437" s="19"/>
      <c r="P437" s="20"/>
      <c r="Q437" s="20"/>
      <c r="R437" s="22"/>
      <c r="S437" s="22"/>
      <c r="T437" s="20"/>
      <c r="U437" s="20"/>
      <c r="V437" s="20"/>
      <c r="W437" s="19"/>
      <c r="X437" s="19"/>
      <c r="Y437" s="19"/>
      <c r="Z437" s="23"/>
    </row>
    <row r="438" spans="1:26" ht="15.75" customHeight="1" x14ac:dyDescent="0.2">
      <c r="A438" s="34"/>
      <c r="B438" s="34"/>
      <c r="C438" s="34"/>
      <c r="D438" s="34"/>
      <c r="E438" s="19"/>
      <c r="F438" s="19"/>
      <c r="G438" s="19"/>
      <c r="H438" s="19"/>
      <c r="I438" s="19"/>
      <c r="J438" s="19"/>
      <c r="K438" s="19"/>
      <c r="L438" s="19"/>
      <c r="M438" s="19"/>
      <c r="N438" s="19"/>
      <c r="O438" s="19"/>
      <c r="P438" s="20"/>
      <c r="Q438" s="20"/>
      <c r="R438" s="22"/>
      <c r="S438" s="22"/>
      <c r="T438" s="20"/>
      <c r="U438" s="20"/>
      <c r="V438" s="20"/>
      <c r="W438" s="19"/>
      <c r="X438" s="19"/>
      <c r="Y438" s="19"/>
      <c r="Z438" s="23"/>
    </row>
    <row r="439" spans="1:26" ht="15.75" customHeight="1" x14ac:dyDescent="0.2">
      <c r="A439" s="34"/>
      <c r="B439" s="34"/>
      <c r="C439" s="34"/>
      <c r="D439" s="34"/>
      <c r="E439" s="19"/>
      <c r="F439" s="19"/>
      <c r="G439" s="19"/>
      <c r="H439" s="19"/>
      <c r="I439" s="19"/>
      <c r="J439" s="19"/>
      <c r="K439" s="19"/>
      <c r="L439" s="19"/>
      <c r="M439" s="19"/>
      <c r="N439" s="19"/>
      <c r="O439" s="19"/>
      <c r="P439" s="20"/>
      <c r="Q439" s="20"/>
      <c r="R439" s="22"/>
      <c r="S439" s="22"/>
      <c r="T439" s="20"/>
      <c r="U439" s="20"/>
      <c r="V439" s="20"/>
      <c r="W439" s="19"/>
      <c r="X439" s="19"/>
      <c r="Y439" s="19"/>
      <c r="Z439" s="23"/>
    </row>
    <row r="440" spans="1:26" ht="15.75" customHeight="1" x14ac:dyDescent="0.2">
      <c r="A440" s="34"/>
      <c r="B440" s="34"/>
      <c r="C440" s="34"/>
      <c r="D440" s="34"/>
      <c r="E440" s="19"/>
      <c r="F440" s="19"/>
      <c r="G440" s="19"/>
      <c r="H440" s="19"/>
      <c r="I440" s="19"/>
      <c r="J440" s="19"/>
      <c r="K440" s="19"/>
      <c r="L440" s="19"/>
      <c r="M440" s="19"/>
      <c r="N440" s="19"/>
      <c r="O440" s="19"/>
      <c r="P440" s="20"/>
      <c r="Q440" s="20"/>
      <c r="R440" s="22"/>
      <c r="S440" s="22"/>
      <c r="T440" s="20"/>
      <c r="U440" s="20"/>
      <c r="V440" s="20"/>
      <c r="W440" s="19"/>
      <c r="X440" s="19"/>
      <c r="Y440" s="19"/>
      <c r="Z440" s="23"/>
    </row>
    <row r="441" spans="1:26" ht="15.75" customHeight="1" x14ac:dyDescent="0.2">
      <c r="A441" s="34"/>
      <c r="B441" s="34"/>
      <c r="C441" s="34"/>
      <c r="D441" s="34"/>
      <c r="E441" s="19"/>
      <c r="F441" s="19"/>
      <c r="G441" s="19"/>
      <c r="H441" s="19"/>
      <c r="I441" s="19"/>
      <c r="J441" s="19"/>
      <c r="K441" s="19"/>
      <c r="L441" s="19"/>
      <c r="M441" s="19"/>
      <c r="N441" s="19"/>
      <c r="O441" s="19"/>
      <c r="P441" s="20"/>
      <c r="Q441" s="20"/>
      <c r="R441" s="22"/>
      <c r="S441" s="22"/>
      <c r="T441" s="20"/>
      <c r="U441" s="20"/>
      <c r="V441" s="20"/>
      <c r="W441" s="19"/>
      <c r="X441" s="19"/>
      <c r="Y441" s="19"/>
      <c r="Z441" s="23"/>
    </row>
    <row r="442" spans="1:26" ht="15.75" customHeight="1" x14ac:dyDescent="0.2">
      <c r="A442" s="34"/>
      <c r="B442" s="34"/>
      <c r="C442" s="34"/>
      <c r="D442" s="34"/>
      <c r="E442" s="19"/>
      <c r="F442" s="19"/>
      <c r="G442" s="19"/>
      <c r="H442" s="19"/>
      <c r="I442" s="19"/>
      <c r="J442" s="19"/>
      <c r="K442" s="19"/>
      <c r="L442" s="19"/>
      <c r="M442" s="19"/>
      <c r="N442" s="19"/>
      <c r="O442" s="19"/>
      <c r="P442" s="20"/>
      <c r="Q442" s="20"/>
      <c r="R442" s="22"/>
      <c r="S442" s="22"/>
      <c r="T442" s="20"/>
      <c r="U442" s="20"/>
      <c r="V442" s="20"/>
      <c r="W442" s="19"/>
      <c r="X442" s="19"/>
      <c r="Y442" s="19"/>
      <c r="Z442" s="23"/>
    </row>
    <row r="443" spans="1:26" ht="15.75" customHeight="1" x14ac:dyDescent="0.2">
      <c r="A443" s="34"/>
      <c r="B443" s="34"/>
      <c r="C443" s="34"/>
      <c r="D443" s="34"/>
      <c r="E443" s="19"/>
      <c r="F443" s="19"/>
      <c r="G443" s="19"/>
      <c r="H443" s="19"/>
      <c r="I443" s="19"/>
      <c r="J443" s="19"/>
      <c r="K443" s="19"/>
      <c r="L443" s="19"/>
      <c r="M443" s="19"/>
      <c r="N443" s="19"/>
      <c r="O443" s="19"/>
      <c r="P443" s="20"/>
      <c r="Q443" s="20"/>
      <c r="R443" s="22"/>
      <c r="S443" s="22"/>
      <c r="T443" s="20"/>
      <c r="U443" s="20"/>
      <c r="V443" s="20"/>
      <c r="W443" s="19"/>
      <c r="X443" s="19"/>
      <c r="Y443" s="19"/>
      <c r="Z443" s="23"/>
    </row>
    <row r="444" spans="1:26" ht="15.75" customHeight="1" x14ac:dyDescent="0.2">
      <c r="A444" s="34"/>
      <c r="B444" s="34"/>
      <c r="C444" s="34"/>
      <c r="D444" s="34"/>
      <c r="E444" s="19"/>
      <c r="F444" s="19"/>
      <c r="G444" s="19"/>
      <c r="H444" s="19"/>
      <c r="I444" s="19"/>
      <c r="J444" s="19"/>
      <c r="K444" s="19"/>
      <c r="L444" s="19"/>
      <c r="M444" s="19"/>
      <c r="N444" s="19"/>
      <c r="O444" s="19"/>
      <c r="P444" s="20"/>
      <c r="Q444" s="20"/>
      <c r="R444" s="22"/>
      <c r="S444" s="22"/>
      <c r="T444" s="20"/>
      <c r="U444" s="20"/>
      <c r="V444" s="20"/>
      <c r="W444" s="19"/>
      <c r="X444" s="19"/>
      <c r="Y444" s="19"/>
      <c r="Z444" s="23"/>
    </row>
    <row r="445" spans="1:26" ht="15.75" customHeight="1" x14ac:dyDescent="0.2">
      <c r="A445" s="34"/>
      <c r="B445" s="34"/>
      <c r="C445" s="34"/>
      <c r="D445" s="34"/>
      <c r="E445" s="19"/>
      <c r="F445" s="19"/>
      <c r="G445" s="19"/>
      <c r="H445" s="19"/>
      <c r="I445" s="19"/>
      <c r="J445" s="19"/>
      <c r="K445" s="19"/>
      <c r="L445" s="19"/>
      <c r="M445" s="19"/>
      <c r="N445" s="19"/>
      <c r="O445" s="19"/>
      <c r="P445" s="20"/>
      <c r="Q445" s="20"/>
      <c r="R445" s="22"/>
      <c r="S445" s="22"/>
      <c r="T445" s="20"/>
      <c r="U445" s="20"/>
      <c r="V445" s="20"/>
      <c r="W445" s="19"/>
      <c r="X445" s="19"/>
      <c r="Y445" s="19"/>
      <c r="Z445" s="23"/>
    </row>
    <row r="446" spans="1:26" ht="15.75" customHeight="1" x14ac:dyDescent="0.2">
      <c r="A446" s="34"/>
      <c r="B446" s="34"/>
      <c r="C446" s="34"/>
      <c r="D446" s="34"/>
      <c r="E446" s="19"/>
      <c r="F446" s="19"/>
      <c r="G446" s="19"/>
      <c r="H446" s="19"/>
      <c r="I446" s="19"/>
      <c r="J446" s="19"/>
      <c r="K446" s="19"/>
      <c r="L446" s="19"/>
      <c r="M446" s="19"/>
      <c r="N446" s="19"/>
      <c r="O446" s="19"/>
      <c r="P446" s="20"/>
      <c r="Q446" s="20"/>
      <c r="R446" s="22"/>
      <c r="S446" s="22"/>
      <c r="T446" s="20"/>
      <c r="U446" s="20"/>
      <c r="V446" s="20"/>
      <c r="W446" s="19"/>
      <c r="X446" s="19"/>
      <c r="Y446" s="19"/>
      <c r="Z446" s="23"/>
    </row>
    <row r="447" spans="1:26" ht="15.75" customHeight="1" x14ac:dyDescent="0.2">
      <c r="A447" s="34"/>
      <c r="B447" s="34"/>
      <c r="C447" s="34"/>
      <c r="D447" s="34"/>
      <c r="E447" s="19"/>
      <c r="F447" s="19"/>
      <c r="G447" s="19"/>
      <c r="H447" s="19"/>
      <c r="I447" s="19"/>
      <c r="J447" s="19"/>
      <c r="K447" s="19"/>
      <c r="L447" s="19"/>
      <c r="M447" s="19"/>
      <c r="N447" s="19"/>
      <c r="O447" s="19"/>
      <c r="P447" s="20"/>
      <c r="Q447" s="20"/>
      <c r="R447" s="22"/>
      <c r="S447" s="22"/>
      <c r="T447" s="20"/>
      <c r="U447" s="20"/>
      <c r="V447" s="20"/>
      <c r="W447" s="19"/>
      <c r="X447" s="19"/>
      <c r="Y447" s="19"/>
      <c r="Z447" s="23"/>
    </row>
    <row r="448" spans="1:26" ht="15.75" customHeight="1" x14ac:dyDescent="0.2">
      <c r="A448" s="34"/>
      <c r="B448" s="34"/>
      <c r="C448" s="34"/>
      <c r="D448" s="34"/>
      <c r="E448" s="19"/>
      <c r="F448" s="19"/>
      <c r="G448" s="19"/>
      <c r="H448" s="19"/>
      <c r="I448" s="19"/>
      <c r="J448" s="19"/>
      <c r="K448" s="19"/>
      <c r="L448" s="19"/>
      <c r="M448" s="19"/>
      <c r="N448" s="19"/>
      <c r="O448" s="19"/>
      <c r="P448" s="20"/>
      <c r="Q448" s="20"/>
      <c r="R448" s="22"/>
      <c r="S448" s="22"/>
      <c r="T448" s="20"/>
      <c r="U448" s="20"/>
      <c r="V448" s="20"/>
      <c r="W448" s="19"/>
      <c r="X448" s="19"/>
      <c r="Y448" s="19"/>
      <c r="Z448" s="23"/>
    </row>
    <row r="449" spans="1:26" ht="15.75" customHeight="1" x14ac:dyDescent="0.2">
      <c r="A449" s="34"/>
      <c r="B449" s="34"/>
      <c r="C449" s="34"/>
      <c r="D449" s="34"/>
      <c r="E449" s="19"/>
      <c r="F449" s="19"/>
      <c r="G449" s="19"/>
      <c r="H449" s="19"/>
      <c r="I449" s="19"/>
      <c r="J449" s="19"/>
      <c r="K449" s="19"/>
      <c r="L449" s="19"/>
      <c r="M449" s="19"/>
      <c r="N449" s="19"/>
      <c r="O449" s="19"/>
      <c r="P449" s="20"/>
      <c r="Q449" s="20"/>
      <c r="R449" s="22"/>
      <c r="S449" s="22"/>
      <c r="T449" s="20"/>
      <c r="U449" s="20"/>
      <c r="V449" s="20"/>
      <c r="W449" s="19"/>
      <c r="X449" s="19"/>
      <c r="Y449" s="19"/>
      <c r="Z449" s="23"/>
    </row>
    <row r="450" spans="1:26" ht="15.75" customHeight="1" x14ac:dyDescent="0.2">
      <c r="A450" s="34"/>
      <c r="B450" s="34"/>
      <c r="C450" s="34"/>
      <c r="D450" s="34"/>
      <c r="E450" s="19"/>
      <c r="F450" s="19"/>
      <c r="G450" s="19"/>
      <c r="H450" s="19"/>
      <c r="I450" s="19"/>
      <c r="J450" s="19"/>
      <c r="K450" s="19"/>
      <c r="L450" s="19"/>
      <c r="M450" s="19"/>
      <c r="N450" s="19"/>
      <c r="O450" s="19"/>
      <c r="P450" s="20"/>
      <c r="Q450" s="20"/>
      <c r="R450" s="22"/>
      <c r="S450" s="22"/>
      <c r="T450" s="20"/>
      <c r="U450" s="20"/>
      <c r="V450" s="20"/>
      <c r="W450" s="19"/>
      <c r="X450" s="19"/>
      <c r="Y450" s="19"/>
      <c r="Z450" s="23"/>
    </row>
    <row r="451" spans="1:26" ht="15.75" customHeight="1" x14ac:dyDescent="0.2">
      <c r="A451" s="34"/>
      <c r="B451" s="34"/>
      <c r="C451" s="34"/>
      <c r="D451" s="34"/>
      <c r="E451" s="19"/>
      <c r="F451" s="19"/>
      <c r="G451" s="19"/>
      <c r="H451" s="19"/>
      <c r="I451" s="19"/>
      <c r="J451" s="19"/>
      <c r="K451" s="19"/>
      <c r="L451" s="19"/>
      <c r="M451" s="19"/>
      <c r="N451" s="19"/>
      <c r="O451" s="19"/>
      <c r="P451" s="20"/>
      <c r="Q451" s="20"/>
      <c r="R451" s="22"/>
      <c r="S451" s="22"/>
      <c r="T451" s="20"/>
      <c r="U451" s="20"/>
      <c r="V451" s="20"/>
      <c r="W451" s="19"/>
      <c r="X451" s="19"/>
      <c r="Y451" s="19"/>
      <c r="Z451" s="23"/>
    </row>
    <row r="452" spans="1:26" ht="15.75" customHeight="1" x14ac:dyDescent="0.2">
      <c r="A452" s="34"/>
      <c r="B452" s="34"/>
      <c r="C452" s="34"/>
      <c r="D452" s="34"/>
      <c r="E452" s="19"/>
      <c r="F452" s="19"/>
      <c r="G452" s="19"/>
      <c r="H452" s="19"/>
      <c r="I452" s="19"/>
      <c r="J452" s="19"/>
      <c r="K452" s="19"/>
      <c r="L452" s="19"/>
      <c r="M452" s="19"/>
      <c r="N452" s="19"/>
      <c r="O452" s="19"/>
      <c r="P452" s="20"/>
      <c r="Q452" s="20"/>
      <c r="R452" s="22"/>
      <c r="S452" s="22"/>
      <c r="T452" s="20"/>
      <c r="U452" s="20"/>
      <c r="V452" s="20"/>
      <c r="W452" s="19"/>
      <c r="X452" s="19"/>
      <c r="Y452" s="19"/>
      <c r="Z452" s="23"/>
    </row>
    <row r="453" spans="1:26" ht="15.75" customHeight="1" x14ac:dyDescent="0.2">
      <c r="A453" s="34"/>
      <c r="B453" s="34"/>
      <c r="C453" s="34"/>
      <c r="D453" s="34"/>
      <c r="E453" s="19"/>
      <c r="F453" s="19"/>
      <c r="G453" s="19"/>
      <c r="H453" s="19"/>
      <c r="I453" s="19"/>
      <c r="J453" s="19"/>
      <c r="K453" s="19"/>
      <c r="L453" s="19"/>
      <c r="M453" s="19"/>
      <c r="N453" s="19"/>
      <c r="O453" s="19"/>
      <c r="P453" s="20"/>
      <c r="Q453" s="20"/>
      <c r="R453" s="22"/>
      <c r="S453" s="22"/>
      <c r="T453" s="20"/>
      <c r="U453" s="20"/>
      <c r="V453" s="20"/>
      <c r="W453" s="19"/>
      <c r="X453" s="19"/>
      <c r="Y453" s="19"/>
      <c r="Z453" s="23"/>
    </row>
    <row r="454" spans="1:26" ht="15.75" customHeight="1" x14ac:dyDescent="0.2">
      <c r="A454" s="34"/>
      <c r="B454" s="34"/>
      <c r="C454" s="34"/>
      <c r="D454" s="34"/>
      <c r="E454" s="19"/>
      <c r="F454" s="19"/>
      <c r="G454" s="19"/>
      <c r="H454" s="19"/>
      <c r="I454" s="19"/>
      <c r="J454" s="19"/>
      <c r="K454" s="19"/>
      <c r="L454" s="19"/>
      <c r="M454" s="19"/>
      <c r="N454" s="19"/>
      <c r="O454" s="19"/>
      <c r="P454" s="20"/>
      <c r="Q454" s="20"/>
      <c r="R454" s="22"/>
      <c r="S454" s="22"/>
      <c r="T454" s="20"/>
      <c r="U454" s="20"/>
      <c r="V454" s="20"/>
      <c r="W454" s="19"/>
      <c r="X454" s="19"/>
      <c r="Y454" s="19"/>
      <c r="Z454" s="23"/>
    </row>
    <row r="455" spans="1:26" ht="15.75" customHeight="1" x14ac:dyDescent="0.2">
      <c r="A455" s="34"/>
      <c r="B455" s="34"/>
      <c r="C455" s="34"/>
      <c r="D455" s="34"/>
      <c r="E455" s="19"/>
      <c r="F455" s="19"/>
      <c r="G455" s="19"/>
      <c r="H455" s="19"/>
      <c r="I455" s="19"/>
      <c r="J455" s="19"/>
      <c r="K455" s="19"/>
      <c r="L455" s="19"/>
      <c r="M455" s="19"/>
      <c r="N455" s="19"/>
      <c r="O455" s="19"/>
      <c r="P455" s="20"/>
      <c r="Q455" s="20"/>
      <c r="R455" s="22"/>
      <c r="S455" s="22"/>
      <c r="T455" s="20"/>
      <c r="U455" s="20"/>
      <c r="V455" s="20"/>
      <c r="W455" s="19"/>
      <c r="X455" s="19"/>
      <c r="Y455" s="19"/>
      <c r="Z455" s="23"/>
    </row>
    <row r="456" spans="1:26" ht="15.75" customHeight="1" x14ac:dyDescent="0.2">
      <c r="A456" s="34"/>
      <c r="B456" s="34"/>
      <c r="C456" s="34"/>
      <c r="D456" s="34"/>
      <c r="E456" s="19"/>
      <c r="F456" s="19"/>
      <c r="G456" s="19"/>
      <c r="H456" s="19"/>
      <c r="I456" s="19"/>
      <c r="J456" s="19"/>
      <c r="K456" s="19"/>
      <c r="L456" s="19"/>
      <c r="M456" s="19"/>
      <c r="N456" s="19"/>
      <c r="O456" s="19"/>
      <c r="P456" s="20"/>
      <c r="Q456" s="20"/>
      <c r="R456" s="22"/>
      <c r="S456" s="22"/>
      <c r="T456" s="20"/>
      <c r="U456" s="20"/>
      <c r="V456" s="20"/>
      <c r="W456" s="19"/>
      <c r="X456" s="19"/>
      <c r="Y456" s="19"/>
      <c r="Z456" s="23"/>
    </row>
    <row r="457" spans="1:26" ht="15.75" customHeight="1" x14ac:dyDescent="0.2">
      <c r="A457" s="34"/>
      <c r="B457" s="34"/>
      <c r="C457" s="34"/>
      <c r="D457" s="34"/>
      <c r="E457" s="19"/>
      <c r="F457" s="19"/>
      <c r="G457" s="19"/>
      <c r="H457" s="19"/>
      <c r="I457" s="19"/>
      <c r="J457" s="19"/>
      <c r="K457" s="19"/>
      <c r="L457" s="19"/>
      <c r="M457" s="19"/>
      <c r="N457" s="19"/>
      <c r="O457" s="19"/>
      <c r="P457" s="20"/>
      <c r="Q457" s="20"/>
      <c r="R457" s="22"/>
      <c r="S457" s="22"/>
      <c r="T457" s="20"/>
      <c r="U457" s="20"/>
      <c r="V457" s="20"/>
      <c r="W457" s="19"/>
      <c r="X457" s="19"/>
      <c r="Y457" s="19"/>
      <c r="Z457" s="23"/>
    </row>
    <row r="458" spans="1:26" ht="15.75" customHeight="1" x14ac:dyDescent="0.2">
      <c r="A458" s="34"/>
      <c r="B458" s="34"/>
      <c r="C458" s="34"/>
      <c r="D458" s="34"/>
      <c r="E458" s="19"/>
      <c r="F458" s="19"/>
      <c r="G458" s="19"/>
      <c r="H458" s="19"/>
      <c r="I458" s="19"/>
      <c r="J458" s="19"/>
      <c r="K458" s="19"/>
      <c r="L458" s="19"/>
      <c r="M458" s="19"/>
      <c r="N458" s="19"/>
      <c r="O458" s="19"/>
      <c r="P458" s="20"/>
      <c r="Q458" s="20"/>
      <c r="R458" s="22"/>
      <c r="S458" s="22"/>
      <c r="T458" s="20"/>
      <c r="U458" s="20"/>
      <c r="V458" s="20"/>
      <c r="W458" s="19"/>
      <c r="X458" s="19"/>
      <c r="Y458" s="19"/>
      <c r="Z458" s="23"/>
    </row>
    <row r="459" spans="1:26" ht="15.75" customHeight="1" x14ac:dyDescent="0.2">
      <c r="A459" s="34"/>
      <c r="B459" s="34"/>
      <c r="C459" s="34"/>
      <c r="D459" s="34"/>
      <c r="E459" s="19"/>
      <c r="F459" s="19"/>
      <c r="G459" s="19"/>
      <c r="H459" s="19"/>
      <c r="I459" s="19"/>
      <c r="J459" s="19"/>
      <c r="K459" s="19"/>
      <c r="L459" s="19"/>
      <c r="M459" s="19"/>
      <c r="N459" s="19"/>
      <c r="O459" s="19"/>
      <c r="P459" s="20"/>
      <c r="Q459" s="20"/>
      <c r="R459" s="22"/>
      <c r="S459" s="22"/>
      <c r="T459" s="20"/>
      <c r="U459" s="20"/>
      <c r="V459" s="20"/>
      <c r="W459" s="19"/>
      <c r="X459" s="19"/>
      <c r="Y459" s="19"/>
      <c r="Z459" s="23"/>
    </row>
    <row r="460" spans="1:26" ht="15.75" customHeight="1" x14ac:dyDescent="0.2">
      <c r="A460" s="34"/>
      <c r="B460" s="34"/>
      <c r="C460" s="34"/>
      <c r="D460" s="34"/>
      <c r="E460" s="19"/>
      <c r="F460" s="19"/>
      <c r="G460" s="19"/>
      <c r="H460" s="19"/>
      <c r="I460" s="19"/>
      <c r="J460" s="19"/>
      <c r="K460" s="19"/>
      <c r="L460" s="19"/>
      <c r="M460" s="19"/>
      <c r="N460" s="19"/>
      <c r="O460" s="19"/>
      <c r="P460" s="20"/>
      <c r="Q460" s="20"/>
      <c r="R460" s="22"/>
      <c r="S460" s="22"/>
      <c r="T460" s="20"/>
      <c r="U460" s="20"/>
      <c r="V460" s="20"/>
      <c r="W460" s="19"/>
      <c r="X460" s="19"/>
      <c r="Y460" s="19"/>
      <c r="Z460" s="23"/>
    </row>
    <row r="461" spans="1:26" ht="15.75" customHeight="1" x14ac:dyDescent="0.2">
      <c r="A461" s="34"/>
      <c r="B461" s="34"/>
      <c r="C461" s="34"/>
      <c r="D461" s="34"/>
      <c r="E461" s="19"/>
      <c r="F461" s="19"/>
      <c r="G461" s="19"/>
      <c r="H461" s="19"/>
      <c r="I461" s="19"/>
      <c r="J461" s="19"/>
      <c r="K461" s="19"/>
      <c r="L461" s="19"/>
      <c r="M461" s="19"/>
      <c r="N461" s="19"/>
      <c r="O461" s="19"/>
      <c r="P461" s="20"/>
      <c r="Q461" s="20"/>
      <c r="R461" s="22"/>
      <c r="S461" s="22"/>
      <c r="T461" s="20"/>
      <c r="U461" s="20"/>
      <c r="V461" s="20"/>
      <c r="W461" s="19"/>
      <c r="X461" s="19"/>
      <c r="Y461" s="19"/>
      <c r="Z461" s="23"/>
    </row>
    <row r="462" spans="1:26" ht="15.75" customHeight="1" x14ac:dyDescent="0.2">
      <c r="A462" s="34"/>
      <c r="B462" s="34"/>
      <c r="C462" s="34"/>
      <c r="D462" s="34"/>
      <c r="E462" s="19"/>
      <c r="F462" s="19"/>
      <c r="G462" s="19"/>
      <c r="H462" s="19"/>
      <c r="I462" s="19"/>
      <c r="J462" s="19"/>
      <c r="K462" s="19"/>
      <c r="L462" s="19"/>
      <c r="M462" s="19"/>
      <c r="N462" s="19"/>
      <c r="O462" s="19"/>
      <c r="P462" s="20"/>
      <c r="Q462" s="20"/>
      <c r="R462" s="22"/>
      <c r="S462" s="22"/>
      <c r="T462" s="20"/>
      <c r="U462" s="20"/>
      <c r="V462" s="20"/>
      <c r="W462" s="19"/>
      <c r="X462" s="19"/>
      <c r="Y462" s="19"/>
      <c r="Z462" s="23"/>
    </row>
    <row r="463" spans="1:26" ht="15.75" customHeight="1" x14ac:dyDescent="0.2">
      <c r="A463" s="34"/>
      <c r="B463" s="34"/>
      <c r="C463" s="34"/>
      <c r="D463" s="34"/>
      <c r="E463" s="19"/>
      <c r="F463" s="19"/>
      <c r="G463" s="19"/>
      <c r="H463" s="19"/>
      <c r="I463" s="19"/>
      <c r="J463" s="19"/>
      <c r="K463" s="19"/>
      <c r="L463" s="19"/>
      <c r="M463" s="19"/>
      <c r="N463" s="19"/>
      <c r="O463" s="19"/>
      <c r="P463" s="20"/>
      <c r="Q463" s="20"/>
      <c r="R463" s="22"/>
      <c r="S463" s="22"/>
      <c r="T463" s="20"/>
      <c r="U463" s="20"/>
      <c r="V463" s="20"/>
      <c r="W463" s="19"/>
      <c r="X463" s="19"/>
      <c r="Y463" s="19"/>
      <c r="Z463" s="23"/>
    </row>
    <row r="464" spans="1:26" ht="15.75" customHeight="1" x14ac:dyDescent="0.2">
      <c r="A464" s="34"/>
      <c r="B464" s="34"/>
      <c r="C464" s="34"/>
      <c r="D464" s="34"/>
      <c r="E464" s="19"/>
      <c r="F464" s="19"/>
      <c r="G464" s="19"/>
      <c r="H464" s="19"/>
      <c r="I464" s="19"/>
      <c r="J464" s="19"/>
      <c r="K464" s="19"/>
      <c r="L464" s="19"/>
      <c r="M464" s="19"/>
      <c r="N464" s="19"/>
      <c r="O464" s="19"/>
      <c r="P464" s="20"/>
      <c r="Q464" s="20"/>
      <c r="R464" s="22"/>
      <c r="S464" s="22"/>
      <c r="T464" s="20"/>
      <c r="U464" s="20"/>
      <c r="V464" s="20"/>
      <c r="W464" s="19"/>
      <c r="X464" s="19"/>
      <c r="Y464" s="19"/>
      <c r="Z464" s="23"/>
    </row>
    <row r="465" spans="1:26" ht="15.75" customHeight="1" x14ac:dyDescent="0.2">
      <c r="A465" s="34"/>
      <c r="B465" s="34"/>
      <c r="C465" s="34"/>
      <c r="D465" s="34"/>
      <c r="E465" s="19"/>
      <c r="F465" s="19"/>
      <c r="G465" s="19"/>
      <c r="H465" s="19"/>
      <c r="I465" s="19"/>
      <c r="J465" s="19"/>
      <c r="K465" s="19"/>
      <c r="L465" s="19"/>
      <c r="M465" s="19"/>
      <c r="N465" s="19"/>
      <c r="O465" s="19"/>
      <c r="P465" s="20"/>
      <c r="Q465" s="20"/>
      <c r="R465" s="22"/>
      <c r="S465" s="22"/>
      <c r="T465" s="20"/>
      <c r="U465" s="20"/>
      <c r="V465" s="20"/>
      <c r="W465" s="19"/>
      <c r="X465" s="19"/>
      <c r="Y465" s="19"/>
      <c r="Z465" s="23"/>
    </row>
    <row r="466" spans="1:26" ht="15.75" customHeight="1" x14ac:dyDescent="0.2">
      <c r="A466" s="34"/>
      <c r="B466" s="34"/>
      <c r="C466" s="34"/>
      <c r="D466" s="34"/>
      <c r="E466" s="19"/>
      <c r="F466" s="19"/>
      <c r="G466" s="19"/>
      <c r="H466" s="19"/>
      <c r="I466" s="19"/>
      <c r="J466" s="19"/>
      <c r="K466" s="19"/>
      <c r="L466" s="19"/>
      <c r="M466" s="19"/>
      <c r="N466" s="19"/>
      <c r="O466" s="19"/>
      <c r="P466" s="20"/>
      <c r="Q466" s="20"/>
      <c r="R466" s="22"/>
      <c r="S466" s="22"/>
      <c r="T466" s="20"/>
      <c r="U466" s="20"/>
      <c r="V466" s="20"/>
      <c r="W466" s="19"/>
      <c r="X466" s="19"/>
      <c r="Y466" s="19"/>
      <c r="Z466" s="23"/>
    </row>
    <row r="467" spans="1:26" ht="15.75" customHeight="1" x14ac:dyDescent="0.2">
      <c r="A467" s="34"/>
      <c r="B467" s="34"/>
      <c r="C467" s="34"/>
      <c r="D467" s="34"/>
      <c r="E467" s="19"/>
      <c r="F467" s="19"/>
      <c r="G467" s="19"/>
      <c r="H467" s="19"/>
      <c r="I467" s="19"/>
      <c r="J467" s="19"/>
      <c r="K467" s="19"/>
      <c r="L467" s="19"/>
      <c r="M467" s="19"/>
      <c r="N467" s="19"/>
      <c r="O467" s="19"/>
      <c r="P467" s="20"/>
      <c r="Q467" s="20"/>
      <c r="R467" s="22"/>
      <c r="S467" s="22"/>
      <c r="T467" s="20"/>
      <c r="U467" s="20"/>
      <c r="V467" s="20"/>
      <c r="W467" s="19"/>
      <c r="X467" s="19"/>
      <c r="Y467" s="19"/>
      <c r="Z467" s="23"/>
    </row>
    <row r="468" spans="1:26" ht="15.75" customHeight="1" x14ac:dyDescent="0.2">
      <c r="A468" s="34"/>
      <c r="B468" s="34"/>
      <c r="C468" s="34"/>
      <c r="D468" s="34"/>
      <c r="E468" s="19"/>
      <c r="F468" s="19"/>
      <c r="G468" s="19"/>
      <c r="H468" s="19"/>
      <c r="I468" s="19"/>
      <c r="J468" s="19"/>
      <c r="K468" s="19"/>
      <c r="L468" s="19"/>
      <c r="M468" s="19"/>
      <c r="N468" s="19"/>
      <c r="O468" s="19"/>
      <c r="P468" s="20"/>
      <c r="Q468" s="20"/>
      <c r="R468" s="22"/>
      <c r="S468" s="22"/>
      <c r="T468" s="20"/>
      <c r="U468" s="20"/>
      <c r="V468" s="20"/>
      <c r="W468" s="19"/>
      <c r="X468" s="19"/>
      <c r="Y468" s="19"/>
      <c r="Z468" s="23"/>
    </row>
    <row r="469" spans="1:26" ht="15.75" customHeight="1" x14ac:dyDescent="0.2">
      <c r="A469" s="34"/>
      <c r="B469" s="34"/>
      <c r="C469" s="34"/>
      <c r="D469" s="34"/>
      <c r="E469" s="19"/>
      <c r="F469" s="19"/>
      <c r="G469" s="19"/>
      <c r="H469" s="19"/>
      <c r="I469" s="19"/>
      <c r="J469" s="19"/>
      <c r="K469" s="19"/>
      <c r="L469" s="19"/>
      <c r="M469" s="19"/>
      <c r="N469" s="19"/>
      <c r="O469" s="19"/>
      <c r="P469" s="20"/>
      <c r="Q469" s="20"/>
      <c r="R469" s="22"/>
      <c r="S469" s="22"/>
      <c r="T469" s="20"/>
      <c r="U469" s="20"/>
      <c r="V469" s="20"/>
      <c r="W469" s="19"/>
      <c r="X469" s="19"/>
      <c r="Y469" s="19"/>
      <c r="Z469" s="23"/>
    </row>
    <row r="470" spans="1:26" ht="15.75" customHeight="1" x14ac:dyDescent="0.2">
      <c r="A470" s="34"/>
      <c r="B470" s="34"/>
      <c r="C470" s="34"/>
      <c r="D470" s="34"/>
      <c r="E470" s="19"/>
      <c r="F470" s="19"/>
      <c r="G470" s="19"/>
      <c r="H470" s="19"/>
      <c r="I470" s="19"/>
      <c r="J470" s="19"/>
      <c r="K470" s="19"/>
      <c r="L470" s="19"/>
      <c r="M470" s="19"/>
      <c r="N470" s="19"/>
      <c r="O470" s="19"/>
      <c r="P470" s="20"/>
      <c r="Q470" s="20"/>
      <c r="R470" s="22"/>
      <c r="S470" s="22"/>
      <c r="T470" s="20"/>
      <c r="U470" s="20"/>
      <c r="V470" s="20"/>
      <c r="W470" s="19"/>
      <c r="X470" s="19"/>
      <c r="Y470" s="19"/>
      <c r="Z470" s="23"/>
    </row>
    <row r="471" spans="1:26" ht="15.75" customHeight="1" x14ac:dyDescent="0.2">
      <c r="A471" s="34"/>
      <c r="B471" s="34"/>
      <c r="C471" s="34"/>
      <c r="D471" s="34"/>
      <c r="E471" s="19"/>
      <c r="F471" s="19"/>
      <c r="G471" s="19"/>
      <c r="H471" s="19"/>
      <c r="I471" s="19"/>
      <c r="J471" s="19"/>
      <c r="K471" s="19"/>
      <c r="L471" s="19"/>
      <c r="M471" s="19"/>
      <c r="N471" s="19"/>
      <c r="O471" s="19"/>
      <c r="P471" s="20"/>
      <c r="Q471" s="20"/>
      <c r="R471" s="22"/>
      <c r="S471" s="22"/>
      <c r="T471" s="20"/>
      <c r="U471" s="20"/>
      <c r="V471" s="20"/>
      <c r="W471" s="19"/>
      <c r="X471" s="19"/>
      <c r="Y471" s="19"/>
      <c r="Z471" s="23"/>
    </row>
    <row r="472" spans="1:26" ht="15.75" customHeight="1" x14ac:dyDescent="0.2">
      <c r="A472" s="34"/>
      <c r="B472" s="34"/>
      <c r="C472" s="34"/>
      <c r="D472" s="34"/>
      <c r="E472" s="19"/>
      <c r="F472" s="19"/>
      <c r="G472" s="19"/>
      <c r="H472" s="19"/>
      <c r="I472" s="19"/>
      <c r="J472" s="19"/>
      <c r="K472" s="19"/>
      <c r="L472" s="19"/>
      <c r="M472" s="19"/>
      <c r="N472" s="19"/>
      <c r="O472" s="19"/>
      <c r="P472" s="20"/>
      <c r="Q472" s="20"/>
      <c r="R472" s="22"/>
      <c r="S472" s="22"/>
      <c r="T472" s="20"/>
      <c r="U472" s="20"/>
      <c r="V472" s="20"/>
      <c r="W472" s="19"/>
      <c r="X472" s="19"/>
      <c r="Y472" s="19"/>
      <c r="Z472" s="23"/>
    </row>
    <row r="473" spans="1:26" ht="15.75" customHeight="1" x14ac:dyDescent="0.2">
      <c r="A473" s="34"/>
      <c r="B473" s="34"/>
      <c r="C473" s="34"/>
      <c r="D473" s="34"/>
      <c r="E473" s="19"/>
      <c r="F473" s="19"/>
      <c r="G473" s="19"/>
      <c r="H473" s="19"/>
      <c r="I473" s="19"/>
      <c r="J473" s="19"/>
      <c r="K473" s="19"/>
      <c r="L473" s="19"/>
      <c r="M473" s="19"/>
      <c r="N473" s="19"/>
      <c r="O473" s="19"/>
      <c r="P473" s="20"/>
      <c r="Q473" s="20"/>
      <c r="R473" s="22"/>
      <c r="S473" s="22"/>
      <c r="T473" s="20"/>
      <c r="U473" s="20"/>
      <c r="V473" s="20"/>
      <c r="W473" s="19"/>
      <c r="X473" s="19"/>
      <c r="Y473" s="19"/>
      <c r="Z473" s="23"/>
    </row>
    <row r="474" spans="1:26" ht="15.75" customHeight="1" x14ac:dyDescent="0.2">
      <c r="A474" s="34"/>
      <c r="B474" s="34"/>
      <c r="C474" s="34"/>
      <c r="D474" s="34"/>
      <c r="E474" s="19"/>
      <c r="F474" s="19"/>
      <c r="G474" s="19"/>
      <c r="H474" s="19"/>
      <c r="I474" s="19"/>
      <c r="J474" s="19"/>
      <c r="K474" s="19"/>
      <c r="L474" s="19"/>
      <c r="M474" s="19"/>
      <c r="N474" s="19"/>
      <c r="O474" s="19"/>
      <c r="P474" s="20"/>
      <c r="Q474" s="20"/>
      <c r="R474" s="22"/>
      <c r="S474" s="22"/>
      <c r="T474" s="20"/>
      <c r="U474" s="20"/>
      <c r="V474" s="20"/>
      <c r="W474" s="19"/>
      <c r="X474" s="19"/>
      <c r="Y474" s="19"/>
      <c r="Z474" s="23"/>
    </row>
    <row r="475" spans="1:26" ht="15.75" customHeight="1" x14ac:dyDescent="0.2">
      <c r="A475" s="34"/>
      <c r="B475" s="34"/>
      <c r="C475" s="34"/>
      <c r="D475" s="34"/>
      <c r="E475" s="19"/>
      <c r="F475" s="19"/>
      <c r="G475" s="19"/>
      <c r="H475" s="19"/>
      <c r="I475" s="19"/>
      <c r="J475" s="19"/>
      <c r="K475" s="19"/>
      <c r="L475" s="19"/>
      <c r="M475" s="19"/>
      <c r="N475" s="19"/>
      <c r="O475" s="19"/>
      <c r="P475" s="20"/>
      <c r="Q475" s="20"/>
      <c r="R475" s="22"/>
      <c r="S475" s="22"/>
      <c r="T475" s="20"/>
      <c r="U475" s="20"/>
      <c r="V475" s="20"/>
      <c r="W475" s="19"/>
      <c r="X475" s="19"/>
      <c r="Y475" s="19"/>
      <c r="Z475" s="23"/>
    </row>
    <row r="476" spans="1:26" ht="15.75" customHeight="1" x14ac:dyDescent="0.2">
      <c r="A476" s="34"/>
      <c r="B476" s="34"/>
      <c r="C476" s="34"/>
      <c r="D476" s="34"/>
      <c r="E476" s="19"/>
      <c r="F476" s="19"/>
      <c r="G476" s="19"/>
      <c r="H476" s="19"/>
      <c r="I476" s="19"/>
      <c r="J476" s="19"/>
      <c r="K476" s="19"/>
      <c r="L476" s="19"/>
      <c r="M476" s="19"/>
      <c r="N476" s="19"/>
      <c r="O476" s="19"/>
      <c r="P476" s="20"/>
      <c r="Q476" s="20"/>
      <c r="R476" s="22"/>
      <c r="S476" s="22"/>
      <c r="T476" s="20"/>
      <c r="U476" s="20"/>
      <c r="V476" s="20"/>
      <c r="W476" s="19"/>
      <c r="X476" s="19"/>
      <c r="Y476" s="19"/>
      <c r="Z476" s="23"/>
    </row>
    <row r="477" spans="1:26" ht="15.75" customHeight="1" x14ac:dyDescent="0.2">
      <c r="A477" s="34"/>
      <c r="B477" s="34"/>
      <c r="C477" s="34"/>
      <c r="D477" s="34"/>
      <c r="E477" s="19"/>
      <c r="F477" s="19"/>
      <c r="G477" s="19"/>
      <c r="H477" s="19"/>
      <c r="I477" s="19"/>
      <c r="J477" s="19"/>
      <c r="K477" s="19"/>
      <c r="L477" s="19"/>
      <c r="M477" s="19"/>
      <c r="N477" s="19"/>
      <c r="O477" s="19"/>
      <c r="P477" s="20"/>
      <c r="Q477" s="20"/>
      <c r="R477" s="22"/>
      <c r="S477" s="22"/>
      <c r="T477" s="20"/>
      <c r="U477" s="20"/>
      <c r="V477" s="20"/>
      <c r="W477" s="19"/>
      <c r="X477" s="19"/>
      <c r="Y477" s="19"/>
      <c r="Z477" s="23"/>
    </row>
    <row r="478" spans="1:26" ht="15.75" customHeight="1" x14ac:dyDescent="0.2">
      <c r="A478" s="34"/>
      <c r="B478" s="34"/>
      <c r="C478" s="34"/>
      <c r="D478" s="34"/>
      <c r="E478" s="19"/>
      <c r="F478" s="19"/>
      <c r="G478" s="19"/>
      <c r="H478" s="19"/>
      <c r="I478" s="19"/>
      <c r="J478" s="19"/>
      <c r="K478" s="19"/>
      <c r="L478" s="19"/>
      <c r="M478" s="19"/>
      <c r="N478" s="19"/>
      <c r="O478" s="19"/>
      <c r="P478" s="20"/>
      <c r="Q478" s="20"/>
      <c r="R478" s="22"/>
      <c r="S478" s="22"/>
      <c r="T478" s="20"/>
      <c r="U478" s="20"/>
      <c r="V478" s="20"/>
      <c r="W478" s="19"/>
      <c r="X478" s="19"/>
      <c r="Y478" s="19"/>
      <c r="Z478" s="23"/>
    </row>
    <row r="479" spans="1:26" ht="15.75" customHeight="1" x14ac:dyDescent="0.2">
      <c r="A479" s="34"/>
      <c r="B479" s="34"/>
      <c r="C479" s="34"/>
      <c r="D479" s="34"/>
      <c r="E479" s="19"/>
      <c r="F479" s="19"/>
      <c r="G479" s="19"/>
      <c r="H479" s="19"/>
      <c r="I479" s="19"/>
      <c r="J479" s="19"/>
      <c r="K479" s="19"/>
      <c r="L479" s="19"/>
      <c r="M479" s="19"/>
      <c r="N479" s="19"/>
      <c r="O479" s="19"/>
      <c r="P479" s="20"/>
      <c r="Q479" s="20"/>
      <c r="R479" s="22"/>
      <c r="S479" s="22"/>
      <c r="T479" s="20"/>
      <c r="U479" s="20"/>
      <c r="V479" s="20"/>
      <c r="W479" s="19"/>
      <c r="X479" s="19"/>
      <c r="Y479" s="19"/>
      <c r="Z479" s="23"/>
    </row>
    <row r="480" spans="1:26" ht="15.75" customHeight="1" x14ac:dyDescent="0.2">
      <c r="A480" s="34"/>
      <c r="B480" s="34"/>
      <c r="C480" s="34"/>
      <c r="D480" s="34"/>
      <c r="E480" s="19"/>
      <c r="F480" s="19"/>
      <c r="G480" s="19"/>
      <c r="H480" s="19"/>
      <c r="I480" s="19"/>
      <c r="J480" s="19"/>
      <c r="K480" s="19"/>
      <c r="L480" s="19"/>
      <c r="M480" s="19"/>
      <c r="N480" s="19"/>
      <c r="O480" s="19"/>
      <c r="P480" s="20"/>
      <c r="Q480" s="20"/>
      <c r="R480" s="22"/>
      <c r="S480" s="22"/>
      <c r="T480" s="20"/>
      <c r="U480" s="20"/>
      <c r="V480" s="20"/>
      <c r="W480" s="19"/>
      <c r="X480" s="19"/>
      <c r="Y480" s="19"/>
      <c r="Z480" s="23"/>
    </row>
    <row r="481" spans="1:26" ht="15.75" customHeight="1" x14ac:dyDescent="0.2">
      <c r="A481" s="34"/>
      <c r="B481" s="34"/>
      <c r="C481" s="34"/>
      <c r="D481" s="34"/>
      <c r="E481" s="19"/>
      <c r="F481" s="19"/>
      <c r="G481" s="19"/>
      <c r="H481" s="19"/>
      <c r="I481" s="19"/>
      <c r="J481" s="19"/>
      <c r="K481" s="19"/>
      <c r="L481" s="19"/>
      <c r="M481" s="19"/>
      <c r="N481" s="19"/>
      <c r="O481" s="19"/>
      <c r="P481" s="20"/>
      <c r="Q481" s="20"/>
      <c r="R481" s="22"/>
      <c r="S481" s="22"/>
      <c r="T481" s="20"/>
      <c r="U481" s="20"/>
      <c r="V481" s="20"/>
      <c r="W481" s="19"/>
      <c r="X481" s="19"/>
      <c r="Y481" s="19"/>
      <c r="Z481" s="23"/>
    </row>
    <row r="482" spans="1:26" ht="15.75" customHeight="1" x14ac:dyDescent="0.2">
      <c r="A482" s="34"/>
      <c r="B482" s="34"/>
      <c r="C482" s="34"/>
      <c r="D482" s="34"/>
      <c r="E482" s="19"/>
      <c r="F482" s="19"/>
      <c r="G482" s="19"/>
      <c r="H482" s="19"/>
      <c r="I482" s="19"/>
      <c r="J482" s="19"/>
      <c r="K482" s="19"/>
      <c r="L482" s="19"/>
      <c r="M482" s="19"/>
      <c r="N482" s="19"/>
      <c r="O482" s="19"/>
      <c r="P482" s="20"/>
      <c r="Q482" s="20"/>
      <c r="R482" s="22"/>
      <c r="S482" s="22"/>
      <c r="T482" s="20"/>
      <c r="U482" s="20"/>
      <c r="V482" s="20"/>
      <c r="W482" s="19"/>
      <c r="X482" s="19"/>
      <c r="Y482" s="19"/>
      <c r="Z482" s="23"/>
    </row>
    <row r="483" spans="1:26" ht="15.75" customHeight="1" x14ac:dyDescent="0.2">
      <c r="A483" s="34"/>
      <c r="B483" s="34"/>
      <c r="C483" s="34"/>
      <c r="D483" s="34"/>
      <c r="E483" s="19"/>
      <c r="F483" s="19"/>
      <c r="G483" s="19"/>
      <c r="H483" s="19"/>
      <c r="I483" s="19"/>
      <c r="J483" s="19"/>
      <c r="K483" s="19"/>
      <c r="L483" s="19"/>
      <c r="M483" s="19"/>
      <c r="N483" s="19"/>
      <c r="O483" s="19"/>
      <c r="P483" s="20"/>
      <c r="Q483" s="20"/>
      <c r="R483" s="22"/>
      <c r="S483" s="22"/>
      <c r="T483" s="20"/>
      <c r="U483" s="20"/>
      <c r="V483" s="20"/>
      <c r="W483" s="19"/>
      <c r="X483" s="19"/>
      <c r="Y483" s="19"/>
      <c r="Z483" s="23"/>
    </row>
    <row r="484" spans="1:26" ht="15.75" customHeight="1" x14ac:dyDescent="0.2">
      <c r="A484" s="34"/>
      <c r="B484" s="34"/>
      <c r="C484" s="34"/>
      <c r="D484" s="34"/>
      <c r="E484" s="19"/>
      <c r="F484" s="19"/>
      <c r="G484" s="19"/>
      <c r="H484" s="19"/>
      <c r="I484" s="19"/>
      <c r="J484" s="19"/>
      <c r="K484" s="19"/>
      <c r="L484" s="19"/>
      <c r="M484" s="19"/>
      <c r="N484" s="19"/>
      <c r="O484" s="19"/>
      <c r="P484" s="20"/>
      <c r="Q484" s="20"/>
      <c r="R484" s="22"/>
      <c r="S484" s="22"/>
      <c r="T484" s="20"/>
      <c r="U484" s="20"/>
      <c r="V484" s="20"/>
      <c r="W484" s="19"/>
      <c r="X484" s="19"/>
      <c r="Y484" s="19"/>
      <c r="Z484" s="23"/>
    </row>
    <row r="485" spans="1:26" ht="15.75" customHeight="1" x14ac:dyDescent="0.2">
      <c r="A485" s="34"/>
      <c r="B485" s="34"/>
      <c r="C485" s="34"/>
      <c r="D485" s="34"/>
      <c r="E485" s="19"/>
      <c r="F485" s="19"/>
      <c r="G485" s="19"/>
      <c r="H485" s="19"/>
      <c r="I485" s="19"/>
      <c r="J485" s="19"/>
      <c r="K485" s="19"/>
      <c r="L485" s="19"/>
      <c r="M485" s="19"/>
      <c r="N485" s="19"/>
      <c r="O485" s="19"/>
      <c r="P485" s="20"/>
      <c r="Q485" s="20"/>
      <c r="R485" s="22"/>
      <c r="S485" s="22"/>
      <c r="T485" s="20"/>
      <c r="U485" s="20"/>
      <c r="V485" s="20"/>
      <c r="W485" s="19"/>
      <c r="X485" s="19"/>
      <c r="Y485" s="19"/>
      <c r="Z485" s="23"/>
    </row>
    <row r="486" spans="1:26" ht="15.75" customHeight="1" x14ac:dyDescent="0.2">
      <c r="A486" s="34"/>
      <c r="B486" s="34"/>
      <c r="C486" s="34"/>
      <c r="D486" s="34"/>
      <c r="E486" s="19"/>
      <c r="F486" s="19"/>
      <c r="G486" s="19"/>
      <c r="H486" s="19"/>
      <c r="I486" s="19"/>
      <c r="J486" s="19"/>
      <c r="K486" s="19"/>
      <c r="L486" s="19"/>
      <c r="M486" s="19"/>
      <c r="N486" s="19"/>
      <c r="O486" s="19"/>
      <c r="P486" s="20"/>
      <c r="Q486" s="20"/>
      <c r="R486" s="22"/>
      <c r="S486" s="22"/>
      <c r="T486" s="20"/>
      <c r="U486" s="20"/>
      <c r="V486" s="20"/>
      <c r="W486" s="19"/>
      <c r="X486" s="19"/>
      <c r="Y486" s="19"/>
      <c r="Z486" s="23"/>
    </row>
    <row r="487" spans="1:26" ht="15.75" customHeight="1" x14ac:dyDescent="0.2">
      <c r="A487" s="34"/>
      <c r="B487" s="34"/>
      <c r="C487" s="34"/>
      <c r="D487" s="34"/>
      <c r="E487" s="19"/>
      <c r="F487" s="19"/>
      <c r="G487" s="19"/>
      <c r="H487" s="19"/>
      <c r="I487" s="19"/>
      <c r="J487" s="19"/>
      <c r="K487" s="19"/>
      <c r="L487" s="19"/>
      <c r="M487" s="19"/>
      <c r="N487" s="19"/>
      <c r="O487" s="19"/>
      <c r="P487" s="20"/>
      <c r="Q487" s="20"/>
      <c r="R487" s="22"/>
      <c r="S487" s="22"/>
      <c r="T487" s="20"/>
      <c r="U487" s="20"/>
      <c r="V487" s="20"/>
      <c r="W487" s="19"/>
      <c r="X487" s="19"/>
      <c r="Y487" s="19"/>
      <c r="Z487" s="23"/>
    </row>
    <row r="488" spans="1:26" ht="15.75" customHeight="1" x14ac:dyDescent="0.2">
      <c r="A488" s="34"/>
      <c r="B488" s="34"/>
      <c r="C488" s="34"/>
      <c r="D488" s="34"/>
      <c r="E488" s="19"/>
      <c r="F488" s="19"/>
      <c r="G488" s="19"/>
      <c r="H488" s="19"/>
      <c r="I488" s="19"/>
      <c r="J488" s="19"/>
      <c r="K488" s="19"/>
      <c r="L488" s="19"/>
      <c r="M488" s="19"/>
      <c r="N488" s="19"/>
      <c r="O488" s="19"/>
      <c r="P488" s="20"/>
      <c r="Q488" s="20"/>
      <c r="R488" s="22"/>
      <c r="S488" s="22"/>
      <c r="T488" s="20"/>
      <c r="U488" s="20"/>
      <c r="V488" s="20"/>
      <c r="W488" s="19"/>
      <c r="X488" s="19"/>
      <c r="Y488" s="19"/>
      <c r="Z488" s="23"/>
    </row>
    <row r="489" spans="1:26" ht="15.75" customHeight="1" x14ac:dyDescent="0.2">
      <c r="A489" s="34"/>
      <c r="B489" s="34"/>
      <c r="C489" s="34"/>
      <c r="D489" s="34"/>
      <c r="E489" s="19"/>
      <c r="F489" s="19"/>
      <c r="G489" s="19"/>
      <c r="H489" s="19"/>
      <c r="I489" s="19"/>
      <c r="J489" s="19"/>
      <c r="K489" s="19"/>
      <c r="L489" s="19"/>
      <c r="M489" s="19"/>
      <c r="N489" s="19"/>
      <c r="O489" s="19"/>
      <c r="P489" s="20"/>
      <c r="Q489" s="20"/>
      <c r="R489" s="22"/>
      <c r="S489" s="22"/>
      <c r="T489" s="20"/>
      <c r="U489" s="20"/>
      <c r="V489" s="20"/>
      <c r="W489" s="19"/>
      <c r="X489" s="19"/>
      <c r="Y489" s="19"/>
      <c r="Z489" s="23"/>
    </row>
    <row r="490" spans="1:26" ht="15.75" customHeight="1" x14ac:dyDescent="0.2">
      <c r="A490" s="34"/>
      <c r="B490" s="34"/>
      <c r="C490" s="34"/>
      <c r="D490" s="34"/>
      <c r="E490" s="19"/>
      <c r="F490" s="19"/>
      <c r="G490" s="19"/>
      <c r="H490" s="19"/>
      <c r="I490" s="19"/>
      <c r="J490" s="19"/>
      <c r="K490" s="19"/>
      <c r="L490" s="19"/>
      <c r="M490" s="19"/>
      <c r="N490" s="19"/>
      <c r="O490" s="19"/>
      <c r="P490" s="20"/>
      <c r="Q490" s="20"/>
      <c r="R490" s="22"/>
      <c r="S490" s="22"/>
      <c r="T490" s="20"/>
      <c r="U490" s="20"/>
      <c r="V490" s="20"/>
      <c r="W490" s="19"/>
      <c r="X490" s="19"/>
      <c r="Y490" s="19"/>
      <c r="Z490" s="23"/>
    </row>
    <row r="491" spans="1:26" ht="15.75" customHeight="1" x14ac:dyDescent="0.2">
      <c r="A491" s="34"/>
      <c r="B491" s="34"/>
      <c r="C491" s="34"/>
      <c r="D491" s="34"/>
      <c r="E491" s="19"/>
      <c r="F491" s="19"/>
      <c r="G491" s="19"/>
      <c r="H491" s="19"/>
      <c r="I491" s="19"/>
      <c r="J491" s="19"/>
      <c r="K491" s="19"/>
      <c r="L491" s="19"/>
      <c r="M491" s="19"/>
      <c r="N491" s="19"/>
      <c r="O491" s="19"/>
      <c r="P491" s="20"/>
      <c r="Q491" s="20"/>
      <c r="R491" s="22"/>
      <c r="S491" s="22"/>
      <c r="T491" s="20"/>
      <c r="U491" s="20"/>
      <c r="V491" s="20"/>
      <c r="W491" s="19"/>
      <c r="X491" s="19"/>
      <c r="Y491" s="19"/>
      <c r="Z491" s="23"/>
    </row>
    <row r="492" spans="1:26" ht="15.75" customHeight="1" x14ac:dyDescent="0.2">
      <c r="A492" s="34"/>
      <c r="B492" s="34"/>
      <c r="C492" s="34"/>
      <c r="D492" s="34"/>
      <c r="E492" s="19"/>
      <c r="F492" s="19"/>
      <c r="G492" s="19"/>
      <c r="H492" s="19"/>
      <c r="I492" s="19"/>
      <c r="J492" s="19"/>
      <c r="K492" s="19"/>
      <c r="L492" s="19"/>
      <c r="M492" s="19"/>
      <c r="N492" s="19"/>
      <c r="O492" s="19"/>
      <c r="P492" s="20"/>
      <c r="Q492" s="20"/>
      <c r="R492" s="22"/>
      <c r="S492" s="22"/>
      <c r="T492" s="20"/>
      <c r="U492" s="20"/>
      <c r="V492" s="20"/>
      <c r="W492" s="19"/>
      <c r="X492" s="19"/>
      <c r="Y492" s="19"/>
      <c r="Z492" s="23"/>
    </row>
    <row r="493" spans="1:26" ht="15.75" customHeight="1" x14ac:dyDescent="0.2">
      <c r="A493" s="34"/>
      <c r="B493" s="34"/>
      <c r="C493" s="34"/>
      <c r="D493" s="34"/>
      <c r="E493" s="19"/>
      <c r="F493" s="19"/>
      <c r="G493" s="19"/>
      <c r="H493" s="19"/>
      <c r="I493" s="19"/>
      <c r="J493" s="19"/>
      <c r="K493" s="19"/>
      <c r="L493" s="19"/>
      <c r="M493" s="19"/>
      <c r="N493" s="19"/>
      <c r="O493" s="19"/>
      <c r="P493" s="20"/>
      <c r="Q493" s="20"/>
      <c r="R493" s="22"/>
      <c r="S493" s="22"/>
      <c r="T493" s="20"/>
      <c r="U493" s="20"/>
      <c r="V493" s="20"/>
      <c r="W493" s="19"/>
      <c r="X493" s="19"/>
      <c r="Y493" s="19"/>
      <c r="Z493" s="23"/>
    </row>
    <row r="494" spans="1:26" ht="15.75" customHeight="1" x14ac:dyDescent="0.2">
      <c r="A494" s="34"/>
      <c r="B494" s="34"/>
      <c r="C494" s="34"/>
      <c r="D494" s="34"/>
      <c r="E494" s="19"/>
      <c r="F494" s="19"/>
      <c r="G494" s="19"/>
      <c r="H494" s="19"/>
      <c r="I494" s="19"/>
      <c r="J494" s="19"/>
      <c r="K494" s="19"/>
      <c r="L494" s="19"/>
      <c r="M494" s="19"/>
      <c r="N494" s="19"/>
      <c r="O494" s="19"/>
      <c r="P494" s="20"/>
      <c r="Q494" s="20"/>
      <c r="R494" s="22"/>
      <c r="S494" s="22"/>
      <c r="T494" s="20"/>
      <c r="U494" s="20"/>
      <c r="V494" s="20"/>
      <c r="W494" s="19"/>
      <c r="X494" s="19"/>
      <c r="Y494" s="19"/>
      <c r="Z494" s="23"/>
    </row>
    <row r="495" spans="1:26" ht="15.75" customHeight="1" x14ac:dyDescent="0.2">
      <c r="A495" s="34"/>
      <c r="B495" s="34"/>
      <c r="C495" s="34"/>
      <c r="D495" s="34"/>
      <c r="E495" s="19"/>
      <c r="F495" s="19"/>
      <c r="G495" s="19"/>
      <c r="H495" s="19"/>
      <c r="I495" s="19"/>
      <c r="J495" s="19"/>
      <c r="K495" s="19"/>
      <c r="L495" s="19"/>
      <c r="M495" s="19"/>
      <c r="N495" s="19"/>
      <c r="O495" s="19"/>
      <c r="P495" s="20"/>
      <c r="Q495" s="20"/>
      <c r="R495" s="22"/>
      <c r="S495" s="22"/>
      <c r="T495" s="20"/>
      <c r="U495" s="20"/>
      <c r="V495" s="20"/>
      <c r="W495" s="19"/>
      <c r="X495" s="19"/>
      <c r="Y495" s="19"/>
      <c r="Z495" s="23"/>
    </row>
    <row r="496" spans="1:26" ht="15.75" customHeight="1" x14ac:dyDescent="0.2">
      <c r="A496" s="34"/>
      <c r="B496" s="34"/>
      <c r="C496" s="34"/>
      <c r="D496" s="34"/>
      <c r="E496" s="19"/>
      <c r="F496" s="19"/>
      <c r="G496" s="19"/>
      <c r="H496" s="19"/>
      <c r="I496" s="19"/>
      <c r="J496" s="19"/>
      <c r="K496" s="19"/>
      <c r="L496" s="19"/>
      <c r="M496" s="19"/>
      <c r="N496" s="19"/>
      <c r="O496" s="19"/>
      <c r="P496" s="20"/>
      <c r="Q496" s="20"/>
      <c r="R496" s="22"/>
      <c r="S496" s="22"/>
      <c r="T496" s="20"/>
      <c r="U496" s="20"/>
      <c r="V496" s="20"/>
      <c r="W496" s="19"/>
      <c r="X496" s="19"/>
      <c r="Y496" s="19"/>
      <c r="Z496" s="23"/>
    </row>
    <row r="497" spans="1:26" ht="15.75" customHeight="1" x14ac:dyDescent="0.2">
      <c r="A497" s="34"/>
      <c r="B497" s="34"/>
      <c r="C497" s="34"/>
      <c r="D497" s="34"/>
      <c r="E497" s="19"/>
      <c r="F497" s="19"/>
      <c r="G497" s="19"/>
      <c r="H497" s="19"/>
      <c r="I497" s="19"/>
      <c r="J497" s="19"/>
      <c r="K497" s="19"/>
      <c r="L497" s="19"/>
      <c r="M497" s="19"/>
      <c r="N497" s="19"/>
      <c r="O497" s="19"/>
      <c r="P497" s="20"/>
      <c r="Q497" s="20"/>
      <c r="R497" s="22"/>
      <c r="S497" s="22"/>
      <c r="T497" s="20"/>
      <c r="U497" s="20"/>
      <c r="V497" s="20"/>
      <c r="W497" s="19"/>
      <c r="X497" s="19"/>
      <c r="Y497" s="19"/>
      <c r="Z497" s="23"/>
    </row>
    <row r="498" spans="1:26" ht="15.75" customHeight="1" x14ac:dyDescent="0.2">
      <c r="A498" s="34"/>
      <c r="B498" s="34"/>
      <c r="C498" s="34"/>
      <c r="D498" s="34"/>
      <c r="E498" s="19"/>
      <c r="F498" s="19"/>
      <c r="G498" s="19"/>
      <c r="H498" s="19"/>
      <c r="I498" s="19"/>
      <c r="J498" s="19"/>
      <c r="K498" s="19"/>
      <c r="L498" s="19"/>
      <c r="M498" s="19"/>
      <c r="N498" s="19"/>
      <c r="O498" s="19"/>
      <c r="P498" s="20"/>
      <c r="Q498" s="20"/>
      <c r="R498" s="22"/>
      <c r="S498" s="22"/>
      <c r="T498" s="20"/>
      <c r="U498" s="20"/>
      <c r="V498" s="20"/>
      <c r="W498" s="19"/>
      <c r="X498" s="19"/>
      <c r="Y498" s="19"/>
      <c r="Z498" s="23"/>
    </row>
    <row r="499" spans="1:26" ht="15.75" customHeight="1" x14ac:dyDescent="0.2">
      <c r="A499" s="34"/>
      <c r="B499" s="34"/>
      <c r="C499" s="34"/>
      <c r="D499" s="34"/>
      <c r="E499" s="19"/>
      <c r="F499" s="19"/>
      <c r="G499" s="19"/>
      <c r="H499" s="19"/>
      <c r="I499" s="19"/>
      <c r="J499" s="19"/>
      <c r="K499" s="19"/>
      <c r="L499" s="19"/>
      <c r="M499" s="19"/>
      <c r="N499" s="19"/>
      <c r="O499" s="19"/>
      <c r="P499" s="20"/>
      <c r="Q499" s="20"/>
      <c r="R499" s="22"/>
      <c r="S499" s="22"/>
      <c r="T499" s="20"/>
      <c r="U499" s="20"/>
      <c r="V499" s="20"/>
      <c r="W499" s="19"/>
      <c r="X499" s="19"/>
      <c r="Y499" s="19"/>
      <c r="Z499" s="23"/>
    </row>
    <row r="500" spans="1:26" ht="15.75" customHeight="1" x14ac:dyDescent="0.2">
      <c r="A500" s="34"/>
      <c r="B500" s="34"/>
      <c r="C500" s="34"/>
      <c r="D500" s="34"/>
      <c r="E500" s="19"/>
      <c r="F500" s="19"/>
      <c r="G500" s="19"/>
      <c r="H500" s="19"/>
      <c r="I500" s="19"/>
      <c r="J500" s="19"/>
      <c r="K500" s="19"/>
      <c r="L500" s="19"/>
      <c r="M500" s="19"/>
      <c r="N500" s="19"/>
      <c r="O500" s="19"/>
      <c r="P500" s="20"/>
      <c r="Q500" s="20"/>
      <c r="R500" s="22"/>
      <c r="S500" s="22"/>
      <c r="T500" s="20"/>
      <c r="U500" s="20"/>
      <c r="V500" s="20"/>
      <c r="W500" s="19"/>
      <c r="X500" s="19"/>
      <c r="Y500" s="19"/>
      <c r="Z500" s="23"/>
    </row>
    <row r="501" spans="1:26" ht="15.75" customHeight="1" x14ac:dyDescent="0.2">
      <c r="A501" s="34"/>
      <c r="B501" s="34"/>
      <c r="C501" s="34"/>
      <c r="D501" s="34"/>
      <c r="E501" s="19"/>
      <c r="F501" s="19"/>
      <c r="G501" s="19"/>
      <c r="H501" s="19"/>
      <c r="I501" s="19"/>
      <c r="J501" s="19"/>
      <c r="K501" s="19"/>
      <c r="L501" s="19"/>
      <c r="M501" s="19"/>
      <c r="N501" s="19"/>
      <c r="O501" s="19"/>
      <c r="P501" s="20"/>
      <c r="Q501" s="20"/>
      <c r="R501" s="22"/>
      <c r="S501" s="22"/>
      <c r="T501" s="20"/>
      <c r="U501" s="20"/>
      <c r="V501" s="20"/>
      <c r="W501" s="19"/>
      <c r="X501" s="19"/>
      <c r="Y501" s="19"/>
      <c r="Z501" s="23"/>
    </row>
    <row r="502" spans="1:26" ht="15.75" customHeight="1" x14ac:dyDescent="0.2">
      <c r="A502" s="34"/>
      <c r="B502" s="34"/>
      <c r="C502" s="34"/>
      <c r="D502" s="34"/>
      <c r="E502" s="19"/>
      <c r="F502" s="19"/>
      <c r="G502" s="19"/>
      <c r="H502" s="19"/>
      <c r="I502" s="19"/>
      <c r="J502" s="19"/>
      <c r="K502" s="19"/>
      <c r="L502" s="19"/>
      <c r="M502" s="19"/>
      <c r="N502" s="19"/>
      <c r="O502" s="19"/>
      <c r="P502" s="20"/>
      <c r="Q502" s="20"/>
      <c r="R502" s="22"/>
      <c r="S502" s="22"/>
      <c r="T502" s="20"/>
      <c r="U502" s="20"/>
      <c r="V502" s="20"/>
      <c r="W502" s="19"/>
      <c r="X502" s="19"/>
      <c r="Y502" s="19"/>
      <c r="Z502" s="23"/>
    </row>
    <row r="503" spans="1:26" ht="15.75" customHeight="1" x14ac:dyDescent="0.2">
      <c r="A503" s="34"/>
      <c r="B503" s="34"/>
      <c r="C503" s="34"/>
      <c r="D503" s="34"/>
      <c r="E503" s="19"/>
      <c r="F503" s="19"/>
      <c r="G503" s="19"/>
      <c r="H503" s="19"/>
      <c r="I503" s="19"/>
      <c r="J503" s="19"/>
      <c r="K503" s="19"/>
      <c r="L503" s="19"/>
      <c r="M503" s="19"/>
      <c r="N503" s="19"/>
      <c r="O503" s="19"/>
      <c r="P503" s="20"/>
      <c r="Q503" s="20"/>
      <c r="R503" s="22"/>
      <c r="S503" s="22"/>
      <c r="T503" s="20"/>
      <c r="U503" s="20"/>
      <c r="V503" s="20"/>
      <c r="W503" s="19"/>
      <c r="X503" s="19"/>
      <c r="Y503" s="19"/>
      <c r="Z503" s="23"/>
    </row>
    <row r="504" spans="1:26" ht="15.75" customHeight="1" x14ac:dyDescent="0.2">
      <c r="A504" s="34"/>
      <c r="B504" s="34"/>
      <c r="C504" s="34"/>
      <c r="D504" s="34"/>
      <c r="E504" s="19"/>
      <c r="F504" s="19"/>
      <c r="G504" s="19"/>
      <c r="H504" s="19"/>
      <c r="I504" s="19"/>
      <c r="J504" s="19"/>
      <c r="K504" s="19"/>
      <c r="L504" s="19"/>
      <c r="M504" s="19"/>
      <c r="N504" s="19"/>
      <c r="O504" s="19"/>
      <c r="P504" s="20"/>
      <c r="Q504" s="20"/>
      <c r="R504" s="22"/>
      <c r="S504" s="22"/>
      <c r="T504" s="20"/>
      <c r="U504" s="20"/>
      <c r="V504" s="20"/>
      <c r="W504" s="19"/>
      <c r="X504" s="19"/>
      <c r="Y504" s="19"/>
      <c r="Z504" s="23"/>
    </row>
    <row r="505" spans="1:26" ht="15.75" customHeight="1" x14ac:dyDescent="0.2">
      <c r="A505" s="34"/>
      <c r="B505" s="34"/>
      <c r="C505" s="34"/>
      <c r="D505" s="34"/>
      <c r="E505" s="19"/>
      <c r="F505" s="19"/>
      <c r="G505" s="19"/>
      <c r="H505" s="19"/>
      <c r="I505" s="19"/>
      <c r="J505" s="19"/>
      <c r="K505" s="19"/>
      <c r="L505" s="19"/>
      <c r="M505" s="19"/>
      <c r="N505" s="19"/>
      <c r="O505" s="19"/>
      <c r="P505" s="20"/>
      <c r="Q505" s="20"/>
      <c r="R505" s="22"/>
      <c r="S505" s="22"/>
      <c r="T505" s="20"/>
      <c r="U505" s="20"/>
      <c r="V505" s="20"/>
      <c r="W505" s="19"/>
      <c r="X505" s="19"/>
      <c r="Y505" s="19"/>
      <c r="Z505" s="23"/>
    </row>
    <row r="506" spans="1:26" ht="15.75" customHeight="1" x14ac:dyDescent="0.2">
      <c r="A506" s="34"/>
      <c r="B506" s="34"/>
      <c r="C506" s="34"/>
      <c r="D506" s="34"/>
      <c r="E506" s="19"/>
      <c r="F506" s="19"/>
      <c r="G506" s="19"/>
      <c r="H506" s="19"/>
      <c r="I506" s="19"/>
      <c r="J506" s="19"/>
      <c r="K506" s="19"/>
      <c r="L506" s="19"/>
      <c r="M506" s="19"/>
      <c r="N506" s="19"/>
      <c r="O506" s="19"/>
      <c r="P506" s="20"/>
      <c r="Q506" s="20"/>
      <c r="R506" s="22"/>
      <c r="S506" s="22"/>
      <c r="T506" s="20"/>
      <c r="U506" s="20"/>
      <c r="V506" s="20"/>
      <c r="W506" s="19"/>
      <c r="X506" s="19"/>
      <c r="Y506" s="19"/>
      <c r="Z506" s="23"/>
    </row>
    <row r="507" spans="1:26" ht="15.75" customHeight="1" x14ac:dyDescent="0.2">
      <c r="A507" s="34"/>
      <c r="B507" s="34"/>
      <c r="C507" s="34"/>
      <c r="D507" s="34"/>
      <c r="E507" s="19"/>
      <c r="F507" s="19"/>
      <c r="G507" s="19"/>
      <c r="H507" s="19"/>
      <c r="I507" s="19"/>
      <c r="J507" s="19"/>
      <c r="K507" s="19"/>
      <c r="L507" s="19"/>
      <c r="M507" s="19"/>
      <c r="N507" s="19"/>
      <c r="O507" s="19"/>
      <c r="P507" s="20"/>
      <c r="Q507" s="20"/>
      <c r="R507" s="22"/>
      <c r="S507" s="22"/>
      <c r="T507" s="20"/>
      <c r="U507" s="20"/>
      <c r="V507" s="20"/>
      <c r="W507" s="19"/>
      <c r="X507" s="19"/>
      <c r="Y507" s="19"/>
      <c r="Z507" s="23"/>
    </row>
    <row r="508" spans="1:26" ht="15.75" customHeight="1" x14ac:dyDescent="0.2">
      <c r="A508" s="34"/>
      <c r="B508" s="34"/>
      <c r="C508" s="34"/>
      <c r="D508" s="34"/>
      <c r="E508" s="19"/>
      <c r="F508" s="19"/>
      <c r="G508" s="19"/>
      <c r="H508" s="19"/>
      <c r="I508" s="19"/>
      <c r="J508" s="19"/>
      <c r="K508" s="19"/>
      <c r="L508" s="19"/>
      <c r="M508" s="19"/>
      <c r="N508" s="19"/>
      <c r="O508" s="19"/>
      <c r="P508" s="20"/>
      <c r="Q508" s="20"/>
      <c r="R508" s="22"/>
      <c r="S508" s="22"/>
      <c r="T508" s="20"/>
      <c r="U508" s="20"/>
      <c r="V508" s="20"/>
      <c r="W508" s="19"/>
      <c r="X508" s="19"/>
      <c r="Y508" s="19"/>
      <c r="Z508" s="23"/>
    </row>
    <row r="509" spans="1:26" ht="15.75" customHeight="1" x14ac:dyDescent="0.2">
      <c r="A509" s="34"/>
      <c r="B509" s="34"/>
      <c r="C509" s="34"/>
      <c r="D509" s="34"/>
      <c r="E509" s="19"/>
      <c r="F509" s="19"/>
      <c r="G509" s="19"/>
      <c r="H509" s="19"/>
      <c r="I509" s="19"/>
      <c r="J509" s="19"/>
      <c r="K509" s="19"/>
      <c r="L509" s="19"/>
      <c r="M509" s="19"/>
      <c r="N509" s="19"/>
      <c r="O509" s="19"/>
      <c r="P509" s="20"/>
      <c r="Q509" s="20"/>
      <c r="R509" s="22"/>
      <c r="S509" s="22"/>
      <c r="T509" s="20"/>
      <c r="U509" s="20"/>
      <c r="V509" s="20"/>
      <c r="W509" s="19"/>
      <c r="X509" s="19"/>
      <c r="Y509" s="19"/>
      <c r="Z509" s="23"/>
    </row>
    <row r="510" spans="1:26" ht="15.75" customHeight="1" x14ac:dyDescent="0.2">
      <c r="A510" s="34"/>
      <c r="B510" s="34"/>
      <c r="C510" s="34"/>
      <c r="D510" s="34"/>
      <c r="E510" s="19"/>
      <c r="F510" s="19"/>
      <c r="G510" s="19"/>
      <c r="H510" s="19"/>
      <c r="I510" s="19"/>
      <c r="J510" s="19"/>
      <c r="K510" s="19"/>
      <c r="L510" s="19"/>
      <c r="M510" s="19"/>
      <c r="N510" s="19"/>
      <c r="O510" s="19"/>
      <c r="P510" s="20"/>
      <c r="Q510" s="20"/>
      <c r="R510" s="22"/>
      <c r="S510" s="22"/>
      <c r="T510" s="20"/>
      <c r="U510" s="20"/>
      <c r="V510" s="20"/>
      <c r="W510" s="19"/>
      <c r="X510" s="19"/>
      <c r="Y510" s="19"/>
      <c r="Z510" s="23"/>
    </row>
    <row r="511" spans="1:26" ht="15.75" customHeight="1" x14ac:dyDescent="0.2">
      <c r="A511" s="34"/>
      <c r="B511" s="34"/>
      <c r="C511" s="34"/>
      <c r="D511" s="34"/>
      <c r="E511" s="19"/>
      <c r="F511" s="19"/>
      <c r="G511" s="19"/>
      <c r="H511" s="19"/>
      <c r="I511" s="19"/>
      <c r="J511" s="19"/>
      <c r="K511" s="19"/>
      <c r="L511" s="19"/>
      <c r="M511" s="19"/>
      <c r="N511" s="19"/>
      <c r="O511" s="19"/>
      <c r="P511" s="20"/>
      <c r="Q511" s="20"/>
      <c r="R511" s="22"/>
      <c r="S511" s="22"/>
      <c r="T511" s="20"/>
      <c r="U511" s="20"/>
      <c r="V511" s="20"/>
      <c r="W511" s="19"/>
      <c r="X511" s="19"/>
      <c r="Y511" s="19"/>
      <c r="Z511" s="23"/>
    </row>
    <row r="512" spans="1:26" ht="15.75" customHeight="1" x14ac:dyDescent="0.2">
      <c r="A512" s="34"/>
      <c r="B512" s="34"/>
      <c r="C512" s="34"/>
      <c r="D512" s="34"/>
      <c r="E512" s="19"/>
      <c r="F512" s="19"/>
      <c r="G512" s="19"/>
      <c r="H512" s="19"/>
      <c r="I512" s="19"/>
      <c r="J512" s="19"/>
      <c r="K512" s="19"/>
      <c r="L512" s="19"/>
      <c r="M512" s="19"/>
      <c r="N512" s="19"/>
      <c r="O512" s="19"/>
      <c r="P512" s="20"/>
      <c r="Q512" s="20"/>
      <c r="R512" s="22"/>
      <c r="S512" s="22"/>
      <c r="T512" s="20"/>
      <c r="U512" s="20"/>
      <c r="V512" s="20"/>
      <c r="W512" s="19"/>
      <c r="X512" s="19"/>
      <c r="Y512" s="19"/>
      <c r="Z512" s="23"/>
    </row>
    <row r="513" spans="1:26" ht="15.75" customHeight="1" x14ac:dyDescent="0.2">
      <c r="A513" s="34"/>
      <c r="B513" s="34"/>
      <c r="C513" s="34"/>
      <c r="D513" s="34"/>
      <c r="E513" s="19"/>
      <c r="F513" s="19"/>
      <c r="G513" s="19"/>
      <c r="H513" s="19"/>
      <c r="I513" s="19"/>
      <c r="J513" s="19"/>
      <c r="K513" s="19"/>
      <c r="L513" s="19"/>
      <c r="M513" s="19"/>
      <c r="N513" s="19"/>
      <c r="O513" s="19"/>
      <c r="P513" s="20"/>
      <c r="Q513" s="20"/>
      <c r="R513" s="22"/>
      <c r="S513" s="22"/>
      <c r="T513" s="20"/>
      <c r="U513" s="20"/>
      <c r="V513" s="20"/>
      <c r="W513" s="19"/>
      <c r="X513" s="19"/>
      <c r="Y513" s="19"/>
      <c r="Z513" s="23"/>
    </row>
    <row r="514" spans="1:26" ht="15.75" customHeight="1" x14ac:dyDescent="0.2">
      <c r="A514" s="34"/>
      <c r="B514" s="34"/>
      <c r="C514" s="34"/>
      <c r="D514" s="34"/>
      <c r="E514" s="19"/>
      <c r="F514" s="19"/>
      <c r="G514" s="19"/>
      <c r="H514" s="19"/>
      <c r="I514" s="19"/>
      <c r="J514" s="19"/>
      <c r="K514" s="19"/>
      <c r="L514" s="19"/>
      <c r="M514" s="19"/>
      <c r="N514" s="19"/>
      <c r="O514" s="19"/>
      <c r="P514" s="20"/>
      <c r="Q514" s="20"/>
      <c r="R514" s="22"/>
      <c r="S514" s="22"/>
      <c r="T514" s="20"/>
      <c r="U514" s="20"/>
      <c r="V514" s="20"/>
      <c r="W514" s="19"/>
      <c r="X514" s="19"/>
      <c r="Y514" s="19"/>
      <c r="Z514" s="23"/>
    </row>
    <row r="515" spans="1:26" ht="15.75" customHeight="1" x14ac:dyDescent="0.2">
      <c r="A515" s="34"/>
      <c r="B515" s="34"/>
      <c r="C515" s="34"/>
      <c r="D515" s="34"/>
      <c r="E515" s="19"/>
      <c r="F515" s="19"/>
      <c r="G515" s="19"/>
      <c r="H515" s="19"/>
      <c r="I515" s="19"/>
      <c r="J515" s="19"/>
      <c r="K515" s="19"/>
      <c r="L515" s="19"/>
      <c r="M515" s="19"/>
      <c r="N515" s="19"/>
      <c r="O515" s="19"/>
      <c r="P515" s="20"/>
      <c r="Q515" s="20"/>
      <c r="R515" s="22"/>
      <c r="S515" s="22"/>
      <c r="T515" s="20"/>
      <c r="U515" s="20"/>
      <c r="V515" s="20"/>
      <c r="W515" s="19"/>
      <c r="X515" s="19"/>
      <c r="Y515" s="19"/>
      <c r="Z515" s="23"/>
    </row>
    <row r="516" spans="1:26" ht="15.75" customHeight="1" x14ac:dyDescent="0.2">
      <c r="A516" s="34"/>
      <c r="B516" s="34"/>
      <c r="C516" s="34"/>
      <c r="D516" s="34"/>
      <c r="E516" s="19"/>
      <c r="F516" s="19"/>
      <c r="G516" s="19"/>
      <c r="H516" s="19"/>
      <c r="I516" s="19"/>
      <c r="J516" s="19"/>
      <c r="K516" s="19"/>
      <c r="L516" s="19"/>
      <c r="M516" s="19"/>
      <c r="N516" s="19"/>
      <c r="O516" s="19"/>
      <c r="P516" s="20"/>
      <c r="Q516" s="20"/>
      <c r="R516" s="22"/>
      <c r="S516" s="22"/>
      <c r="T516" s="20"/>
      <c r="U516" s="20"/>
      <c r="V516" s="20"/>
      <c r="W516" s="19"/>
      <c r="X516" s="19"/>
      <c r="Y516" s="19"/>
      <c r="Z516" s="23"/>
    </row>
    <row r="517" spans="1:26" ht="15.75" customHeight="1" x14ac:dyDescent="0.2">
      <c r="A517" s="34"/>
      <c r="B517" s="34"/>
      <c r="C517" s="34"/>
      <c r="D517" s="34"/>
      <c r="E517" s="19"/>
      <c r="F517" s="19"/>
      <c r="G517" s="19"/>
      <c r="H517" s="19"/>
      <c r="I517" s="19"/>
      <c r="J517" s="19"/>
      <c r="K517" s="19"/>
      <c r="L517" s="19"/>
      <c r="M517" s="19"/>
      <c r="N517" s="19"/>
      <c r="O517" s="19"/>
      <c r="P517" s="20"/>
      <c r="Q517" s="20"/>
      <c r="R517" s="22"/>
      <c r="S517" s="22"/>
      <c r="T517" s="20"/>
      <c r="U517" s="20"/>
      <c r="V517" s="20"/>
      <c r="W517" s="19"/>
      <c r="X517" s="19"/>
      <c r="Y517" s="19"/>
      <c r="Z517" s="23"/>
    </row>
    <row r="518" spans="1:26" ht="15.75" customHeight="1" x14ac:dyDescent="0.2">
      <c r="A518" s="34"/>
      <c r="B518" s="34"/>
      <c r="C518" s="34"/>
      <c r="D518" s="34"/>
      <c r="E518" s="19"/>
      <c r="F518" s="19"/>
      <c r="G518" s="19"/>
      <c r="H518" s="19"/>
      <c r="I518" s="19"/>
      <c r="J518" s="19"/>
      <c r="K518" s="19"/>
      <c r="L518" s="19"/>
      <c r="M518" s="19"/>
      <c r="N518" s="19"/>
      <c r="O518" s="19"/>
      <c r="P518" s="20"/>
      <c r="Q518" s="20"/>
      <c r="R518" s="22"/>
      <c r="S518" s="22"/>
      <c r="T518" s="20"/>
      <c r="U518" s="20"/>
      <c r="V518" s="20"/>
      <c r="W518" s="19"/>
      <c r="X518" s="19"/>
      <c r="Y518" s="19"/>
      <c r="Z518" s="23"/>
    </row>
    <row r="519" spans="1:26" ht="15.75" customHeight="1" x14ac:dyDescent="0.2">
      <c r="A519" s="34"/>
      <c r="B519" s="34"/>
      <c r="C519" s="34"/>
      <c r="D519" s="34"/>
      <c r="E519" s="19"/>
      <c r="F519" s="19"/>
      <c r="G519" s="19"/>
      <c r="H519" s="19"/>
      <c r="I519" s="19"/>
      <c r="J519" s="19"/>
      <c r="K519" s="19"/>
      <c r="L519" s="19"/>
      <c r="M519" s="19"/>
      <c r="N519" s="19"/>
      <c r="O519" s="19"/>
      <c r="P519" s="20"/>
      <c r="Q519" s="20"/>
      <c r="R519" s="22"/>
      <c r="S519" s="22"/>
      <c r="T519" s="20"/>
      <c r="U519" s="20"/>
      <c r="V519" s="20"/>
      <c r="W519" s="19"/>
      <c r="X519" s="19"/>
      <c r="Y519" s="19"/>
      <c r="Z519" s="23"/>
    </row>
    <row r="520" spans="1:26" ht="15.75" customHeight="1" x14ac:dyDescent="0.2">
      <c r="A520" s="34"/>
      <c r="B520" s="34"/>
      <c r="C520" s="34"/>
      <c r="D520" s="34"/>
      <c r="E520" s="19"/>
      <c r="F520" s="19"/>
      <c r="G520" s="19"/>
      <c r="H520" s="19"/>
      <c r="I520" s="19"/>
      <c r="J520" s="19"/>
      <c r="K520" s="19"/>
      <c r="L520" s="19"/>
      <c r="M520" s="19"/>
      <c r="N520" s="19"/>
      <c r="O520" s="19"/>
      <c r="P520" s="20"/>
      <c r="Q520" s="20"/>
      <c r="R520" s="22"/>
      <c r="S520" s="22"/>
      <c r="T520" s="20"/>
      <c r="U520" s="20"/>
      <c r="V520" s="20"/>
      <c r="W520" s="19"/>
      <c r="X520" s="19"/>
      <c r="Y520" s="19"/>
      <c r="Z520" s="23"/>
    </row>
    <row r="521" spans="1:26" ht="15.75" customHeight="1" x14ac:dyDescent="0.2">
      <c r="A521" s="34"/>
      <c r="B521" s="34"/>
      <c r="C521" s="34"/>
      <c r="D521" s="34"/>
      <c r="E521" s="19"/>
      <c r="F521" s="19"/>
      <c r="G521" s="19"/>
      <c r="H521" s="19"/>
      <c r="I521" s="19"/>
      <c r="J521" s="19"/>
      <c r="K521" s="19"/>
      <c r="L521" s="19"/>
      <c r="M521" s="19"/>
      <c r="N521" s="19"/>
      <c r="O521" s="19"/>
      <c r="P521" s="20"/>
      <c r="Q521" s="20"/>
      <c r="R521" s="22"/>
      <c r="S521" s="22"/>
      <c r="T521" s="20"/>
      <c r="U521" s="20"/>
      <c r="V521" s="20"/>
      <c r="W521" s="19"/>
      <c r="X521" s="19"/>
      <c r="Y521" s="19"/>
      <c r="Z521" s="23"/>
    </row>
    <row r="522" spans="1:26" ht="15.75" customHeight="1" x14ac:dyDescent="0.2">
      <c r="A522" s="34"/>
      <c r="B522" s="34"/>
      <c r="C522" s="34"/>
      <c r="D522" s="34"/>
      <c r="E522" s="19"/>
      <c r="F522" s="19"/>
      <c r="G522" s="19"/>
      <c r="H522" s="19"/>
      <c r="I522" s="19"/>
      <c r="J522" s="19"/>
      <c r="K522" s="19"/>
      <c r="L522" s="19"/>
      <c r="M522" s="19"/>
      <c r="N522" s="19"/>
      <c r="O522" s="19"/>
      <c r="P522" s="20"/>
      <c r="Q522" s="20"/>
      <c r="R522" s="22"/>
      <c r="S522" s="22"/>
      <c r="T522" s="20"/>
      <c r="U522" s="20"/>
      <c r="V522" s="20"/>
      <c r="W522" s="19"/>
      <c r="X522" s="19"/>
      <c r="Y522" s="19"/>
      <c r="Z522" s="23"/>
    </row>
    <row r="523" spans="1:26" ht="15.75" customHeight="1" x14ac:dyDescent="0.2">
      <c r="A523" s="34"/>
      <c r="B523" s="34"/>
      <c r="C523" s="34"/>
      <c r="D523" s="34"/>
      <c r="E523" s="19"/>
      <c r="F523" s="19"/>
      <c r="G523" s="19"/>
      <c r="H523" s="19"/>
      <c r="I523" s="19"/>
      <c r="J523" s="19"/>
      <c r="K523" s="19"/>
      <c r="L523" s="19"/>
      <c r="M523" s="19"/>
      <c r="N523" s="19"/>
      <c r="O523" s="19"/>
      <c r="P523" s="20"/>
      <c r="Q523" s="20"/>
      <c r="R523" s="22"/>
      <c r="S523" s="22"/>
      <c r="T523" s="20"/>
      <c r="U523" s="20"/>
      <c r="V523" s="20"/>
      <c r="W523" s="19"/>
      <c r="X523" s="19"/>
      <c r="Y523" s="19"/>
      <c r="Z523" s="23"/>
    </row>
    <row r="524" spans="1:26" ht="15.75" customHeight="1" x14ac:dyDescent="0.2">
      <c r="A524" s="34"/>
      <c r="B524" s="34"/>
      <c r="C524" s="34"/>
      <c r="D524" s="34"/>
      <c r="E524" s="19"/>
      <c r="F524" s="19"/>
      <c r="G524" s="19"/>
      <c r="H524" s="19"/>
      <c r="I524" s="19"/>
      <c r="J524" s="19"/>
      <c r="K524" s="19"/>
      <c r="L524" s="19"/>
      <c r="M524" s="19"/>
      <c r="N524" s="19"/>
      <c r="O524" s="19"/>
      <c r="P524" s="20"/>
      <c r="Q524" s="20"/>
      <c r="R524" s="22"/>
      <c r="S524" s="22"/>
      <c r="T524" s="20"/>
      <c r="U524" s="20"/>
      <c r="V524" s="20"/>
      <c r="W524" s="19"/>
      <c r="X524" s="19"/>
      <c r="Y524" s="19"/>
      <c r="Z524" s="23"/>
    </row>
    <row r="525" spans="1:26" ht="15.75" customHeight="1" x14ac:dyDescent="0.2">
      <c r="A525" s="34"/>
      <c r="B525" s="34"/>
      <c r="C525" s="34"/>
      <c r="D525" s="34"/>
      <c r="E525" s="19"/>
      <c r="F525" s="19"/>
      <c r="G525" s="19"/>
      <c r="H525" s="19"/>
      <c r="I525" s="19"/>
      <c r="J525" s="19"/>
      <c r="K525" s="19"/>
      <c r="L525" s="19"/>
      <c r="M525" s="19"/>
      <c r="N525" s="19"/>
      <c r="O525" s="19"/>
      <c r="P525" s="20"/>
      <c r="Q525" s="20"/>
      <c r="R525" s="22"/>
      <c r="S525" s="22"/>
      <c r="T525" s="20"/>
      <c r="U525" s="20"/>
      <c r="V525" s="20"/>
      <c r="W525" s="19"/>
      <c r="X525" s="19"/>
      <c r="Y525" s="19"/>
      <c r="Z525" s="23"/>
    </row>
    <row r="526" spans="1:26" ht="15.75" customHeight="1" x14ac:dyDescent="0.2">
      <c r="A526" s="34"/>
      <c r="B526" s="34"/>
      <c r="C526" s="34"/>
      <c r="D526" s="34"/>
      <c r="E526" s="19"/>
      <c r="F526" s="19"/>
      <c r="G526" s="19"/>
      <c r="H526" s="19"/>
      <c r="I526" s="19"/>
      <c r="J526" s="19"/>
      <c r="K526" s="19"/>
      <c r="L526" s="19"/>
      <c r="M526" s="19"/>
      <c r="N526" s="19"/>
      <c r="O526" s="19"/>
      <c r="P526" s="20"/>
      <c r="Q526" s="20"/>
      <c r="R526" s="22"/>
      <c r="S526" s="22"/>
      <c r="T526" s="20"/>
      <c r="U526" s="20"/>
      <c r="V526" s="20"/>
      <c r="W526" s="19"/>
      <c r="X526" s="19"/>
      <c r="Y526" s="19"/>
      <c r="Z526" s="23"/>
    </row>
    <row r="527" spans="1:26" ht="15.75" customHeight="1" x14ac:dyDescent="0.2">
      <c r="A527" s="34"/>
      <c r="B527" s="34"/>
      <c r="C527" s="34"/>
      <c r="D527" s="34"/>
      <c r="E527" s="19"/>
      <c r="F527" s="19"/>
      <c r="G527" s="19"/>
      <c r="H527" s="19"/>
      <c r="I527" s="19"/>
      <c r="J527" s="19"/>
      <c r="K527" s="19"/>
      <c r="L527" s="19"/>
      <c r="M527" s="19"/>
      <c r="N527" s="19"/>
      <c r="O527" s="19"/>
      <c r="P527" s="20"/>
      <c r="Q527" s="20"/>
      <c r="R527" s="22"/>
      <c r="S527" s="22"/>
      <c r="T527" s="20"/>
      <c r="U527" s="20"/>
      <c r="V527" s="20"/>
      <c r="W527" s="19"/>
      <c r="X527" s="19"/>
      <c r="Y527" s="19"/>
      <c r="Z527" s="23"/>
    </row>
    <row r="528" spans="1:26" ht="15.75" customHeight="1" x14ac:dyDescent="0.2">
      <c r="A528" s="34"/>
      <c r="B528" s="34"/>
      <c r="C528" s="34"/>
      <c r="D528" s="34"/>
      <c r="E528" s="19"/>
      <c r="F528" s="19"/>
      <c r="G528" s="19"/>
      <c r="H528" s="19"/>
      <c r="I528" s="19"/>
      <c r="J528" s="19"/>
      <c r="K528" s="19"/>
      <c r="L528" s="19"/>
      <c r="M528" s="19"/>
      <c r="N528" s="19"/>
      <c r="O528" s="19"/>
      <c r="P528" s="20"/>
      <c r="Q528" s="20"/>
      <c r="R528" s="22"/>
      <c r="S528" s="22"/>
      <c r="T528" s="20"/>
      <c r="U528" s="20"/>
      <c r="V528" s="20"/>
      <c r="W528" s="19"/>
      <c r="X528" s="19"/>
      <c r="Y528" s="19"/>
      <c r="Z528" s="23"/>
    </row>
    <row r="529" spans="1:26" ht="15.75" customHeight="1" x14ac:dyDescent="0.2">
      <c r="A529" s="34"/>
      <c r="B529" s="34"/>
      <c r="C529" s="34"/>
      <c r="D529" s="34"/>
      <c r="E529" s="19"/>
      <c r="F529" s="19"/>
      <c r="G529" s="19"/>
      <c r="H529" s="19"/>
      <c r="I529" s="19"/>
      <c r="J529" s="19"/>
      <c r="K529" s="19"/>
      <c r="L529" s="19"/>
      <c r="M529" s="19"/>
      <c r="N529" s="19"/>
      <c r="O529" s="19"/>
      <c r="P529" s="20"/>
      <c r="Q529" s="20"/>
      <c r="R529" s="22"/>
      <c r="S529" s="22"/>
      <c r="T529" s="20"/>
      <c r="U529" s="20"/>
      <c r="V529" s="20"/>
      <c r="W529" s="19"/>
      <c r="X529" s="19"/>
      <c r="Y529" s="19"/>
      <c r="Z529" s="23"/>
    </row>
    <row r="530" spans="1:26" ht="15.75" customHeight="1" x14ac:dyDescent="0.2">
      <c r="A530" s="34"/>
      <c r="B530" s="34"/>
      <c r="C530" s="34"/>
      <c r="D530" s="34"/>
      <c r="E530" s="19"/>
      <c r="F530" s="19"/>
      <c r="G530" s="19"/>
      <c r="H530" s="19"/>
      <c r="I530" s="19"/>
      <c r="J530" s="19"/>
      <c r="K530" s="19"/>
      <c r="L530" s="19"/>
      <c r="M530" s="19"/>
      <c r="N530" s="19"/>
      <c r="O530" s="19"/>
      <c r="P530" s="20"/>
      <c r="Q530" s="20"/>
      <c r="R530" s="22"/>
      <c r="S530" s="22"/>
      <c r="T530" s="20"/>
      <c r="U530" s="20"/>
      <c r="V530" s="20"/>
      <c r="W530" s="19"/>
      <c r="X530" s="19"/>
      <c r="Y530" s="19"/>
      <c r="Z530" s="23"/>
    </row>
    <row r="531" spans="1:26" ht="15.75" customHeight="1" x14ac:dyDescent="0.2">
      <c r="A531" s="34"/>
      <c r="B531" s="34"/>
      <c r="C531" s="34"/>
      <c r="D531" s="34"/>
      <c r="E531" s="19"/>
      <c r="F531" s="19"/>
      <c r="G531" s="19"/>
      <c r="H531" s="19"/>
      <c r="I531" s="19"/>
      <c r="J531" s="19"/>
      <c r="K531" s="19"/>
      <c r="L531" s="19"/>
      <c r="M531" s="19"/>
      <c r="N531" s="19"/>
      <c r="O531" s="19"/>
      <c r="P531" s="20"/>
      <c r="Q531" s="20"/>
      <c r="R531" s="22"/>
      <c r="S531" s="22"/>
      <c r="T531" s="20"/>
      <c r="U531" s="20"/>
      <c r="V531" s="20"/>
      <c r="W531" s="19"/>
      <c r="X531" s="19"/>
      <c r="Y531" s="19"/>
      <c r="Z531" s="23"/>
    </row>
    <row r="532" spans="1:26" ht="15.75" customHeight="1" x14ac:dyDescent="0.2">
      <c r="A532" s="34"/>
      <c r="B532" s="34"/>
      <c r="C532" s="34"/>
      <c r="D532" s="34"/>
      <c r="E532" s="19"/>
      <c r="F532" s="19"/>
      <c r="G532" s="19"/>
      <c r="H532" s="19"/>
      <c r="I532" s="19"/>
      <c r="J532" s="19"/>
      <c r="K532" s="19"/>
      <c r="L532" s="19"/>
      <c r="M532" s="19"/>
      <c r="N532" s="19"/>
      <c r="O532" s="19"/>
      <c r="P532" s="20"/>
      <c r="Q532" s="20"/>
      <c r="R532" s="22"/>
      <c r="S532" s="22"/>
      <c r="T532" s="20"/>
      <c r="U532" s="20"/>
      <c r="V532" s="20"/>
      <c r="W532" s="19"/>
      <c r="X532" s="19"/>
      <c r="Y532" s="19"/>
      <c r="Z532" s="23"/>
    </row>
    <row r="533" spans="1:26" ht="15.75" customHeight="1" x14ac:dyDescent="0.2">
      <c r="A533" s="34"/>
      <c r="B533" s="34"/>
      <c r="C533" s="34"/>
      <c r="D533" s="34"/>
      <c r="E533" s="19"/>
      <c r="F533" s="19"/>
      <c r="G533" s="19"/>
      <c r="H533" s="19"/>
      <c r="I533" s="19"/>
      <c r="J533" s="19"/>
      <c r="K533" s="19"/>
      <c r="L533" s="19"/>
      <c r="M533" s="19"/>
      <c r="N533" s="19"/>
      <c r="O533" s="19"/>
      <c r="P533" s="20"/>
      <c r="Q533" s="20"/>
      <c r="R533" s="22"/>
      <c r="S533" s="22"/>
      <c r="T533" s="20"/>
      <c r="U533" s="20"/>
      <c r="V533" s="20"/>
      <c r="W533" s="19"/>
      <c r="X533" s="19"/>
      <c r="Y533" s="19"/>
      <c r="Z533" s="23"/>
    </row>
    <row r="534" spans="1:26" ht="15.75" customHeight="1" x14ac:dyDescent="0.2">
      <c r="A534" s="34"/>
      <c r="B534" s="34"/>
      <c r="C534" s="34"/>
      <c r="D534" s="34"/>
      <c r="E534" s="19"/>
      <c r="F534" s="19"/>
      <c r="G534" s="19"/>
      <c r="H534" s="19"/>
      <c r="I534" s="19"/>
      <c r="J534" s="19"/>
      <c r="K534" s="19"/>
      <c r="L534" s="19"/>
      <c r="M534" s="19"/>
      <c r="N534" s="19"/>
      <c r="O534" s="19"/>
      <c r="P534" s="20"/>
      <c r="Q534" s="20"/>
      <c r="R534" s="22"/>
      <c r="S534" s="22"/>
      <c r="T534" s="20"/>
      <c r="U534" s="20"/>
      <c r="V534" s="20"/>
      <c r="W534" s="19"/>
      <c r="X534" s="19"/>
      <c r="Y534" s="19"/>
      <c r="Z534" s="23"/>
    </row>
    <row r="535" spans="1:26" ht="15.75" customHeight="1" x14ac:dyDescent="0.2">
      <c r="A535" s="34"/>
      <c r="B535" s="34"/>
      <c r="C535" s="34"/>
      <c r="D535" s="34"/>
      <c r="E535" s="19"/>
      <c r="F535" s="19"/>
      <c r="G535" s="19"/>
      <c r="H535" s="19"/>
      <c r="I535" s="19"/>
      <c r="J535" s="19"/>
      <c r="K535" s="19"/>
      <c r="L535" s="19"/>
      <c r="M535" s="19"/>
      <c r="N535" s="19"/>
      <c r="O535" s="19"/>
      <c r="P535" s="20"/>
      <c r="Q535" s="20"/>
      <c r="R535" s="22"/>
      <c r="S535" s="22"/>
      <c r="T535" s="20"/>
      <c r="U535" s="20"/>
      <c r="V535" s="20"/>
      <c r="W535" s="19"/>
      <c r="X535" s="19"/>
      <c r="Y535" s="19"/>
      <c r="Z535" s="23"/>
    </row>
    <row r="536" spans="1:26" ht="15.75" customHeight="1" x14ac:dyDescent="0.2">
      <c r="A536" s="34"/>
      <c r="B536" s="34"/>
      <c r="C536" s="34"/>
      <c r="D536" s="34"/>
      <c r="E536" s="19"/>
      <c r="F536" s="19"/>
      <c r="G536" s="19"/>
      <c r="H536" s="19"/>
      <c r="I536" s="19"/>
      <c r="J536" s="19"/>
      <c r="K536" s="19"/>
      <c r="L536" s="19"/>
      <c r="M536" s="19"/>
      <c r="N536" s="19"/>
      <c r="O536" s="19"/>
      <c r="P536" s="20"/>
      <c r="Q536" s="20"/>
      <c r="R536" s="22"/>
      <c r="S536" s="22"/>
      <c r="T536" s="20"/>
      <c r="U536" s="20"/>
      <c r="V536" s="20"/>
      <c r="W536" s="19"/>
      <c r="X536" s="19"/>
      <c r="Y536" s="19"/>
      <c r="Z536" s="23"/>
    </row>
    <row r="537" spans="1:26" ht="15.75" customHeight="1" x14ac:dyDescent="0.2">
      <c r="A537" s="34"/>
      <c r="B537" s="34"/>
      <c r="C537" s="34"/>
      <c r="D537" s="34"/>
      <c r="E537" s="19"/>
      <c r="F537" s="19"/>
      <c r="G537" s="19"/>
      <c r="H537" s="19"/>
      <c r="I537" s="19"/>
      <c r="J537" s="19"/>
      <c r="K537" s="19"/>
      <c r="L537" s="19"/>
      <c r="M537" s="19"/>
      <c r="N537" s="19"/>
      <c r="O537" s="19"/>
      <c r="P537" s="20"/>
      <c r="Q537" s="20"/>
      <c r="R537" s="22"/>
      <c r="S537" s="22"/>
      <c r="T537" s="20"/>
      <c r="U537" s="20"/>
      <c r="V537" s="20"/>
      <c r="W537" s="19"/>
      <c r="X537" s="19"/>
      <c r="Y537" s="19"/>
      <c r="Z537" s="23"/>
    </row>
    <row r="538" spans="1:26" ht="15.75" customHeight="1" x14ac:dyDescent="0.2">
      <c r="A538" s="34"/>
      <c r="B538" s="34"/>
      <c r="C538" s="34"/>
      <c r="D538" s="34"/>
      <c r="E538" s="19"/>
      <c r="F538" s="19"/>
      <c r="G538" s="19"/>
      <c r="H538" s="19"/>
      <c r="I538" s="19"/>
      <c r="J538" s="19"/>
      <c r="K538" s="19"/>
      <c r="L538" s="19"/>
      <c r="M538" s="19"/>
      <c r="N538" s="19"/>
      <c r="O538" s="19"/>
      <c r="P538" s="20"/>
      <c r="Q538" s="20"/>
      <c r="R538" s="22"/>
      <c r="S538" s="22"/>
      <c r="T538" s="20"/>
      <c r="U538" s="20"/>
      <c r="V538" s="20"/>
      <c r="W538" s="19"/>
      <c r="X538" s="19"/>
      <c r="Y538" s="19"/>
      <c r="Z538" s="23"/>
    </row>
    <row r="539" spans="1:26" ht="15.75" customHeight="1" x14ac:dyDescent="0.2">
      <c r="A539" s="34"/>
      <c r="B539" s="34"/>
      <c r="C539" s="34"/>
      <c r="D539" s="34"/>
      <c r="E539" s="19"/>
      <c r="F539" s="19"/>
      <c r="G539" s="19"/>
      <c r="H539" s="19"/>
      <c r="I539" s="19"/>
      <c r="J539" s="19"/>
      <c r="K539" s="19"/>
      <c r="L539" s="19"/>
      <c r="M539" s="19"/>
      <c r="N539" s="19"/>
      <c r="O539" s="19"/>
      <c r="P539" s="20"/>
      <c r="Q539" s="20"/>
      <c r="R539" s="22"/>
      <c r="S539" s="22"/>
      <c r="T539" s="20"/>
      <c r="U539" s="20"/>
      <c r="V539" s="20"/>
      <c r="W539" s="19"/>
      <c r="X539" s="19"/>
      <c r="Y539" s="19"/>
      <c r="Z539" s="23"/>
    </row>
    <row r="540" spans="1:26" ht="15.75" customHeight="1" x14ac:dyDescent="0.2">
      <c r="A540" s="34"/>
      <c r="B540" s="34"/>
      <c r="C540" s="34"/>
      <c r="D540" s="34"/>
      <c r="E540" s="19"/>
      <c r="F540" s="19"/>
      <c r="G540" s="19"/>
      <c r="H540" s="19"/>
      <c r="I540" s="19"/>
      <c r="J540" s="19"/>
      <c r="K540" s="19"/>
      <c r="L540" s="19"/>
      <c r="M540" s="19"/>
      <c r="N540" s="19"/>
      <c r="O540" s="19"/>
      <c r="P540" s="20"/>
      <c r="Q540" s="20"/>
      <c r="R540" s="22"/>
      <c r="S540" s="22"/>
      <c r="T540" s="20"/>
      <c r="U540" s="20"/>
      <c r="V540" s="20"/>
      <c r="W540" s="19"/>
      <c r="X540" s="19"/>
      <c r="Y540" s="19"/>
      <c r="Z540" s="23"/>
    </row>
    <row r="541" spans="1:26" ht="15.75" customHeight="1" x14ac:dyDescent="0.2">
      <c r="A541" s="34"/>
      <c r="B541" s="34"/>
      <c r="C541" s="34"/>
      <c r="D541" s="34"/>
      <c r="E541" s="19"/>
      <c r="F541" s="19"/>
      <c r="G541" s="19"/>
      <c r="H541" s="19"/>
      <c r="I541" s="19"/>
      <c r="J541" s="19"/>
      <c r="K541" s="19"/>
      <c r="L541" s="19"/>
      <c r="M541" s="19"/>
      <c r="N541" s="19"/>
      <c r="O541" s="19"/>
      <c r="P541" s="20"/>
      <c r="Q541" s="20"/>
      <c r="R541" s="22"/>
      <c r="S541" s="22"/>
      <c r="T541" s="20"/>
      <c r="U541" s="20"/>
      <c r="V541" s="20"/>
      <c r="W541" s="19"/>
      <c r="X541" s="19"/>
      <c r="Y541" s="19"/>
      <c r="Z541" s="23"/>
    </row>
    <row r="542" spans="1:26" ht="15.75" customHeight="1" x14ac:dyDescent="0.2">
      <c r="A542" s="34"/>
      <c r="B542" s="34"/>
      <c r="C542" s="34"/>
      <c r="D542" s="34"/>
      <c r="E542" s="19"/>
      <c r="F542" s="19"/>
      <c r="G542" s="19"/>
      <c r="H542" s="19"/>
      <c r="I542" s="19"/>
      <c r="J542" s="19"/>
      <c r="K542" s="19"/>
      <c r="L542" s="19"/>
      <c r="M542" s="19"/>
      <c r="N542" s="19"/>
      <c r="O542" s="19"/>
      <c r="P542" s="20"/>
      <c r="Q542" s="20"/>
      <c r="R542" s="22"/>
      <c r="S542" s="22"/>
      <c r="T542" s="20"/>
      <c r="U542" s="20"/>
      <c r="V542" s="20"/>
      <c r="W542" s="19"/>
      <c r="X542" s="19"/>
      <c r="Y542" s="19"/>
      <c r="Z542" s="23"/>
    </row>
    <row r="543" spans="1:26" ht="15.75" customHeight="1" x14ac:dyDescent="0.2">
      <c r="A543" s="34"/>
      <c r="B543" s="34"/>
      <c r="C543" s="34"/>
      <c r="D543" s="34"/>
      <c r="E543" s="19"/>
      <c r="F543" s="19"/>
      <c r="G543" s="19"/>
      <c r="H543" s="19"/>
      <c r="I543" s="19"/>
      <c r="J543" s="19"/>
      <c r="K543" s="19"/>
      <c r="L543" s="19"/>
      <c r="M543" s="19"/>
      <c r="N543" s="19"/>
      <c r="O543" s="19"/>
      <c r="P543" s="20"/>
      <c r="Q543" s="20"/>
      <c r="R543" s="22"/>
      <c r="S543" s="22"/>
      <c r="T543" s="20"/>
      <c r="U543" s="20"/>
      <c r="V543" s="20"/>
      <c r="W543" s="19"/>
      <c r="X543" s="19"/>
      <c r="Y543" s="19"/>
      <c r="Z543" s="23"/>
    </row>
    <row r="544" spans="1:26" ht="15.75" customHeight="1" x14ac:dyDescent="0.2">
      <c r="A544" s="34"/>
      <c r="B544" s="34"/>
      <c r="C544" s="34"/>
      <c r="D544" s="34"/>
      <c r="E544" s="19"/>
      <c r="F544" s="19"/>
      <c r="G544" s="19"/>
      <c r="H544" s="19"/>
      <c r="I544" s="19"/>
      <c r="J544" s="19"/>
      <c r="K544" s="19"/>
      <c r="L544" s="19"/>
      <c r="M544" s="19"/>
      <c r="N544" s="19"/>
      <c r="O544" s="19"/>
      <c r="P544" s="20"/>
      <c r="Q544" s="20"/>
      <c r="R544" s="22"/>
      <c r="S544" s="22"/>
      <c r="T544" s="20"/>
      <c r="U544" s="20"/>
      <c r="V544" s="20"/>
      <c r="W544" s="19"/>
      <c r="X544" s="19"/>
      <c r="Y544" s="19"/>
      <c r="Z544" s="23"/>
    </row>
    <row r="545" spans="1:26" ht="15.75" customHeight="1" x14ac:dyDescent="0.2">
      <c r="A545" s="34"/>
      <c r="B545" s="34"/>
      <c r="C545" s="34"/>
      <c r="D545" s="34"/>
      <c r="E545" s="19"/>
      <c r="F545" s="19"/>
      <c r="G545" s="19"/>
      <c r="H545" s="19"/>
      <c r="I545" s="19"/>
      <c r="J545" s="19"/>
      <c r="K545" s="19"/>
      <c r="L545" s="19"/>
      <c r="M545" s="19"/>
      <c r="N545" s="19"/>
      <c r="O545" s="19"/>
      <c r="P545" s="20"/>
      <c r="Q545" s="20"/>
      <c r="R545" s="22"/>
      <c r="S545" s="22"/>
      <c r="T545" s="20"/>
      <c r="U545" s="20"/>
      <c r="V545" s="20"/>
      <c r="W545" s="19"/>
      <c r="X545" s="19"/>
      <c r="Y545" s="19"/>
      <c r="Z545" s="23"/>
    </row>
    <row r="546" spans="1:26" ht="15.75" customHeight="1" x14ac:dyDescent="0.2">
      <c r="A546" s="34"/>
      <c r="B546" s="34"/>
      <c r="C546" s="34"/>
      <c r="D546" s="34"/>
      <c r="E546" s="19"/>
      <c r="F546" s="19"/>
      <c r="G546" s="19"/>
      <c r="H546" s="19"/>
      <c r="I546" s="19"/>
      <c r="J546" s="19"/>
      <c r="K546" s="19"/>
      <c r="L546" s="19"/>
      <c r="M546" s="19"/>
      <c r="N546" s="19"/>
      <c r="O546" s="19"/>
      <c r="P546" s="20"/>
      <c r="Q546" s="20"/>
      <c r="R546" s="22"/>
      <c r="S546" s="22"/>
      <c r="T546" s="20"/>
      <c r="U546" s="20"/>
      <c r="V546" s="20"/>
      <c r="W546" s="19"/>
      <c r="X546" s="19"/>
      <c r="Y546" s="19"/>
      <c r="Z546" s="23"/>
    </row>
    <row r="547" spans="1:26" ht="15.75" customHeight="1" x14ac:dyDescent="0.2">
      <c r="A547" s="34"/>
      <c r="B547" s="34"/>
      <c r="C547" s="34"/>
      <c r="D547" s="34"/>
      <c r="E547" s="19"/>
      <c r="F547" s="19"/>
      <c r="G547" s="19"/>
      <c r="H547" s="19"/>
      <c r="I547" s="19"/>
      <c r="J547" s="19"/>
      <c r="K547" s="19"/>
      <c r="L547" s="19"/>
      <c r="M547" s="19"/>
      <c r="N547" s="19"/>
      <c r="O547" s="19"/>
      <c r="P547" s="20"/>
      <c r="Q547" s="20"/>
      <c r="R547" s="22"/>
      <c r="S547" s="22"/>
      <c r="T547" s="20"/>
      <c r="U547" s="20"/>
      <c r="V547" s="20"/>
      <c r="W547" s="19"/>
      <c r="X547" s="19"/>
      <c r="Y547" s="19"/>
      <c r="Z547" s="23"/>
    </row>
    <row r="548" spans="1:26" ht="15.75" customHeight="1" x14ac:dyDescent="0.2">
      <c r="A548" s="34"/>
      <c r="B548" s="34"/>
      <c r="C548" s="34"/>
      <c r="D548" s="34"/>
      <c r="E548" s="19"/>
      <c r="F548" s="19"/>
      <c r="G548" s="19"/>
      <c r="H548" s="19"/>
      <c r="I548" s="19"/>
      <c r="J548" s="19"/>
      <c r="K548" s="19"/>
      <c r="L548" s="19"/>
      <c r="M548" s="19"/>
      <c r="N548" s="19"/>
      <c r="O548" s="19"/>
      <c r="P548" s="20"/>
      <c r="Q548" s="20"/>
      <c r="R548" s="22"/>
      <c r="S548" s="22"/>
      <c r="T548" s="20"/>
      <c r="U548" s="20"/>
      <c r="V548" s="20"/>
      <c r="W548" s="19"/>
      <c r="X548" s="19"/>
      <c r="Y548" s="19"/>
      <c r="Z548" s="23"/>
    </row>
    <row r="549" spans="1:26" ht="15.75" customHeight="1" x14ac:dyDescent="0.2">
      <c r="A549" s="34"/>
      <c r="B549" s="34"/>
      <c r="C549" s="34"/>
      <c r="D549" s="34"/>
      <c r="E549" s="19"/>
      <c r="F549" s="19"/>
      <c r="G549" s="19"/>
      <c r="H549" s="19"/>
      <c r="I549" s="19"/>
      <c r="J549" s="19"/>
      <c r="K549" s="19"/>
      <c r="L549" s="19"/>
      <c r="M549" s="19"/>
      <c r="N549" s="19"/>
      <c r="O549" s="19"/>
      <c r="P549" s="20"/>
      <c r="Q549" s="20"/>
      <c r="R549" s="22"/>
      <c r="S549" s="22"/>
      <c r="T549" s="20"/>
      <c r="U549" s="20"/>
      <c r="V549" s="20"/>
      <c r="W549" s="19"/>
      <c r="X549" s="19"/>
      <c r="Y549" s="19"/>
      <c r="Z549" s="23"/>
    </row>
    <row r="550" spans="1:26" ht="15.75" customHeight="1" x14ac:dyDescent="0.2">
      <c r="A550" s="34"/>
      <c r="B550" s="34"/>
      <c r="C550" s="34"/>
      <c r="D550" s="34"/>
      <c r="E550" s="19"/>
      <c r="F550" s="19"/>
      <c r="G550" s="19"/>
      <c r="H550" s="19"/>
      <c r="I550" s="19"/>
      <c r="J550" s="19"/>
      <c r="K550" s="19"/>
      <c r="L550" s="19"/>
      <c r="M550" s="19"/>
      <c r="N550" s="19"/>
      <c r="O550" s="19"/>
      <c r="P550" s="20"/>
      <c r="Q550" s="20"/>
      <c r="R550" s="22"/>
      <c r="S550" s="22"/>
      <c r="T550" s="20"/>
      <c r="U550" s="20"/>
      <c r="V550" s="20"/>
      <c r="W550" s="19"/>
      <c r="X550" s="19"/>
      <c r="Y550" s="19"/>
      <c r="Z550" s="23"/>
    </row>
    <row r="551" spans="1:26" ht="15.75" customHeight="1" x14ac:dyDescent="0.2">
      <c r="A551" s="34"/>
      <c r="B551" s="34"/>
      <c r="C551" s="34"/>
      <c r="D551" s="34"/>
      <c r="E551" s="19"/>
      <c r="F551" s="19"/>
      <c r="G551" s="19"/>
      <c r="H551" s="19"/>
      <c r="I551" s="19"/>
      <c r="J551" s="19"/>
      <c r="K551" s="19"/>
      <c r="L551" s="19"/>
      <c r="M551" s="19"/>
      <c r="N551" s="19"/>
      <c r="O551" s="19"/>
      <c r="P551" s="20"/>
      <c r="Q551" s="20"/>
      <c r="R551" s="22"/>
      <c r="S551" s="22"/>
      <c r="T551" s="20"/>
      <c r="U551" s="20"/>
      <c r="V551" s="20"/>
      <c r="W551" s="19"/>
      <c r="X551" s="19"/>
      <c r="Y551" s="19"/>
      <c r="Z551" s="23"/>
    </row>
    <row r="552" spans="1:26" ht="15.75" customHeight="1" x14ac:dyDescent="0.2">
      <c r="A552" s="34"/>
      <c r="B552" s="34"/>
      <c r="C552" s="34"/>
      <c r="D552" s="34"/>
      <c r="E552" s="19"/>
      <c r="F552" s="19"/>
      <c r="G552" s="19"/>
      <c r="H552" s="19"/>
      <c r="I552" s="19"/>
      <c r="J552" s="19"/>
      <c r="K552" s="19"/>
      <c r="L552" s="19"/>
      <c r="M552" s="19"/>
      <c r="N552" s="19"/>
      <c r="O552" s="19"/>
      <c r="P552" s="20"/>
      <c r="Q552" s="20"/>
      <c r="R552" s="22"/>
      <c r="S552" s="22"/>
      <c r="T552" s="20"/>
      <c r="U552" s="20"/>
      <c r="V552" s="20"/>
      <c r="W552" s="19"/>
      <c r="X552" s="19"/>
      <c r="Y552" s="19"/>
      <c r="Z552" s="23"/>
    </row>
    <row r="553" spans="1:26" ht="15.75" customHeight="1" x14ac:dyDescent="0.2">
      <c r="A553" s="34"/>
      <c r="B553" s="34"/>
      <c r="C553" s="34"/>
      <c r="D553" s="34"/>
      <c r="E553" s="19"/>
      <c r="F553" s="19"/>
      <c r="G553" s="19"/>
      <c r="H553" s="19"/>
      <c r="I553" s="19"/>
      <c r="J553" s="19"/>
      <c r="K553" s="19"/>
      <c r="L553" s="19"/>
      <c r="M553" s="19"/>
      <c r="N553" s="19"/>
      <c r="O553" s="19"/>
      <c r="P553" s="20"/>
      <c r="Q553" s="20"/>
      <c r="R553" s="22"/>
      <c r="S553" s="22"/>
      <c r="T553" s="20"/>
      <c r="U553" s="20"/>
      <c r="V553" s="20"/>
      <c r="W553" s="19"/>
      <c r="X553" s="19"/>
      <c r="Y553" s="19"/>
      <c r="Z553" s="23"/>
    </row>
    <row r="554" spans="1:26" ht="15.75" customHeight="1" x14ac:dyDescent="0.2">
      <c r="A554" s="34"/>
      <c r="B554" s="34"/>
      <c r="C554" s="34"/>
      <c r="D554" s="34"/>
      <c r="E554" s="19"/>
      <c r="F554" s="19"/>
      <c r="G554" s="19"/>
      <c r="H554" s="19"/>
      <c r="I554" s="19"/>
      <c r="J554" s="19"/>
      <c r="K554" s="19"/>
      <c r="L554" s="19"/>
      <c r="M554" s="19"/>
      <c r="N554" s="19"/>
      <c r="O554" s="19"/>
      <c r="P554" s="20"/>
      <c r="Q554" s="20"/>
      <c r="R554" s="22"/>
      <c r="S554" s="22"/>
      <c r="T554" s="20"/>
      <c r="U554" s="20"/>
      <c r="V554" s="20"/>
      <c r="W554" s="19"/>
      <c r="X554" s="19"/>
      <c r="Y554" s="19"/>
      <c r="Z554" s="23"/>
    </row>
    <row r="555" spans="1:26" ht="15.75" customHeight="1" x14ac:dyDescent="0.2">
      <c r="A555" s="34"/>
      <c r="B555" s="34"/>
      <c r="C555" s="34"/>
      <c r="D555" s="34"/>
      <c r="E555" s="19"/>
      <c r="F555" s="19"/>
      <c r="G555" s="19"/>
      <c r="H555" s="19"/>
      <c r="I555" s="19"/>
      <c r="J555" s="19"/>
      <c r="K555" s="19"/>
      <c r="L555" s="19"/>
      <c r="M555" s="19"/>
      <c r="N555" s="19"/>
      <c r="O555" s="19"/>
      <c r="P555" s="20"/>
      <c r="Q555" s="20"/>
      <c r="R555" s="22"/>
      <c r="S555" s="22"/>
      <c r="T555" s="20"/>
      <c r="U555" s="20"/>
      <c r="V555" s="20"/>
      <c r="W555" s="19"/>
      <c r="X555" s="19"/>
      <c r="Y555" s="19"/>
      <c r="Z555" s="23"/>
    </row>
    <row r="556" spans="1:26" ht="15.75" customHeight="1" x14ac:dyDescent="0.2">
      <c r="A556" s="34"/>
      <c r="B556" s="34"/>
      <c r="C556" s="34"/>
      <c r="D556" s="34"/>
      <c r="E556" s="19"/>
      <c r="F556" s="19"/>
      <c r="G556" s="19"/>
      <c r="H556" s="19"/>
      <c r="I556" s="19"/>
      <c r="J556" s="19"/>
      <c r="K556" s="19"/>
      <c r="L556" s="19"/>
      <c r="M556" s="19"/>
      <c r="N556" s="19"/>
      <c r="O556" s="19"/>
      <c r="P556" s="20"/>
      <c r="Q556" s="20"/>
      <c r="R556" s="22"/>
      <c r="S556" s="22"/>
      <c r="T556" s="20"/>
      <c r="U556" s="20"/>
      <c r="V556" s="20"/>
      <c r="W556" s="19"/>
      <c r="X556" s="19"/>
      <c r="Y556" s="19"/>
      <c r="Z556" s="23"/>
    </row>
    <row r="557" spans="1:26" ht="15.75" customHeight="1" x14ac:dyDescent="0.2">
      <c r="A557" s="34"/>
      <c r="B557" s="34"/>
      <c r="C557" s="34"/>
      <c r="D557" s="34"/>
      <c r="E557" s="19"/>
      <c r="F557" s="19"/>
      <c r="G557" s="19"/>
      <c r="H557" s="19"/>
      <c r="I557" s="19"/>
      <c r="J557" s="19"/>
      <c r="K557" s="19"/>
      <c r="L557" s="19"/>
      <c r="M557" s="19"/>
      <c r="N557" s="19"/>
      <c r="O557" s="19"/>
      <c r="P557" s="20"/>
      <c r="Q557" s="20"/>
      <c r="R557" s="22"/>
      <c r="S557" s="22"/>
      <c r="T557" s="20"/>
      <c r="U557" s="20"/>
      <c r="V557" s="20"/>
      <c r="W557" s="19"/>
      <c r="X557" s="19"/>
      <c r="Y557" s="19"/>
      <c r="Z557" s="23"/>
    </row>
    <row r="558" spans="1:26" ht="15.75" customHeight="1" x14ac:dyDescent="0.2">
      <c r="A558" s="34"/>
      <c r="B558" s="34"/>
      <c r="C558" s="34"/>
      <c r="D558" s="34"/>
      <c r="E558" s="19"/>
      <c r="F558" s="19"/>
      <c r="G558" s="19"/>
      <c r="H558" s="19"/>
      <c r="I558" s="19"/>
      <c r="J558" s="19"/>
      <c r="K558" s="19"/>
      <c r="L558" s="19"/>
      <c r="M558" s="19"/>
      <c r="N558" s="19"/>
      <c r="O558" s="19"/>
      <c r="P558" s="20"/>
      <c r="Q558" s="20"/>
      <c r="R558" s="22"/>
      <c r="S558" s="22"/>
      <c r="T558" s="20"/>
      <c r="U558" s="20"/>
      <c r="V558" s="20"/>
      <c r="W558" s="19"/>
      <c r="X558" s="19"/>
      <c r="Y558" s="19"/>
      <c r="Z558" s="23"/>
    </row>
    <row r="559" spans="1:26" ht="15.75" customHeight="1" x14ac:dyDescent="0.2">
      <c r="A559" s="34"/>
      <c r="B559" s="34"/>
      <c r="C559" s="34"/>
      <c r="D559" s="34"/>
      <c r="E559" s="19"/>
      <c r="F559" s="19"/>
      <c r="G559" s="19"/>
      <c r="H559" s="19"/>
      <c r="I559" s="19"/>
      <c r="J559" s="19"/>
      <c r="K559" s="19"/>
      <c r="L559" s="19"/>
      <c r="M559" s="19"/>
      <c r="N559" s="19"/>
      <c r="O559" s="19"/>
      <c r="P559" s="20"/>
      <c r="Q559" s="20"/>
      <c r="R559" s="22"/>
      <c r="S559" s="22"/>
      <c r="T559" s="20"/>
      <c r="U559" s="20"/>
      <c r="V559" s="20"/>
      <c r="W559" s="19"/>
      <c r="X559" s="19"/>
      <c r="Y559" s="19"/>
      <c r="Z559" s="23"/>
    </row>
    <row r="560" spans="1:26" ht="15.75" customHeight="1" x14ac:dyDescent="0.2">
      <c r="A560" s="34"/>
      <c r="B560" s="34"/>
      <c r="C560" s="34"/>
      <c r="D560" s="34"/>
      <c r="E560" s="19"/>
      <c r="F560" s="19"/>
      <c r="G560" s="19"/>
      <c r="H560" s="19"/>
      <c r="I560" s="19"/>
      <c r="J560" s="19"/>
      <c r="K560" s="19"/>
      <c r="L560" s="19"/>
      <c r="M560" s="19"/>
      <c r="N560" s="19"/>
      <c r="O560" s="19"/>
      <c r="P560" s="20"/>
      <c r="Q560" s="20"/>
      <c r="R560" s="22"/>
      <c r="S560" s="22"/>
      <c r="T560" s="20"/>
      <c r="U560" s="20"/>
      <c r="V560" s="20"/>
      <c r="W560" s="19"/>
      <c r="X560" s="19"/>
      <c r="Y560" s="19"/>
      <c r="Z560" s="23"/>
    </row>
    <row r="561" spans="1:26" ht="15.75" customHeight="1" x14ac:dyDescent="0.2">
      <c r="A561" s="34"/>
      <c r="B561" s="34"/>
      <c r="C561" s="34"/>
      <c r="D561" s="34"/>
      <c r="E561" s="19"/>
      <c r="F561" s="19"/>
      <c r="G561" s="19"/>
      <c r="H561" s="19"/>
      <c r="I561" s="19"/>
      <c r="J561" s="19"/>
      <c r="K561" s="19"/>
      <c r="L561" s="19"/>
      <c r="M561" s="19"/>
      <c r="N561" s="19"/>
      <c r="O561" s="19"/>
      <c r="P561" s="20"/>
      <c r="Q561" s="20"/>
      <c r="R561" s="22"/>
      <c r="S561" s="22"/>
      <c r="T561" s="20"/>
      <c r="U561" s="20"/>
      <c r="V561" s="20"/>
      <c r="W561" s="19"/>
      <c r="X561" s="19"/>
      <c r="Y561" s="19"/>
      <c r="Z561" s="23"/>
    </row>
    <row r="562" spans="1:26" ht="15.75" customHeight="1" x14ac:dyDescent="0.2">
      <c r="A562" s="34"/>
      <c r="B562" s="34"/>
      <c r="C562" s="34"/>
      <c r="D562" s="34"/>
      <c r="E562" s="19"/>
      <c r="F562" s="19"/>
      <c r="G562" s="19"/>
      <c r="H562" s="19"/>
      <c r="I562" s="19"/>
      <c r="J562" s="19"/>
      <c r="K562" s="19"/>
      <c r="L562" s="19"/>
      <c r="M562" s="19"/>
      <c r="N562" s="19"/>
      <c r="O562" s="19"/>
      <c r="P562" s="20"/>
      <c r="Q562" s="20"/>
      <c r="R562" s="22"/>
      <c r="S562" s="22"/>
      <c r="T562" s="20"/>
      <c r="U562" s="20"/>
      <c r="V562" s="20"/>
      <c r="W562" s="19"/>
      <c r="X562" s="19"/>
      <c r="Y562" s="19"/>
      <c r="Z562" s="23"/>
    </row>
    <row r="563" spans="1:26" ht="15.75" customHeight="1" x14ac:dyDescent="0.2">
      <c r="A563" s="34"/>
      <c r="B563" s="34"/>
      <c r="C563" s="34"/>
      <c r="D563" s="34"/>
      <c r="E563" s="19"/>
      <c r="F563" s="19"/>
      <c r="G563" s="19"/>
      <c r="H563" s="19"/>
      <c r="I563" s="19"/>
      <c r="J563" s="19"/>
      <c r="K563" s="19"/>
      <c r="L563" s="19"/>
      <c r="M563" s="19"/>
      <c r="N563" s="19"/>
      <c r="O563" s="19"/>
      <c r="P563" s="20"/>
      <c r="Q563" s="20"/>
      <c r="R563" s="22"/>
      <c r="S563" s="22"/>
      <c r="T563" s="20"/>
      <c r="U563" s="20"/>
      <c r="V563" s="20"/>
      <c r="W563" s="19"/>
      <c r="X563" s="19"/>
      <c r="Y563" s="19"/>
      <c r="Z563" s="23"/>
    </row>
    <row r="564" spans="1:26" ht="15.75" customHeight="1" x14ac:dyDescent="0.2">
      <c r="A564" s="34"/>
      <c r="B564" s="34"/>
      <c r="C564" s="34"/>
      <c r="D564" s="34"/>
      <c r="E564" s="19"/>
      <c r="F564" s="19"/>
      <c r="G564" s="19"/>
      <c r="H564" s="19"/>
      <c r="I564" s="19"/>
      <c r="J564" s="19"/>
      <c r="K564" s="19"/>
      <c r="L564" s="19"/>
      <c r="M564" s="19"/>
      <c r="N564" s="19"/>
      <c r="O564" s="19"/>
      <c r="P564" s="20"/>
      <c r="Q564" s="20"/>
      <c r="R564" s="22"/>
      <c r="S564" s="22"/>
      <c r="T564" s="20"/>
      <c r="U564" s="20"/>
      <c r="V564" s="20"/>
      <c r="W564" s="19"/>
      <c r="X564" s="19"/>
      <c r="Y564" s="19"/>
      <c r="Z564" s="23"/>
    </row>
    <row r="565" spans="1:26" ht="15.75" customHeight="1" x14ac:dyDescent="0.2">
      <c r="A565" s="34"/>
      <c r="B565" s="34"/>
      <c r="C565" s="34"/>
      <c r="D565" s="34"/>
      <c r="E565" s="19"/>
      <c r="F565" s="19"/>
      <c r="G565" s="19"/>
      <c r="H565" s="19"/>
      <c r="I565" s="19"/>
      <c r="J565" s="19"/>
      <c r="K565" s="19"/>
      <c r="L565" s="19"/>
      <c r="M565" s="19"/>
      <c r="N565" s="19"/>
      <c r="O565" s="19"/>
      <c r="P565" s="20"/>
      <c r="Q565" s="20"/>
      <c r="R565" s="22"/>
      <c r="S565" s="22"/>
      <c r="T565" s="20"/>
      <c r="U565" s="20"/>
      <c r="V565" s="20"/>
      <c r="W565" s="19"/>
      <c r="X565" s="19"/>
      <c r="Y565" s="19"/>
      <c r="Z565" s="23"/>
    </row>
    <row r="566" spans="1:26" ht="15.75" customHeight="1" x14ac:dyDescent="0.2">
      <c r="A566" s="34"/>
      <c r="B566" s="34"/>
      <c r="C566" s="34"/>
      <c r="D566" s="34"/>
      <c r="E566" s="19"/>
      <c r="F566" s="19"/>
      <c r="G566" s="19"/>
      <c r="H566" s="19"/>
      <c r="I566" s="19"/>
      <c r="J566" s="19"/>
      <c r="K566" s="19"/>
      <c r="L566" s="19"/>
      <c r="M566" s="19"/>
      <c r="N566" s="19"/>
      <c r="O566" s="19"/>
      <c r="P566" s="20"/>
      <c r="Q566" s="20"/>
      <c r="R566" s="22"/>
      <c r="S566" s="22"/>
      <c r="T566" s="20"/>
      <c r="U566" s="20"/>
      <c r="V566" s="20"/>
      <c r="W566" s="19"/>
      <c r="X566" s="19"/>
      <c r="Y566" s="19"/>
      <c r="Z566" s="23"/>
    </row>
    <row r="567" spans="1:26" ht="15.75" customHeight="1" x14ac:dyDescent="0.2">
      <c r="A567" s="34"/>
      <c r="B567" s="34"/>
      <c r="C567" s="34"/>
      <c r="D567" s="34"/>
      <c r="E567" s="19"/>
      <c r="F567" s="19"/>
      <c r="G567" s="19"/>
      <c r="H567" s="19"/>
      <c r="I567" s="19"/>
      <c r="J567" s="19"/>
      <c r="K567" s="19"/>
      <c r="L567" s="19"/>
      <c r="M567" s="19"/>
      <c r="N567" s="19"/>
      <c r="O567" s="19"/>
      <c r="P567" s="20"/>
      <c r="Q567" s="20"/>
      <c r="R567" s="22"/>
      <c r="S567" s="22"/>
      <c r="T567" s="20"/>
      <c r="U567" s="20"/>
      <c r="V567" s="20"/>
      <c r="W567" s="19"/>
      <c r="X567" s="19"/>
      <c r="Y567" s="19"/>
      <c r="Z567" s="23"/>
    </row>
    <row r="568" spans="1:26" ht="15.75" customHeight="1" x14ac:dyDescent="0.2">
      <c r="A568" s="34"/>
      <c r="B568" s="34"/>
      <c r="C568" s="34"/>
      <c r="D568" s="34"/>
      <c r="E568" s="19"/>
      <c r="F568" s="19"/>
      <c r="G568" s="19"/>
      <c r="H568" s="19"/>
      <c r="I568" s="19"/>
      <c r="J568" s="19"/>
      <c r="K568" s="19"/>
      <c r="L568" s="19"/>
      <c r="M568" s="19"/>
      <c r="N568" s="19"/>
      <c r="O568" s="19"/>
      <c r="P568" s="20"/>
      <c r="Q568" s="20"/>
      <c r="R568" s="22"/>
      <c r="S568" s="22"/>
      <c r="T568" s="20"/>
      <c r="U568" s="20"/>
      <c r="V568" s="20"/>
      <c r="W568" s="19"/>
      <c r="X568" s="19"/>
      <c r="Y568" s="19"/>
      <c r="Z568" s="23"/>
    </row>
    <row r="569" spans="1:26" ht="15.75" customHeight="1" x14ac:dyDescent="0.2">
      <c r="A569" s="34"/>
      <c r="B569" s="34"/>
      <c r="C569" s="34"/>
      <c r="D569" s="34"/>
      <c r="E569" s="19"/>
      <c r="F569" s="19"/>
      <c r="G569" s="19"/>
      <c r="H569" s="19"/>
      <c r="I569" s="19"/>
      <c r="J569" s="19"/>
      <c r="K569" s="19"/>
      <c r="L569" s="19"/>
      <c r="M569" s="19"/>
      <c r="N569" s="19"/>
      <c r="O569" s="19"/>
      <c r="P569" s="20"/>
      <c r="Q569" s="20"/>
      <c r="R569" s="22"/>
      <c r="S569" s="22"/>
      <c r="T569" s="20"/>
      <c r="U569" s="20"/>
      <c r="V569" s="20"/>
      <c r="W569" s="19"/>
      <c r="X569" s="19"/>
      <c r="Y569" s="19"/>
      <c r="Z569" s="23"/>
    </row>
    <row r="570" spans="1:26" ht="15.75" customHeight="1" x14ac:dyDescent="0.2">
      <c r="A570" s="34"/>
      <c r="B570" s="34"/>
      <c r="C570" s="34"/>
      <c r="D570" s="34"/>
      <c r="E570" s="19"/>
      <c r="F570" s="19"/>
      <c r="G570" s="19"/>
      <c r="H570" s="19"/>
      <c r="I570" s="19"/>
      <c r="J570" s="19"/>
      <c r="K570" s="19"/>
      <c r="L570" s="19"/>
      <c r="M570" s="19"/>
      <c r="N570" s="19"/>
      <c r="O570" s="19"/>
      <c r="P570" s="20"/>
      <c r="Q570" s="20"/>
      <c r="R570" s="22"/>
      <c r="S570" s="22"/>
      <c r="T570" s="20"/>
      <c r="U570" s="20"/>
      <c r="V570" s="20"/>
      <c r="W570" s="19"/>
      <c r="X570" s="19"/>
      <c r="Y570" s="19"/>
      <c r="Z570" s="23"/>
    </row>
    <row r="571" spans="1:26" ht="15.75" customHeight="1" x14ac:dyDescent="0.2">
      <c r="A571" s="34"/>
      <c r="B571" s="34"/>
      <c r="C571" s="34"/>
      <c r="D571" s="34"/>
      <c r="E571" s="19"/>
      <c r="F571" s="19"/>
      <c r="G571" s="19"/>
      <c r="H571" s="19"/>
      <c r="I571" s="19"/>
      <c r="J571" s="19"/>
      <c r="K571" s="19"/>
      <c r="L571" s="19"/>
      <c r="M571" s="19"/>
      <c r="N571" s="19"/>
      <c r="O571" s="19"/>
      <c r="P571" s="20"/>
      <c r="Q571" s="20"/>
      <c r="R571" s="22"/>
      <c r="S571" s="22"/>
      <c r="T571" s="20"/>
      <c r="U571" s="20"/>
      <c r="V571" s="20"/>
      <c r="W571" s="19"/>
      <c r="X571" s="19"/>
      <c r="Y571" s="19"/>
      <c r="Z571" s="23"/>
    </row>
    <row r="572" spans="1:26" ht="15.75" customHeight="1" x14ac:dyDescent="0.2">
      <c r="A572" s="34"/>
      <c r="B572" s="34"/>
      <c r="C572" s="34"/>
      <c r="D572" s="34"/>
      <c r="E572" s="19"/>
      <c r="F572" s="19"/>
      <c r="G572" s="19"/>
      <c r="H572" s="19"/>
      <c r="I572" s="19"/>
      <c r="J572" s="19"/>
      <c r="K572" s="19"/>
      <c r="L572" s="19"/>
      <c r="M572" s="19"/>
      <c r="N572" s="19"/>
      <c r="O572" s="19"/>
      <c r="P572" s="20"/>
      <c r="Q572" s="20"/>
      <c r="R572" s="22"/>
      <c r="S572" s="22"/>
      <c r="T572" s="20"/>
      <c r="U572" s="20"/>
      <c r="V572" s="20"/>
      <c r="W572" s="19"/>
      <c r="X572" s="19"/>
      <c r="Y572" s="19"/>
      <c r="Z572" s="23"/>
    </row>
    <row r="573" spans="1:26" ht="15.75" customHeight="1" x14ac:dyDescent="0.2">
      <c r="A573" s="34"/>
      <c r="B573" s="34"/>
      <c r="C573" s="34"/>
      <c r="D573" s="34"/>
      <c r="E573" s="19"/>
      <c r="F573" s="19"/>
      <c r="G573" s="19"/>
      <c r="H573" s="19"/>
      <c r="I573" s="19"/>
      <c r="J573" s="19"/>
      <c r="K573" s="19"/>
      <c r="L573" s="19"/>
      <c r="M573" s="19"/>
      <c r="N573" s="19"/>
      <c r="O573" s="19"/>
      <c r="P573" s="20"/>
      <c r="Q573" s="20"/>
      <c r="R573" s="22"/>
      <c r="S573" s="22"/>
      <c r="T573" s="20"/>
      <c r="U573" s="20"/>
      <c r="V573" s="20"/>
      <c r="W573" s="19"/>
      <c r="X573" s="19"/>
      <c r="Y573" s="19"/>
      <c r="Z573" s="23"/>
    </row>
    <row r="574" spans="1:26" ht="15.75" customHeight="1" x14ac:dyDescent="0.2">
      <c r="A574" s="34"/>
      <c r="B574" s="34"/>
      <c r="C574" s="34"/>
      <c r="D574" s="34"/>
      <c r="E574" s="19"/>
      <c r="F574" s="19"/>
      <c r="G574" s="19"/>
      <c r="H574" s="19"/>
      <c r="I574" s="19"/>
      <c r="J574" s="19"/>
      <c r="K574" s="19"/>
      <c r="L574" s="19"/>
      <c r="M574" s="19"/>
      <c r="N574" s="19"/>
      <c r="O574" s="19"/>
      <c r="P574" s="20"/>
      <c r="Q574" s="20"/>
      <c r="R574" s="22"/>
      <c r="S574" s="22"/>
      <c r="T574" s="20"/>
      <c r="U574" s="20"/>
      <c r="V574" s="20"/>
      <c r="W574" s="19"/>
      <c r="X574" s="19"/>
      <c r="Y574" s="19"/>
      <c r="Z574" s="23"/>
    </row>
    <row r="575" spans="1:26" ht="15.75" customHeight="1" x14ac:dyDescent="0.2">
      <c r="A575" s="34"/>
      <c r="B575" s="34"/>
      <c r="C575" s="34"/>
      <c r="D575" s="34"/>
      <c r="E575" s="19"/>
      <c r="F575" s="19"/>
      <c r="G575" s="19"/>
      <c r="H575" s="19"/>
      <c r="I575" s="19"/>
      <c r="J575" s="19"/>
      <c r="K575" s="19"/>
      <c r="L575" s="19"/>
      <c r="M575" s="19"/>
      <c r="N575" s="19"/>
      <c r="O575" s="19"/>
      <c r="P575" s="20"/>
      <c r="Q575" s="20"/>
      <c r="R575" s="22"/>
      <c r="S575" s="22"/>
      <c r="T575" s="20"/>
      <c r="U575" s="20"/>
      <c r="V575" s="20"/>
      <c r="W575" s="19"/>
      <c r="X575" s="19"/>
      <c r="Y575" s="19"/>
      <c r="Z575" s="23"/>
    </row>
    <row r="576" spans="1:26" ht="15.75" customHeight="1" x14ac:dyDescent="0.2">
      <c r="A576" s="34"/>
      <c r="B576" s="34"/>
      <c r="C576" s="34"/>
      <c r="D576" s="34"/>
      <c r="E576" s="19"/>
      <c r="F576" s="19"/>
      <c r="G576" s="19"/>
      <c r="H576" s="19"/>
      <c r="I576" s="19"/>
      <c r="J576" s="19"/>
      <c r="K576" s="19"/>
      <c r="L576" s="19"/>
      <c r="M576" s="19"/>
      <c r="N576" s="19"/>
      <c r="O576" s="19"/>
      <c r="P576" s="20"/>
      <c r="Q576" s="20"/>
      <c r="R576" s="22"/>
      <c r="S576" s="22"/>
      <c r="T576" s="20"/>
      <c r="U576" s="20"/>
      <c r="V576" s="20"/>
      <c r="W576" s="19"/>
      <c r="X576" s="19"/>
      <c r="Y576" s="19"/>
      <c r="Z576" s="23"/>
    </row>
    <row r="577" spans="1:26" ht="15.75" customHeight="1" x14ac:dyDescent="0.2">
      <c r="A577" s="34"/>
      <c r="B577" s="34"/>
      <c r="C577" s="34"/>
      <c r="D577" s="34"/>
      <c r="E577" s="19"/>
      <c r="F577" s="19"/>
      <c r="G577" s="19"/>
      <c r="H577" s="19"/>
      <c r="I577" s="19"/>
      <c r="J577" s="19"/>
      <c r="K577" s="19"/>
      <c r="L577" s="19"/>
      <c r="M577" s="19"/>
      <c r="N577" s="19"/>
      <c r="O577" s="19"/>
      <c r="P577" s="20"/>
      <c r="Q577" s="20"/>
      <c r="R577" s="22"/>
      <c r="S577" s="22"/>
      <c r="T577" s="20"/>
      <c r="U577" s="20"/>
      <c r="V577" s="20"/>
      <c r="W577" s="19"/>
      <c r="X577" s="19"/>
      <c r="Y577" s="19"/>
      <c r="Z577" s="23"/>
    </row>
    <row r="578" spans="1:26" ht="15.75" customHeight="1" x14ac:dyDescent="0.2">
      <c r="A578" s="34"/>
      <c r="B578" s="34"/>
      <c r="C578" s="34"/>
      <c r="D578" s="34"/>
      <c r="E578" s="19"/>
      <c r="F578" s="19"/>
      <c r="G578" s="19"/>
      <c r="H578" s="19"/>
      <c r="I578" s="19"/>
      <c r="J578" s="19"/>
      <c r="K578" s="19"/>
      <c r="L578" s="19"/>
      <c r="M578" s="19"/>
      <c r="N578" s="19"/>
      <c r="O578" s="19"/>
      <c r="P578" s="20"/>
      <c r="Q578" s="20"/>
      <c r="R578" s="22"/>
      <c r="S578" s="22"/>
      <c r="T578" s="20"/>
      <c r="U578" s="20"/>
      <c r="V578" s="20"/>
      <c r="W578" s="19"/>
      <c r="X578" s="19"/>
      <c r="Y578" s="19"/>
      <c r="Z578" s="23"/>
    </row>
    <row r="579" spans="1:26" ht="15.75" customHeight="1" x14ac:dyDescent="0.2">
      <c r="A579" s="34"/>
      <c r="B579" s="34"/>
      <c r="C579" s="34"/>
      <c r="D579" s="34"/>
      <c r="E579" s="19"/>
      <c r="F579" s="19"/>
      <c r="G579" s="19"/>
      <c r="H579" s="19"/>
      <c r="I579" s="19"/>
      <c r="J579" s="19"/>
      <c r="K579" s="19"/>
      <c r="L579" s="19"/>
      <c r="M579" s="19"/>
      <c r="N579" s="19"/>
      <c r="O579" s="19"/>
      <c r="P579" s="20"/>
      <c r="Q579" s="20"/>
      <c r="R579" s="22"/>
      <c r="S579" s="22"/>
      <c r="T579" s="20"/>
      <c r="U579" s="20"/>
      <c r="V579" s="20"/>
      <c r="W579" s="19"/>
      <c r="X579" s="19"/>
      <c r="Y579" s="19"/>
      <c r="Z579" s="23"/>
    </row>
    <row r="580" spans="1:26" ht="15.75" customHeight="1" x14ac:dyDescent="0.2">
      <c r="A580" s="34"/>
      <c r="B580" s="34"/>
      <c r="C580" s="34"/>
      <c r="D580" s="34"/>
      <c r="E580" s="19"/>
      <c r="F580" s="19"/>
      <c r="G580" s="19"/>
      <c r="H580" s="19"/>
      <c r="I580" s="19"/>
      <c r="J580" s="19"/>
      <c r="K580" s="19"/>
      <c r="L580" s="19"/>
      <c r="M580" s="19"/>
      <c r="N580" s="19"/>
      <c r="O580" s="19"/>
      <c r="P580" s="20"/>
      <c r="Q580" s="20"/>
      <c r="R580" s="22"/>
      <c r="S580" s="22"/>
      <c r="T580" s="20"/>
      <c r="U580" s="20"/>
      <c r="V580" s="20"/>
      <c r="W580" s="19"/>
      <c r="X580" s="19"/>
      <c r="Y580" s="19"/>
      <c r="Z580" s="23"/>
    </row>
    <row r="581" spans="1:26" ht="15.75" customHeight="1" x14ac:dyDescent="0.2">
      <c r="A581" s="34"/>
      <c r="B581" s="34"/>
      <c r="C581" s="34"/>
      <c r="D581" s="34"/>
      <c r="E581" s="19"/>
      <c r="F581" s="19"/>
      <c r="G581" s="19"/>
      <c r="H581" s="19"/>
      <c r="I581" s="19"/>
      <c r="J581" s="19"/>
      <c r="K581" s="19"/>
      <c r="L581" s="19"/>
      <c r="M581" s="19"/>
      <c r="N581" s="19"/>
      <c r="O581" s="19"/>
      <c r="P581" s="20"/>
      <c r="Q581" s="20"/>
      <c r="R581" s="22"/>
      <c r="S581" s="22"/>
      <c r="T581" s="20"/>
      <c r="U581" s="20"/>
      <c r="V581" s="20"/>
      <c r="W581" s="19"/>
      <c r="X581" s="19"/>
      <c r="Y581" s="19"/>
      <c r="Z581" s="23"/>
    </row>
    <row r="582" spans="1:26" ht="15.75" customHeight="1" x14ac:dyDescent="0.2">
      <c r="A582" s="34"/>
      <c r="B582" s="34"/>
      <c r="C582" s="34"/>
      <c r="D582" s="34"/>
      <c r="E582" s="19"/>
      <c r="F582" s="19"/>
      <c r="G582" s="19"/>
      <c r="H582" s="19"/>
      <c r="I582" s="19"/>
      <c r="J582" s="19"/>
      <c r="K582" s="19"/>
      <c r="L582" s="19"/>
      <c r="M582" s="19"/>
      <c r="N582" s="19"/>
      <c r="O582" s="19"/>
      <c r="P582" s="20"/>
      <c r="Q582" s="20"/>
      <c r="R582" s="22"/>
      <c r="S582" s="22"/>
      <c r="T582" s="20"/>
      <c r="U582" s="20"/>
      <c r="V582" s="20"/>
      <c r="W582" s="19"/>
      <c r="X582" s="19"/>
      <c r="Y582" s="19"/>
      <c r="Z582" s="23"/>
    </row>
    <row r="583" spans="1:26" ht="15.75" customHeight="1" x14ac:dyDescent="0.2">
      <c r="A583" s="34"/>
      <c r="B583" s="34"/>
      <c r="C583" s="34"/>
      <c r="D583" s="34"/>
      <c r="E583" s="19"/>
      <c r="F583" s="19"/>
      <c r="G583" s="19"/>
      <c r="H583" s="19"/>
      <c r="I583" s="19"/>
      <c r="J583" s="19"/>
      <c r="K583" s="19"/>
      <c r="L583" s="19"/>
      <c r="M583" s="19"/>
      <c r="N583" s="19"/>
      <c r="O583" s="19"/>
      <c r="P583" s="20"/>
      <c r="Q583" s="20"/>
      <c r="R583" s="22"/>
      <c r="S583" s="22"/>
      <c r="T583" s="20"/>
      <c r="U583" s="20"/>
      <c r="V583" s="20"/>
      <c r="W583" s="19"/>
      <c r="X583" s="19"/>
      <c r="Y583" s="19"/>
      <c r="Z583" s="23"/>
    </row>
    <row r="584" spans="1:26" ht="15.75" customHeight="1" x14ac:dyDescent="0.2">
      <c r="A584" s="34"/>
      <c r="B584" s="34"/>
      <c r="C584" s="34"/>
      <c r="D584" s="34"/>
      <c r="E584" s="19"/>
      <c r="F584" s="19"/>
      <c r="G584" s="19"/>
      <c r="H584" s="19"/>
      <c r="I584" s="19"/>
      <c r="J584" s="19"/>
      <c r="K584" s="19"/>
      <c r="L584" s="19"/>
      <c r="M584" s="19"/>
      <c r="N584" s="19"/>
      <c r="O584" s="19"/>
      <c r="P584" s="20"/>
      <c r="Q584" s="20"/>
      <c r="R584" s="22"/>
      <c r="S584" s="22"/>
      <c r="T584" s="20"/>
      <c r="U584" s="20"/>
      <c r="V584" s="20"/>
      <c r="W584" s="19"/>
      <c r="X584" s="19"/>
      <c r="Y584" s="19"/>
      <c r="Z584" s="23"/>
    </row>
    <row r="585" spans="1:26" ht="15.75" customHeight="1" x14ac:dyDescent="0.2">
      <c r="A585" s="34"/>
      <c r="B585" s="34"/>
      <c r="C585" s="34"/>
      <c r="D585" s="34"/>
      <c r="E585" s="19"/>
      <c r="F585" s="19"/>
      <c r="G585" s="19"/>
      <c r="H585" s="19"/>
      <c r="I585" s="19"/>
      <c r="J585" s="19"/>
      <c r="K585" s="19"/>
      <c r="L585" s="19"/>
      <c r="M585" s="19"/>
      <c r="N585" s="19"/>
      <c r="O585" s="19"/>
      <c r="P585" s="20"/>
      <c r="Q585" s="20"/>
      <c r="R585" s="22"/>
      <c r="S585" s="22"/>
      <c r="T585" s="20"/>
      <c r="U585" s="20"/>
      <c r="V585" s="20"/>
      <c r="W585" s="19"/>
      <c r="X585" s="19"/>
      <c r="Y585" s="19"/>
      <c r="Z585" s="23"/>
    </row>
    <row r="586" spans="1:26" ht="15.75" customHeight="1" x14ac:dyDescent="0.2">
      <c r="A586" s="34"/>
      <c r="B586" s="34"/>
      <c r="C586" s="34"/>
      <c r="D586" s="34"/>
      <c r="E586" s="19"/>
      <c r="F586" s="19"/>
      <c r="G586" s="19"/>
      <c r="H586" s="19"/>
      <c r="I586" s="19"/>
      <c r="J586" s="19"/>
      <c r="K586" s="19"/>
      <c r="L586" s="19"/>
      <c r="M586" s="19"/>
      <c r="N586" s="19"/>
      <c r="O586" s="19"/>
      <c r="P586" s="20"/>
      <c r="Q586" s="20"/>
      <c r="R586" s="22"/>
      <c r="S586" s="22"/>
      <c r="T586" s="20"/>
      <c r="U586" s="20"/>
      <c r="V586" s="20"/>
      <c r="W586" s="19"/>
      <c r="X586" s="19"/>
      <c r="Y586" s="19"/>
      <c r="Z586" s="23"/>
    </row>
    <row r="587" spans="1:26" ht="15.75" customHeight="1" x14ac:dyDescent="0.2">
      <c r="A587" s="34"/>
      <c r="B587" s="34"/>
      <c r="C587" s="34"/>
      <c r="D587" s="34"/>
      <c r="E587" s="19"/>
      <c r="F587" s="19"/>
      <c r="G587" s="19"/>
      <c r="H587" s="19"/>
      <c r="I587" s="19"/>
      <c r="J587" s="19"/>
      <c r="K587" s="19"/>
      <c r="L587" s="19"/>
      <c r="M587" s="19"/>
      <c r="N587" s="19"/>
      <c r="O587" s="19"/>
      <c r="P587" s="20"/>
      <c r="Q587" s="20"/>
      <c r="R587" s="22"/>
      <c r="S587" s="22"/>
      <c r="T587" s="20"/>
      <c r="U587" s="20"/>
      <c r="V587" s="20"/>
      <c r="W587" s="19"/>
      <c r="X587" s="19"/>
      <c r="Y587" s="19"/>
      <c r="Z587" s="23"/>
    </row>
    <row r="588" spans="1:26" ht="15.75" customHeight="1" x14ac:dyDescent="0.2">
      <c r="A588" s="34"/>
      <c r="B588" s="34"/>
      <c r="C588" s="34"/>
      <c r="D588" s="34"/>
      <c r="E588" s="19"/>
      <c r="F588" s="19"/>
      <c r="G588" s="19"/>
      <c r="H588" s="19"/>
      <c r="I588" s="19"/>
      <c r="J588" s="19"/>
      <c r="K588" s="19"/>
      <c r="L588" s="19"/>
      <c r="M588" s="19"/>
      <c r="N588" s="19"/>
      <c r="O588" s="19"/>
      <c r="P588" s="20"/>
      <c r="Q588" s="20"/>
      <c r="R588" s="22"/>
      <c r="S588" s="22"/>
      <c r="T588" s="20"/>
      <c r="U588" s="20"/>
      <c r="V588" s="20"/>
      <c r="W588" s="19"/>
      <c r="X588" s="19"/>
      <c r="Y588" s="19"/>
      <c r="Z588" s="23"/>
    </row>
    <row r="589" spans="1:26" ht="15.75" customHeight="1" x14ac:dyDescent="0.2">
      <c r="A589" s="34"/>
      <c r="B589" s="34"/>
      <c r="C589" s="34"/>
      <c r="D589" s="34"/>
      <c r="E589" s="19"/>
      <c r="F589" s="19"/>
      <c r="G589" s="19"/>
      <c r="H589" s="19"/>
      <c r="I589" s="19"/>
      <c r="J589" s="19"/>
      <c r="K589" s="19"/>
      <c r="L589" s="19"/>
      <c r="M589" s="19"/>
      <c r="N589" s="19"/>
      <c r="O589" s="19"/>
      <c r="P589" s="20"/>
      <c r="Q589" s="20"/>
      <c r="R589" s="22"/>
      <c r="S589" s="22"/>
      <c r="T589" s="20"/>
      <c r="U589" s="20"/>
      <c r="V589" s="20"/>
      <c r="W589" s="19"/>
      <c r="X589" s="19"/>
      <c r="Y589" s="19"/>
      <c r="Z589" s="23"/>
    </row>
    <row r="590" spans="1:26" ht="15.75" customHeight="1" x14ac:dyDescent="0.2">
      <c r="A590" s="34"/>
      <c r="B590" s="34"/>
      <c r="C590" s="34"/>
      <c r="D590" s="34"/>
      <c r="E590" s="19"/>
      <c r="F590" s="19"/>
      <c r="G590" s="19"/>
      <c r="H590" s="19"/>
      <c r="I590" s="19"/>
      <c r="J590" s="19"/>
      <c r="K590" s="19"/>
      <c r="L590" s="19"/>
      <c r="M590" s="19"/>
      <c r="N590" s="19"/>
      <c r="O590" s="19"/>
      <c r="P590" s="20"/>
      <c r="Q590" s="20"/>
      <c r="R590" s="22"/>
      <c r="S590" s="22"/>
      <c r="T590" s="20"/>
      <c r="U590" s="20"/>
      <c r="V590" s="20"/>
      <c r="W590" s="19"/>
      <c r="X590" s="19"/>
      <c r="Y590" s="19"/>
      <c r="Z590" s="23"/>
    </row>
    <row r="591" spans="1:26" ht="15.75" customHeight="1" x14ac:dyDescent="0.2">
      <c r="A591" s="34"/>
      <c r="B591" s="34"/>
      <c r="C591" s="34"/>
      <c r="D591" s="34"/>
      <c r="E591" s="19"/>
      <c r="F591" s="19"/>
      <c r="G591" s="19"/>
      <c r="H591" s="19"/>
      <c r="I591" s="19"/>
      <c r="J591" s="19"/>
      <c r="K591" s="19"/>
      <c r="L591" s="19"/>
      <c r="M591" s="19"/>
      <c r="N591" s="19"/>
      <c r="O591" s="19"/>
      <c r="P591" s="20"/>
      <c r="Q591" s="20"/>
      <c r="R591" s="22"/>
      <c r="S591" s="22"/>
      <c r="T591" s="20"/>
      <c r="U591" s="20"/>
      <c r="V591" s="20"/>
      <c r="W591" s="19"/>
      <c r="X591" s="19"/>
      <c r="Y591" s="19"/>
      <c r="Z591" s="23"/>
    </row>
    <row r="592" spans="1:26" ht="15.75" customHeight="1" x14ac:dyDescent="0.2">
      <c r="A592" s="34"/>
      <c r="B592" s="34"/>
      <c r="C592" s="34"/>
      <c r="D592" s="34"/>
      <c r="E592" s="19"/>
      <c r="F592" s="19"/>
      <c r="G592" s="19"/>
      <c r="H592" s="19"/>
      <c r="I592" s="19"/>
      <c r="J592" s="19"/>
      <c r="K592" s="19"/>
      <c r="L592" s="19"/>
      <c r="M592" s="19"/>
      <c r="N592" s="19"/>
      <c r="O592" s="19"/>
      <c r="P592" s="20"/>
      <c r="Q592" s="20"/>
      <c r="R592" s="22"/>
      <c r="S592" s="22"/>
      <c r="T592" s="20"/>
      <c r="U592" s="20"/>
      <c r="V592" s="20"/>
      <c r="W592" s="19"/>
      <c r="X592" s="19"/>
      <c r="Y592" s="19"/>
      <c r="Z592" s="23"/>
    </row>
    <row r="593" spans="1:26" ht="15.75" customHeight="1" x14ac:dyDescent="0.2">
      <c r="A593" s="34"/>
      <c r="B593" s="34"/>
      <c r="C593" s="34"/>
      <c r="D593" s="34"/>
      <c r="E593" s="19"/>
      <c r="F593" s="19"/>
      <c r="G593" s="19"/>
      <c r="H593" s="19"/>
      <c r="I593" s="19"/>
      <c r="J593" s="19"/>
      <c r="K593" s="19"/>
      <c r="L593" s="19"/>
      <c r="M593" s="19"/>
      <c r="N593" s="19"/>
      <c r="O593" s="19"/>
      <c r="P593" s="20"/>
      <c r="Q593" s="20"/>
      <c r="R593" s="22"/>
      <c r="S593" s="22"/>
      <c r="T593" s="20"/>
      <c r="U593" s="20"/>
      <c r="V593" s="20"/>
      <c r="W593" s="19"/>
      <c r="X593" s="19"/>
      <c r="Y593" s="19"/>
      <c r="Z593" s="23"/>
    </row>
    <row r="594" spans="1:26" ht="15.75" customHeight="1" x14ac:dyDescent="0.2">
      <c r="A594" s="34"/>
      <c r="B594" s="34"/>
      <c r="C594" s="34"/>
      <c r="D594" s="34"/>
      <c r="E594" s="19"/>
      <c r="F594" s="19"/>
      <c r="G594" s="19"/>
      <c r="H594" s="19"/>
      <c r="I594" s="19"/>
      <c r="J594" s="19"/>
      <c r="K594" s="19"/>
      <c r="L594" s="19"/>
      <c r="M594" s="19"/>
      <c r="N594" s="19"/>
      <c r="O594" s="19"/>
      <c r="P594" s="20"/>
      <c r="Q594" s="20"/>
      <c r="R594" s="22"/>
      <c r="S594" s="22"/>
      <c r="T594" s="20"/>
      <c r="U594" s="20"/>
      <c r="V594" s="20"/>
      <c r="W594" s="19"/>
      <c r="X594" s="19"/>
      <c r="Y594" s="19"/>
      <c r="Z594" s="23"/>
    </row>
    <row r="595" spans="1:26" ht="15.75" customHeight="1" x14ac:dyDescent="0.2">
      <c r="A595" s="34"/>
      <c r="B595" s="34"/>
      <c r="C595" s="34"/>
      <c r="D595" s="34"/>
      <c r="E595" s="19"/>
      <c r="F595" s="19"/>
      <c r="G595" s="19"/>
      <c r="H595" s="19"/>
      <c r="I595" s="19"/>
      <c r="J595" s="19"/>
      <c r="K595" s="19"/>
      <c r="L595" s="19"/>
      <c r="M595" s="19"/>
      <c r="N595" s="19"/>
      <c r="O595" s="19"/>
      <c r="P595" s="20"/>
      <c r="Q595" s="20"/>
      <c r="R595" s="22"/>
      <c r="S595" s="22"/>
      <c r="T595" s="20"/>
      <c r="U595" s="20"/>
      <c r="V595" s="20"/>
      <c r="W595" s="19"/>
      <c r="X595" s="19"/>
      <c r="Y595" s="19"/>
      <c r="Z595" s="23"/>
    </row>
    <row r="596" spans="1:26" ht="15.75" customHeight="1" x14ac:dyDescent="0.2">
      <c r="A596" s="34"/>
      <c r="B596" s="34"/>
      <c r="C596" s="34"/>
      <c r="D596" s="34"/>
      <c r="E596" s="19"/>
      <c r="F596" s="19"/>
      <c r="G596" s="19"/>
      <c r="H596" s="19"/>
      <c r="I596" s="19"/>
      <c r="J596" s="19"/>
      <c r="K596" s="19"/>
      <c r="L596" s="19"/>
      <c r="M596" s="19"/>
      <c r="N596" s="19"/>
      <c r="O596" s="19"/>
      <c r="P596" s="20"/>
      <c r="Q596" s="20"/>
      <c r="R596" s="22"/>
      <c r="S596" s="22"/>
      <c r="T596" s="20"/>
      <c r="U596" s="20"/>
      <c r="V596" s="20"/>
      <c r="W596" s="19"/>
      <c r="X596" s="19"/>
      <c r="Y596" s="19"/>
      <c r="Z596" s="23"/>
    </row>
    <row r="597" spans="1:26" ht="15.75" customHeight="1" x14ac:dyDescent="0.2">
      <c r="A597" s="34"/>
      <c r="B597" s="34"/>
      <c r="C597" s="34"/>
      <c r="D597" s="34"/>
      <c r="E597" s="19"/>
      <c r="F597" s="19"/>
      <c r="G597" s="19"/>
      <c r="H597" s="19"/>
      <c r="I597" s="19"/>
      <c r="J597" s="19"/>
      <c r="K597" s="19"/>
      <c r="L597" s="19"/>
      <c r="M597" s="19"/>
      <c r="N597" s="19"/>
      <c r="O597" s="19"/>
      <c r="P597" s="20"/>
      <c r="Q597" s="20"/>
      <c r="R597" s="22"/>
      <c r="S597" s="22"/>
      <c r="T597" s="20"/>
      <c r="U597" s="20"/>
      <c r="V597" s="20"/>
      <c r="W597" s="19"/>
      <c r="X597" s="19"/>
      <c r="Y597" s="19"/>
      <c r="Z597" s="23"/>
    </row>
    <row r="598" spans="1:26" ht="15.75" customHeight="1" x14ac:dyDescent="0.2">
      <c r="A598" s="34"/>
      <c r="B598" s="34"/>
      <c r="C598" s="34"/>
      <c r="D598" s="34"/>
      <c r="E598" s="19"/>
      <c r="F598" s="19"/>
      <c r="G598" s="19"/>
      <c r="H598" s="19"/>
      <c r="I598" s="19"/>
      <c r="J598" s="19"/>
      <c r="K598" s="19"/>
      <c r="L598" s="19"/>
      <c r="M598" s="19"/>
      <c r="N598" s="19"/>
      <c r="O598" s="19"/>
      <c r="P598" s="20"/>
      <c r="Q598" s="20"/>
      <c r="R598" s="22"/>
      <c r="S598" s="22"/>
      <c r="T598" s="20"/>
      <c r="U598" s="20"/>
      <c r="V598" s="20"/>
      <c r="W598" s="19"/>
      <c r="X598" s="19"/>
      <c r="Y598" s="19"/>
      <c r="Z598" s="23"/>
    </row>
    <row r="599" spans="1:26" ht="15.75" customHeight="1" x14ac:dyDescent="0.2">
      <c r="A599" s="34"/>
      <c r="B599" s="34"/>
      <c r="C599" s="34"/>
      <c r="D599" s="34"/>
      <c r="E599" s="19"/>
      <c r="F599" s="19"/>
      <c r="G599" s="19"/>
      <c r="H599" s="19"/>
      <c r="I599" s="19"/>
      <c r="J599" s="19"/>
      <c r="K599" s="19"/>
      <c r="L599" s="19"/>
      <c r="M599" s="19"/>
      <c r="N599" s="19"/>
      <c r="O599" s="19"/>
      <c r="P599" s="20"/>
      <c r="Q599" s="20"/>
      <c r="R599" s="22"/>
      <c r="S599" s="22"/>
      <c r="T599" s="20"/>
      <c r="U599" s="20"/>
      <c r="V599" s="20"/>
      <c r="W599" s="19"/>
      <c r="X599" s="19"/>
      <c r="Y599" s="19"/>
      <c r="Z599" s="23"/>
    </row>
    <row r="600" spans="1:26" ht="15.75" customHeight="1" x14ac:dyDescent="0.2">
      <c r="A600" s="34"/>
      <c r="B600" s="34"/>
      <c r="C600" s="34"/>
      <c r="D600" s="34"/>
      <c r="E600" s="19"/>
      <c r="F600" s="19"/>
      <c r="G600" s="19"/>
      <c r="H600" s="19"/>
      <c r="I600" s="19"/>
      <c r="J600" s="19"/>
      <c r="K600" s="19"/>
      <c r="L600" s="19"/>
      <c r="M600" s="19"/>
      <c r="N600" s="19"/>
      <c r="O600" s="19"/>
      <c r="P600" s="20"/>
      <c r="Q600" s="20"/>
      <c r="R600" s="22"/>
      <c r="S600" s="22"/>
      <c r="T600" s="20"/>
      <c r="U600" s="20"/>
      <c r="V600" s="20"/>
      <c r="W600" s="19"/>
      <c r="X600" s="19"/>
      <c r="Y600" s="19"/>
      <c r="Z600" s="23"/>
    </row>
    <row r="601" spans="1:26" ht="15.75" customHeight="1" x14ac:dyDescent="0.2">
      <c r="A601" s="34"/>
      <c r="B601" s="34"/>
      <c r="C601" s="34"/>
      <c r="D601" s="34"/>
      <c r="E601" s="19"/>
      <c r="F601" s="19"/>
      <c r="G601" s="19"/>
      <c r="H601" s="19"/>
      <c r="I601" s="19"/>
      <c r="J601" s="19"/>
      <c r="K601" s="19"/>
      <c r="L601" s="19"/>
      <c r="M601" s="19"/>
      <c r="N601" s="19"/>
      <c r="O601" s="19"/>
      <c r="P601" s="20"/>
      <c r="Q601" s="20"/>
      <c r="R601" s="22"/>
      <c r="S601" s="22"/>
      <c r="T601" s="20"/>
      <c r="U601" s="20"/>
      <c r="V601" s="20"/>
      <c r="W601" s="19"/>
      <c r="X601" s="19"/>
      <c r="Y601" s="19"/>
      <c r="Z601" s="23"/>
    </row>
    <row r="602" spans="1:26" ht="15.75" customHeight="1" x14ac:dyDescent="0.2">
      <c r="A602" s="34"/>
      <c r="B602" s="34"/>
      <c r="C602" s="34"/>
      <c r="D602" s="34"/>
      <c r="E602" s="19"/>
      <c r="F602" s="19"/>
      <c r="G602" s="19"/>
      <c r="H602" s="19"/>
      <c r="I602" s="19"/>
      <c r="J602" s="19"/>
      <c r="K602" s="19"/>
      <c r="L602" s="19"/>
      <c r="M602" s="19"/>
      <c r="N602" s="19"/>
      <c r="O602" s="19"/>
      <c r="P602" s="20"/>
      <c r="Q602" s="20"/>
      <c r="R602" s="22"/>
      <c r="S602" s="22"/>
      <c r="T602" s="20"/>
      <c r="U602" s="20"/>
      <c r="V602" s="20"/>
      <c r="W602" s="19"/>
      <c r="X602" s="19"/>
      <c r="Y602" s="19"/>
      <c r="Z602" s="23"/>
    </row>
    <row r="603" spans="1:26" ht="15.75" customHeight="1" x14ac:dyDescent="0.2">
      <c r="A603" s="34"/>
      <c r="B603" s="34"/>
      <c r="C603" s="34"/>
      <c r="D603" s="34"/>
      <c r="E603" s="19"/>
      <c r="F603" s="19"/>
      <c r="G603" s="19"/>
      <c r="H603" s="19"/>
      <c r="I603" s="19"/>
      <c r="J603" s="19"/>
      <c r="K603" s="19"/>
      <c r="L603" s="19"/>
      <c r="M603" s="19"/>
      <c r="N603" s="19"/>
      <c r="O603" s="19"/>
      <c r="P603" s="20"/>
      <c r="Q603" s="20"/>
      <c r="R603" s="22"/>
      <c r="S603" s="22"/>
      <c r="T603" s="20"/>
      <c r="U603" s="20"/>
      <c r="V603" s="20"/>
      <c r="W603" s="19"/>
      <c r="X603" s="19"/>
      <c r="Y603" s="19"/>
      <c r="Z603" s="23"/>
    </row>
    <row r="604" spans="1:26" ht="15.75" customHeight="1" x14ac:dyDescent="0.2">
      <c r="A604" s="34"/>
      <c r="B604" s="34"/>
      <c r="C604" s="34"/>
      <c r="D604" s="34"/>
      <c r="E604" s="19"/>
      <c r="F604" s="19"/>
      <c r="G604" s="19"/>
      <c r="H604" s="19"/>
      <c r="I604" s="19"/>
      <c r="J604" s="19"/>
      <c r="K604" s="19"/>
      <c r="L604" s="19"/>
      <c r="M604" s="19"/>
      <c r="N604" s="19"/>
      <c r="O604" s="19"/>
      <c r="P604" s="20"/>
      <c r="Q604" s="20"/>
      <c r="R604" s="22"/>
      <c r="S604" s="22"/>
      <c r="T604" s="20"/>
      <c r="U604" s="20"/>
      <c r="V604" s="20"/>
      <c r="W604" s="19"/>
      <c r="X604" s="19"/>
      <c r="Y604" s="19"/>
      <c r="Z604" s="23"/>
    </row>
    <row r="605" spans="1:26" ht="15.75" customHeight="1" x14ac:dyDescent="0.2">
      <c r="A605" s="34"/>
      <c r="B605" s="34"/>
      <c r="C605" s="34"/>
      <c r="D605" s="34"/>
      <c r="E605" s="19"/>
      <c r="F605" s="19"/>
      <c r="G605" s="19"/>
      <c r="H605" s="19"/>
      <c r="I605" s="19"/>
      <c r="J605" s="19"/>
      <c r="K605" s="19"/>
      <c r="L605" s="19"/>
      <c r="M605" s="19"/>
      <c r="N605" s="19"/>
      <c r="O605" s="19"/>
      <c r="P605" s="20"/>
      <c r="Q605" s="20"/>
      <c r="R605" s="22"/>
      <c r="S605" s="22"/>
      <c r="T605" s="20"/>
      <c r="U605" s="20"/>
      <c r="V605" s="20"/>
      <c r="W605" s="19"/>
      <c r="X605" s="19"/>
      <c r="Y605" s="19"/>
      <c r="Z605" s="23"/>
    </row>
    <row r="606" spans="1:26" ht="15.75" customHeight="1" x14ac:dyDescent="0.2">
      <c r="A606" s="34"/>
      <c r="B606" s="34"/>
      <c r="C606" s="34"/>
      <c r="D606" s="34"/>
      <c r="E606" s="19"/>
      <c r="F606" s="19"/>
      <c r="G606" s="19"/>
      <c r="H606" s="19"/>
      <c r="I606" s="19"/>
      <c r="J606" s="19"/>
      <c r="K606" s="19"/>
      <c r="L606" s="19"/>
      <c r="M606" s="19"/>
      <c r="N606" s="19"/>
      <c r="O606" s="19"/>
      <c r="P606" s="20"/>
      <c r="Q606" s="20"/>
      <c r="R606" s="22"/>
      <c r="S606" s="22"/>
      <c r="T606" s="20"/>
      <c r="U606" s="20"/>
      <c r="V606" s="20"/>
      <c r="W606" s="19"/>
      <c r="X606" s="19"/>
      <c r="Y606" s="19"/>
      <c r="Z606" s="23"/>
    </row>
    <row r="607" spans="1:26" ht="15.75" customHeight="1" x14ac:dyDescent="0.2">
      <c r="A607" s="34"/>
      <c r="B607" s="34"/>
      <c r="C607" s="34"/>
      <c r="D607" s="34"/>
      <c r="E607" s="19"/>
      <c r="F607" s="19"/>
      <c r="G607" s="19"/>
      <c r="H607" s="19"/>
      <c r="I607" s="19"/>
      <c r="J607" s="19"/>
      <c r="K607" s="19"/>
      <c r="L607" s="19"/>
      <c r="M607" s="19"/>
      <c r="N607" s="19"/>
      <c r="O607" s="19"/>
      <c r="P607" s="20"/>
      <c r="Q607" s="20"/>
      <c r="R607" s="22"/>
      <c r="S607" s="22"/>
      <c r="T607" s="20"/>
      <c r="U607" s="20"/>
      <c r="V607" s="20"/>
      <c r="W607" s="19"/>
      <c r="X607" s="19"/>
      <c r="Y607" s="19"/>
      <c r="Z607" s="23"/>
    </row>
    <row r="608" spans="1:26" ht="15.75" customHeight="1" x14ac:dyDescent="0.2">
      <c r="A608" s="34"/>
      <c r="B608" s="34"/>
      <c r="C608" s="34"/>
      <c r="D608" s="34"/>
      <c r="E608" s="19"/>
      <c r="F608" s="19"/>
      <c r="G608" s="19"/>
      <c r="H608" s="19"/>
      <c r="I608" s="19"/>
      <c r="J608" s="19"/>
      <c r="K608" s="19"/>
      <c r="L608" s="19"/>
      <c r="M608" s="19"/>
      <c r="N608" s="19"/>
      <c r="O608" s="19"/>
      <c r="P608" s="20"/>
      <c r="Q608" s="20"/>
      <c r="R608" s="22"/>
      <c r="S608" s="22"/>
      <c r="T608" s="20"/>
      <c r="U608" s="20"/>
      <c r="V608" s="20"/>
      <c r="W608" s="19"/>
      <c r="X608" s="19"/>
      <c r="Y608" s="19"/>
      <c r="Z608" s="23"/>
    </row>
    <row r="609" spans="1:26" ht="15.75" customHeight="1" x14ac:dyDescent="0.2">
      <c r="A609" s="34"/>
      <c r="B609" s="34"/>
      <c r="C609" s="34"/>
      <c r="D609" s="34"/>
      <c r="E609" s="19"/>
      <c r="F609" s="19"/>
      <c r="G609" s="19"/>
      <c r="H609" s="19"/>
      <c r="I609" s="19"/>
      <c r="J609" s="19"/>
      <c r="K609" s="19"/>
      <c r="L609" s="19"/>
      <c r="M609" s="19"/>
      <c r="N609" s="19"/>
      <c r="O609" s="19"/>
      <c r="P609" s="20"/>
      <c r="Q609" s="20"/>
      <c r="R609" s="22"/>
      <c r="S609" s="22"/>
      <c r="T609" s="20"/>
      <c r="U609" s="20"/>
      <c r="V609" s="20"/>
      <c r="W609" s="19"/>
      <c r="X609" s="19"/>
      <c r="Y609" s="19"/>
      <c r="Z609" s="23"/>
    </row>
    <row r="610" spans="1:26" ht="15.75" customHeight="1" x14ac:dyDescent="0.2">
      <c r="A610" s="34"/>
      <c r="B610" s="34"/>
      <c r="C610" s="34"/>
      <c r="D610" s="34"/>
      <c r="E610" s="19"/>
      <c r="F610" s="19"/>
      <c r="G610" s="19"/>
      <c r="H610" s="19"/>
      <c r="I610" s="19"/>
      <c r="J610" s="19"/>
      <c r="K610" s="19"/>
      <c r="L610" s="19"/>
      <c r="M610" s="19"/>
      <c r="N610" s="19"/>
      <c r="O610" s="19"/>
      <c r="P610" s="20"/>
      <c r="Q610" s="20"/>
      <c r="R610" s="22"/>
      <c r="S610" s="22"/>
      <c r="T610" s="20"/>
      <c r="U610" s="20"/>
      <c r="V610" s="20"/>
      <c r="W610" s="19"/>
      <c r="X610" s="19"/>
      <c r="Y610" s="19"/>
      <c r="Z610" s="23"/>
    </row>
    <row r="611" spans="1:26" ht="15.75" customHeight="1" x14ac:dyDescent="0.2">
      <c r="A611" s="34"/>
      <c r="B611" s="34"/>
      <c r="C611" s="34"/>
      <c r="D611" s="34"/>
      <c r="E611" s="19"/>
      <c r="F611" s="19"/>
      <c r="G611" s="19"/>
      <c r="H611" s="19"/>
      <c r="I611" s="19"/>
      <c r="J611" s="19"/>
      <c r="K611" s="19"/>
      <c r="L611" s="19"/>
      <c r="M611" s="19"/>
      <c r="N611" s="19"/>
      <c r="O611" s="19"/>
      <c r="P611" s="20"/>
      <c r="Q611" s="20"/>
      <c r="R611" s="22"/>
      <c r="S611" s="22"/>
      <c r="T611" s="20"/>
      <c r="U611" s="20"/>
      <c r="V611" s="20"/>
      <c r="W611" s="19"/>
      <c r="X611" s="19"/>
      <c r="Y611" s="19"/>
      <c r="Z611" s="23"/>
    </row>
    <row r="612" spans="1:26" ht="15.75" customHeight="1" x14ac:dyDescent="0.2">
      <c r="A612" s="34"/>
      <c r="B612" s="34"/>
      <c r="C612" s="34"/>
      <c r="D612" s="34"/>
      <c r="E612" s="19"/>
      <c r="F612" s="19"/>
      <c r="G612" s="19"/>
      <c r="H612" s="19"/>
      <c r="I612" s="19"/>
      <c r="J612" s="19"/>
      <c r="K612" s="19"/>
      <c r="L612" s="19"/>
      <c r="M612" s="19"/>
      <c r="N612" s="19"/>
      <c r="O612" s="19"/>
      <c r="P612" s="20"/>
      <c r="Q612" s="20"/>
      <c r="R612" s="22"/>
      <c r="S612" s="22"/>
      <c r="T612" s="20"/>
      <c r="U612" s="20"/>
      <c r="V612" s="20"/>
      <c r="W612" s="19"/>
      <c r="X612" s="19"/>
      <c r="Y612" s="19"/>
      <c r="Z612" s="23"/>
    </row>
    <row r="613" spans="1:26" ht="15.75" customHeight="1" x14ac:dyDescent="0.2">
      <c r="A613" s="34"/>
      <c r="B613" s="34"/>
      <c r="C613" s="34"/>
      <c r="D613" s="34"/>
      <c r="E613" s="19"/>
      <c r="F613" s="19"/>
      <c r="G613" s="19"/>
      <c r="H613" s="19"/>
      <c r="I613" s="19"/>
      <c r="J613" s="19"/>
      <c r="K613" s="19"/>
      <c r="L613" s="19"/>
      <c r="M613" s="19"/>
      <c r="N613" s="19"/>
      <c r="O613" s="19"/>
      <c r="P613" s="20"/>
      <c r="Q613" s="20"/>
      <c r="R613" s="22"/>
      <c r="S613" s="22"/>
      <c r="T613" s="20"/>
      <c r="U613" s="20"/>
      <c r="V613" s="20"/>
      <c r="W613" s="19"/>
      <c r="X613" s="19"/>
      <c r="Y613" s="19"/>
      <c r="Z613" s="23"/>
    </row>
    <row r="614" spans="1:26" ht="15.75" customHeight="1" x14ac:dyDescent="0.2">
      <c r="A614" s="34"/>
      <c r="B614" s="34"/>
      <c r="C614" s="34"/>
      <c r="D614" s="34"/>
      <c r="E614" s="19"/>
      <c r="F614" s="19"/>
      <c r="G614" s="19"/>
      <c r="H614" s="19"/>
      <c r="I614" s="19"/>
      <c r="J614" s="19"/>
      <c r="K614" s="19"/>
      <c r="L614" s="19"/>
      <c r="M614" s="19"/>
      <c r="N614" s="19"/>
      <c r="O614" s="19"/>
      <c r="P614" s="20"/>
      <c r="Q614" s="20"/>
      <c r="R614" s="22"/>
      <c r="S614" s="22"/>
      <c r="T614" s="20"/>
      <c r="U614" s="20"/>
      <c r="V614" s="20"/>
      <c r="W614" s="19"/>
      <c r="X614" s="19"/>
      <c r="Y614" s="19"/>
      <c r="Z614" s="23"/>
    </row>
    <row r="615" spans="1:26" ht="15.75" customHeight="1" x14ac:dyDescent="0.2">
      <c r="A615" s="34"/>
      <c r="B615" s="34"/>
      <c r="C615" s="34"/>
      <c r="D615" s="34"/>
      <c r="E615" s="19"/>
      <c r="F615" s="19"/>
      <c r="G615" s="19"/>
      <c r="H615" s="19"/>
      <c r="I615" s="19"/>
      <c r="J615" s="19"/>
      <c r="K615" s="19"/>
      <c r="L615" s="19"/>
      <c r="M615" s="19"/>
      <c r="N615" s="19"/>
      <c r="O615" s="19"/>
      <c r="P615" s="20"/>
      <c r="Q615" s="20"/>
      <c r="R615" s="22"/>
      <c r="S615" s="22"/>
      <c r="T615" s="20"/>
      <c r="U615" s="20"/>
      <c r="V615" s="20"/>
      <c r="W615" s="19"/>
      <c r="X615" s="19"/>
      <c r="Y615" s="19"/>
      <c r="Z615" s="23"/>
    </row>
    <row r="616" spans="1:26" ht="15.75" customHeight="1" x14ac:dyDescent="0.2">
      <c r="A616" s="34"/>
      <c r="B616" s="34"/>
      <c r="C616" s="34"/>
      <c r="D616" s="34"/>
      <c r="E616" s="19"/>
      <c r="F616" s="19"/>
      <c r="G616" s="19"/>
      <c r="H616" s="19"/>
      <c r="I616" s="19"/>
      <c r="J616" s="19"/>
      <c r="K616" s="19"/>
      <c r="L616" s="19"/>
      <c r="M616" s="19"/>
      <c r="N616" s="19"/>
      <c r="O616" s="19"/>
      <c r="P616" s="20"/>
      <c r="Q616" s="20"/>
      <c r="R616" s="22"/>
      <c r="S616" s="22"/>
      <c r="T616" s="20"/>
      <c r="U616" s="20"/>
      <c r="V616" s="20"/>
      <c r="W616" s="19"/>
      <c r="X616" s="19"/>
      <c r="Y616" s="19"/>
      <c r="Z616" s="23"/>
    </row>
    <row r="617" spans="1:26" ht="15.75" customHeight="1" x14ac:dyDescent="0.2">
      <c r="A617" s="34"/>
      <c r="B617" s="34"/>
      <c r="C617" s="34"/>
      <c r="D617" s="34"/>
      <c r="E617" s="19"/>
      <c r="F617" s="19"/>
      <c r="G617" s="19"/>
      <c r="H617" s="19"/>
      <c r="I617" s="19"/>
      <c r="J617" s="19"/>
      <c r="K617" s="19"/>
      <c r="L617" s="19"/>
      <c r="M617" s="19"/>
      <c r="N617" s="19"/>
      <c r="O617" s="19"/>
      <c r="P617" s="20"/>
      <c r="Q617" s="20"/>
      <c r="R617" s="22"/>
      <c r="S617" s="22"/>
      <c r="T617" s="20"/>
      <c r="U617" s="20"/>
      <c r="V617" s="20"/>
      <c r="W617" s="19"/>
      <c r="X617" s="19"/>
      <c r="Y617" s="19"/>
      <c r="Z617" s="23"/>
    </row>
    <row r="618" spans="1:26" ht="15.75" customHeight="1" x14ac:dyDescent="0.2">
      <c r="A618" s="34"/>
      <c r="B618" s="34"/>
      <c r="C618" s="34"/>
      <c r="D618" s="34"/>
      <c r="E618" s="19"/>
      <c r="F618" s="19"/>
      <c r="G618" s="19"/>
      <c r="H618" s="19"/>
      <c r="I618" s="19"/>
      <c r="J618" s="19"/>
      <c r="K618" s="19"/>
      <c r="L618" s="19"/>
      <c r="M618" s="19"/>
      <c r="N618" s="19"/>
      <c r="O618" s="19"/>
      <c r="P618" s="20"/>
      <c r="Q618" s="20"/>
      <c r="R618" s="22"/>
      <c r="S618" s="22"/>
      <c r="T618" s="20"/>
      <c r="U618" s="20"/>
      <c r="V618" s="20"/>
      <c r="W618" s="19"/>
      <c r="X618" s="19"/>
      <c r="Y618" s="19"/>
      <c r="Z618" s="23"/>
    </row>
    <row r="619" spans="1:26" ht="15.75" customHeight="1" x14ac:dyDescent="0.2">
      <c r="A619" s="34"/>
      <c r="B619" s="34"/>
      <c r="C619" s="34"/>
      <c r="D619" s="34"/>
      <c r="E619" s="19"/>
      <c r="F619" s="19"/>
      <c r="G619" s="19"/>
      <c r="H619" s="19"/>
      <c r="I619" s="19"/>
      <c r="J619" s="19"/>
      <c r="K619" s="19"/>
      <c r="L619" s="19"/>
      <c r="M619" s="19"/>
      <c r="N619" s="19"/>
      <c r="O619" s="19"/>
      <c r="P619" s="20"/>
      <c r="Q619" s="20"/>
      <c r="R619" s="22"/>
      <c r="S619" s="22"/>
      <c r="T619" s="20"/>
      <c r="U619" s="20"/>
      <c r="V619" s="20"/>
      <c r="W619" s="19"/>
      <c r="X619" s="19"/>
      <c r="Y619" s="19"/>
      <c r="Z619" s="23"/>
    </row>
    <row r="620" spans="1:26" ht="15.75" customHeight="1" x14ac:dyDescent="0.2">
      <c r="A620" s="34"/>
      <c r="B620" s="34"/>
      <c r="C620" s="34"/>
      <c r="D620" s="34"/>
      <c r="E620" s="19"/>
      <c r="F620" s="19"/>
      <c r="G620" s="19"/>
      <c r="H620" s="19"/>
      <c r="I620" s="19"/>
      <c r="J620" s="19"/>
      <c r="K620" s="19"/>
      <c r="L620" s="19"/>
      <c r="M620" s="19"/>
      <c r="N620" s="19"/>
      <c r="O620" s="19"/>
      <c r="P620" s="20"/>
      <c r="Q620" s="20"/>
      <c r="R620" s="22"/>
      <c r="S620" s="22"/>
      <c r="T620" s="20"/>
      <c r="U620" s="20"/>
      <c r="V620" s="20"/>
      <c r="W620" s="19"/>
      <c r="X620" s="19"/>
      <c r="Y620" s="19"/>
      <c r="Z620" s="23"/>
    </row>
    <row r="621" spans="1:26" ht="15.75" customHeight="1" x14ac:dyDescent="0.2">
      <c r="A621" s="34"/>
      <c r="B621" s="34"/>
      <c r="C621" s="34"/>
      <c r="D621" s="34"/>
      <c r="E621" s="19"/>
      <c r="F621" s="19"/>
      <c r="G621" s="19"/>
      <c r="H621" s="19"/>
      <c r="I621" s="19"/>
      <c r="J621" s="19"/>
      <c r="K621" s="19"/>
      <c r="L621" s="19"/>
      <c r="M621" s="19"/>
      <c r="N621" s="19"/>
      <c r="O621" s="19"/>
      <c r="P621" s="20"/>
      <c r="Q621" s="20"/>
      <c r="R621" s="22"/>
      <c r="S621" s="22"/>
      <c r="T621" s="20"/>
      <c r="U621" s="20"/>
      <c r="V621" s="20"/>
      <c r="W621" s="19"/>
      <c r="X621" s="19"/>
      <c r="Y621" s="19"/>
      <c r="Z621" s="23"/>
    </row>
    <row r="622" spans="1:26" ht="15.75" customHeight="1" x14ac:dyDescent="0.2">
      <c r="A622" s="34"/>
      <c r="B622" s="34"/>
      <c r="C622" s="34"/>
      <c r="D622" s="34"/>
      <c r="E622" s="19"/>
      <c r="F622" s="19"/>
      <c r="G622" s="19"/>
      <c r="H622" s="19"/>
      <c r="I622" s="19"/>
      <c r="J622" s="19"/>
      <c r="K622" s="19"/>
      <c r="L622" s="19"/>
      <c r="M622" s="19"/>
      <c r="N622" s="19"/>
      <c r="O622" s="19"/>
      <c r="P622" s="20"/>
      <c r="Q622" s="20"/>
      <c r="R622" s="22"/>
      <c r="S622" s="22"/>
      <c r="T622" s="20"/>
      <c r="U622" s="20"/>
      <c r="V622" s="20"/>
      <c r="W622" s="19"/>
      <c r="X622" s="19"/>
      <c r="Y622" s="19"/>
      <c r="Z622" s="23"/>
    </row>
    <row r="623" spans="1:26" ht="15.75" customHeight="1" x14ac:dyDescent="0.2">
      <c r="A623" s="34"/>
      <c r="B623" s="34"/>
      <c r="C623" s="34"/>
      <c r="D623" s="34"/>
      <c r="E623" s="19"/>
      <c r="F623" s="19"/>
      <c r="G623" s="19"/>
      <c r="H623" s="19"/>
      <c r="I623" s="19"/>
      <c r="J623" s="19"/>
      <c r="K623" s="19"/>
      <c r="L623" s="19"/>
      <c r="M623" s="19"/>
      <c r="N623" s="19"/>
      <c r="O623" s="19"/>
      <c r="P623" s="20"/>
      <c r="Q623" s="20"/>
      <c r="R623" s="22"/>
      <c r="S623" s="22"/>
      <c r="T623" s="20"/>
      <c r="U623" s="20"/>
      <c r="V623" s="20"/>
      <c r="W623" s="19"/>
      <c r="X623" s="19"/>
      <c r="Y623" s="19"/>
      <c r="Z623" s="23"/>
    </row>
    <row r="624" spans="1:26" ht="15.75" customHeight="1" x14ac:dyDescent="0.2">
      <c r="A624" s="34"/>
      <c r="B624" s="34"/>
      <c r="C624" s="34"/>
      <c r="D624" s="34"/>
      <c r="E624" s="19"/>
      <c r="F624" s="19"/>
      <c r="G624" s="19"/>
      <c r="H624" s="19"/>
      <c r="I624" s="19"/>
      <c r="J624" s="19"/>
      <c r="K624" s="19"/>
      <c r="L624" s="19"/>
      <c r="M624" s="19"/>
      <c r="N624" s="19"/>
      <c r="O624" s="19"/>
      <c r="P624" s="20"/>
      <c r="Q624" s="20"/>
      <c r="R624" s="22"/>
      <c r="S624" s="22"/>
      <c r="T624" s="20"/>
      <c r="U624" s="20"/>
      <c r="V624" s="20"/>
      <c r="W624" s="19"/>
      <c r="X624" s="19"/>
      <c r="Y624" s="19"/>
      <c r="Z624" s="23"/>
    </row>
    <row r="625" spans="1:26" ht="15.75" customHeight="1" x14ac:dyDescent="0.2">
      <c r="A625" s="34"/>
      <c r="B625" s="34"/>
      <c r="C625" s="34"/>
      <c r="D625" s="34"/>
      <c r="E625" s="19"/>
      <c r="F625" s="19"/>
      <c r="G625" s="19"/>
      <c r="H625" s="19"/>
      <c r="I625" s="19"/>
      <c r="J625" s="19"/>
      <c r="K625" s="19"/>
      <c r="L625" s="19"/>
      <c r="M625" s="19"/>
      <c r="N625" s="19"/>
      <c r="O625" s="19"/>
      <c r="P625" s="20"/>
      <c r="Q625" s="20"/>
      <c r="R625" s="22"/>
      <c r="S625" s="22"/>
      <c r="T625" s="20"/>
      <c r="U625" s="20"/>
      <c r="V625" s="20"/>
      <c r="W625" s="19"/>
      <c r="X625" s="19"/>
      <c r="Y625" s="19"/>
      <c r="Z625" s="23"/>
    </row>
    <row r="626" spans="1:26" ht="15.75" customHeight="1" x14ac:dyDescent="0.2">
      <c r="A626" s="34"/>
      <c r="B626" s="34"/>
      <c r="C626" s="34"/>
      <c r="D626" s="34"/>
      <c r="E626" s="19"/>
      <c r="F626" s="19"/>
      <c r="G626" s="19"/>
      <c r="H626" s="19"/>
      <c r="I626" s="19"/>
      <c r="J626" s="19"/>
      <c r="K626" s="19"/>
      <c r="L626" s="19"/>
      <c r="M626" s="19"/>
      <c r="N626" s="19"/>
      <c r="O626" s="19"/>
      <c r="P626" s="20"/>
      <c r="Q626" s="20"/>
      <c r="R626" s="22"/>
      <c r="S626" s="22"/>
      <c r="T626" s="20"/>
      <c r="U626" s="20"/>
      <c r="V626" s="20"/>
      <c r="W626" s="19"/>
      <c r="X626" s="19"/>
      <c r="Y626" s="19"/>
      <c r="Z626" s="23"/>
    </row>
    <row r="627" spans="1:26" ht="15.75" customHeight="1" x14ac:dyDescent="0.2">
      <c r="A627" s="34"/>
      <c r="B627" s="34"/>
      <c r="C627" s="34"/>
      <c r="D627" s="34"/>
      <c r="E627" s="19"/>
      <c r="F627" s="19"/>
      <c r="G627" s="19"/>
      <c r="H627" s="19"/>
      <c r="I627" s="19"/>
      <c r="J627" s="19"/>
      <c r="K627" s="19"/>
      <c r="L627" s="19"/>
      <c r="M627" s="19"/>
      <c r="N627" s="19"/>
      <c r="O627" s="19"/>
      <c r="P627" s="20"/>
      <c r="Q627" s="20"/>
      <c r="R627" s="22"/>
      <c r="S627" s="22"/>
      <c r="T627" s="20"/>
      <c r="U627" s="20"/>
      <c r="V627" s="20"/>
      <c r="W627" s="19"/>
      <c r="X627" s="19"/>
      <c r="Y627" s="19"/>
      <c r="Z627" s="23"/>
    </row>
    <row r="628" spans="1:26" ht="15.75" customHeight="1" x14ac:dyDescent="0.2">
      <c r="A628" s="34"/>
      <c r="B628" s="34"/>
      <c r="C628" s="34"/>
      <c r="D628" s="34"/>
      <c r="E628" s="19"/>
      <c r="F628" s="19"/>
      <c r="G628" s="19"/>
      <c r="H628" s="19"/>
      <c r="I628" s="19"/>
      <c r="J628" s="19"/>
      <c r="K628" s="19"/>
      <c r="L628" s="19"/>
      <c r="M628" s="19"/>
      <c r="N628" s="19"/>
      <c r="O628" s="19"/>
      <c r="P628" s="20"/>
      <c r="Q628" s="20"/>
      <c r="R628" s="22"/>
      <c r="S628" s="22"/>
      <c r="T628" s="20"/>
      <c r="U628" s="20"/>
      <c r="V628" s="20"/>
      <c r="W628" s="19"/>
      <c r="X628" s="19"/>
      <c r="Y628" s="19"/>
      <c r="Z628" s="23"/>
    </row>
    <row r="629" spans="1:26" ht="15.75" customHeight="1" x14ac:dyDescent="0.2">
      <c r="A629" s="34"/>
      <c r="B629" s="34"/>
      <c r="C629" s="34"/>
      <c r="D629" s="34"/>
      <c r="E629" s="19"/>
      <c r="F629" s="19"/>
      <c r="G629" s="19"/>
      <c r="H629" s="19"/>
      <c r="I629" s="19"/>
      <c r="J629" s="19"/>
      <c r="K629" s="19"/>
      <c r="L629" s="19"/>
      <c r="M629" s="19"/>
      <c r="N629" s="19"/>
      <c r="O629" s="19"/>
      <c r="P629" s="20"/>
      <c r="Q629" s="20"/>
      <c r="R629" s="22"/>
      <c r="S629" s="22"/>
      <c r="T629" s="20"/>
      <c r="U629" s="20"/>
      <c r="V629" s="20"/>
      <c r="W629" s="19"/>
      <c r="X629" s="19"/>
      <c r="Y629" s="19"/>
      <c r="Z629" s="23"/>
    </row>
    <row r="630" spans="1:26" ht="15.75" customHeight="1" x14ac:dyDescent="0.2">
      <c r="A630" s="34"/>
      <c r="B630" s="34"/>
      <c r="C630" s="34"/>
      <c r="D630" s="34"/>
      <c r="E630" s="19"/>
      <c r="F630" s="19"/>
      <c r="G630" s="19"/>
      <c r="H630" s="19"/>
      <c r="I630" s="19"/>
      <c r="J630" s="19"/>
      <c r="K630" s="19"/>
      <c r="L630" s="19"/>
      <c r="M630" s="19"/>
      <c r="N630" s="19"/>
      <c r="O630" s="19"/>
      <c r="P630" s="20"/>
      <c r="Q630" s="20"/>
      <c r="R630" s="22"/>
      <c r="S630" s="22"/>
      <c r="T630" s="20"/>
      <c r="U630" s="20"/>
      <c r="V630" s="20"/>
      <c r="W630" s="19"/>
      <c r="X630" s="19"/>
      <c r="Y630" s="19"/>
      <c r="Z630" s="23"/>
    </row>
    <row r="631" spans="1:26" ht="15.75" customHeight="1" x14ac:dyDescent="0.2">
      <c r="A631" s="34"/>
      <c r="B631" s="34"/>
      <c r="C631" s="34"/>
      <c r="D631" s="34"/>
      <c r="E631" s="19"/>
      <c r="F631" s="19"/>
      <c r="G631" s="19"/>
      <c r="H631" s="19"/>
      <c r="I631" s="19"/>
      <c r="J631" s="19"/>
      <c r="K631" s="19"/>
      <c r="L631" s="19"/>
      <c r="M631" s="19"/>
      <c r="N631" s="19"/>
      <c r="O631" s="19"/>
      <c r="P631" s="20"/>
      <c r="Q631" s="20"/>
      <c r="R631" s="22"/>
      <c r="S631" s="22"/>
      <c r="T631" s="20"/>
      <c r="U631" s="20"/>
      <c r="V631" s="20"/>
      <c r="W631" s="19"/>
      <c r="X631" s="19"/>
      <c r="Y631" s="19"/>
      <c r="Z631" s="23"/>
    </row>
    <row r="632" spans="1:26" ht="15.75" customHeight="1" x14ac:dyDescent="0.2">
      <c r="A632" s="34"/>
      <c r="B632" s="34"/>
      <c r="C632" s="34"/>
      <c r="D632" s="34"/>
      <c r="E632" s="19"/>
      <c r="F632" s="19"/>
      <c r="G632" s="19"/>
      <c r="H632" s="19"/>
      <c r="I632" s="19"/>
      <c r="J632" s="19"/>
      <c r="K632" s="19"/>
      <c r="L632" s="19"/>
      <c r="M632" s="19"/>
      <c r="N632" s="19"/>
      <c r="O632" s="19"/>
      <c r="P632" s="20"/>
      <c r="Q632" s="20"/>
      <c r="R632" s="22"/>
      <c r="S632" s="22"/>
      <c r="T632" s="20"/>
      <c r="U632" s="20"/>
      <c r="V632" s="20"/>
      <c r="W632" s="19"/>
      <c r="X632" s="19"/>
      <c r="Y632" s="19"/>
      <c r="Z632" s="23"/>
    </row>
    <row r="633" spans="1:26" ht="15.75" customHeight="1" x14ac:dyDescent="0.2">
      <c r="A633" s="34"/>
      <c r="B633" s="34"/>
      <c r="C633" s="34"/>
      <c r="D633" s="34"/>
      <c r="E633" s="19"/>
      <c r="F633" s="19"/>
      <c r="G633" s="19"/>
      <c r="H633" s="19"/>
      <c r="I633" s="19"/>
      <c r="J633" s="19"/>
      <c r="K633" s="19"/>
      <c r="L633" s="19"/>
      <c r="M633" s="19"/>
      <c r="N633" s="19"/>
      <c r="O633" s="19"/>
      <c r="P633" s="20"/>
      <c r="Q633" s="20"/>
      <c r="R633" s="22"/>
      <c r="S633" s="22"/>
      <c r="T633" s="20"/>
      <c r="U633" s="20"/>
      <c r="V633" s="20"/>
      <c r="W633" s="19"/>
      <c r="X633" s="19"/>
      <c r="Y633" s="19"/>
      <c r="Z633" s="23"/>
    </row>
    <row r="634" spans="1:26" ht="15.75" customHeight="1" x14ac:dyDescent="0.2">
      <c r="A634" s="34"/>
      <c r="B634" s="34"/>
      <c r="C634" s="34"/>
      <c r="D634" s="34"/>
      <c r="E634" s="19"/>
      <c r="F634" s="19"/>
      <c r="G634" s="19"/>
      <c r="H634" s="19"/>
      <c r="I634" s="19"/>
      <c r="J634" s="19"/>
      <c r="K634" s="19"/>
      <c r="L634" s="19"/>
      <c r="M634" s="19"/>
      <c r="N634" s="19"/>
      <c r="O634" s="19"/>
      <c r="P634" s="20"/>
      <c r="Q634" s="20"/>
      <c r="R634" s="22"/>
      <c r="S634" s="22"/>
      <c r="T634" s="20"/>
      <c r="U634" s="20"/>
      <c r="V634" s="20"/>
      <c r="W634" s="19"/>
      <c r="X634" s="19"/>
      <c r="Y634" s="19"/>
      <c r="Z634" s="23"/>
    </row>
    <row r="635" spans="1:26" ht="15.75" customHeight="1" x14ac:dyDescent="0.2">
      <c r="A635" s="34"/>
      <c r="B635" s="34"/>
      <c r="C635" s="34"/>
      <c r="D635" s="34"/>
      <c r="E635" s="19"/>
      <c r="F635" s="19"/>
      <c r="G635" s="19"/>
      <c r="H635" s="19"/>
      <c r="I635" s="19"/>
      <c r="J635" s="19"/>
      <c r="K635" s="19"/>
      <c r="L635" s="19"/>
      <c r="M635" s="19"/>
      <c r="N635" s="19"/>
      <c r="O635" s="19"/>
      <c r="P635" s="20"/>
      <c r="Q635" s="20"/>
      <c r="R635" s="22"/>
      <c r="S635" s="22"/>
      <c r="T635" s="20"/>
      <c r="U635" s="20"/>
      <c r="V635" s="20"/>
      <c r="W635" s="19"/>
      <c r="X635" s="19"/>
      <c r="Y635" s="19"/>
      <c r="Z635" s="23"/>
    </row>
    <row r="636" spans="1:26" ht="15.75" customHeight="1" x14ac:dyDescent="0.2">
      <c r="A636" s="34"/>
      <c r="B636" s="34"/>
      <c r="C636" s="34"/>
      <c r="D636" s="34"/>
      <c r="E636" s="19"/>
      <c r="F636" s="19"/>
      <c r="G636" s="19"/>
      <c r="H636" s="19"/>
      <c r="I636" s="19"/>
      <c r="J636" s="19"/>
      <c r="K636" s="19"/>
      <c r="L636" s="19"/>
      <c r="M636" s="19"/>
      <c r="N636" s="19"/>
      <c r="O636" s="19"/>
      <c r="P636" s="20"/>
      <c r="Q636" s="20"/>
      <c r="R636" s="22"/>
      <c r="S636" s="22"/>
      <c r="T636" s="20"/>
      <c r="U636" s="20"/>
      <c r="V636" s="20"/>
      <c r="W636" s="19"/>
      <c r="X636" s="19"/>
      <c r="Y636" s="19"/>
      <c r="Z636" s="23"/>
    </row>
    <row r="637" spans="1:26" ht="15.75" customHeight="1" x14ac:dyDescent="0.2">
      <c r="A637" s="34"/>
      <c r="B637" s="34"/>
      <c r="C637" s="34"/>
      <c r="D637" s="34"/>
      <c r="E637" s="19"/>
      <c r="F637" s="19"/>
      <c r="G637" s="19"/>
      <c r="H637" s="19"/>
      <c r="I637" s="19"/>
      <c r="J637" s="19"/>
      <c r="K637" s="19"/>
      <c r="L637" s="19"/>
      <c r="M637" s="19"/>
      <c r="N637" s="19"/>
      <c r="O637" s="19"/>
      <c r="P637" s="20"/>
      <c r="Q637" s="20"/>
      <c r="R637" s="22"/>
      <c r="S637" s="22"/>
      <c r="T637" s="20"/>
      <c r="U637" s="20"/>
      <c r="V637" s="20"/>
      <c r="W637" s="19"/>
      <c r="X637" s="19"/>
      <c r="Y637" s="19"/>
      <c r="Z637" s="23"/>
    </row>
    <row r="638" spans="1:26" ht="15.75" customHeight="1" x14ac:dyDescent="0.2">
      <c r="A638" s="34"/>
      <c r="B638" s="34"/>
      <c r="C638" s="34"/>
      <c r="D638" s="34"/>
      <c r="E638" s="19"/>
      <c r="F638" s="19"/>
      <c r="G638" s="19"/>
      <c r="H638" s="19"/>
      <c r="I638" s="19"/>
      <c r="J638" s="19"/>
      <c r="K638" s="19"/>
      <c r="L638" s="19"/>
      <c r="M638" s="19"/>
      <c r="N638" s="19"/>
      <c r="O638" s="19"/>
      <c r="P638" s="20"/>
      <c r="Q638" s="20"/>
      <c r="R638" s="22"/>
      <c r="S638" s="22"/>
      <c r="T638" s="20"/>
      <c r="U638" s="20"/>
      <c r="V638" s="20"/>
      <c r="W638" s="19"/>
      <c r="X638" s="19"/>
      <c r="Y638" s="19"/>
      <c r="Z638" s="23"/>
    </row>
    <row r="639" spans="1:26" ht="15.75" customHeight="1" x14ac:dyDescent="0.2">
      <c r="A639" s="34"/>
      <c r="B639" s="34"/>
      <c r="C639" s="34"/>
      <c r="D639" s="34"/>
      <c r="E639" s="19"/>
      <c r="F639" s="19"/>
      <c r="G639" s="19"/>
      <c r="H639" s="19"/>
      <c r="I639" s="19"/>
      <c r="J639" s="19"/>
      <c r="K639" s="19"/>
      <c r="L639" s="19"/>
      <c r="M639" s="19"/>
      <c r="N639" s="19"/>
      <c r="O639" s="19"/>
      <c r="P639" s="20"/>
      <c r="Q639" s="20"/>
      <c r="R639" s="22"/>
      <c r="S639" s="22"/>
      <c r="T639" s="20"/>
      <c r="U639" s="20"/>
      <c r="V639" s="20"/>
      <c r="W639" s="19"/>
      <c r="X639" s="19"/>
      <c r="Y639" s="19"/>
      <c r="Z639" s="23"/>
    </row>
    <row r="640" spans="1:26" ht="15.75" customHeight="1" x14ac:dyDescent="0.2">
      <c r="A640" s="34"/>
      <c r="B640" s="34"/>
      <c r="C640" s="34"/>
      <c r="D640" s="34"/>
      <c r="E640" s="19"/>
      <c r="F640" s="19"/>
      <c r="G640" s="19"/>
      <c r="H640" s="19"/>
      <c r="I640" s="19"/>
      <c r="J640" s="19"/>
      <c r="K640" s="19"/>
      <c r="L640" s="19"/>
      <c r="M640" s="19"/>
      <c r="N640" s="19"/>
      <c r="O640" s="19"/>
      <c r="P640" s="20"/>
      <c r="Q640" s="20"/>
      <c r="R640" s="22"/>
      <c r="S640" s="22"/>
      <c r="T640" s="20"/>
      <c r="U640" s="20"/>
      <c r="V640" s="20"/>
      <c r="W640" s="19"/>
      <c r="X640" s="19"/>
      <c r="Y640" s="19"/>
      <c r="Z640" s="23"/>
    </row>
    <row r="641" spans="1:26" ht="15.75" customHeight="1" x14ac:dyDescent="0.2">
      <c r="A641" s="34"/>
      <c r="B641" s="34"/>
      <c r="C641" s="34"/>
      <c r="D641" s="34"/>
      <c r="E641" s="19"/>
      <c r="F641" s="19"/>
      <c r="G641" s="19"/>
      <c r="H641" s="19"/>
      <c r="I641" s="19"/>
      <c r="J641" s="19"/>
      <c r="K641" s="19"/>
      <c r="L641" s="19"/>
      <c r="M641" s="19"/>
      <c r="N641" s="19"/>
      <c r="O641" s="19"/>
      <c r="P641" s="20"/>
      <c r="Q641" s="20"/>
      <c r="R641" s="22"/>
      <c r="S641" s="22"/>
      <c r="T641" s="20"/>
      <c r="U641" s="20"/>
      <c r="V641" s="20"/>
      <c r="W641" s="19"/>
      <c r="X641" s="19"/>
      <c r="Y641" s="19"/>
      <c r="Z641" s="23"/>
    </row>
    <row r="642" spans="1:26" ht="15.75" customHeight="1" x14ac:dyDescent="0.2">
      <c r="A642" s="34"/>
      <c r="B642" s="34"/>
      <c r="C642" s="34"/>
      <c r="D642" s="34"/>
      <c r="E642" s="19"/>
      <c r="F642" s="19"/>
      <c r="G642" s="19"/>
      <c r="H642" s="19"/>
      <c r="I642" s="19"/>
      <c r="J642" s="19"/>
      <c r="K642" s="19"/>
      <c r="L642" s="19"/>
      <c r="M642" s="19"/>
      <c r="N642" s="19"/>
      <c r="O642" s="19"/>
      <c r="P642" s="20"/>
      <c r="Q642" s="20"/>
      <c r="R642" s="22"/>
      <c r="S642" s="22"/>
      <c r="T642" s="20"/>
      <c r="U642" s="20"/>
      <c r="V642" s="20"/>
      <c r="W642" s="19"/>
      <c r="X642" s="19"/>
      <c r="Y642" s="19"/>
      <c r="Z642" s="23"/>
    </row>
    <row r="643" spans="1:26" ht="15.75" customHeight="1" x14ac:dyDescent="0.2">
      <c r="A643" s="34"/>
      <c r="B643" s="34"/>
      <c r="C643" s="34"/>
      <c r="D643" s="34"/>
      <c r="E643" s="19"/>
      <c r="F643" s="19"/>
      <c r="G643" s="19"/>
      <c r="H643" s="19"/>
      <c r="I643" s="19"/>
      <c r="J643" s="19"/>
      <c r="K643" s="19"/>
      <c r="L643" s="19"/>
      <c r="M643" s="19"/>
      <c r="N643" s="19"/>
      <c r="O643" s="19"/>
      <c r="P643" s="20"/>
      <c r="Q643" s="20"/>
      <c r="R643" s="22"/>
      <c r="S643" s="22"/>
      <c r="T643" s="20"/>
      <c r="U643" s="20"/>
      <c r="V643" s="20"/>
      <c r="W643" s="19"/>
      <c r="X643" s="19"/>
      <c r="Y643" s="19"/>
      <c r="Z643" s="23"/>
    </row>
    <row r="644" spans="1:26" ht="15.75" customHeight="1" x14ac:dyDescent="0.2">
      <c r="A644" s="34"/>
      <c r="B644" s="34"/>
      <c r="C644" s="34"/>
      <c r="D644" s="34"/>
      <c r="E644" s="19"/>
      <c r="F644" s="19"/>
      <c r="G644" s="19"/>
      <c r="H644" s="19"/>
      <c r="I644" s="19"/>
      <c r="J644" s="19"/>
      <c r="K644" s="19"/>
      <c r="L644" s="19"/>
      <c r="M644" s="19"/>
      <c r="N644" s="19"/>
      <c r="O644" s="19"/>
      <c r="P644" s="20"/>
      <c r="Q644" s="20"/>
      <c r="R644" s="22"/>
      <c r="S644" s="22"/>
      <c r="T644" s="20"/>
      <c r="U644" s="20"/>
      <c r="V644" s="20"/>
      <c r="W644" s="19"/>
      <c r="X644" s="19"/>
      <c r="Y644" s="19"/>
      <c r="Z644" s="23"/>
    </row>
    <row r="645" spans="1:26" ht="15.75" customHeight="1" x14ac:dyDescent="0.2">
      <c r="A645" s="34"/>
      <c r="B645" s="34"/>
      <c r="C645" s="34"/>
      <c r="D645" s="34"/>
      <c r="E645" s="19"/>
      <c r="F645" s="19"/>
      <c r="G645" s="19"/>
      <c r="H645" s="19"/>
      <c r="I645" s="19"/>
      <c r="J645" s="19"/>
      <c r="K645" s="19"/>
      <c r="L645" s="19"/>
      <c r="M645" s="19"/>
      <c r="N645" s="19"/>
      <c r="O645" s="19"/>
      <c r="P645" s="20"/>
      <c r="Q645" s="20"/>
      <c r="R645" s="22"/>
      <c r="S645" s="22"/>
      <c r="T645" s="20"/>
      <c r="U645" s="20"/>
      <c r="V645" s="20"/>
      <c r="W645" s="19"/>
      <c r="X645" s="19"/>
      <c r="Y645" s="19"/>
      <c r="Z645" s="23"/>
    </row>
    <row r="646" spans="1:26" ht="15.75" customHeight="1" x14ac:dyDescent="0.2">
      <c r="A646" s="34"/>
      <c r="B646" s="34"/>
      <c r="C646" s="34"/>
      <c r="D646" s="34"/>
      <c r="E646" s="19"/>
      <c r="F646" s="19"/>
      <c r="G646" s="19"/>
      <c r="H646" s="19"/>
      <c r="I646" s="19"/>
      <c r="J646" s="19"/>
      <c r="K646" s="19"/>
      <c r="L646" s="19"/>
      <c r="M646" s="19"/>
      <c r="N646" s="19"/>
      <c r="O646" s="19"/>
      <c r="P646" s="20"/>
      <c r="Q646" s="20"/>
      <c r="R646" s="22"/>
      <c r="S646" s="22"/>
      <c r="T646" s="20"/>
      <c r="U646" s="20"/>
      <c r="V646" s="20"/>
      <c r="W646" s="19"/>
      <c r="X646" s="19"/>
      <c r="Y646" s="19"/>
      <c r="Z646" s="23"/>
    </row>
    <row r="647" spans="1:26" ht="15.75" customHeight="1" x14ac:dyDescent="0.2">
      <c r="A647" s="34"/>
      <c r="B647" s="34"/>
      <c r="C647" s="34"/>
      <c r="D647" s="34"/>
      <c r="E647" s="19"/>
      <c r="F647" s="19"/>
      <c r="G647" s="19"/>
      <c r="H647" s="19"/>
      <c r="I647" s="19"/>
      <c r="J647" s="19"/>
      <c r="K647" s="19"/>
      <c r="L647" s="19"/>
      <c r="M647" s="19"/>
      <c r="N647" s="19"/>
      <c r="O647" s="19"/>
      <c r="P647" s="20"/>
      <c r="Q647" s="20"/>
      <c r="R647" s="22"/>
      <c r="S647" s="22"/>
      <c r="T647" s="20"/>
      <c r="U647" s="20"/>
      <c r="V647" s="20"/>
      <c r="W647" s="19"/>
      <c r="X647" s="19"/>
      <c r="Y647" s="19"/>
      <c r="Z647" s="23"/>
    </row>
    <row r="648" spans="1:26" ht="15.75" customHeight="1" x14ac:dyDescent="0.2">
      <c r="A648" s="34"/>
      <c r="B648" s="34"/>
      <c r="C648" s="34"/>
      <c r="D648" s="34"/>
      <c r="E648" s="19"/>
      <c r="F648" s="19"/>
      <c r="G648" s="19"/>
      <c r="H648" s="19"/>
      <c r="I648" s="19"/>
      <c r="J648" s="19"/>
      <c r="K648" s="19"/>
      <c r="L648" s="19"/>
      <c r="M648" s="19"/>
      <c r="N648" s="19"/>
      <c r="O648" s="19"/>
      <c r="P648" s="20"/>
      <c r="Q648" s="20"/>
      <c r="R648" s="22"/>
      <c r="S648" s="22"/>
      <c r="T648" s="20"/>
      <c r="U648" s="20"/>
      <c r="V648" s="20"/>
      <c r="W648" s="19"/>
      <c r="X648" s="19"/>
      <c r="Y648" s="19"/>
      <c r="Z648" s="23"/>
    </row>
    <row r="649" spans="1:26" ht="15.75" customHeight="1" x14ac:dyDescent="0.2">
      <c r="A649" s="34"/>
      <c r="B649" s="34"/>
      <c r="C649" s="34"/>
      <c r="D649" s="34"/>
      <c r="E649" s="19"/>
      <c r="F649" s="19"/>
      <c r="G649" s="19"/>
      <c r="H649" s="19"/>
      <c r="I649" s="19"/>
      <c r="J649" s="19"/>
      <c r="K649" s="19"/>
      <c r="L649" s="19"/>
      <c r="M649" s="19"/>
      <c r="N649" s="19"/>
      <c r="O649" s="19"/>
      <c r="P649" s="20"/>
      <c r="Q649" s="20"/>
      <c r="R649" s="22"/>
      <c r="S649" s="22"/>
      <c r="T649" s="20"/>
      <c r="U649" s="20"/>
      <c r="V649" s="20"/>
      <c r="W649" s="19"/>
      <c r="X649" s="19"/>
      <c r="Y649" s="19"/>
      <c r="Z649" s="23"/>
    </row>
    <row r="650" spans="1:26" ht="15.75" customHeight="1" x14ac:dyDescent="0.2">
      <c r="A650" s="34"/>
      <c r="B650" s="34"/>
      <c r="C650" s="34"/>
      <c r="D650" s="34"/>
      <c r="E650" s="19"/>
      <c r="F650" s="19"/>
      <c r="G650" s="19"/>
      <c r="H650" s="19"/>
      <c r="I650" s="19"/>
      <c r="J650" s="19"/>
      <c r="K650" s="19"/>
      <c r="L650" s="19"/>
      <c r="M650" s="19"/>
      <c r="N650" s="19"/>
      <c r="O650" s="19"/>
      <c r="P650" s="20"/>
      <c r="Q650" s="20"/>
      <c r="R650" s="22"/>
      <c r="S650" s="22"/>
      <c r="T650" s="20"/>
      <c r="U650" s="20"/>
      <c r="V650" s="20"/>
      <c r="W650" s="19"/>
      <c r="X650" s="19"/>
      <c r="Y650" s="19"/>
      <c r="Z650" s="23"/>
    </row>
    <row r="651" spans="1:26" ht="15.75" customHeight="1" x14ac:dyDescent="0.2">
      <c r="A651" s="34"/>
      <c r="B651" s="34"/>
      <c r="C651" s="34"/>
      <c r="D651" s="34"/>
      <c r="E651" s="19"/>
      <c r="F651" s="19"/>
      <c r="G651" s="19"/>
      <c r="H651" s="19"/>
      <c r="I651" s="19"/>
      <c r="J651" s="19"/>
      <c r="K651" s="19"/>
      <c r="L651" s="19"/>
      <c r="M651" s="19"/>
      <c r="N651" s="19"/>
      <c r="O651" s="19"/>
      <c r="P651" s="20"/>
      <c r="Q651" s="20"/>
      <c r="R651" s="22"/>
      <c r="S651" s="22"/>
      <c r="T651" s="20"/>
      <c r="U651" s="20"/>
      <c r="V651" s="20"/>
      <c r="W651" s="19"/>
      <c r="X651" s="19"/>
      <c r="Y651" s="19"/>
      <c r="Z651" s="23"/>
    </row>
    <row r="652" spans="1:26" ht="15.75" customHeight="1" x14ac:dyDescent="0.2">
      <c r="A652" s="34"/>
      <c r="B652" s="34"/>
      <c r="C652" s="34"/>
      <c r="D652" s="34"/>
      <c r="E652" s="19"/>
      <c r="F652" s="19"/>
      <c r="G652" s="19"/>
      <c r="H652" s="19"/>
      <c r="I652" s="19"/>
      <c r="J652" s="19"/>
      <c r="K652" s="19"/>
      <c r="L652" s="19"/>
      <c r="M652" s="19"/>
      <c r="N652" s="19"/>
      <c r="O652" s="19"/>
      <c r="P652" s="20"/>
      <c r="Q652" s="20"/>
      <c r="R652" s="22"/>
      <c r="S652" s="22"/>
      <c r="T652" s="20"/>
      <c r="U652" s="20"/>
      <c r="V652" s="20"/>
      <c r="W652" s="19"/>
      <c r="X652" s="19"/>
      <c r="Y652" s="19"/>
      <c r="Z652" s="23"/>
    </row>
    <row r="653" spans="1:26" ht="15.75" customHeight="1" x14ac:dyDescent="0.2">
      <c r="A653" s="34"/>
      <c r="B653" s="34"/>
      <c r="C653" s="34"/>
      <c r="D653" s="34"/>
      <c r="E653" s="19"/>
      <c r="F653" s="19"/>
      <c r="G653" s="19"/>
      <c r="H653" s="19"/>
      <c r="I653" s="19"/>
      <c r="J653" s="19"/>
      <c r="K653" s="19"/>
      <c r="L653" s="19"/>
      <c r="M653" s="19"/>
      <c r="N653" s="19"/>
      <c r="O653" s="19"/>
      <c r="P653" s="20"/>
      <c r="Q653" s="20"/>
      <c r="R653" s="22"/>
      <c r="S653" s="22"/>
      <c r="T653" s="20"/>
      <c r="U653" s="20"/>
      <c r="V653" s="20"/>
      <c r="W653" s="19"/>
      <c r="X653" s="19"/>
      <c r="Y653" s="19"/>
      <c r="Z653" s="23"/>
    </row>
    <row r="654" spans="1:26" ht="15.75" customHeight="1" x14ac:dyDescent="0.2">
      <c r="A654" s="34"/>
      <c r="B654" s="34"/>
      <c r="C654" s="34"/>
      <c r="D654" s="34"/>
      <c r="E654" s="19"/>
      <c r="F654" s="19"/>
      <c r="G654" s="19"/>
      <c r="H654" s="19"/>
      <c r="I654" s="19"/>
      <c r="J654" s="19"/>
      <c r="K654" s="19"/>
      <c r="L654" s="19"/>
      <c r="M654" s="19"/>
      <c r="N654" s="19"/>
      <c r="O654" s="19"/>
      <c r="P654" s="20"/>
      <c r="Q654" s="20"/>
      <c r="R654" s="22"/>
      <c r="S654" s="22"/>
      <c r="T654" s="20"/>
      <c r="U654" s="20"/>
      <c r="V654" s="20"/>
      <c r="W654" s="19"/>
      <c r="X654" s="19"/>
      <c r="Y654" s="19"/>
      <c r="Z654" s="23"/>
    </row>
    <row r="655" spans="1:26" ht="15.75" customHeight="1" x14ac:dyDescent="0.2">
      <c r="A655" s="34"/>
      <c r="B655" s="34"/>
      <c r="C655" s="34"/>
      <c r="D655" s="34"/>
      <c r="E655" s="19"/>
      <c r="F655" s="19"/>
      <c r="G655" s="19"/>
      <c r="H655" s="19"/>
      <c r="I655" s="19"/>
      <c r="J655" s="19"/>
      <c r="K655" s="19"/>
      <c r="L655" s="19"/>
      <c r="M655" s="19"/>
      <c r="N655" s="19"/>
      <c r="O655" s="19"/>
      <c r="P655" s="20"/>
      <c r="Q655" s="20"/>
      <c r="R655" s="22"/>
      <c r="S655" s="22"/>
      <c r="T655" s="20"/>
      <c r="U655" s="20"/>
      <c r="V655" s="20"/>
      <c r="W655" s="19"/>
      <c r="X655" s="19"/>
      <c r="Y655" s="19"/>
      <c r="Z655" s="23"/>
    </row>
    <row r="656" spans="1:26" ht="15.75" customHeight="1" x14ac:dyDescent="0.2">
      <c r="A656" s="34"/>
      <c r="B656" s="34"/>
      <c r="C656" s="34"/>
      <c r="D656" s="34"/>
      <c r="E656" s="19"/>
      <c r="F656" s="19"/>
      <c r="G656" s="19"/>
      <c r="H656" s="19"/>
      <c r="I656" s="19"/>
      <c r="J656" s="19"/>
      <c r="K656" s="19"/>
      <c r="L656" s="19"/>
      <c r="M656" s="19"/>
      <c r="N656" s="19"/>
      <c r="O656" s="19"/>
      <c r="P656" s="20"/>
      <c r="Q656" s="20"/>
      <c r="R656" s="22"/>
      <c r="S656" s="22"/>
      <c r="T656" s="20"/>
      <c r="U656" s="20"/>
      <c r="V656" s="20"/>
      <c r="W656" s="19"/>
      <c r="X656" s="19"/>
      <c r="Y656" s="19"/>
      <c r="Z656" s="23"/>
    </row>
    <row r="657" spans="1:26" ht="15.75" customHeight="1" x14ac:dyDescent="0.2">
      <c r="A657" s="34"/>
      <c r="B657" s="34"/>
      <c r="C657" s="34"/>
      <c r="D657" s="34"/>
      <c r="E657" s="19"/>
      <c r="F657" s="19"/>
      <c r="G657" s="19"/>
      <c r="H657" s="19"/>
      <c r="I657" s="19"/>
      <c r="J657" s="19"/>
      <c r="K657" s="19"/>
      <c r="L657" s="19"/>
      <c r="M657" s="19"/>
      <c r="N657" s="19"/>
      <c r="O657" s="19"/>
      <c r="P657" s="20"/>
      <c r="Q657" s="20"/>
      <c r="R657" s="22"/>
      <c r="S657" s="22"/>
      <c r="T657" s="20"/>
      <c r="U657" s="20"/>
      <c r="V657" s="20"/>
      <c r="W657" s="19"/>
      <c r="X657" s="19"/>
      <c r="Y657" s="19"/>
      <c r="Z657" s="23"/>
    </row>
    <row r="658" spans="1:26" ht="15.75" customHeight="1" x14ac:dyDescent="0.2">
      <c r="A658" s="34"/>
      <c r="B658" s="34"/>
      <c r="C658" s="34"/>
      <c r="D658" s="34"/>
      <c r="E658" s="19"/>
      <c r="F658" s="19"/>
      <c r="G658" s="19"/>
      <c r="H658" s="19"/>
      <c r="I658" s="19"/>
      <c r="J658" s="19"/>
      <c r="K658" s="19"/>
      <c r="L658" s="19"/>
      <c r="M658" s="19"/>
      <c r="N658" s="19"/>
      <c r="O658" s="19"/>
      <c r="P658" s="20"/>
      <c r="Q658" s="20"/>
      <c r="R658" s="22"/>
      <c r="S658" s="22"/>
      <c r="T658" s="20"/>
      <c r="U658" s="20"/>
      <c r="V658" s="20"/>
      <c r="W658" s="19"/>
      <c r="X658" s="19"/>
      <c r="Y658" s="19"/>
      <c r="Z658" s="23"/>
    </row>
    <row r="659" spans="1:26" ht="15.75" customHeight="1" x14ac:dyDescent="0.2">
      <c r="A659" s="34"/>
      <c r="B659" s="34"/>
      <c r="C659" s="34"/>
      <c r="D659" s="34"/>
      <c r="E659" s="19"/>
      <c r="F659" s="19"/>
      <c r="G659" s="19"/>
      <c r="H659" s="19"/>
      <c r="I659" s="19"/>
      <c r="J659" s="19"/>
      <c r="K659" s="19"/>
      <c r="L659" s="19"/>
      <c r="M659" s="19"/>
      <c r="N659" s="19"/>
      <c r="O659" s="19"/>
      <c r="P659" s="20"/>
      <c r="Q659" s="20"/>
      <c r="R659" s="22"/>
      <c r="S659" s="22"/>
      <c r="T659" s="20"/>
      <c r="U659" s="20"/>
      <c r="V659" s="20"/>
      <c r="W659" s="19"/>
      <c r="X659" s="19"/>
      <c r="Y659" s="19"/>
      <c r="Z659" s="23"/>
    </row>
    <row r="660" spans="1:26" ht="15.75" customHeight="1" x14ac:dyDescent="0.2">
      <c r="A660" s="34"/>
      <c r="B660" s="34"/>
      <c r="C660" s="34"/>
      <c r="D660" s="34"/>
      <c r="E660" s="19"/>
      <c r="F660" s="19"/>
      <c r="G660" s="19"/>
      <c r="H660" s="19"/>
      <c r="I660" s="19"/>
      <c r="J660" s="19"/>
      <c r="K660" s="19"/>
      <c r="L660" s="19"/>
      <c r="M660" s="19"/>
      <c r="N660" s="19"/>
      <c r="O660" s="19"/>
      <c r="P660" s="20"/>
      <c r="Q660" s="20"/>
      <c r="R660" s="22"/>
      <c r="S660" s="22"/>
      <c r="T660" s="20"/>
      <c r="U660" s="20"/>
      <c r="V660" s="20"/>
      <c r="W660" s="19"/>
      <c r="X660" s="19"/>
      <c r="Y660" s="19"/>
      <c r="Z660" s="23"/>
    </row>
    <row r="661" spans="1:26" ht="15.75" customHeight="1" x14ac:dyDescent="0.2">
      <c r="A661" s="34"/>
      <c r="B661" s="34"/>
      <c r="C661" s="34"/>
      <c r="D661" s="34"/>
      <c r="E661" s="19"/>
      <c r="F661" s="19"/>
      <c r="G661" s="19"/>
      <c r="H661" s="19"/>
      <c r="I661" s="19"/>
      <c r="J661" s="19"/>
      <c r="K661" s="19"/>
      <c r="L661" s="19"/>
      <c r="M661" s="19"/>
      <c r="N661" s="19"/>
      <c r="O661" s="19"/>
      <c r="P661" s="20"/>
      <c r="Q661" s="20"/>
      <c r="R661" s="22"/>
      <c r="S661" s="22"/>
      <c r="T661" s="20"/>
      <c r="U661" s="20"/>
      <c r="V661" s="20"/>
      <c r="W661" s="19"/>
      <c r="X661" s="19"/>
      <c r="Y661" s="19"/>
      <c r="Z661" s="23"/>
    </row>
    <row r="662" spans="1:26" ht="15.75" customHeight="1" x14ac:dyDescent="0.2">
      <c r="A662" s="34"/>
      <c r="B662" s="34"/>
      <c r="C662" s="34"/>
      <c r="D662" s="34"/>
      <c r="E662" s="19"/>
      <c r="F662" s="19"/>
      <c r="G662" s="19"/>
      <c r="H662" s="19"/>
      <c r="I662" s="19"/>
      <c r="J662" s="19"/>
      <c r="K662" s="19"/>
      <c r="L662" s="19"/>
      <c r="M662" s="19"/>
      <c r="N662" s="19"/>
      <c r="O662" s="19"/>
      <c r="P662" s="20"/>
      <c r="Q662" s="20"/>
      <c r="R662" s="22"/>
      <c r="S662" s="22"/>
      <c r="T662" s="20"/>
      <c r="U662" s="20"/>
      <c r="V662" s="20"/>
      <c r="W662" s="19"/>
      <c r="X662" s="19"/>
      <c r="Y662" s="19"/>
      <c r="Z662" s="23"/>
    </row>
    <row r="663" spans="1:26" ht="15.75" customHeight="1" x14ac:dyDescent="0.2">
      <c r="A663" s="34"/>
      <c r="B663" s="34"/>
      <c r="C663" s="34"/>
      <c r="D663" s="34"/>
      <c r="E663" s="19"/>
      <c r="F663" s="19"/>
      <c r="G663" s="19"/>
      <c r="H663" s="19"/>
      <c r="I663" s="19"/>
      <c r="J663" s="19"/>
      <c r="K663" s="19"/>
      <c r="L663" s="19"/>
      <c r="M663" s="19"/>
      <c r="N663" s="19"/>
      <c r="O663" s="19"/>
      <c r="P663" s="20"/>
      <c r="Q663" s="20"/>
      <c r="R663" s="22"/>
      <c r="S663" s="22"/>
      <c r="T663" s="20"/>
      <c r="U663" s="20"/>
      <c r="V663" s="20"/>
      <c r="W663" s="19"/>
      <c r="X663" s="19"/>
      <c r="Y663" s="19"/>
      <c r="Z663" s="23"/>
    </row>
    <row r="664" spans="1:26" ht="15.75" customHeight="1" x14ac:dyDescent="0.2">
      <c r="A664" s="34"/>
      <c r="B664" s="34"/>
      <c r="C664" s="34"/>
      <c r="D664" s="34"/>
      <c r="E664" s="19"/>
      <c r="F664" s="19"/>
      <c r="G664" s="19"/>
      <c r="H664" s="19"/>
      <c r="I664" s="19"/>
      <c r="J664" s="19"/>
      <c r="K664" s="19"/>
      <c r="L664" s="19"/>
      <c r="M664" s="19"/>
      <c r="N664" s="19"/>
      <c r="O664" s="19"/>
      <c r="P664" s="20"/>
      <c r="Q664" s="20"/>
      <c r="R664" s="22"/>
      <c r="S664" s="22"/>
      <c r="T664" s="20"/>
      <c r="U664" s="20"/>
      <c r="V664" s="20"/>
      <c r="W664" s="19"/>
      <c r="X664" s="19"/>
      <c r="Y664" s="19"/>
      <c r="Z664" s="23"/>
    </row>
    <row r="665" spans="1:26" ht="15.75" customHeight="1" x14ac:dyDescent="0.2">
      <c r="A665" s="34"/>
      <c r="B665" s="34"/>
      <c r="C665" s="34"/>
      <c r="D665" s="34"/>
      <c r="E665" s="19"/>
      <c r="F665" s="19"/>
      <c r="G665" s="19"/>
      <c r="H665" s="19"/>
      <c r="I665" s="19"/>
      <c r="J665" s="19"/>
      <c r="K665" s="19"/>
      <c r="L665" s="19"/>
      <c r="M665" s="19"/>
      <c r="N665" s="19"/>
      <c r="O665" s="19"/>
      <c r="P665" s="20"/>
      <c r="Q665" s="20"/>
      <c r="R665" s="22"/>
      <c r="S665" s="22"/>
      <c r="T665" s="20"/>
      <c r="U665" s="20"/>
      <c r="V665" s="20"/>
      <c r="W665" s="19"/>
      <c r="X665" s="19"/>
      <c r="Y665" s="19"/>
      <c r="Z665" s="23"/>
    </row>
    <row r="666" spans="1:26" ht="15.75" customHeight="1" x14ac:dyDescent="0.2">
      <c r="A666" s="34"/>
      <c r="B666" s="34"/>
      <c r="C666" s="34"/>
      <c r="D666" s="34"/>
      <c r="E666" s="19"/>
      <c r="F666" s="19"/>
      <c r="G666" s="19"/>
      <c r="H666" s="19"/>
      <c r="I666" s="19"/>
      <c r="J666" s="19"/>
      <c r="K666" s="19"/>
      <c r="L666" s="19"/>
      <c r="M666" s="19"/>
      <c r="N666" s="19"/>
      <c r="O666" s="19"/>
      <c r="P666" s="20"/>
      <c r="Q666" s="20"/>
      <c r="R666" s="22"/>
      <c r="S666" s="22"/>
      <c r="T666" s="20"/>
      <c r="U666" s="20"/>
      <c r="V666" s="20"/>
      <c r="W666" s="19"/>
      <c r="X666" s="19"/>
      <c r="Y666" s="19"/>
      <c r="Z666" s="23"/>
    </row>
    <row r="667" spans="1:26" ht="15.75" customHeight="1" x14ac:dyDescent="0.2">
      <c r="A667" s="34"/>
      <c r="B667" s="34"/>
      <c r="C667" s="34"/>
      <c r="D667" s="34"/>
      <c r="E667" s="19"/>
      <c r="F667" s="19"/>
      <c r="G667" s="19"/>
      <c r="H667" s="19"/>
      <c r="I667" s="19"/>
      <c r="J667" s="19"/>
      <c r="K667" s="19"/>
      <c r="L667" s="19"/>
      <c r="M667" s="19"/>
      <c r="N667" s="19"/>
      <c r="O667" s="19"/>
      <c r="P667" s="20"/>
      <c r="Q667" s="20"/>
      <c r="R667" s="22"/>
      <c r="S667" s="22"/>
      <c r="T667" s="20"/>
      <c r="U667" s="20"/>
      <c r="V667" s="20"/>
      <c r="W667" s="19"/>
      <c r="X667" s="19"/>
      <c r="Y667" s="19"/>
      <c r="Z667" s="23"/>
    </row>
    <row r="668" spans="1:26" ht="15.75" customHeight="1" x14ac:dyDescent="0.2">
      <c r="A668" s="34"/>
      <c r="B668" s="34"/>
      <c r="C668" s="34"/>
      <c r="D668" s="34"/>
      <c r="E668" s="19"/>
      <c r="F668" s="19"/>
      <c r="G668" s="19"/>
      <c r="H668" s="19"/>
      <c r="I668" s="19"/>
      <c r="J668" s="19"/>
      <c r="K668" s="19"/>
      <c r="L668" s="19"/>
      <c r="M668" s="19"/>
      <c r="N668" s="19"/>
      <c r="O668" s="19"/>
      <c r="P668" s="20"/>
      <c r="Q668" s="20"/>
      <c r="R668" s="22"/>
      <c r="S668" s="22"/>
      <c r="T668" s="20"/>
      <c r="U668" s="20"/>
      <c r="V668" s="20"/>
      <c r="W668" s="19"/>
      <c r="X668" s="19"/>
      <c r="Y668" s="19"/>
      <c r="Z668" s="23"/>
    </row>
    <row r="669" spans="1:26" ht="15.75" customHeight="1" x14ac:dyDescent="0.2">
      <c r="A669" s="34"/>
      <c r="B669" s="34"/>
      <c r="C669" s="34"/>
      <c r="D669" s="34"/>
      <c r="E669" s="19"/>
      <c r="F669" s="19"/>
      <c r="G669" s="19"/>
      <c r="H669" s="19"/>
      <c r="I669" s="19"/>
      <c r="J669" s="19"/>
      <c r="K669" s="19"/>
      <c r="L669" s="19"/>
      <c r="M669" s="19"/>
      <c r="N669" s="19"/>
      <c r="O669" s="19"/>
      <c r="P669" s="20"/>
      <c r="Q669" s="20"/>
      <c r="R669" s="22"/>
      <c r="S669" s="22"/>
      <c r="T669" s="20"/>
      <c r="U669" s="20"/>
      <c r="V669" s="20"/>
      <c r="W669" s="19"/>
      <c r="X669" s="19"/>
      <c r="Y669" s="19"/>
      <c r="Z669" s="23"/>
    </row>
    <row r="670" spans="1:26" ht="15.75" customHeight="1" x14ac:dyDescent="0.2">
      <c r="A670" s="34"/>
      <c r="B670" s="34"/>
      <c r="C670" s="34"/>
      <c r="D670" s="34"/>
      <c r="E670" s="19"/>
      <c r="F670" s="19"/>
      <c r="G670" s="19"/>
      <c r="H670" s="19"/>
      <c r="I670" s="19"/>
      <c r="J670" s="19"/>
      <c r="K670" s="19"/>
      <c r="L670" s="19"/>
      <c r="M670" s="19"/>
      <c r="N670" s="19"/>
      <c r="O670" s="19"/>
      <c r="P670" s="20"/>
      <c r="Q670" s="20"/>
      <c r="R670" s="22"/>
      <c r="S670" s="22"/>
      <c r="T670" s="20"/>
      <c r="U670" s="20"/>
      <c r="V670" s="20"/>
      <c r="W670" s="19"/>
      <c r="X670" s="19"/>
      <c r="Y670" s="19"/>
      <c r="Z670" s="23"/>
    </row>
    <row r="671" spans="1:26" ht="15.75" customHeight="1" x14ac:dyDescent="0.2">
      <c r="A671" s="34"/>
      <c r="B671" s="34"/>
      <c r="C671" s="34"/>
      <c r="D671" s="34"/>
      <c r="E671" s="19"/>
      <c r="F671" s="19"/>
      <c r="G671" s="19"/>
      <c r="H671" s="19"/>
      <c r="I671" s="19"/>
      <c r="J671" s="19"/>
      <c r="K671" s="19"/>
      <c r="L671" s="19"/>
      <c r="M671" s="19"/>
      <c r="N671" s="19"/>
      <c r="O671" s="19"/>
      <c r="P671" s="20"/>
      <c r="Q671" s="20"/>
      <c r="R671" s="22"/>
      <c r="S671" s="22"/>
      <c r="T671" s="20"/>
      <c r="U671" s="20"/>
      <c r="V671" s="20"/>
      <c r="W671" s="19"/>
      <c r="X671" s="19"/>
      <c r="Y671" s="19"/>
      <c r="Z671" s="23"/>
    </row>
    <row r="672" spans="1:26" ht="15.75" customHeight="1" x14ac:dyDescent="0.2">
      <c r="A672" s="34"/>
      <c r="B672" s="34"/>
      <c r="C672" s="34"/>
      <c r="D672" s="34"/>
      <c r="E672" s="19"/>
      <c r="F672" s="19"/>
      <c r="G672" s="19"/>
      <c r="H672" s="19"/>
      <c r="I672" s="19"/>
      <c r="J672" s="19"/>
      <c r="K672" s="19"/>
      <c r="L672" s="19"/>
      <c r="M672" s="19"/>
      <c r="N672" s="19"/>
      <c r="O672" s="19"/>
      <c r="P672" s="20"/>
      <c r="Q672" s="20"/>
      <c r="R672" s="22"/>
      <c r="S672" s="22"/>
      <c r="T672" s="20"/>
      <c r="U672" s="20"/>
      <c r="V672" s="20"/>
      <c r="W672" s="19"/>
      <c r="X672" s="19"/>
      <c r="Y672" s="19"/>
      <c r="Z672" s="23"/>
    </row>
    <row r="673" spans="1:26" ht="15.75" customHeight="1" x14ac:dyDescent="0.2">
      <c r="A673" s="34"/>
      <c r="B673" s="34"/>
      <c r="C673" s="34"/>
      <c r="D673" s="34"/>
      <c r="E673" s="19"/>
      <c r="F673" s="19"/>
      <c r="G673" s="19"/>
      <c r="H673" s="19"/>
      <c r="I673" s="19"/>
      <c r="J673" s="19"/>
      <c r="K673" s="19"/>
      <c r="L673" s="19"/>
      <c r="M673" s="19"/>
      <c r="N673" s="19"/>
      <c r="O673" s="19"/>
      <c r="P673" s="20"/>
      <c r="Q673" s="20"/>
      <c r="R673" s="22"/>
      <c r="S673" s="22"/>
      <c r="T673" s="20"/>
      <c r="U673" s="20"/>
      <c r="V673" s="20"/>
      <c r="W673" s="19"/>
      <c r="X673" s="19"/>
      <c r="Y673" s="19"/>
      <c r="Z673" s="23"/>
    </row>
    <row r="674" spans="1:26" ht="15.75" customHeight="1" x14ac:dyDescent="0.2">
      <c r="A674" s="34"/>
      <c r="B674" s="34"/>
      <c r="C674" s="34"/>
      <c r="D674" s="34"/>
      <c r="E674" s="19"/>
      <c r="F674" s="19"/>
      <c r="G674" s="19"/>
      <c r="H674" s="19"/>
      <c r="I674" s="19"/>
      <c r="J674" s="19"/>
      <c r="K674" s="19"/>
      <c r="L674" s="19"/>
      <c r="M674" s="19"/>
      <c r="N674" s="19"/>
      <c r="O674" s="19"/>
      <c r="P674" s="20"/>
      <c r="Q674" s="20"/>
      <c r="R674" s="22"/>
      <c r="S674" s="22"/>
      <c r="T674" s="20"/>
      <c r="U674" s="20"/>
      <c r="V674" s="20"/>
      <c r="W674" s="19"/>
      <c r="X674" s="19"/>
      <c r="Y674" s="19"/>
      <c r="Z674" s="23"/>
    </row>
    <row r="675" spans="1:26" ht="15.75" customHeight="1" x14ac:dyDescent="0.2">
      <c r="A675" s="34"/>
      <c r="B675" s="34"/>
      <c r="C675" s="34"/>
      <c r="D675" s="34"/>
      <c r="E675" s="19"/>
      <c r="F675" s="19"/>
      <c r="G675" s="19"/>
      <c r="H675" s="19"/>
      <c r="I675" s="19"/>
      <c r="J675" s="19"/>
      <c r="K675" s="19"/>
      <c r="L675" s="19"/>
      <c r="M675" s="19"/>
      <c r="N675" s="19"/>
      <c r="O675" s="19"/>
      <c r="P675" s="20"/>
      <c r="Q675" s="20"/>
      <c r="R675" s="22"/>
      <c r="S675" s="22"/>
      <c r="T675" s="20"/>
      <c r="U675" s="20"/>
      <c r="V675" s="20"/>
      <c r="W675" s="19"/>
      <c r="X675" s="19"/>
      <c r="Y675" s="19"/>
      <c r="Z675" s="23"/>
    </row>
    <row r="676" spans="1:26" ht="15.75" customHeight="1" x14ac:dyDescent="0.2">
      <c r="A676" s="34"/>
      <c r="B676" s="34"/>
      <c r="C676" s="34"/>
      <c r="D676" s="34"/>
      <c r="E676" s="19"/>
      <c r="F676" s="19"/>
      <c r="G676" s="19"/>
      <c r="H676" s="19"/>
      <c r="I676" s="19"/>
      <c r="J676" s="19"/>
      <c r="K676" s="19"/>
      <c r="L676" s="19"/>
      <c r="M676" s="19"/>
      <c r="N676" s="19"/>
      <c r="O676" s="19"/>
      <c r="P676" s="20"/>
      <c r="Q676" s="20"/>
      <c r="R676" s="22"/>
      <c r="S676" s="22"/>
      <c r="T676" s="20"/>
      <c r="U676" s="20"/>
      <c r="V676" s="20"/>
      <c r="W676" s="19"/>
      <c r="X676" s="19"/>
      <c r="Y676" s="19"/>
      <c r="Z676" s="23"/>
    </row>
    <row r="677" spans="1:26" ht="15.75" customHeight="1" x14ac:dyDescent="0.2">
      <c r="A677" s="34"/>
      <c r="B677" s="34"/>
      <c r="C677" s="34"/>
      <c r="D677" s="34"/>
      <c r="E677" s="19"/>
      <c r="F677" s="19"/>
      <c r="G677" s="19"/>
      <c r="H677" s="19"/>
      <c r="I677" s="19"/>
      <c r="J677" s="19"/>
      <c r="K677" s="19"/>
      <c r="L677" s="19"/>
      <c r="M677" s="19"/>
      <c r="N677" s="19"/>
      <c r="O677" s="19"/>
      <c r="P677" s="20"/>
      <c r="Q677" s="20"/>
      <c r="R677" s="22"/>
      <c r="S677" s="22"/>
      <c r="T677" s="20"/>
      <c r="U677" s="20"/>
      <c r="V677" s="20"/>
      <c r="W677" s="19"/>
      <c r="X677" s="19"/>
      <c r="Y677" s="19"/>
      <c r="Z677" s="23"/>
    </row>
    <row r="678" spans="1:26" ht="15.75" customHeight="1" x14ac:dyDescent="0.2">
      <c r="A678" s="34"/>
      <c r="B678" s="34"/>
      <c r="C678" s="34"/>
      <c r="D678" s="34"/>
      <c r="E678" s="19"/>
      <c r="F678" s="19"/>
      <c r="G678" s="19"/>
      <c r="H678" s="19"/>
      <c r="I678" s="19"/>
      <c r="J678" s="19"/>
      <c r="K678" s="19"/>
      <c r="L678" s="19"/>
      <c r="M678" s="19"/>
      <c r="N678" s="19"/>
      <c r="O678" s="19"/>
      <c r="P678" s="20"/>
      <c r="Q678" s="20"/>
      <c r="R678" s="22"/>
      <c r="S678" s="22"/>
      <c r="T678" s="20"/>
      <c r="U678" s="20"/>
      <c r="V678" s="20"/>
      <c r="W678" s="19"/>
      <c r="X678" s="19"/>
      <c r="Y678" s="19"/>
      <c r="Z678" s="23"/>
    </row>
    <row r="679" spans="1:26" ht="15.75" customHeight="1" x14ac:dyDescent="0.2">
      <c r="A679" s="34"/>
      <c r="B679" s="34"/>
      <c r="C679" s="34"/>
      <c r="D679" s="34"/>
      <c r="E679" s="19"/>
      <c r="F679" s="19"/>
      <c r="G679" s="19"/>
      <c r="H679" s="19"/>
      <c r="I679" s="19"/>
      <c r="J679" s="19"/>
      <c r="K679" s="19"/>
      <c r="L679" s="19"/>
      <c r="M679" s="19"/>
      <c r="N679" s="19"/>
      <c r="O679" s="19"/>
      <c r="P679" s="20"/>
      <c r="Q679" s="20"/>
      <c r="R679" s="22"/>
      <c r="S679" s="22"/>
      <c r="T679" s="20"/>
      <c r="U679" s="20"/>
      <c r="V679" s="20"/>
      <c r="W679" s="19"/>
      <c r="X679" s="19"/>
      <c r="Y679" s="19"/>
      <c r="Z679" s="23"/>
    </row>
    <row r="680" spans="1:26" ht="15.75" customHeight="1" x14ac:dyDescent="0.2">
      <c r="A680" s="34"/>
      <c r="B680" s="34"/>
      <c r="C680" s="34"/>
      <c r="D680" s="34"/>
      <c r="E680" s="19"/>
      <c r="F680" s="19"/>
      <c r="G680" s="19"/>
      <c r="H680" s="19"/>
      <c r="I680" s="19"/>
      <c r="J680" s="19"/>
      <c r="K680" s="19"/>
      <c r="L680" s="19"/>
      <c r="M680" s="19"/>
      <c r="N680" s="19"/>
      <c r="O680" s="19"/>
      <c r="P680" s="20"/>
      <c r="Q680" s="20"/>
      <c r="R680" s="22"/>
      <c r="S680" s="22"/>
      <c r="T680" s="20"/>
      <c r="U680" s="20"/>
      <c r="V680" s="20"/>
      <c r="W680" s="19"/>
      <c r="X680" s="19"/>
      <c r="Y680" s="19"/>
      <c r="Z680" s="23"/>
    </row>
    <row r="681" spans="1:26" ht="15.75" customHeight="1" x14ac:dyDescent="0.2">
      <c r="A681" s="34"/>
      <c r="B681" s="34"/>
      <c r="C681" s="34"/>
      <c r="D681" s="34"/>
      <c r="E681" s="19"/>
      <c r="F681" s="19"/>
      <c r="G681" s="19"/>
      <c r="H681" s="19"/>
      <c r="I681" s="19"/>
      <c r="J681" s="19"/>
      <c r="K681" s="19"/>
      <c r="L681" s="19"/>
      <c r="M681" s="19"/>
      <c r="N681" s="19"/>
      <c r="O681" s="19"/>
      <c r="P681" s="20"/>
      <c r="Q681" s="20"/>
      <c r="R681" s="22"/>
      <c r="S681" s="22"/>
      <c r="T681" s="20"/>
      <c r="U681" s="20"/>
      <c r="V681" s="20"/>
      <c r="W681" s="19"/>
      <c r="X681" s="19"/>
      <c r="Y681" s="19"/>
      <c r="Z681" s="23"/>
    </row>
    <row r="682" spans="1:26" ht="15.75" customHeight="1" x14ac:dyDescent="0.2">
      <c r="A682" s="34"/>
      <c r="B682" s="34"/>
      <c r="C682" s="34"/>
      <c r="D682" s="34"/>
      <c r="E682" s="19"/>
      <c r="F682" s="19"/>
      <c r="G682" s="19"/>
      <c r="H682" s="19"/>
      <c r="I682" s="19"/>
      <c r="J682" s="19"/>
      <c r="K682" s="19"/>
      <c r="L682" s="19"/>
      <c r="M682" s="19"/>
      <c r="N682" s="19"/>
      <c r="O682" s="19"/>
      <c r="P682" s="20"/>
      <c r="Q682" s="20"/>
      <c r="R682" s="22"/>
      <c r="S682" s="22"/>
      <c r="T682" s="20"/>
      <c r="U682" s="20"/>
      <c r="V682" s="20"/>
      <c r="W682" s="19"/>
      <c r="X682" s="19"/>
      <c r="Y682" s="19"/>
      <c r="Z682" s="23"/>
    </row>
    <row r="683" spans="1:26" ht="15.75" customHeight="1" x14ac:dyDescent="0.2">
      <c r="A683" s="34"/>
      <c r="B683" s="34"/>
      <c r="C683" s="34"/>
      <c r="D683" s="34"/>
      <c r="E683" s="19"/>
      <c r="F683" s="19"/>
      <c r="G683" s="19"/>
      <c r="H683" s="19"/>
      <c r="I683" s="19"/>
      <c r="J683" s="19"/>
      <c r="K683" s="19"/>
      <c r="L683" s="19"/>
      <c r="M683" s="19"/>
      <c r="N683" s="19"/>
      <c r="O683" s="19"/>
      <c r="P683" s="20"/>
      <c r="Q683" s="20"/>
      <c r="R683" s="22"/>
      <c r="S683" s="22"/>
      <c r="T683" s="20"/>
      <c r="U683" s="20"/>
      <c r="V683" s="20"/>
      <c r="W683" s="19"/>
      <c r="X683" s="19"/>
      <c r="Y683" s="19"/>
      <c r="Z683" s="23"/>
    </row>
    <row r="684" spans="1:26" ht="15.75" customHeight="1" x14ac:dyDescent="0.2">
      <c r="A684" s="34"/>
      <c r="B684" s="34"/>
      <c r="C684" s="34"/>
      <c r="D684" s="34"/>
      <c r="E684" s="19"/>
      <c r="F684" s="19"/>
      <c r="G684" s="19"/>
      <c r="H684" s="19"/>
      <c r="I684" s="19"/>
      <c r="J684" s="19"/>
      <c r="K684" s="19"/>
      <c r="L684" s="19"/>
      <c r="M684" s="19"/>
      <c r="N684" s="19"/>
      <c r="O684" s="19"/>
      <c r="P684" s="20"/>
      <c r="Q684" s="20"/>
      <c r="R684" s="22"/>
      <c r="S684" s="22"/>
      <c r="T684" s="20"/>
      <c r="U684" s="20"/>
      <c r="V684" s="20"/>
      <c r="W684" s="19"/>
      <c r="X684" s="19"/>
      <c r="Y684" s="19"/>
      <c r="Z684" s="23"/>
    </row>
    <row r="685" spans="1:26" ht="15.75" customHeight="1" x14ac:dyDescent="0.2">
      <c r="A685" s="34"/>
      <c r="B685" s="34"/>
      <c r="C685" s="34"/>
      <c r="D685" s="34"/>
      <c r="E685" s="19"/>
      <c r="F685" s="19"/>
      <c r="G685" s="19"/>
      <c r="H685" s="19"/>
      <c r="I685" s="19"/>
      <c r="J685" s="19"/>
      <c r="K685" s="19"/>
      <c r="L685" s="19"/>
      <c r="M685" s="19"/>
      <c r="N685" s="19"/>
      <c r="O685" s="19"/>
      <c r="P685" s="20"/>
      <c r="Q685" s="20"/>
      <c r="R685" s="22"/>
      <c r="S685" s="22"/>
      <c r="T685" s="20"/>
      <c r="U685" s="20"/>
      <c r="V685" s="20"/>
      <c r="W685" s="19"/>
      <c r="X685" s="19"/>
      <c r="Y685" s="19"/>
      <c r="Z685" s="23"/>
    </row>
    <row r="686" spans="1:26" ht="15.75" customHeight="1" x14ac:dyDescent="0.2">
      <c r="A686" s="34"/>
      <c r="B686" s="34"/>
      <c r="C686" s="34"/>
      <c r="D686" s="34"/>
      <c r="E686" s="19"/>
      <c r="F686" s="19"/>
      <c r="G686" s="19"/>
      <c r="H686" s="19"/>
      <c r="I686" s="19"/>
      <c r="J686" s="19"/>
      <c r="K686" s="19"/>
      <c r="L686" s="19"/>
      <c r="M686" s="19"/>
      <c r="N686" s="19"/>
      <c r="O686" s="19"/>
      <c r="P686" s="20"/>
      <c r="Q686" s="20"/>
      <c r="R686" s="22"/>
      <c r="S686" s="22"/>
      <c r="T686" s="20"/>
      <c r="U686" s="20"/>
      <c r="V686" s="20"/>
      <c r="W686" s="19"/>
      <c r="X686" s="19"/>
      <c r="Y686" s="19"/>
      <c r="Z686" s="23"/>
    </row>
    <row r="687" spans="1:26" ht="15.75" customHeight="1" x14ac:dyDescent="0.2">
      <c r="A687" s="34"/>
      <c r="B687" s="34"/>
      <c r="C687" s="34"/>
      <c r="D687" s="34"/>
      <c r="E687" s="19"/>
      <c r="F687" s="19"/>
      <c r="G687" s="19"/>
      <c r="H687" s="19"/>
      <c r="I687" s="19"/>
      <c r="J687" s="19"/>
      <c r="K687" s="19"/>
      <c r="L687" s="19"/>
      <c r="M687" s="19"/>
      <c r="N687" s="19"/>
      <c r="O687" s="19"/>
      <c r="P687" s="20"/>
      <c r="Q687" s="20"/>
      <c r="R687" s="22"/>
      <c r="S687" s="22"/>
      <c r="T687" s="20"/>
      <c r="U687" s="20"/>
      <c r="V687" s="20"/>
      <c r="W687" s="19"/>
      <c r="X687" s="19"/>
      <c r="Y687" s="19"/>
      <c r="Z687" s="23"/>
    </row>
    <row r="688" spans="1:26" ht="15.75" customHeight="1" x14ac:dyDescent="0.2">
      <c r="A688" s="34"/>
      <c r="B688" s="34"/>
      <c r="C688" s="34"/>
      <c r="D688" s="34"/>
      <c r="E688" s="19"/>
      <c r="F688" s="19"/>
      <c r="G688" s="19"/>
      <c r="H688" s="19"/>
      <c r="I688" s="19"/>
      <c r="J688" s="19"/>
      <c r="K688" s="19"/>
      <c r="L688" s="19"/>
      <c r="M688" s="19"/>
      <c r="N688" s="19"/>
      <c r="O688" s="19"/>
      <c r="P688" s="20"/>
      <c r="Q688" s="20"/>
      <c r="R688" s="22"/>
      <c r="S688" s="22"/>
      <c r="T688" s="20"/>
      <c r="U688" s="20"/>
      <c r="V688" s="20"/>
      <c r="W688" s="19"/>
      <c r="X688" s="19"/>
      <c r="Y688" s="19"/>
      <c r="Z688" s="23"/>
    </row>
    <row r="689" spans="1:26" ht="15.75" customHeight="1" x14ac:dyDescent="0.2">
      <c r="A689" s="34"/>
      <c r="B689" s="34"/>
      <c r="C689" s="34"/>
      <c r="D689" s="34"/>
      <c r="E689" s="19"/>
      <c r="F689" s="19"/>
      <c r="G689" s="19"/>
      <c r="H689" s="19"/>
      <c r="I689" s="19"/>
      <c r="J689" s="19"/>
      <c r="K689" s="19"/>
      <c r="L689" s="19"/>
      <c r="M689" s="19"/>
      <c r="N689" s="19"/>
      <c r="O689" s="19"/>
      <c r="P689" s="20"/>
      <c r="Q689" s="20"/>
      <c r="R689" s="22"/>
      <c r="S689" s="22"/>
      <c r="T689" s="20"/>
      <c r="U689" s="20"/>
      <c r="V689" s="20"/>
      <c r="W689" s="19"/>
      <c r="X689" s="19"/>
      <c r="Y689" s="19"/>
      <c r="Z689" s="23"/>
    </row>
    <row r="690" spans="1:26" ht="15.75" customHeight="1" x14ac:dyDescent="0.2">
      <c r="A690" s="34"/>
      <c r="B690" s="34"/>
      <c r="C690" s="34"/>
      <c r="D690" s="34"/>
      <c r="E690" s="19"/>
      <c r="F690" s="19"/>
      <c r="G690" s="19"/>
      <c r="H690" s="19"/>
      <c r="I690" s="19"/>
      <c r="J690" s="19"/>
      <c r="K690" s="19"/>
      <c r="L690" s="19"/>
      <c r="M690" s="19"/>
      <c r="N690" s="19"/>
      <c r="O690" s="19"/>
      <c r="P690" s="20"/>
      <c r="Q690" s="20"/>
      <c r="R690" s="22"/>
      <c r="S690" s="22"/>
      <c r="T690" s="20"/>
      <c r="U690" s="20"/>
      <c r="V690" s="20"/>
      <c r="W690" s="19"/>
      <c r="X690" s="19"/>
      <c r="Y690" s="19"/>
      <c r="Z690" s="23"/>
    </row>
    <row r="691" spans="1:26" ht="15.75" customHeight="1" x14ac:dyDescent="0.2">
      <c r="A691" s="34"/>
      <c r="B691" s="34"/>
      <c r="C691" s="34"/>
      <c r="D691" s="34"/>
      <c r="E691" s="19"/>
      <c r="F691" s="19"/>
      <c r="G691" s="19"/>
      <c r="H691" s="19"/>
      <c r="I691" s="19"/>
      <c r="J691" s="19"/>
      <c r="K691" s="19"/>
      <c r="L691" s="19"/>
      <c r="M691" s="19"/>
      <c r="N691" s="19"/>
      <c r="O691" s="19"/>
      <c r="P691" s="20"/>
      <c r="Q691" s="20"/>
      <c r="R691" s="22"/>
      <c r="S691" s="22"/>
      <c r="T691" s="20"/>
      <c r="U691" s="20"/>
      <c r="V691" s="20"/>
      <c r="W691" s="19"/>
      <c r="X691" s="19"/>
      <c r="Y691" s="19"/>
      <c r="Z691" s="23"/>
    </row>
    <row r="692" spans="1:26" ht="15.75" customHeight="1" x14ac:dyDescent="0.2">
      <c r="A692" s="34"/>
      <c r="B692" s="34"/>
      <c r="C692" s="34"/>
      <c r="D692" s="34"/>
      <c r="E692" s="19"/>
      <c r="F692" s="19"/>
      <c r="G692" s="19"/>
      <c r="H692" s="19"/>
      <c r="I692" s="19"/>
      <c r="J692" s="19"/>
      <c r="K692" s="19"/>
      <c r="L692" s="19"/>
      <c r="M692" s="19"/>
      <c r="N692" s="19"/>
      <c r="O692" s="19"/>
      <c r="P692" s="20"/>
      <c r="Q692" s="20"/>
      <c r="R692" s="22"/>
      <c r="S692" s="22"/>
      <c r="T692" s="20"/>
      <c r="U692" s="20"/>
      <c r="V692" s="20"/>
      <c r="W692" s="19"/>
      <c r="X692" s="19"/>
      <c r="Y692" s="19"/>
      <c r="Z692" s="23"/>
    </row>
    <row r="693" spans="1:26" ht="15.75" customHeight="1" x14ac:dyDescent="0.2">
      <c r="A693" s="34"/>
      <c r="B693" s="34"/>
      <c r="C693" s="34"/>
      <c r="D693" s="34"/>
      <c r="E693" s="19"/>
      <c r="F693" s="19"/>
      <c r="G693" s="19"/>
      <c r="H693" s="19"/>
      <c r="I693" s="19"/>
      <c r="J693" s="19"/>
      <c r="K693" s="19"/>
      <c r="L693" s="19"/>
      <c r="M693" s="19"/>
      <c r="N693" s="19"/>
      <c r="O693" s="19"/>
      <c r="P693" s="20"/>
      <c r="Q693" s="20"/>
      <c r="R693" s="22"/>
      <c r="S693" s="22"/>
      <c r="T693" s="20"/>
      <c r="U693" s="20"/>
      <c r="V693" s="20"/>
      <c r="W693" s="19"/>
      <c r="X693" s="19"/>
      <c r="Y693" s="19"/>
      <c r="Z693" s="23"/>
    </row>
    <row r="694" spans="1:26" ht="15.75" customHeight="1" x14ac:dyDescent="0.2">
      <c r="A694" s="34"/>
      <c r="B694" s="34"/>
      <c r="C694" s="34"/>
      <c r="D694" s="34"/>
      <c r="E694" s="19"/>
      <c r="F694" s="19"/>
      <c r="G694" s="19"/>
      <c r="H694" s="19"/>
      <c r="I694" s="19"/>
      <c r="J694" s="19"/>
      <c r="K694" s="19"/>
      <c r="L694" s="19"/>
      <c r="M694" s="19"/>
      <c r="N694" s="19"/>
      <c r="O694" s="19"/>
      <c r="P694" s="20"/>
      <c r="Q694" s="20"/>
      <c r="R694" s="22"/>
      <c r="S694" s="22"/>
      <c r="T694" s="20"/>
      <c r="U694" s="20"/>
      <c r="V694" s="20"/>
      <c r="W694" s="19"/>
      <c r="X694" s="19"/>
      <c r="Y694" s="19"/>
      <c r="Z694" s="23"/>
    </row>
    <row r="695" spans="1:26" ht="15.75" customHeight="1" x14ac:dyDescent="0.2">
      <c r="A695" s="34"/>
      <c r="B695" s="34"/>
      <c r="C695" s="34"/>
      <c r="D695" s="34"/>
      <c r="E695" s="19"/>
      <c r="F695" s="19"/>
      <c r="G695" s="19"/>
      <c r="H695" s="19"/>
      <c r="I695" s="19"/>
      <c r="J695" s="19"/>
      <c r="K695" s="19"/>
      <c r="L695" s="19"/>
      <c r="M695" s="19"/>
      <c r="N695" s="19"/>
      <c r="O695" s="19"/>
      <c r="P695" s="20"/>
      <c r="Q695" s="20"/>
      <c r="R695" s="22"/>
      <c r="S695" s="22"/>
      <c r="T695" s="20"/>
      <c r="U695" s="20"/>
      <c r="V695" s="20"/>
      <c r="W695" s="19"/>
      <c r="X695" s="19"/>
      <c r="Y695" s="19"/>
      <c r="Z695" s="23"/>
    </row>
    <row r="696" spans="1:26" ht="15.75" customHeight="1" x14ac:dyDescent="0.2">
      <c r="A696" s="34"/>
      <c r="B696" s="34"/>
      <c r="C696" s="34"/>
      <c r="D696" s="34"/>
      <c r="E696" s="19"/>
      <c r="F696" s="19"/>
      <c r="G696" s="19"/>
      <c r="H696" s="19"/>
      <c r="I696" s="19"/>
      <c r="J696" s="19"/>
      <c r="K696" s="19"/>
      <c r="L696" s="19"/>
      <c r="M696" s="19"/>
      <c r="N696" s="19"/>
      <c r="O696" s="19"/>
      <c r="P696" s="20"/>
      <c r="Q696" s="20"/>
      <c r="R696" s="22"/>
      <c r="S696" s="22"/>
      <c r="T696" s="20"/>
      <c r="U696" s="20"/>
      <c r="V696" s="20"/>
      <c r="W696" s="19"/>
      <c r="X696" s="19"/>
      <c r="Y696" s="19"/>
      <c r="Z696" s="23"/>
    </row>
    <row r="697" spans="1:26" ht="15.75" customHeight="1" x14ac:dyDescent="0.2">
      <c r="A697" s="34"/>
      <c r="B697" s="34"/>
      <c r="C697" s="34"/>
      <c r="D697" s="34"/>
      <c r="E697" s="19"/>
      <c r="F697" s="19"/>
      <c r="G697" s="19"/>
      <c r="H697" s="19"/>
      <c r="I697" s="19"/>
      <c r="J697" s="19"/>
      <c r="K697" s="19"/>
      <c r="L697" s="19"/>
      <c r="M697" s="19"/>
      <c r="N697" s="19"/>
      <c r="O697" s="19"/>
      <c r="P697" s="20"/>
      <c r="Q697" s="20"/>
      <c r="R697" s="22"/>
      <c r="S697" s="22"/>
      <c r="T697" s="20"/>
      <c r="U697" s="20"/>
      <c r="V697" s="20"/>
      <c r="W697" s="19"/>
      <c r="X697" s="19"/>
      <c r="Y697" s="19"/>
      <c r="Z697" s="23"/>
    </row>
    <row r="698" spans="1:26" ht="15.75" customHeight="1" x14ac:dyDescent="0.2">
      <c r="A698" s="34"/>
      <c r="B698" s="34"/>
      <c r="C698" s="34"/>
      <c r="D698" s="34"/>
      <c r="E698" s="19"/>
      <c r="F698" s="19"/>
      <c r="G698" s="19"/>
      <c r="H698" s="19"/>
      <c r="I698" s="19"/>
      <c r="J698" s="19"/>
      <c r="K698" s="19"/>
      <c r="L698" s="19"/>
      <c r="M698" s="19"/>
      <c r="N698" s="19"/>
      <c r="O698" s="19"/>
      <c r="P698" s="20"/>
      <c r="Q698" s="20"/>
      <c r="R698" s="22"/>
      <c r="S698" s="22"/>
      <c r="T698" s="20"/>
      <c r="U698" s="20"/>
      <c r="V698" s="20"/>
      <c r="W698" s="19"/>
      <c r="X698" s="19"/>
      <c r="Y698" s="19"/>
      <c r="Z698" s="23"/>
    </row>
    <row r="699" spans="1:26" ht="15.75" customHeight="1" x14ac:dyDescent="0.2">
      <c r="A699" s="34"/>
      <c r="B699" s="34"/>
      <c r="C699" s="34"/>
      <c r="D699" s="34"/>
      <c r="E699" s="19"/>
      <c r="F699" s="19"/>
      <c r="G699" s="19"/>
      <c r="H699" s="19"/>
      <c r="I699" s="19"/>
      <c r="J699" s="19"/>
      <c r="K699" s="19"/>
      <c r="L699" s="19"/>
      <c r="M699" s="19"/>
      <c r="N699" s="19"/>
      <c r="O699" s="19"/>
      <c r="P699" s="20"/>
      <c r="Q699" s="20"/>
      <c r="R699" s="22"/>
      <c r="S699" s="22"/>
      <c r="T699" s="20"/>
      <c r="U699" s="20"/>
      <c r="V699" s="20"/>
      <c r="W699" s="19"/>
      <c r="X699" s="19"/>
      <c r="Y699" s="19"/>
      <c r="Z699" s="23"/>
    </row>
    <row r="700" spans="1:26" ht="15.75" customHeight="1" x14ac:dyDescent="0.2">
      <c r="A700" s="34"/>
      <c r="B700" s="34"/>
      <c r="C700" s="34"/>
      <c r="D700" s="34"/>
      <c r="E700" s="19"/>
      <c r="F700" s="19"/>
      <c r="G700" s="19"/>
      <c r="H700" s="19"/>
      <c r="I700" s="19"/>
      <c r="J700" s="19"/>
      <c r="K700" s="19"/>
      <c r="L700" s="19"/>
      <c r="M700" s="19"/>
      <c r="N700" s="19"/>
      <c r="O700" s="19"/>
      <c r="P700" s="20"/>
      <c r="Q700" s="20"/>
      <c r="R700" s="22"/>
      <c r="S700" s="22"/>
      <c r="T700" s="20"/>
      <c r="U700" s="20"/>
      <c r="V700" s="20"/>
      <c r="W700" s="19"/>
      <c r="X700" s="19"/>
      <c r="Y700" s="19"/>
      <c r="Z700" s="23"/>
    </row>
    <row r="701" spans="1:26" ht="15.75" customHeight="1" x14ac:dyDescent="0.2">
      <c r="A701" s="34"/>
      <c r="B701" s="34"/>
      <c r="C701" s="34"/>
      <c r="D701" s="34"/>
      <c r="E701" s="19"/>
      <c r="F701" s="19"/>
      <c r="G701" s="19"/>
      <c r="H701" s="19"/>
      <c r="I701" s="19"/>
      <c r="J701" s="19"/>
      <c r="K701" s="19"/>
      <c r="L701" s="19"/>
      <c r="M701" s="19"/>
      <c r="N701" s="19"/>
      <c r="O701" s="19"/>
      <c r="P701" s="20"/>
      <c r="Q701" s="20"/>
      <c r="R701" s="22"/>
      <c r="S701" s="22"/>
      <c r="T701" s="20"/>
      <c r="U701" s="20"/>
      <c r="V701" s="20"/>
      <c r="W701" s="19"/>
      <c r="X701" s="19"/>
      <c r="Y701" s="19"/>
      <c r="Z701" s="23"/>
    </row>
    <row r="702" spans="1:26" ht="15.75" customHeight="1" x14ac:dyDescent="0.2">
      <c r="A702" s="34"/>
      <c r="B702" s="34"/>
      <c r="C702" s="34"/>
      <c r="D702" s="34"/>
      <c r="E702" s="19"/>
      <c r="F702" s="19"/>
      <c r="G702" s="19"/>
      <c r="H702" s="19"/>
      <c r="I702" s="19"/>
      <c r="J702" s="19"/>
      <c r="K702" s="19"/>
      <c r="L702" s="19"/>
      <c r="M702" s="19"/>
      <c r="N702" s="19"/>
      <c r="O702" s="19"/>
      <c r="P702" s="20"/>
      <c r="Q702" s="20"/>
      <c r="R702" s="22"/>
      <c r="S702" s="22"/>
      <c r="T702" s="20"/>
      <c r="U702" s="20"/>
      <c r="V702" s="20"/>
      <c r="W702" s="19"/>
      <c r="X702" s="19"/>
      <c r="Y702" s="19"/>
      <c r="Z702" s="23"/>
    </row>
    <row r="703" spans="1:26" ht="15.75" customHeight="1" x14ac:dyDescent="0.2">
      <c r="A703" s="34"/>
      <c r="B703" s="34"/>
      <c r="C703" s="34"/>
      <c r="D703" s="34"/>
      <c r="E703" s="19"/>
      <c r="F703" s="19"/>
      <c r="G703" s="19"/>
      <c r="H703" s="19"/>
      <c r="I703" s="19"/>
      <c r="J703" s="19"/>
      <c r="K703" s="19"/>
      <c r="L703" s="19"/>
      <c r="M703" s="19"/>
      <c r="N703" s="19"/>
      <c r="O703" s="19"/>
      <c r="P703" s="20"/>
      <c r="Q703" s="20"/>
      <c r="R703" s="22"/>
      <c r="S703" s="22"/>
      <c r="T703" s="20"/>
      <c r="U703" s="20"/>
      <c r="V703" s="20"/>
      <c r="W703" s="19"/>
      <c r="X703" s="19"/>
      <c r="Y703" s="19"/>
      <c r="Z703" s="23"/>
    </row>
    <row r="704" spans="1:26" ht="15.75" customHeight="1" x14ac:dyDescent="0.2">
      <c r="A704" s="34"/>
      <c r="B704" s="34"/>
      <c r="C704" s="34"/>
      <c r="D704" s="34"/>
      <c r="E704" s="19"/>
      <c r="F704" s="19"/>
      <c r="G704" s="19"/>
      <c r="H704" s="19"/>
      <c r="I704" s="19"/>
      <c r="J704" s="19"/>
      <c r="K704" s="19"/>
      <c r="L704" s="19"/>
      <c r="M704" s="19"/>
      <c r="N704" s="19"/>
      <c r="O704" s="19"/>
      <c r="P704" s="20"/>
      <c r="Q704" s="20"/>
      <c r="R704" s="22"/>
      <c r="S704" s="22"/>
      <c r="T704" s="20"/>
      <c r="U704" s="20"/>
      <c r="V704" s="20"/>
      <c r="W704" s="19"/>
      <c r="X704" s="19"/>
      <c r="Y704" s="19"/>
      <c r="Z704" s="23"/>
    </row>
    <row r="705" spans="1:26" ht="15.75" customHeight="1" x14ac:dyDescent="0.2">
      <c r="A705" s="34"/>
      <c r="B705" s="34"/>
      <c r="C705" s="34"/>
      <c r="D705" s="34"/>
      <c r="E705" s="19"/>
      <c r="F705" s="19"/>
      <c r="G705" s="19"/>
      <c r="H705" s="19"/>
      <c r="I705" s="19"/>
      <c r="J705" s="19"/>
      <c r="K705" s="19"/>
      <c r="L705" s="19"/>
      <c r="M705" s="19"/>
      <c r="N705" s="19"/>
      <c r="O705" s="19"/>
      <c r="P705" s="20"/>
      <c r="Q705" s="20"/>
      <c r="R705" s="22"/>
      <c r="S705" s="22"/>
      <c r="T705" s="20"/>
      <c r="U705" s="20"/>
      <c r="V705" s="20"/>
      <c r="W705" s="19"/>
      <c r="X705" s="19"/>
      <c r="Y705" s="19"/>
      <c r="Z705" s="23"/>
    </row>
    <row r="706" spans="1:26" ht="15.75" customHeight="1" x14ac:dyDescent="0.2">
      <c r="A706" s="34"/>
      <c r="B706" s="34"/>
      <c r="C706" s="34"/>
      <c r="D706" s="34"/>
      <c r="E706" s="19"/>
      <c r="F706" s="19"/>
      <c r="G706" s="19"/>
      <c r="H706" s="19"/>
      <c r="I706" s="19"/>
      <c r="J706" s="19"/>
      <c r="K706" s="19"/>
      <c r="L706" s="19"/>
      <c r="M706" s="19"/>
      <c r="N706" s="19"/>
      <c r="O706" s="19"/>
      <c r="P706" s="20"/>
      <c r="Q706" s="20"/>
      <c r="R706" s="22"/>
      <c r="S706" s="22"/>
      <c r="T706" s="20"/>
      <c r="U706" s="20"/>
      <c r="V706" s="20"/>
      <c r="W706" s="19"/>
      <c r="X706" s="19"/>
      <c r="Y706" s="19"/>
      <c r="Z706" s="23"/>
    </row>
    <row r="707" spans="1:26" ht="15.75" customHeight="1" x14ac:dyDescent="0.2">
      <c r="A707" s="34"/>
      <c r="B707" s="34"/>
      <c r="C707" s="34"/>
      <c r="D707" s="34"/>
      <c r="E707" s="19"/>
      <c r="F707" s="19"/>
      <c r="G707" s="19"/>
      <c r="H707" s="19"/>
      <c r="I707" s="19"/>
      <c r="J707" s="19"/>
      <c r="K707" s="19"/>
      <c r="L707" s="19"/>
      <c r="M707" s="19"/>
      <c r="N707" s="19"/>
      <c r="O707" s="19"/>
      <c r="P707" s="20"/>
      <c r="Q707" s="20"/>
      <c r="R707" s="22"/>
      <c r="S707" s="22"/>
      <c r="T707" s="20"/>
      <c r="U707" s="20"/>
      <c r="V707" s="20"/>
      <c r="W707" s="19"/>
      <c r="X707" s="19"/>
      <c r="Y707" s="19"/>
      <c r="Z707" s="23"/>
    </row>
    <row r="708" spans="1:26" ht="15.75" customHeight="1" x14ac:dyDescent="0.2">
      <c r="A708" s="34"/>
      <c r="B708" s="34"/>
      <c r="C708" s="34"/>
      <c r="D708" s="34"/>
      <c r="E708" s="19"/>
      <c r="F708" s="19"/>
      <c r="G708" s="19"/>
      <c r="H708" s="19"/>
      <c r="I708" s="19"/>
      <c r="J708" s="19"/>
      <c r="K708" s="19"/>
      <c r="L708" s="19"/>
      <c r="M708" s="19"/>
      <c r="N708" s="19"/>
      <c r="O708" s="19"/>
      <c r="P708" s="20"/>
      <c r="Q708" s="20"/>
      <c r="R708" s="22"/>
      <c r="S708" s="22"/>
      <c r="T708" s="20"/>
      <c r="U708" s="20"/>
      <c r="V708" s="20"/>
      <c r="W708" s="19"/>
      <c r="X708" s="19"/>
      <c r="Y708" s="19"/>
      <c r="Z708" s="23"/>
    </row>
    <row r="709" spans="1:26" ht="15.75" customHeight="1" x14ac:dyDescent="0.2">
      <c r="A709" s="34"/>
      <c r="B709" s="34"/>
      <c r="C709" s="34"/>
      <c r="D709" s="34"/>
      <c r="E709" s="19"/>
      <c r="F709" s="19"/>
      <c r="G709" s="19"/>
      <c r="H709" s="19"/>
      <c r="I709" s="19"/>
      <c r="J709" s="19"/>
      <c r="K709" s="19"/>
      <c r="L709" s="19"/>
      <c r="M709" s="19"/>
      <c r="N709" s="19"/>
      <c r="O709" s="19"/>
      <c r="P709" s="20"/>
      <c r="Q709" s="20"/>
      <c r="R709" s="22"/>
      <c r="S709" s="22"/>
      <c r="T709" s="20"/>
      <c r="U709" s="20"/>
      <c r="V709" s="20"/>
      <c r="W709" s="19"/>
      <c r="X709" s="19"/>
      <c r="Y709" s="19"/>
      <c r="Z709" s="23"/>
    </row>
    <row r="710" spans="1:26" ht="15.75" customHeight="1" x14ac:dyDescent="0.2">
      <c r="A710" s="34"/>
      <c r="B710" s="34"/>
      <c r="C710" s="34"/>
      <c r="D710" s="34"/>
      <c r="E710" s="19"/>
      <c r="F710" s="19"/>
      <c r="G710" s="19"/>
      <c r="H710" s="19"/>
      <c r="I710" s="19"/>
      <c r="J710" s="19"/>
      <c r="K710" s="19"/>
      <c r="L710" s="19"/>
      <c r="M710" s="19"/>
      <c r="N710" s="19"/>
      <c r="O710" s="19"/>
      <c r="P710" s="20"/>
      <c r="Q710" s="20"/>
      <c r="R710" s="22"/>
      <c r="S710" s="22"/>
      <c r="T710" s="20"/>
      <c r="U710" s="20"/>
      <c r="V710" s="20"/>
      <c r="W710" s="19"/>
      <c r="X710" s="19"/>
      <c r="Y710" s="19"/>
      <c r="Z710" s="23"/>
    </row>
    <row r="711" spans="1:26" ht="15.75" customHeight="1" x14ac:dyDescent="0.2">
      <c r="A711" s="34"/>
      <c r="B711" s="34"/>
      <c r="C711" s="34"/>
      <c r="D711" s="34"/>
      <c r="E711" s="19"/>
      <c r="F711" s="19"/>
      <c r="G711" s="19"/>
      <c r="H711" s="19"/>
      <c r="I711" s="19"/>
      <c r="J711" s="19"/>
      <c r="K711" s="19"/>
      <c r="L711" s="19"/>
      <c r="M711" s="19"/>
      <c r="N711" s="19"/>
      <c r="O711" s="19"/>
      <c r="P711" s="20"/>
      <c r="Q711" s="20"/>
      <c r="R711" s="22"/>
      <c r="S711" s="22"/>
      <c r="T711" s="20"/>
      <c r="U711" s="20"/>
      <c r="V711" s="20"/>
      <c r="W711" s="19"/>
      <c r="X711" s="19"/>
      <c r="Y711" s="19"/>
      <c r="Z711" s="23"/>
    </row>
    <row r="712" spans="1:26" ht="15.75" customHeight="1" x14ac:dyDescent="0.2">
      <c r="A712" s="34"/>
      <c r="B712" s="34"/>
      <c r="C712" s="34"/>
      <c r="D712" s="34"/>
      <c r="E712" s="19"/>
      <c r="F712" s="19"/>
      <c r="G712" s="19"/>
      <c r="H712" s="19"/>
      <c r="I712" s="19"/>
      <c r="J712" s="19"/>
      <c r="K712" s="19"/>
      <c r="L712" s="19"/>
      <c r="M712" s="19"/>
      <c r="N712" s="19"/>
      <c r="O712" s="19"/>
      <c r="P712" s="20"/>
      <c r="Q712" s="20"/>
      <c r="R712" s="22"/>
      <c r="S712" s="22"/>
      <c r="T712" s="20"/>
      <c r="U712" s="20"/>
      <c r="V712" s="20"/>
      <c r="W712" s="19"/>
      <c r="X712" s="19"/>
      <c r="Y712" s="19"/>
      <c r="Z712" s="23"/>
    </row>
    <row r="713" spans="1:26" ht="15.75" customHeight="1" x14ac:dyDescent="0.2">
      <c r="A713" s="34"/>
      <c r="B713" s="34"/>
      <c r="C713" s="34"/>
      <c r="D713" s="34"/>
      <c r="E713" s="19"/>
      <c r="F713" s="19"/>
      <c r="G713" s="19"/>
      <c r="H713" s="19"/>
      <c r="I713" s="19"/>
      <c r="J713" s="19"/>
      <c r="K713" s="19"/>
      <c r="L713" s="19"/>
      <c r="M713" s="19"/>
      <c r="N713" s="19"/>
      <c r="O713" s="19"/>
      <c r="P713" s="20"/>
      <c r="Q713" s="20"/>
      <c r="R713" s="22"/>
      <c r="S713" s="22"/>
      <c r="T713" s="20"/>
      <c r="U713" s="20"/>
      <c r="V713" s="20"/>
      <c r="W713" s="19"/>
      <c r="X713" s="19"/>
      <c r="Y713" s="19"/>
      <c r="Z713" s="23"/>
    </row>
    <row r="714" spans="1:26" ht="15.75" customHeight="1" x14ac:dyDescent="0.2">
      <c r="A714" s="34"/>
      <c r="B714" s="34"/>
      <c r="C714" s="34"/>
      <c r="D714" s="34"/>
      <c r="E714" s="19"/>
      <c r="F714" s="19"/>
      <c r="G714" s="19"/>
      <c r="H714" s="19"/>
      <c r="I714" s="19"/>
      <c r="J714" s="19"/>
      <c r="K714" s="19"/>
      <c r="L714" s="19"/>
      <c r="M714" s="19"/>
      <c r="N714" s="19"/>
      <c r="O714" s="19"/>
      <c r="P714" s="20"/>
      <c r="Q714" s="20"/>
      <c r="R714" s="22"/>
      <c r="S714" s="22"/>
      <c r="T714" s="20"/>
      <c r="U714" s="20"/>
      <c r="V714" s="20"/>
      <c r="W714" s="19"/>
      <c r="X714" s="19"/>
      <c r="Y714" s="19"/>
      <c r="Z714" s="23"/>
    </row>
    <row r="715" spans="1:26" ht="15.75" customHeight="1" x14ac:dyDescent="0.2">
      <c r="A715" s="34"/>
      <c r="B715" s="34"/>
      <c r="C715" s="34"/>
      <c r="D715" s="34"/>
      <c r="E715" s="19"/>
      <c r="F715" s="19"/>
      <c r="G715" s="19"/>
      <c r="H715" s="19"/>
      <c r="I715" s="19"/>
      <c r="J715" s="19"/>
      <c r="K715" s="19"/>
      <c r="L715" s="19"/>
      <c r="M715" s="19"/>
      <c r="N715" s="19"/>
      <c r="O715" s="19"/>
      <c r="P715" s="20"/>
      <c r="Q715" s="20"/>
      <c r="R715" s="22"/>
      <c r="S715" s="22"/>
      <c r="T715" s="20"/>
      <c r="U715" s="20"/>
      <c r="V715" s="20"/>
      <c r="W715" s="19"/>
      <c r="X715" s="19"/>
      <c r="Y715" s="19"/>
      <c r="Z715" s="23"/>
    </row>
    <row r="716" spans="1:26" ht="15.75" customHeight="1" x14ac:dyDescent="0.2">
      <c r="A716" s="34"/>
      <c r="B716" s="34"/>
      <c r="C716" s="34"/>
      <c r="D716" s="34"/>
      <c r="E716" s="19"/>
      <c r="F716" s="19"/>
      <c r="G716" s="19"/>
      <c r="H716" s="19"/>
      <c r="I716" s="19"/>
      <c r="J716" s="19"/>
      <c r="K716" s="19"/>
      <c r="L716" s="19"/>
      <c r="M716" s="19"/>
      <c r="N716" s="19"/>
      <c r="O716" s="19"/>
      <c r="P716" s="20"/>
      <c r="Q716" s="20"/>
      <c r="R716" s="22"/>
      <c r="S716" s="22"/>
      <c r="T716" s="20"/>
      <c r="U716" s="20"/>
      <c r="V716" s="20"/>
      <c r="W716" s="19"/>
      <c r="X716" s="19"/>
      <c r="Y716" s="19"/>
      <c r="Z716" s="23"/>
    </row>
    <row r="717" spans="1:26" ht="15.75" customHeight="1" x14ac:dyDescent="0.2">
      <c r="A717" s="34"/>
      <c r="B717" s="34"/>
      <c r="C717" s="34"/>
      <c r="D717" s="34"/>
      <c r="E717" s="19"/>
      <c r="F717" s="19"/>
      <c r="G717" s="19"/>
      <c r="H717" s="19"/>
      <c r="I717" s="19"/>
      <c r="J717" s="19"/>
      <c r="K717" s="19"/>
      <c r="L717" s="19"/>
      <c r="M717" s="19"/>
      <c r="N717" s="19"/>
      <c r="O717" s="19"/>
      <c r="P717" s="20"/>
      <c r="Q717" s="20"/>
      <c r="R717" s="22"/>
      <c r="S717" s="22"/>
      <c r="T717" s="20"/>
      <c r="U717" s="20"/>
      <c r="V717" s="20"/>
      <c r="W717" s="19"/>
      <c r="X717" s="19"/>
      <c r="Y717" s="19"/>
      <c r="Z717" s="23"/>
    </row>
    <row r="718" spans="1:26" ht="15.75" customHeight="1" x14ac:dyDescent="0.2">
      <c r="A718" s="34"/>
      <c r="B718" s="34"/>
      <c r="C718" s="34"/>
      <c r="D718" s="34"/>
      <c r="E718" s="19"/>
      <c r="F718" s="19"/>
      <c r="G718" s="19"/>
      <c r="H718" s="19"/>
      <c r="I718" s="19"/>
      <c r="J718" s="19"/>
      <c r="K718" s="19"/>
      <c r="L718" s="19"/>
      <c r="M718" s="19"/>
      <c r="N718" s="19"/>
      <c r="O718" s="19"/>
      <c r="P718" s="20"/>
      <c r="Q718" s="20"/>
      <c r="R718" s="22"/>
      <c r="S718" s="22"/>
      <c r="T718" s="20"/>
      <c r="U718" s="20"/>
      <c r="V718" s="20"/>
      <c r="W718" s="19"/>
      <c r="X718" s="19"/>
      <c r="Y718" s="19"/>
      <c r="Z718" s="23"/>
    </row>
    <row r="719" spans="1:26" ht="15.75" customHeight="1" x14ac:dyDescent="0.2">
      <c r="A719" s="34"/>
      <c r="B719" s="34"/>
      <c r="C719" s="34"/>
      <c r="D719" s="34"/>
      <c r="E719" s="19"/>
      <c r="F719" s="19"/>
      <c r="G719" s="19"/>
      <c r="H719" s="19"/>
      <c r="I719" s="19"/>
      <c r="J719" s="19"/>
      <c r="K719" s="19"/>
      <c r="L719" s="19"/>
      <c r="M719" s="19"/>
      <c r="N719" s="19"/>
      <c r="O719" s="19"/>
      <c r="P719" s="20"/>
      <c r="Q719" s="20"/>
      <c r="R719" s="22"/>
      <c r="S719" s="22"/>
      <c r="T719" s="20"/>
      <c r="U719" s="20"/>
      <c r="V719" s="20"/>
      <c r="W719" s="19"/>
      <c r="X719" s="19"/>
      <c r="Y719" s="19"/>
      <c r="Z719" s="23"/>
    </row>
    <row r="720" spans="1:26" ht="15.75" customHeight="1" x14ac:dyDescent="0.2">
      <c r="A720" s="34"/>
      <c r="B720" s="34"/>
      <c r="C720" s="34"/>
      <c r="D720" s="34"/>
      <c r="E720" s="19"/>
      <c r="F720" s="19"/>
      <c r="G720" s="19"/>
      <c r="H720" s="19"/>
      <c r="I720" s="19"/>
      <c r="J720" s="19"/>
      <c r="K720" s="19"/>
      <c r="L720" s="19"/>
      <c r="M720" s="19"/>
      <c r="N720" s="19"/>
      <c r="O720" s="19"/>
      <c r="P720" s="20"/>
      <c r="Q720" s="20"/>
      <c r="R720" s="22"/>
      <c r="S720" s="22"/>
      <c r="T720" s="20"/>
      <c r="U720" s="20"/>
      <c r="V720" s="20"/>
      <c r="W720" s="19"/>
      <c r="X720" s="19"/>
      <c r="Y720" s="19"/>
      <c r="Z720" s="23"/>
    </row>
    <row r="721" spans="1:26" ht="15.75" customHeight="1" x14ac:dyDescent="0.2">
      <c r="A721" s="34"/>
      <c r="B721" s="34"/>
      <c r="C721" s="34"/>
      <c r="D721" s="34"/>
      <c r="E721" s="19"/>
      <c r="F721" s="19"/>
      <c r="G721" s="19"/>
      <c r="H721" s="19"/>
      <c r="I721" s="19"/>
      <c r="J721" s="19"/>
      <c r="K721" s="19"/>
      <c r="L721" s="19"/>
      <c r="M721" s="19"/>
      <c r="N721" s="19"/>
      <c r="O721" s="19"/>
      <c r="P721" s="20"/>
      <c r="Q721" s="20"/>
      <c r="R721" s="22"/>
      <c r="S721" s="22"/>
      <c r="T721" s="20"/>
      <c r="U721" s="20"/>
      <c r="V721" s="20"/>
      <c r="W721" s="19"/>
      <c r="X721" s="19"/>
      <c r="Y721" s="19"/>
      <c r="Z721" s="23"/>
    </row>
    <row r="722" spans="1:26" ht="15.75" customHeight="1" x14ac:dyDescent="0.2">
      <c r="A722" s="34"/>
      <c r="B722" s="34"/>
      <c r="C722" s="34"/>
      <c r="D722" s="34"/>
      <c r="E722" s="19"/>
      <c r="F722" s="19"/>
      <c r="G722" s="19"/>
      <c r="H722" s="19"/>
      <c r="I722" s="19"/>
      <c r="J722" s="19"/>
      <c r="K722" s="19"/>
      <c r="L722" s="19"/>
      <c r="M722" s="19"/>
      <c r="N722" s="19"/>
      <c r="O722" s="19"/>
      <c r="P722" s="20"/>
      <c r="Q722" s="20"/>
      <c r="R722" s="22"/>
      <c r="S722" s="22"/>
      <c r="T722" s="20"/>
      <c r="U722" s="20"/>
      <c r="V722" s="20"/>
      <c r="W722" s="19"/>
      <c r="X722" s="19"/>
      <c r="Y722" s="19"/>
      <c r="Z722" s="23"/>
    </row>
    <row r="723" spans="1:26" ht="15.75" customHeight="1" x14ac:dyDescent="0.2">
      <c r="A723" s="34"/>
      <c r="B723" s="34"/>
      <c r="C723" s="34"/>
      <c r="D723" s="34"/>
      <c r="E723" s="19"/>
      <c r="F723" s="19"/>
      <c r="G723" s="19"/>
      <c r="H723" s="19"/>
      <c r="I723" s="19"/>
      <c r="J723" s="19"/>
      <c r="K723" s="19"/>
      <c r="L723" s="19"/>
      <c r="M723" s="19"/>
      <c r="N723" s="19"/>
      <c r="O723" s="19"/>
      <c r="P723" s="20"/>
      <c r="Q723" s="20"/>
      <c r="R723" s="22"/>
      <c r="S723" s="22"/>
      <c r="T723" s="20"/>
      <c r="U723" s="20"/>
      <c r="V723" s="20"/>
      <c r="W723" s="19"/>
      <c r="X723" s="19"/>
      <c r="Y723" s="19"/>
      <c r="Z723" s="23"/>
    </row>
    <row r="724" spans="1:26" ht="15.75" customHeight="1" x14ac:dyDescent="0.2">
      <c r="A724" s="34"/>
      <c r="B724" s="34"/>
      <c r="C724" s="34"/>
      <c r="D724" s="34"/>
      <c r="E724" s="19"/>
      <c r="F724" s="19"/>
      <c r="G724" s="19"/>
      <c r="H724" s="19"/>
      <c r="I724" s="19"/>
      <c r="J724" s="19"/>
      <c r="K724" s="19"/>
      <c r="L724" s="19"/>
      <c r="M724" s="19"/>
      <c r="N724" s="19"/>
      <c r="O724" s="19"/>
      <c r="P724" s="20"/>
      <c r="Q724" s="20"/>
      <c r="R724" s="22"/>
      <c r="S724" s="22"/>
      <c r="T724" s="20"/>
      <c r="U724" s="20"/>
      <c r="V724" s="20"/>
      <c r="W724" s="19"/>
      <c r="X724" s="19"/>
      <c r="Y724" s="19"/>
      <c r="Z724" s="23"/>
    </row>
    <row r="725" spans="1:26" ht="15.75" customHeight="1" x14ac:dyDescent="0.2">
      <c r="A725" s="34"/>
      <c r="B725" s="34"/>
      <c r="C725" s="34"/>
      <c r="D725" s="34"/>
      <c r="E725" s="19"/>
      <c r="F725" s="19"/>
      <c r="G725" s="19"/>
      <c r="H725" s="19"/>
      <c r="I725" s="19"/>
      <c r="J725" s="19"/>
      <c r="K725" s="19"/>
      <c r="L725" s="19"/>
      <c r="M725" s="19"/>
      <c r="N725" s="19"/>
      <c r="O725" s="19"/>
      <c r="P725" s="20"/>
      <c r="Q725" s="20"/>
      <c r="R725" s="22"/>
      <c r="S725" s="22"/>
      <c r="T725" s="20"/>
      <c r="U725" s="20"/>
      <c r="V725" s="20"/>
      <c r="W725" s="19"/>
      <c r="X725" s="19"/>
      <c r="Y725" s="19"/>
      <c r="Z725" s="23"/>
    </row>
    <row r="726" spans="1:26" ht="15.75" customHeight="1" x14ac:dyDescent="0.2">
      <c r="A726" s="34"/>
      <c r="B726" s="34"/>
      <c r="C726" s="34"/>
      <c r="D726" s="34"/>
      <c r="E726" s="19"/>
      <c r="F726" s="19"/>
      <c r="G726" s="19"/>
      <c r="H726" s="19"/>
      <c r="I726" s="19"/>
      <c r="J726" s="19"/>
      <c r="K726" s="19"/>
      <c r="L726" s="19"/>
      <c r="M726" s="19"/>
      <c r="N726" s="19"/>
      <c r="O726" s="19"/>
      <c r="P726" s="20"/>
      <c r="Q726" s="20"/>
      <c r="R726" s="22"/>
      <c r="S726" s="22"/>
      <c r="T726" s="20"/>
      <c r="U726" s="20"/>
      <c r="V726" s="20"/>
      <c r="W726" s="19"/>
      <c r="X726" s="19"/>
      <c r="Y726" s="19"/>
      <c r="Z726" s="23"/>
    </row>
    <row r="727" spans="1:26" ht="15.75" customHeight="1" x14ac:dyDescent="0.2">
      <c r="A727" s="34"/>
      <c r="B727" s="34"/>
      <c r="C727" s="34"/>
      <c r="D727" s="34"/>
      <c r="E727" s="19"/>
      <c r="F727" s="19"/>
      <c r="G727" s="19"/>
      <c r="H727" s="19"/>
      <c r="I727" s="19"/>
      <c r="J727" s="19"/>
      <c r="K727" s="19"/>
      <c r="L727" s="19"/>
      <c r="M727" s="19"/>
      <c r="N727" s="19"/>
      <c r="O727" s="19"/>
      <c r="P727" s="20"/>
      <c r="Q727" s="20"/>
      <c r="R727" s="22"/>
      <c r="S727" s="22"/>
      <c r="T727" s="20"/>
      <c r="U727" s="20"/>
      <c r="V727" s="20"/>
      <c r="W727" s="19"/>
      <c r="X727" s="19"/>
      <c r="Y727" s="19"/>
      <c r="Z727" s="23"/>
    </row>
    <row r="728" spans="1:26" ht="15.75" customHeight="1" x14ac:dyDescent="0.2">
      <c r="A728" s="34"/>
      <c r="B728" s="34"/>
      <c r="C728" s="34"/>
      <c r="D728" s="34"/>
      <c r="E728" s="19"/>
      <c r="F728" s="19"/>
      <c r="G728" s="19"/>
      <c r="H728" s="19"/>
      <c r="I728" s="19"/>
      <c r="J728" s="19"/>
      <c r="K728" s="19"/>
      <c r="L728" s="19"/>
      <c r="M728" s="19"/>
      <c r="N728" s="19"/>
      <c r="O728" s="19"/>
      <c r="P728" s="20"/>
      <c r="Q728" s="20"/>
      <c r="R728" s="22"/>
      <c r="S728" s="22"/>
      <c r="T728" s="20"/>
      <c r="U728" s="20"/>
      <c r="V728" s="20"/>
      <c r="W728" s="19"/>
      <c r="X728" s="19"/>
      <c r="Y728" s="19"/>
      <c r="Z728" s="23"/>
    </row>
    <row r="729" spans="1:26" ht="15.75" customHeight="1" x14ac:dyDescent="0.2">
      <c r="A729" s="34"/>
      <c r="B729" s="34"/>
      <c r="C729" s="34"/>
      <c r="D729" s="34"/>
      <c r="E729" s="19"/>
      <c r="F729" s="19"/>
      <c r="G729" s="19"/>
      <c r="H729" s="19"/>
      <c r="I729" s="19"/>
      <c r="J729" s="19"/>
      <c r="K729" s="19"/>
      <c r="L729" s="19"/>
      <c r="M729" s="19"/>
      <c r="N729" s="19"/>
      <c r="O729" s="19"/>
      <c r="P729" s="20"/>
      <c r="Q729" s="20"/>
      <c r="R729" s="22"/>
      <c r="S729" s="22"/>
      <c r="T729" s="20"/>
      <c r="U729" s="20"/>
      <c r="V729" s="20"/>
      <c r="W729" s="19"/>
      <c r="X729" s="19"/>
      <c r="Y729" s="19"/>
      <c r="Z729" s="23"/>
    </row>
    <row r="730" spans="1:26" ht="15.75" customHeight="1" x14ac:dyDescent="0.2">
      <c r="A730" s="34"/>
      <c r="B730" s="34"/>
      <c r="C730" s="34"/>
      <c r="D730" s="34"/>
      <c r="E730" s="19"/>
      <c r="F730" s="19"/>
      <c r="G730" s="19"/>
      <c r="H730" s="19"/>
      <c r="I730" s="19"/>
      <c r="J730" s="19"/>
      <c r="K730" s="19"/>
      <c r="L730" s="19"/>
      <c r="M730" s="19"/>
      <c r="N730" s="19"/>
      <c r="O730" s="19"/>
      <c r="P730" s="20"/>
      <c r="Q730" s="20"/>
      <c r="R730" s="22"/>
      <c r="S730" s="22"/>
      <c r="T730" s="20"/>
      <c r="U730" s="20"/>
      <c r="V730" s="20"/>
      <c r="W730" s="19"/>
      <c r="X730" s="19"/>
      <c r="Y730" s="19"/>
      <c r="Z730" s="23"/>
    </row>
    <row r="731" spans="1:26" ht="15.75" customHeight="1" x14ac:dyDescent="0.2">
      <c r="A731" s="34"/>
      <c r="B731" s="34"/>
      <c r="C731" s="34"/>
      <c r="D731" s="34"/>
      <c r="E731" s="19"/>
      <c r="F731" s="19"/>
      <c r="G731" s="19"/>
      <c r="H731" s="19"/>
      <c r="I731" s="19"/>
      <c r="J731" s="19"/>
      <c r="K731" s="19"/>
      <c r="L731" s="19"/>
      <c r="M731" s="19"/>
      <c r="N731" s="19"/>
      <c r="O731" s="19"/>
      <c r="P731" s="20"/>
      <c r="Q731" s="20"/>
      <c r="R731" s="22"/>
      <c r="S731" s="22"/>
      <c r="T731" s="20"/>
      <c r="U731" s="20"/>
      <c r="V731" s="20"/>
      <c r="W731" s="19"/>
      <c r="X731" s="19"/>
      <c r="Y731" s="19"/>
      <c r="Z731" s="23"/>
    </row>
    <row r="732" spans="1:26" ht="15.75" customHeight="1" x14ac:dyDescent="0.2">
      <c r="A732" s="34"/>
      <c r="B732" s="34"/>
      <c r="C732" s="34"/>
      <c r="D732" s="34"/>
      <c r="E732" s="19"/>
      <c r="F732" s="19"/>
      <c r="G732" s="19"/>
      <c r="H732" s="19"/>
      <c r="I732" s="19"/>
      <c r="J732" s="19"/>
      <c r="K732" s="19"/>
      <c r="L732" s="19"/>
      <c r="M732" s="19"/>
      <c r="N732" s="19"/>
      <c r="O732" s="19"/>
      <c r="P732" s="20"/>
      <c r="Q732" s="20"/>
      <c r="R732" s="22"/>
      <c r="S732" s="22"/>
      <c r="T732" s="20"/>
      <c r="U732" s="20"/>
      <c r="V732" s="20"/>
      <c r="W732" s="19"/>
      <c r="X732" s="19"/>
      <c r="Y732" s="19"/>
      <c r="Z732" s="23"/>
    </row>
    <row r="733" spans="1:26" ht="15.75" customHeight="1" x14ac:dyDescent="0.2">
      <c r="A733" s="34"/>
      <c r="B733" s="34"/>
      <c r="C733" s="34"/>
      <c r="D733" s="34"/>
      <c r="E733" s="19"/>
      <c r="F733" s="19"/>
      <c r="G733" s="19"/>
      <c r="H733" s="19"/>
      <c r="I733" s="19"/>
      <c r="J733" s="19"/>
      <c r="K733" s="19"/>
      <c r="L733" s="19"/>
      <c r="M733" s="19"/>
      <c r="N733" s="19"/>
      <c r="O733" s="19"/>
      <c r="P733" s="20"/>
      <c r="Q733" s="20"/>
      <c r="R733" s="22"/>
      <c r="S733" s="22"/>
      <c r="T733" s="20"/>
      <c r="U733" s="20"/>
      <c r="V733" s="20"/>
      <c r="W733" s="19"/>
      <c r="X733" s="19"/>
      <c r="Y733" s="19"/>
      <c r="Z733" s="23"/>
    </row>
    <row r="734" spans="1:26" ht="15.75" customHeight="1" x14ac:dyDescent="0.2">
      <c r="A734" s="34"/>
      <c r="B734" s="34"/>
      <c r="C734" s="34"/>
      <c r="D734" s="34"/>
      <c r="E734" s="19"/>
      <c r="F734" s="19"/>
      <c r="G734" s="19"/>
      <c r="H734" s="19"/>
      <c r="I734" s="19"/>
      <c r="J734" s="19"/>
      <c r="K734" s="19"/>
      <c r="L734" s="19"/>
      <c r="M734" s="19"/>
      <c r="N734" s="19"/>
      <c r="O734" s="19"/>
      <c r="P734" s="20"/>
      <c r="Q734" s="20"/>
      <c r="R734" s="22"/>
      <c r="S734" s="22"/>
      <c r="T734" s="20"/>
      <c r="U734" s="20"/>
      <c r="V734" s="20"/>
      <c r="W734" s="19"/>
      <c r="X734" s="19"/>
      <c r="Y734" s="19"/>
      <c r="Z734" s="23"/>
    </row>
    <row r="735" spans="1:26" ht="15.75" customHeight="1" x14ac:dyDescent="0.2">
      <c r="A735" s="34"/>
      <c r="B735" s="34"/>
      <c r="C735" s="34"/>
      <c r="D735" s="34"/>
      <c r="E735" s="19"/>
      <c r="F735" s="19"/>
      <c r="G735" s="19"/>
      <c r="H735" s="19"/>
      <c r="I735" s="19"/>
      <c r="J735" s="19"/>
      <c r="K735" s="19"/>
      <c r="L735" s="19"/>
      <c r="M735" s="19"/>
      <c r="N735" s="19"/>
      <c r="O735" s="19"/>
      <c r="P735" s="20"/>
      <c r="Q735" s="20"/>
      <c r="R735" s="22"/>
      <c r="S735" s="22"/>
      <c r="T735" s="20"/>
      <c r="U735" s="20"/>
      <c r="V735" s="20"/>
      <c r="W735" s="19"/>
      <c r="X735" s="19"/>
      <c r="Y735" s="19"/>
      <c r="Z735" s="23"/>
    </row>
    <row r="736" spans="1:26" ht="15.75" customHeight="1" x14ac:dyDescent="0.2">
      <c r="A736" s="34"/>
      <c r="B736" s="34"/>
      <c r="C736" s="34"/>
      <c r="D736" s="34"/>
      <c r="E736" s="19"/>
      <c r="F736" s="19"/>
      <c r="G736" s="19"/>
      <c r="H736" s="19"/>
      <c r="I736" s="19"/>
      <c r="J736" s="19"/>
      <c r="K736" s="19"/>
      <c r="L736" s="19"/>
      <c r="M736" s="19"/>
      <c r="N736" s="19"/>
      <c r="O736" s="19"/>
      <c r="P736" s="20"/>
      <c r="Q736" s="20"/>
      <c r="R736" s="22"/>
      <c r="S736" s="22"/>
      <c r="T736" s="20"/>
      <c r="U736" s="20"/>
      <c r="V736" s="20"/>
      <c r="W736" s="19"/>
      <c r="X736" s="19"/>
      <c r="Y736" s="19"/>
      <c r="Z736" s="23"/>
    </row>
    <row r="737" spans="1:26" ht="15.75" customHeight="1" x14ac:dyDescent="0.2">
      <c r="A737" s="34"/>
      <c r="B737" s="34"/>
      <c r="C737" s="34"/>
      <c r="D737" s="34"/>
      <c r="E737" s="19"/>
      <c r="F737" s="19"/>
      <c r="G737" s="19"/>
      <c r="H737" s="19"/>
      <c r="I737" s="19"/>
      <c r="J737" s="19"/>
      <c r="K737" s="19"/>
      <c r="L737" s="19"/>
      <c r="M737" s="19"/>
      <c r="N737" s="19"/>
      <c r="O737" s="19"/>
      <c r="P737" s="20"/>
      <c r="Q737" s="20"/>
      <c r="R737" s="22"/>
      <c r="S737" s="22"/>
      <c r="T737" s="20"/>
      <c r="U737" s="20"/>
      <c r="V737" s="20"/>
      <c r="W737" s="19"/>
      <c r="X737" s="19"/>
      <c r="Y737" s="19"/>
      <c r="Z737" s="23"/>
    </row>
    <row r="738" spans="1:26" ht="15.75" customHeight="1" x14ac:dyDescent="0.2">
      <c r="A738" s="34"/>
      <c r="B738" s="34"/>
      <c r="C738" s="34"/>
      <c r="D738" s="34"/>
      <c r="E738" s="19"/>
      <c r="F738" s="19"/>
      <c r="G738" s="19"/>
      <c r="H738" s="19"/>
      <c r="I738" s="19"/>
      <c r="J738" s="19"/>
      <c r="K738" s="19"/>
      <c r="L738" s="19"/>
      <c r="M738" s="19"/>
      <c r="N738" s="19"/>
      <c r="O738" s="19"/>
      <c r="P738" s="20"/>
      <c r="Q738" s="20"/>
      <c r="R738" s="22"/>
      <c r="S738" s="22"/>
      <c r="T738" s="20"/>
      <c r="U738" s="20"/>
      <c r="V738" s="20"/>
      <c r="W738" s="19"/>
      <c r="X738" s="19"/>
      <c r="Y738" s="19"/>
      <c r="Z738" s="23"/>
    </row>
    <row r="739" spans="1:26" ht="15.75" customHeight="1" x14ac:dyDescent="0.2">
      <c r="A739" s="34"/>
      <c r="B739" s="34"/>
      <c r="C739" s="34"/>
      <c r="D739" s="34"/>
      <c r="E739" s="19"/>
      <c r="F739" s="19"/>
      <c r="G739" s="19"/>
      <c r="H739" s="19"/>
      <c r="I739" s="19"/>
      <c r="J739" s="19"/>
      <c r="K739" s="19"/>
      <c r="L739" s="19"/>
      <c r="M739" s="19"/>
      <c r="N739" s="19"/>
      <c r="O739" s="19"/>
      <c r="P739" s="20"/>
      <c r="Q739" s="20"/>
      <c r="R739" s="22"/>
      <c r="S739" s="22"/>
      <c r="T739" s="20"/>
      <c r="U739" s="20"/>
      <c r="V739" s="20"/>
      <c r="W739" s="19"/>
      <c r="X739" s="19"/>
      <c r="Y739" s="19"/>
      <c r="Z739" s="23"/>
    </row>
    <row r="740" spans="1:26" ht="15.75" customHeight="1" x14ac:dyDescent="0.2">
      <c r="A740" s="34"/>
      <c r="B740" s="34"/>
      <c r="C740" s="34"/>
      <c r="D740" s="34"/>
      <c r="E740" s="19"/>
      <c r="F740" s="19"/>
      <c r="G740" s="19"/>
      <c r="H740" s="19"/>
      <c r="I740" s="19"/>
      <c r="J740" s="19"/>
      <c r="K740" s="19"/>
      <c r="L740" s="19"/>
      <c r="M740" s="19"/>
      <c r="N740" s="19"/>
      <c r="O740" s="19"/>
      <c r="P740" s="20"/>
      <c r="Q740" s="20"/>
      <c r="R740" s="22"/>
      <c r="S740" s="22"/>
      <c r="T740" s="20"/>
      <c r="U740" s="20"/>
      <c r="V740" s="20"/>
      <c r="W740" s="19"/>
      <c r="X740" s="19"/>
      <c r="Y740" s="19"/>
      <c r="Z740" s="23"/>
    </row>
    <row r="741" spans="1:26" ht="15.75" customHeight="1" x14ac:dyDescent="0.2">
      <c r="A741" s="34"/>
      <c r="B741" s="34"/>
      <c r="C741" s="34"/>
      <c r="D741" s="34"/>
      <c r="E741" s="19"/>
      <c r="F741" s="19"/>
      <c r="G741" s="19"/>
      <c r="H741" s="19"/>
      <c r="I741" s="19"/>
      <c r="J741" s="19"/>
      <c r="K741" s="19"/>
      <c r="L741" s="19"/>
      <c r="M741" s="19"/>
      <c r="N741" s="19"/>
      <c r="O741" s="19"/>
      <c r="P741" s="20"/>
      <c r="Q741" s="20"/>
      <c r="R741" s="22"/>
      <c r="S741" s="22"/>
      <c r="T741" s="20"/>
      <c r="U741" s="20"/>
      <c r="V741" s="20"/>
      <c r="W741" s="19"/>
      <c r="X741" s="19"/>
      <c r="Y741" s="19"/>
      <c r="Z741" s="23"/>
    </row>
    <row r="742" spans="1:26" ht="15.75" customHeight="1" x14ac:dyDescent="0.2">
      <c r="A742" s="34"/>
      <c r="B742" s="34"/>
      <c r="C742" s="34"/>
      <c r="D742" s="34"/>
      <c r="E742" s="19"/>
      <c r="F742" s="19"/>
      <c r="G742" s="19"/>
      <c r="H742" s="19"/>
      <c r="I742" s="19"/>
      <c r="J742" s="19"/>
      <c r="K742" s="19"/>
      <c r="L742" s="19"/>
      <c r="M742" s="19"/>
      <c r="N742" s="19"/>
      <c r="O742" s="19"/>
      <c r="P742" s="20"/>
      <c r="Q742" s="20"/>
      <c r="R742" s="22"/>
      <c r="S742" s="22"/>
      <c r="T742" s="20"/>
      <c r="U742" s="20"/>
      <c r="V742" s="20"/>
      <c r="W742" s="19"/>
      <c r="X742" s="19"/>
      <c r="Y742" s="19"/>
      <c r="Z742" s="23"/>
    </row>
    <row r="743" spans="1:26" ht="15.75" customHeight="1" x14ac:dyDescent="0.2">
      <c r="A743" s="34"/>
      <c r="B743" s="34"/>
      <c r="C743" s="34"/>
      <c r="D743" s="34"/>
      <c r="E743" s="19"/>
      <c r="F743" s="19"/>
      <c r="G743" s="19"/>
      <c r="H743" s="19"/>
      <c r="I743" s="19"/>
      <c r="J743" s="19"/>
      <c r="K743" s="19"/>
      <c r="L743" s="19"/>
      <c r="M743" s="19"/>
      <c r="N743" s="19"/>
      <c r="O743" s="19"/>
      <c r="P743" s="20"/>
      <c r="Q743" s="20"/>
      <c r="R743" s="22"/>
      <c r="S743" s="22"/>
      <c r="T743" s="20"/>
      <c r="U743" s="20"/>
      <c r="V743" s="20"/>
      <c r="W743" s="19"/>
      <c r="X743" s="19"/>
      <c r="Y743" s="19"/>
      <c r="Z743" s="23"/>
    </row>
    <row r="744" spans="1:26" ht="15.75" customHeight="1" x14ac:dyDescent="0.2">
      <c r="A744" s="34"/>
      <c r="B744" s="34"/>
      <c r="C744" s="34"/>
      <c r="D744" s="34"/>
      <c r="E744" s="19"/>
      <c r="F744" s="19"/>
      <c r="G744" s="19"/>
      <c r="H744" s="19"/>
      <c r="I744" s="19"/>
      <c r="J744" s="19"/>
      <c r="K744" s="19"/>
      <c r="L744" s="19"/>
      <c r="M744" s="19"/>
      <c r="N744" s="19"/>
      <c r="O744" s="19"/>
      <c r="P744" s="20"/>
      <c r="Q744" s="20"/>
      <c r="R744" s="22"/>
      <c r="S744" s="22"/>
      <c r="T744" s="20"/>
      <c r="U744" s="20"/>
      <c r="V744" s="20"/>
      <c r="W744" s="19"/>
      <c r="X744" s="19"/>
      <c r="Y744" s="19"/>
      <c r="Z744" s="23"/>
    </row>
    <row r="745" spans="1:26" ht="15.75" customHeight="1" x14ac:dyDescent="0.2">
      <c r="A745" s="34"/>
      <c r="B745" s="34"/>
      <c r="C745" s="34"/>
      <c r="D745" s="34"/>
      <c r="E745" s="19"/>
      <c r="F745" s="19"/>
      <c r="G745" s="19"/>
      <c r="H745" s="19"/>
      <c r="I745" s="19"/>
      <c r="J745" s="19"/>
      <c r="K745" s="19"/>
      <c r="L745" s="19"/>
      <c r="M745" s="19"/>
      <c r="N745" s="19"/>
      <c r="O745" s="19"/>
      <c r="P745" s="20"/>
      <c r="Q745" s="20"/>
      <c r="R745" s="22"/>
      <c r="S745" s="22"/>
      <c r="T745" s="20"/>
      <c r="U745" s="20"/>
      <c r="V745" s="20"/>
      <c r="W745" s="19"/>
      <c r="X745" s="19"/>
      <c r="Y745" s="19"/>
      <c r="Z745" s="23"/>
    </row>
    <row r="746" spans="1:26" ht="15.75" customHeight="1" x14ac:dyDescent="0.2">
      <c r="A746" s="34"/>
      <c r="B746" s="34"/>
      <c r="C746" s="34"/>
      <c r="D746" s="34"/>
      <c r="E746" s="19"/>
      <c r="F746" s="19"/>
      <c r="G746" s="19"/>
      <c r="H746" s="19"/>
      <c r="I746" s="19"/>
      <c r="J746" s="19"/>
      <c r="K746" s="19"/>
      <c r="L746" s="19"/>
      <c r="M746" s="19"/>
      <c r="N746" s="19"/>
      <c r="O746" s="19"/>
      <c r="P746" s="20"/>
      <c r="Q746" s="20"/>
      <c r="R746" s="22"/>
      <c r="S746" s="22"/>
      <c r="T746" s="20"/>
      <c r="U746" s="20"/>
      <c r="V746" s="20"/>
      <c r="W746" s="19"/>
      <c r="X746" s="19"/>
      <c r="Y746" s="19"/>
      <c r="Z746" s="23"/>
    </row>
    <row r="747" spans="1:26" ht="15.75" customHeight="1" x14ac:dyDescent="0.2">
      <c r="A747" s="34"/>
      <c r="B747" s="34"/>
      <c r="C747" s="34"/>
      <c r="D747" s="34"/>
      <c r="E747" s="19"/>
      <c r="F747" s="19"/>
      <c r="G747" s="19"/>
      <c r="H747" s="19"/>
      <c r="I747" s="19"/>
      <c r="J747" s="19"/>
      <c r="K747" s="19"/>
      <c r="L747" s="19"/>
      <c r="M747" s="19"/>
      <c r="N747" s="19"/>
      <c r="O747" s="19"/>
      <c r="P747" s="20"/>
      <c r="Q747" s="20"/>
      <c r="R747" s="22"/>
      <c r="S747" s="22"/>
      <c r="T747" s="20"/>
      <c r="U747" s="20"/>
      <c r="V747" s="20"/>
      <c r="W747" s="19"/>
      <c r="X747" s="19"/>
      <c r="Y747" s="19"/>
      <c r="Z747" s="23"/>
    </row>
    <row r="748" spans="1:26" ht="15.75" customHeight="1" x14ac:dyDescent="0.2">
      <c r="A748" s="34"/>
      <c r="B748" s="34"/>
      <c r="C748" s="34"/>
      <c r="D748" s="34"/>
      <c r="E748" s="19"/>
      <c r="F748" s="19"/>
      <c r="G748" s="19"/>
      <c r="H748" s="19"/>
      <c r="I748" s="19"/>
      <c r="J748" s="19"/>
      <c r="K748" s="19"/>
      <c r="L748" s="19"/>
      <c r="M748" s="19"/>
      <c r="N748" s="19"/>
      <c r="O748" s="19"/>
      <c r="P748" s="20"/>
      <c r="Q748" s="20"/>
      <c r="R748" s="22"/>
      <c r="S748" s="22"/>
      <c r="T748" s="20"/>
      <c r="U748" s="20"/>
      <c r="V748" s="20"/>
      <c r="W748" s="19"/>
      <c r="X748" s="19"/>
      <c r="Y748" s="19"/>
      <c r="Z748" s="23"/>
    </row>
    <row r="749" spans="1:26" ht="15.75" customHeight="1" x14ac:dyDescent="0.2">
      <c r="A749" s="34"/>
      <c r="B749" s="34"/>
      <c r="C749" s="34"/>
      <c r="D749" s="34"/>
      <c r="E749" s="19"/>
      <c r="F749" s="19"/>
      <c r="G749" s="19"/>
      <c r="H749" s="19"/>
      <c r="I749" s="19"/>
      <c r="J749" s="19"/>
      <c r="K749" s="19"/>
      <c r="L749" s="19"/>
      <c r="M749" s="19"/>
      <c r="N749" s="19"/>
      <c r="O749" s="19"/>
      <c r="P749" s="20"/>
      <c r="Q749" s="20"/>
      <c r="R749" s="22"/>
      <c r="S749" s="22"/>
      <c r="T749" s="20"/>
      <c r="U749" s="20"/>
      <c r="V749" s="20"/>
      <c r="W749" s="19"/>
      <c r="X749" s="19"/>
      <c r="Y749" s="19"/>
      <c r="Z749" s="23"/>
    </row>
    <row r="750" spans="1:26" ht="15.75" customHeight="1" x14ac:dyDescent="0.2">
      <c r="A750" s="34"/>
      <c r="B750" s="34"/>
      <c r="C750" s="34"/>
      <c r="D750" s="34"/>
      <c r="E750" s="19"/>
      <c r="F750" s="19"/>
      <c r="G750" s="19"/>
      <c r="H750" s="19"/>
      <c r="I750" s="19"/>
      <c r="J750" s="19"/>
      <c r="K750" s="19"/>
      <c r="L750" s="19"/>
      <c r="M750" s="19"/>
      <c r="N750" s="19"/>
      <c r="O750" s="19"/>
      <c r="P750" s="20"/>
      <c r="Q750" s="20"/>
      <c r="R750" s="22"/>
      <c r="S750" s="22"/>
      <c r="T750" s="20"/>
      <c r="U750" s="20"/>
      <c r="V750" s="20"/>
      <c r="W750" s="19"/>
      <c r="X750" s="19"/>
      <c r="Y750" s="19"/>
      <c r="Z750" s="23"/>
    </row>
    <row r="751" spans="1:26" ht="15.75" customHeight="1" x14ac:dyDescent="0.2">
      <c r="A751" s="34"/>
      <c r="B751" s="34"/>
      <c r="C751" s="34"/>
      <c r="D751" s="34"/>
      <c r="E751" s="19"/>
      <c r="F751" s="19"/>
      <c r="G751" s="19"/>
      <c r="H751" s="19"/>
      <c r="I751" s="19"/>
      <c r="J751" s="19"/>
      <c r="K751" s="19"/>
      <c r="L751" s="19"/>
      <c r="M751" s="19"/>
      <c r="N751" s="19"/>
      <c r="O751" s="19"/>
      <c r="P751" s="20"/>
      <c r="Q751" s="20"/>
      <c r="R751" s="22"/>
      <c r="S751" s="22"/>
      <c r="T751" s="20"/>
      <c r="U751" s="20"/>
      <c r="V751" s="20"/>
      <c r="W751" s="19"/>
      <c r="X751" s="19"/>
      <c r="Y751" s="19"/>
      <c r="Z751" s="23"/>
    </row>
    <row r="752" spans="1:26" ht="15.75" customHeight="1" x14ac:dyDescent="0.2">
      <c r="A752" s="34"/>
      <c r="B752" s="34"/>
      <c r="C752" s="34"/>
      <c r="D752" s="34"/>
      <c r="E752" s="19"/>
      <c r="F752" s="19"/>
      <c r="G752" s="19"/>
      <c r="H752" s="19"/>
      <c r="I752" s="19"/>
      <c r="J752" s="19"/>
      <c r="K752" s="19"/>
      <c r="L752" s="19"/>
      <c r="M752" s="19"/>
      <c r="N752" s="19"/>
      <c r="O752" s="19"/>
      <c r="P752" s="20"/>
      <c r="Q752" s="20"/>
      <c r="R752" s="22"/>
      <c r="S752" s="22"/>
      <c r="T752" s="20"/>
      <c r="U752" s="20"/>
      <c r="V752" s="20"/>
      <c r="W752" s="19"/>
      <c r="X752" s="19"/>
      <c r="Y752" s="19"/>
      <c r="Z752" s="23"/>
    </row>
    <row r="753" spans="1:26" ht="15.75" customHeight="1" x14ac:dyDescent="0.2">
      <c r="A753" s="34"/>
      <c r="B753" s="34"/>
      <c r="C753" s="34"/>
      <c r="D753" s="34"/>
      <c r="E753" s="19"/>
      <c r="F753" s="19"/>
      <c r="G753" s="19"/>
      <c r="H753" s="19"/>
      <c r="I753" s="19"/>
      <c r="J753" s="19"/>
      <c r="K753" s="19"/>
      <c r="L753" s="19"/>
      <c r="M753" s="19"/>
      <c r="N753" s="19"/>
      <c r="O753" s="19"/>
      <c r="P753" s="20"/>
      <c r="Q753" s="20"/>
      <c r="R753" s="22"/>
      <c r="S753" s="22"/>
      <c r="T753" s="20"/>
      <c r="U753" s="20"/>
      <c r="V753" s="20"/>
      <c r="W753" s="19"/>
      <c r="X753" s="19"/>
      <c r="Y753" s="19"/>
      <c r="Z753" s="23"/>
    </row>
    <row r="754" spans="1:26" ht="15.75" customHeight="1" x14ac:dyDescent="0.2">
      <c r="A754" s="34"/>
      <c r="B754" s="34"/>
      <c r="C754" s="34"/>
      <c r="D754" s="34"/>
      <c r="E754" s="19"/>
      <c r="F754" s="19"/>
      <c r="G754" s="19"/>
      <c r="H754" s="19"/>
      <c r="I754" s="19"/>
      <c r="J754" s="19"/>
      <c r="K754" s="19"/>
      <c r="L754" s="19"/>
      <c r="M754" s="19"/>
      <c r="N754" s="19"/>
      <c r="O754" s="19"/>
      <c r="P754" s="20"/>
      <c r="Q754" s="20"/>
      <c r="R754" s="22"/>
      <c r="S754" s="22"/>
      <c r="T754" s="20"/>
      <c r="U754" s="20"/>
      <c r="V754" s="20"/>
      <c r="W754" s="19"/>
      <c r="X754" s="19"/>
      <c r="Y754" s="19"/>
      <c r="Z754" s="23"/>
    </row>
    <row r="755" spans="1:26" ht="15.75" customHeight="1" x14ac:dyDescent="0.2">
      <c r="A755" s="34"/>
      <c r="B755" s="34"/>
      <c r="C755" s="34"/>
      <c r="D755" s="34"/>
      <c r="E755" s="19"/>
      <c r="F755" s="19"/>
      <c r="G755" s="19"/>
      <c r="H755" s="19"/>
      <c r="I755" s="19"/>
      <c r="J755" s="19"/>
      <c r="K755" s="19"/>
      <c r="L755" s="19"/>
      <c r="M755" s="19"/>
      <c r="N755" s="19"/>
      <c r="O755" s="19"/>
      <c r="P755" s="20"/>
      <c r="Q755" s="20"/>
      <c r="R755" s="22"/>
      <c r="S755" s="22"/>
      <c r="T755" s="20"/>
      <c r="U755" s="20"/>
      <c r="V755" s="20"/>
      <c r="W755" s="19"/>
      <c r="X755" s="19"/>
      <c r="Y755" s="19"/>
      <c r="Z755" s="23"/>
    </row>
    <row r="756" spans="1:26" ht="15.75" customHeight="1" x14ac:dyDescent="0.2">
      <c r="A756" s="34"/>
      <c r="B756" s="34"/>
      <c r="C756" s="34"/>
      <c r="D756" s="34"/>
      <c r="E756" s="19"/>
      <c r="F756" s="19"/>
      <c r="G756" s="19"/>
      <c r="H756" s="19"/>
      <c r="I756" s="19"/>
      <c r="J756" s="19"/>
      <c r="K756" s="19"/>
      <c r="L756" s="19"/>
      <c r="M756" s="19"/>
      <c r="N756" s="19"/>
      <c r="O756" s="19"/>
      <c r="P756" s="20"/>
      <c r="Q756" s="20"/>
      <c r="R756" s="22"/>
      <c r="S756" s="22"/>
      <c r="T756" s="20"/>
      <c r="U756" s="20"/>
      <c r="V756" s="20"/>
      <c r="W756" s="19"/>
      <c r="X756" s="19"/>
      <c r="Y756" s="19"/>
      <c r="Z756" s="23"/>
    </row>
    <row r="757" spans="1:26" ht="15.75" customHeight="1" x14ac:dyDescent="0.2">
      <c r="A757" s="34"/>
      <c r="B757" s="34"/>
      <c r="C757" s="34"/>
      <c r="D757" s="34"/>
      <c r="E757" s="19"/>
      <c r="F757" s="19"/>
      <c r="G757" s="19"/>
      <c r="H757" s="19"/>
      <c r="I757" s="19"/>
      <c r="J757" s="19"/>
      <c r="K757" s="19"/>
      <c r="L757" s="19"/>
      <c r="M757" s="19"/>
      <c r="N757" s="19"/>
      <c r="O757" s="19"/>
      <c r="P757" s="20"/>
      <c r="Q757" s="20"/>
      <c r="R757" s="22"/>
      <c r="S757" s="22"/>
      <c r="T757" s="20"/>
      <c r="U757" s="20"/>
      <c r="V757" s="20"/>
      <c r="W757" s="19"/>
      <c r="X757" s="19"/>
      <c r="Y757" s="19"/>
      <c r="Z757" s="23"/>
    </row>
    <row r="758" spans="1:26" ht="15.75" customHeight="1" x14ac:dyDescent="0.2">
      <c r="A758" s="34"/>
      <c r="B758" s="34"/>
      <c r="C758" s="34"/>
      <c r="D758" s="34"/>
      <c r="E758" s="19"/>
      <c r="F758" s="19"/>
      <c r="G758" s="19"/>
      <c r="H758" s="19"/>
      <c r="I758" s="19"/>
      <c r="J758" s="19"/>
      <c r="K758" s="19"/>
      <c r="L758" s="19"/>
      <c r="M758" s="19"/>
      <c r="N758" s="19"/>
      <c r="O758" s="19"/>
      <c r="P758" s="20"/>
      <c r="Q758" s="20"/>
      <c r="R758" s="22"/>
      <c r="S758" s="22"/>
      <c r="T758" s="20"/>
      <c r="U758" s="20"/>
      <c r="V758" s="20"/>
      <c r="W758" s="19"/>
      <c r="X758" s="19"/>
      <c r="Y758" s="19"/>
      <c r="Z758" s="23"/>
    </row>
    <row r="759" spans="1:26" ht="15.75" customHeight="1" x14ac:dyDescent="0.2">
      <c r="A759" s="34"/>
      <c r="B759" s="34"/>
      <c r="C759" s="34"/>
      <c r="D759" s="34"/>
      <c r="E759" s="19"/>
      <c r="F759" s="19"/>
      <c r="G759" s="19"/>
      <c r="H759" s="19"/>
      <c r="I759" s="19"/>
      <c r="J759" s="19"/>
      <c r="K759" s="19"/>
      <c r="L759" s="19"/>
      <c r="M759" s="19"/>
      <c r="N759" s="19"/>
      <c r="O759" s="19"/>
      <c r="P759" s="20"/>
      <c r="Q759" s="20"/>
      <c r="R759" s="22"/>
      <c r="S759" s="22"/>
      <c r="T759" s="20"/>
      <c r="U759" s="20"/>
      <c r="V759" s="20"/>
      <c r="W759" s="19"/>
      <c r="X759" s="19"/>
      <c r="Y759" s="19"/>
      <c r="Z759" s="23"/>
    </row>
    <row r="760" spans="1:26" ht="15.75" customHeight="1" x14ac:dyDescent="0.2">
      <c r="A760" s="34"/>
      <c r="B760" s="34"/>
      <c r="C760" s="34"/>
      <c r="D760" s="34"/>
      <c r="E760" s="19"/>
      <c r="F760" s="19"/>
      <c r="G760" s="19"/>
      <c r="H760" s="19"/>
      <c r="I760" s="19"/>
      <c r="J760" s="19"/>
      <c r="K760" s="19"/>
      <c r="L760" s="19"/>
      <c r="M760" s="19"/>
      <c r="N760" s="19"/>
      <c r="O760" s="19"/>
      <c r="P760" s="20"/>
      <c r="Q760" s="20"/>
      <c r="R760" s="22"/>
      <c r="S760" s="22"/>
      <c r="T760" s="20"/>
      <c r="U760" s="20"/>
      <c r="V760" s="20"/>
      <c r="W760" s="19"/>
      <c r="X760" s="19"/>
      <c r="Y760" s="19"/>
      <c r="Z760" s="23"/>
    </row>
    <row r="761" spans="1:26" ht="15.75" customHeight="1" x14ac:dyDescent="0.2">
      <c r="A761" s="34"/>
      <c r="B761" s="34"/>
      <c r="C761" s="34"/>
      <c r="D761" s="34"/>
      <c r="E761" s="19"/>
      <c r="F761" s="19"/>
      <c r="G761" s="19"/>
      <c r="H761" s="19"/>
      <c r="I761" s="19"/>
      <c r="J761" s="19"/>
      <c r="K761" s="19"/>
      <c r="L761" s="19"/>
      <c r="M761" s="19"/>
      <c r="N761" s="19"/>
      <c r="O761" s="19"/>
      <c r="P761" s="20"/>
      <c r="Q761" s="20"/>
      <c r="R761" s="22"/>
      <c r="S761" s="22"/>
      <c r="T761" s="20"/>
      <c r="U761" s="20"/>
      <c r="V761" s="20"/>
      <c r="W761" s="19"/>
      <c r="X761" s="19"/>
      <c r="Y761" s="19"/>
      <c r="Z761" s="23"/>
    </row>
    <row r="762" spans="1:26" ht="15.75" customHeight="1" x14ac:dyDescent="0.2">
      <c r="A762" s="34"/>
      <c r="B762" s="34"/>
      <c r="C762" s="34"/>
      <c r="D762" s="34"/>
      <c r="E762" s="19"/>
      <c r="F762" s="19"/>
      <c r="G762" s="19"/>
      <c r="H762" s="19"/>
      <c r="I762" s="19"/>
      <c r="J762" s="19"/>
      <c r="K762" s="19"/>
      <c r="L762" s="19"/>
      <c r="M762" s="19"/>
      <c r="N762" s="19"/>
      <c r="O762" s="19"/>
      <c r="P762" s="20"/>
      <c r="Q762" s="20"/>
      <c r="R762" s="22"/>
      <c r="S762" s="22"/>
      <c r="T762" s="20"/>
      <c r="U762" s="20"/>
      <c r="V762" s="20"/>
      <c r="W762" s="19"/>
      <c r="X762" s="19"/>
      <c r="Y762" s="19"/>
      <c r="Z762" s="23"/>
    </row>
    <row r="763" spans="1:26" ht="15.75" customHeight="1" x14ac:dyDescent="0.2">
      <c r="A763" s="34"/>
      <c r="B763" s="34"/>
      <c r="C763" s="34"/>
      <c r="D763" s="34"/>
      <c r="E763" s="19"/>
      <c r="F763" s="19"/>
      <c r="G763" s="19"/>
      <c r="H763" s="19"/>
      <c r="I763" s="19"/>
      <c r="J763" s="19"/>
      <c r="K763" s="19"/>
      <c r="L763" s="19"/>
      <c r="M763" s="19"/>
      <c r="N763" s="19"/>
      <c r="O763" s="19"/>
      <c r="P763" s="20"/>
      <c r="Q763" s="20"/>
      <c r="R763" s="22"/>
      <c r="S763" s="22"/>
      <c r="T763" s="20"/>
      <c r="U763" s="20"/>
      <c r="V763" s="20"/>
      <c r="W763" s="19"/>
      <c r="X763" s="19"/>
      <c r="Y763" s="19"/>
      <c r="Z763" s="23"/>
    </row>
    <row r="764" spans="1:26" ht="15.75" customHeight="1" x14ac:dyDescent="0.2">
      <c r="A764" s="34"/>
      <c r="B764" s="34"/>
      <c r="C764" s="34"/>
      <c r="D764" s="34"/>
      <c r="E764" s="19"/>
      <c r="F764" s="19"/>
      <c r="G764" s="19"/>
      <c r="H764" s="19"/>
      <c r="I764" s="19"/>
      <c r="J764" s="19"/>
      <c r="K764" s="19"/>
      <c r="L764" s="19"/>
      <c r="M764" s="19"/>
      <c r="N764" s="19"/>
      <c r="O764" s="19"/>
      <c r="P764" s="20"/>
      <c r="Q764" s="20"/>
      <c r="R764" s="22"/>
      <c r="S764" s="22"/>
      <c r="T764" s="20"/>
      <c r="U764" s="20"/>
      <c r="V764" s="20"/>
      <c r="W764" s="19"/>
      <c r="X764" s="19"/>
      <c r="Y764" s="19"/>
      <c r="Z764" s="23"/>
    </row>
    <row r="765" spans="1:26" ht="15.75" customHeight="1" x14ac:dyDescent="0.2">
      <c r="A765" s="34"/>
      <c r="B765" s="34"/>
      <c r="C765" s="34"/>
      <c r="D765" s="34"/>
      <c r="E765" s="19"/>
      <c r="F765" s="19"/>
      <c r="G765" s="19"/>
      <c r="H765" s="19"/>
      <c r="I765" s="19"/>
      <c r="J765" s="19"/>
      <c r="K765" s="19"/>
      <c r="L765" s="19"/>
      <c r="M765" s="19"/>
      <c r="N765" s="19"/>
      <c r="O765" s="19"/>
      <c r="P765" s="20"/>
      <c r="Q765" s="20"/>
      <c r="R765" s="22"/>
      <c r="S765" s="22"/>
      <c r="T765" s="20"/>
      <c r="U765" s="20"/>
      <c r="V765" s="20"/>
      <c r="W765" s="19"/>
      <c r="X765" s="19"/>
      <c r="Y765" s="19"/>
      <c r="Z765" s="23"/>
    </row>
    <row r="766" spans="1:26" ht="15.75" customHeight="1" x14ac:dyDescent="0.2">
      <c r="A766" s="34"/>
      <c r="B766" s="34"/>
      <c r="C766" s="34"/>
      <c r="D766" s="34"/>
      <c r="E766" s="19"/>
      <c r="F766" s="19"/>
      <c r="G766" s="19"/>
      <c r="H766" s="19"/>
      <c r="I766" s="19"/>
      <c r="J766" s="19"/>
      <c r="K766" s="19"/>
      <c r="L766" s="19"/>
      <c r="M766" s="19"/>
      <c r="N766" s="19"/>
      <c r="O766" s="19"/>
      <c r="P766" s="20"/>
      <c r="Q766" s="20"/>
      <c r="R766" s="22"/>
      <c r="S766" s="22"/>
      <c r="T766" s="20"/>
      <c r="U766" s="20"/>
      <c r="V766" s="20"/>
      <c r="W766" s="19"/>
      <c r="X766" s="19"/>
      <c r="Y766" s="19"/>
      <c r="Z766" s="23"/>
    </row>
    <row r="767" spans="1:26" ht="15.75" customHeight="1" x14ac:dyDescent="0.2">
      <c r="A767" s="34"/>
      <c r="B767" s="34"/>
      <c r="C767" s="34"/>
      <c r="D767" s="34"/>
      <c r="E767" s="19"/>
      <c r="F767" s="19"/>
      <c r="G767" s="19"/>
      <c r="H767" s="19"/>
      <c r="I767" s="19"/>
      <c r="J767" s="19"/>
      <c r="K767" s="19"/>
      <c r="L767" s="19"/>
      <c r="M767" s="19"/>
      <c r="N767" s="19"/>
      <c r="O767" s="19"/>
      <c r="P767" s="20"/>
      <c r="Q767" s="20"/>
      <c r="R767" s="22"/>
      <c r="S767" s="22"/>
      <c r="T767" s="20"/>
      <c r="U767" s="20"/>
      <c r="V767" s="20"/>
      <c r="W767" s="19"/>
      <c r="X767" s="19"/>
      <c r="Y767" s="19"/>
      <c r="Z767" s="23"/>
    </row>
    <row r="768" spans="1:26" ht="15.75" customHeight="1" x14ac:dyDescent="0.2">
      <c r="A768" s="34"/>
      <c r="B768" s="34"/>
      <c r="C768" s="34"/>
      <c r="D768" s="34"/>
      <c r="E768" s="19"/>
      <c r="F768" s="19"/>
      <c r="G768" s="19"/>
      <c r="H768" s="19"/>
      <c r="I768" s="19"/>
      <c r="J768" s="19"/>
      <c r="K768" s="19"/>
      <c r="L768" s="19"/>
      <c r="M768" s="19"/>
      <c r="N768" s="19"/>
      <c r="O768" s="19"/>
      <c r="P768" s="20"/>
      <c r="Q768" s="20"/>
      <c r="R768" s="22"/>
      <c r="S768" s="22"/>
      <c r="T768" s="20"/>
      <c r="U768" s="20"/>
      <c r="V768" s="20"/>
      <c r="W768" s="19"/>
      <c r="X768" s="19"/>
      <c r="Y768" s="19"/>
      <c r="Z768" s="23"/>
    </row>
    <row r="769" spans="1:26" ht="15.75" customHeight="1" x14ac:dyDescent="0.2">
      <c r="A769" s="34"/>
      <c r="B769" s="34"/>
      <c r="C769" s="34"/>
      <c r="D769" s="34"/>
      <c r="E769" s="19"/>
      <c r="F769" s="19"/>
      <c r="G769" s="19"/>
      <c r="H769" s="19"/>
      <c r="I769" s="19"/>
      <c r="J769" s="19"/>
      <c r="K769" s="19"/>
      <c r="L769" s="19"/>
      <c r="M769" s="19"/>
      <c r="N769" s="19"/>
      <c r="O769" s="19"/>
      <c r="P769" s="20"/>
      <c r="Q769" s="20"/>
      <c r="R769" s="22"/>
      <c r="S769" s="22"/>
      <c r="T769" s="20"/>
      <c r="U769" s="20"/>
      <c r="V769" s="20"/>
      <c r="W769" s="19"/>
      <c r="X769" s="19"/>
      <c r="Y769" s="19"/>
      <c r="Z769" s="23"/>
    </row>
    <row r="770" spans="1:26" ht="15.75" customHeight="1" x14ac:dyDescent="0.2">
      <c r="A770" s="34"/>
      <c r="B770" s="34"/>
      <c r="C770" s="34"/>
      <c r="D770" s="34"/>
      <c r="E770" s="19"/>
      <c r="F770" s="19"/>
      <c r="G770" s="19"/>
      <c r="H770" s="19"/>
      <c r="I770" s="19"/>
      <c r="J770" s="19"/>
      <c r="K770" s="19"/>
      <c r="L770" s="19"/>
      <c r="M770" s="19"/>
      <c r="N770" s="19"/>
      <c r="O770" s="19"/>
      <c r="P770" s="20"/>
      <c r="Q770" s="20"/>
      <c r="R770" s="22"/>
      <c r="S770" s="22"/>
      <c r="T770" s="20"/>
      <c r="U770" s="20"/>
      <c r="V770" s="20"/>
      <c r="W770" s="19"/>
      <c r="X770" s="19"/>
      <c r="Y770" s="19"/>
      <c r="Z770" s="23"/>
    </row>
    <row r="771" spans="1:26" ht="15.75" customHeight="1" x14ac:dyDescent="0.2">
      <c r="A771" s="34"/>
      <c r="B771" s="34"/>
      <c r="C771" s="34"/>
      <c r="D771" s="34"/>
      <c r="E771" s="19"/>
      <c r="F771" s="19"/>
      <c r="G771" s="19"/>
      <c r="H771" s="19"/>
      <c r="I771" s="19"/>
      <c r="J771" s="19"/>
      <c r="K771" s="19"/>
      <c r="L771" s="19"/>
      <c r="M771" s="19"/>
      <c r="N771" s="19"/>
      <c r="O771" s="19"/>
      <c r="P771" s="20"/>
      <c r="Q771" s="20"/>
      <c r="R771" s="22"/>
      <c r="S771" s="22"/>
      <c r="T771" s="20"/>
      <c r="U771" s="20"/>
      <c r="V771" s="20"/>
      <c r="W771" s="19"/>
      <c r="X771" s="19"/>
      <c r="Y771" s="19"/>
      <c r="Z771" s="23"/>
    </row>
    <row r="772" spans="1:26" ht="15.75" customHeight="1" x14ac:dyDescent="0.2">
      <c r="A772" s="34"/>
      <c r="B772" s="34"/>
      <c r="C772" s="34"/>
      <c r="D772" s="34"/>
      <c r="E772" s="19"/>
      <c r="F772" s="19"/>
      <c r="G772" s="19"/>
      <c r="H772" s="19"/>
      <c r="I772" s="19"/>
      <c r="J772" s="19"/>
      <c r="K772" s="19"/>
      <c r="L772" s="19"/>
      <c r="M772" s="19"/>
      <c r="N772" s="19"/>
      <c r="O772" s="19"/>
      <c r="P772" s="20"/>
      <c r="Q772" s="20"/>
      <c r="R772" s="22"/>
      <c r="S772" s="22"/>
      <c r="T772" s="20"/>
      <c r="U772" s="20"/>
      <c r="V772" s="20"/>
      <c r="W772" s="19"/>
      <c r="X772" s="19"/>
      <c r="Y772" s="19"/>
      <c r="Z772" s="23"/>
    </row>
    <row r="773" spans="1:26" ht="15.75" customHeight="1" x14ac:dyDescent="0.2">
      <c r="A773" s="34"/>
      <c r="B773" s="34"/>
      <c r="C773" s="34"/>
      <c r="D773" s="34"/>
      <c r="E773" s="19"/>
      <c r="F773" s="19"/>
      <c r="G773" s="19"/>
      <c r="H773" s="19"/>
      <c r="I773" s="19"/>
      <c r="J773" s="19"/>
      <c r="K773" s="19"/>
      <c r="L773" s="19"/>
      <c r="M773" s="19"/>
      <c r="N773" s="19"/>
      <c r="O773" s="19"/>
      <c r="P773" s="20"/>
      <c r="Q773" s="20"/>
      <c r="R773" s="22"/>
      <c r="S773" s="22"/>
      <c r="T773" s="20"/>
      <c r="U773" s="20"/>
      <c r="V773" s="20"/>
      <c r="W773" s="19"/>
      <c r="X773" s="19"/>
      <c r="Y773" s="19"/>
      <c r="Z773" s="23"/>
    </row>
    <row r="774" spans="1:26" ht="15.75" customHeight="1" x14ac:dyDescent="0.2">
      <c r="A774" s="34"/>
      <c r="B774" s="34"/>
      <c r="C774" s="34"/>
      <c r="D774" s="34"/>
      <c r="E774" s="19"/>
      <c r="F774" s="19"/>
      <c r="G774" s="19"/>
      <c r="H774" s="19"/>
      <c r="I774" s="19"/>
      <c r="J774" s="19"/>
      <c r="K774" s="19"/>
      <c r="L774" s="19"/>
      <c r="M774" s="19"/>
      <c r="N774" s="19"/>
      <c r="O774" s="19"/>
      <c r="P774" s="20"/>
      <c r="Q774" s="20"/>
      <c r="R774" s="22"/>
      <c r="S774" s="22"/>
      <c r="T774" s="20"/>
      <c r="U774" s="20"/>
      <c r="V774" s="20"/>
      <c r="W774" s="19"/>
      <c r="X774" s="19"/>
      <c r="Y774" s="19"/>
      <c r="Z774" s="23"/>
    </row>
    <row r="775" spans="1:26" ht="15.75" customHeight="1" x14ac:dyDescent="0.2">
      <c r="A775" s="34"/>
      <c r="B775" s="34"/>
      <c r="C775" s="34"/>
      <c r="D775" s="34"/>
      <c r="E775" s="19"/>
      <c r="F775" s="19"/>
      <c r="G775" s="19"/>
      <c r="H775" s="19"/>
      <c r="I775" s="19"/>
      <c r="J775" s="19"/>
      <c r="K775" s="19"/>
      <c r="L775" s="19"/>
      <c r="M775" s="19"/>
      <c r="N775" s="19"/>
      <c r="O775" s="19"/>
      <c r="P775" s="20"/>
      <c r="Q775" s="20"/>
      <c r="R775" s="22"/>
      <c r="S775" s="22"/>
      <c r="T775" s="20"/>
      <c r="U775" s="20"/>
      <c r="V775" s="20"/>
      <c r="W775" s="19"/>
      <c r="X775" s="19"/>
      <c r="Y775" s="19"/>
      <c r="Z775" s="23"/>
    </row>
    <row r="776" spans="1:26" ht="15.75" customHeight="1" x14ac:dyDescent="0.2">
      <c r="A776" s="34"/>
      <c r="B776" s="34"/>
      <c r="C776" s="34"/>
      <c r="D776" s="34"/>
      <c r="E776" s="19"/>
      <c r="F776" s="19"/>
      <c r="G776" s="19"/>
      <c r="H776" s="19"/>
      <c r="I776" s="19"/>
      <c r="J776" s="19"/>
      <c r="K776" s="19"/>
      <c r="L776" s="19"/>
      <c r="M776" s="19"/>
      <c r="N776" s="19"/>
      <c r="O776" s="19"/>
      <c r="P776" s="20"/>
      <c r="Q776" s="20"/>
      <c r="R776" s="22"/>
      <c r="S776" s="22"/>
      <c r="T776" s="20"/>
      <c r="U776" s="20"/>
      <c r="V776" s="20"/>
      <c r="W776" s="19"/>
      <c r="X776" s="19"/>
      <c r="Y776" s="19"/>
      <c r="Z776" s="23"/>
    </row>
    <row r="777" spans="1:26" ht="15.75" customHeight="1" x14ac:dyDescent="0.2">
      <c r="A777" s="34"/>
      <c r="B777" s="34"/>
      <c r="C777" s="34"/>
      <c r="D777" s="34"/>
      <c r="E777" s="19"/>
      <c r="F777" s="19"/>
      <c r="G777" s="19"/>
      <c r="H777" s="19"/>
      <c r="I777" s="19"/>
      <c r="J777" s="19"/>
      <c r="K777" s="19"/>
      <c r="L777" s="19"/>
      <c r="M777" s="19"/>
      <c r="N777" s="19"/>
      <c r="O777" s="19"/>
      <c r="P777" s="20"/>
      <c r="Q777" s="20"/>
      <c r="R777" s="22"/>
      <c r="S777" s="22"/>
      <c r="T777" s="20"/>
      <c r="U777" s="20"/>
      <c r="V777" s="20"/>
      <c r="W777" s="19"/>
      <c r="X777" s="19"/>
      <c r="Y777" s="19"/>
      <c r="Z777" s="23"/>
    </row>
    <row r="778" spans="1:26" ht="15.75" customHeight="1" x14ac:dyDescent="0.2">
      <c r="A778" s="34"/>
      <c r="B778" s="34"/>
      <c r="C778" s="34"/>
      <c r="D778" s="34"/>
      <c r="E778" s="19"/>
      <c r="F778" s="19"/>
      <c r="G778" s="19"/>
      <c r="H778" s="19"/>
      <c r="I778" s="19"/>
      <c r="J778" s="19"/>
      <c r="K778" s="19"/>
      <c r="L778" s="19"/>
      <c r="M778" s="19"/>
      <c r="N778" s="19"/>
      <c r="O778" s="19"/>
      <c r="P778" s="20"/>
      <c r="Q778" s="20"/>
      <c r="R778" s="22"/>
      <c r="S778" s="22"/>
      <c r="T778" s="20"/>
      <c r="U778" s="20"/>
      <c r="V778" s="20"/>
      <c r="W778" s="19"/>
      <c r="X778" s="19"/>
      <c r="Y778" s="19"/>
      <c r="Z778" s="23"/>
    </row>
    <row r="779" spans="1:26" ht="15.75" customHeight="1" x14ac:dyDescent="0.2">
      <c r="A779" s="34"/>
      <c r="B779" s="34"/>
      <c r="C779" s="34"/>
      <c r="D779" s="34"/>
      <c r="E779" s="19"/>
      <c r="F779" s="19"/>
      <c r="G779" s="19"/>
      <c r="H779" s="19"/>
      <c r="I779" s="19"/>
      <c r="J779" s="19"/>
      <c r="K779" s="19"/>
      <c r="L779" s="19"/>
      <c r="M779" s="19"/>
      <c r="N779" s="19"/>
      <c r="O779" s="19"/>
      <c r="P779" s="20"/>
      <c r="Q779" s="20"/>
      <c r="R779" s="22"/>
      <c r="S779" s="22"/>
      <c r="T779" s="20"/>
      <c r="U779" s="20"/>
      <c r="V779" s="20"/>
      <c r="W779" s="19"/>
      <c r="X779" s="19"/>
      <c r="Y779" s="19"/>
      <c r="Z779" s="23"/>
    </row>
    <row r="780" spans="1:26" ht="15.75" customHeight="1" x14ac:dyDescent="0.2">
      <c r="A780" s="34"/>
      <c r="B780" s="34"/>
      <c r="C780" s="34"/>
      <c r="D780" s="34"/>
      <c r="E780" s="19"/>
      <c r="F780" s="19"/>
      <c r="G780" s="19"/>
      <c r="H780" s="19"/>
      <c r="I780" s="19"/>
      <c r="J780" s="19"/>
      <c r="K780" s="19"/>
      <c r="L780" s="19"/>
      <c r="M780" s="19"/>
      <c r="N780" s="19"/>
      <c r="O780" s="19"/>
      <c r="P780" s="20"/>
      <c r="Q780" s="20"/>
      <c r="R780" s="22"/>
      <c r="S780" s="22"/>
      <c r="T780" s="20"/>
      <c r="U780" s="20"/>
      <c r="V780" s="20"/>
      <c r="W780" s="19"/>
      <c r="X780" s="19"/>
      <c r="Y780" s="19"/>
      <c r="Z780" s="23"/>
    </row>
    <row r="781" spans="1:26" ht="15.75" customHeight="1" x14ac:dyDescent="0.2">
      <c r="A781" s="34"/>
      <c r="B781" s="34"/>
      <c r="C781" s="34"/>
      <c r="D781" s="34"/>
      <c r="E781" s="19"/>
      <c r="F781" s="19"/>
      <c r="G781" s="19"/>
      <c r="H781" s="19"/>
      <c r="I781" s="19"/>
      <c r="J781" s="19"/>
      <c r="K781" s="19"/>
      <c r="L781" s="19"/>
      <c r="M781" s="19"/>
      <c r="N781" s="19"/>
      <c r="O781" s="19"/>
      <c r="P781" s="20"/>
      <c r="Q781" s="20"/>
      <c r="R781" s="22"/>
      <c r="S781" s="22"/>
      <c r="T781" s="20"/>
      <c r="U781" s="20"/>
      <c r="V781" s="20"/>
      <c r="W781" s="19"/>
      <c r="X781" s="19"/>
      <c r="Y781" s="19"/>
      <c r="Z781" s="23"/>
    </row>
    <row r="782" spans="1:26" ht="15.75" customHeight="1" x14ac:dyDescent="0.2">
      <c r="A782" s="34"/>
      <c r="B782" s="34"/>
      <c r="C782" s="34"/>
      <c r="D782" s="34"/>
      <c r="E782" s="19"/>
      <c r="F782" s="19"/>
      <c r="G782" s="19"/>
      <c r="H782" s="19"/>
      <c r="I782" s="19"/>
      <c r="J782" s="19"/>
      <c r="K782" s="19"/>
      <c r="L782" s="19"/>
      <c r="M782" s="19"/>
      <c r="N782" s="19"/>
      <c r="O782" s="19"/>
      <c r="P782" s="20"/>
      <c r="Q782" s="20"/>
      <c r="R782" s="22"/>
      <c r="S782" s="22"/>
      <c r="T782" s="20"/>
      <c r="U782" s="20"/>
      <c r="V782" s="20"/>
      <c r="W782" s="19"/>
      <c r="X782" s="19"/>
      <c r="Y782" s="19"/>
      <c r="Z782" s="23"/>
    </row>
    <row r="783" spans="1:26" ht="15.75" customHeight="1" x14ac:dyDescent="0.2">
      <c r="A783" s="34"/>
      <c r="B783" s="34"/>
      <c r="C783" s="34"/>
      <c r="D783" s="34"/>
      <c r="E783" s="19"/>
      <c r="F783" s="19"/>
      <c r="G783" s="19"/>
      <c r="H783" s="19"/>
      <c r="I783" s="19"/>
      <c r="J783" s="19"/>
      <c r="K783" s="19"/>
      <c r="L783" s="19"/>
      <c r="M783" s="19"/>
      <c r="N783" s="19"/>
      <c r="O783" s="19"/>
      <c r="P783" s="20"/>
      <c r="Q783" s="20"/>
      <c r="R783" s="22"/>
      <c r="S783" s="22"/>
      <c r="T783" s="20"/>
      <c r="U783" s="20"/>
      <c r="V783" s="20"/>
      <c r="W783" s="19"/>
      <c r="X783" s="19"/>
      <c r="Y783" s="19"/>
      <c r="Z783" s="23"/>
    </row>
    <row r="784" spans="1:26" ht="15.75" customHeight="1" x14ac:dyDescent="0.2">
      <c r="A784" s="34"/>
      <c r="B784" s="34"/>
      <c r="C784" s="34"/>
      <c r="D784" s="34"/>
      <c r="E784" s="19"/>
      <c r="F784" s="19"/>
      <c r="G784" s="19"/>
      <c r="H784" s="19"/>
      <c r="I784" s="19"/>
      <c r="J784" s="19"/>
      <c r="K784" s="19"/>
      <c r="L784" s="19"/>
      <c r="M784" s="19"/>
      <c r="N784" s="19"/>
      <c r="O784" s="19"/>
      <c r="P784" s="20"/>
      <c r="Q784" s="20"/>
      <c r="R784" s="22"/>
      <c r="S784" s="22"/>
      <c r="T784" s="20"/>
      <c r="U784" s="20"/>
      <c r="V784" s="20"/>
      <c r="W784" s="19"/>
      <c r="X784" s="19"/>
      <c r="Y784" s="19"/>
      <c r="Z784" s="23"/>
    </row>
    <row r="785" spans="1:26" ht="15.75" customHeight="1" x14ac:dyDescent="0.2">
      <c r="A785" s="34"/>
      <c r="B785" s="34"/>
      <c r="C785" s="34"/>
      <c r="D785" s="34"/>
      <c r="E785" s="19"/>
      <c r="F785" s="19"/>
      <c r="G785" s="19"/>
      <c r="H785" s="19"/>
      <c r="I785" s="19"/>
      <c r="J785" s="19"/>
      <c r="K785" s="19"/>
      <c r="L785" s="19"/>
      <c r="M785" s="19"/>
      <c r="N785" s="19"/>
      <c r="O785" s="19"/>
      <c r="P785" s="20"/>
      <c r="Q785" s="20"/>
      <c r="R785" s="22"/>
      <c r="S785" s="22"/>
      <c r="T785" s="20"/>
      <c r="U785" s="20"/>
      <c r="V785" s="20"/>
      <c r="W785" s="19"/>
      <c r="X785" s="19"/>
      <c r="Y785" s="19"/>
      <c r="Z785" s="23"/>
    </row>
    <row r="786" spans="1:26" ht="15.75" customHeight="1" x14ac:dyDescent="0.2">
      <c r="A786" s="34"/>
      <c r="B786" s="34"/>
      <c r="C786" s="34"/>
      <c r="D786" s="34"/>
      <c r="E786" s="19"/>
      <c r="F786" s="19"/>
      <c r="G786" s="19"/>
      <c r="H786" s="19"/>
      <c r="I786" s="19"/>
      <c r="J786" s="19"/>
      <c r="K786" s="19"/>
      <c r="L786" s="19"/>
      <c r="M786" s="19"/>
      <c r="N786" s="19"/>
      <c r="O786" s="19"/>
      <c r="P786" s="20"/>
      <c r="Q786" s="20"/>
      <c r="R786" s="22"/>
      <c r="S786" s="22"/>
      <c r="T786" s="20"/>
      <c r="U786" s="20"/>
      <c r="V786" s="20"/>
      <c r="W786" s="19"/>
      <c r="X786" s="19"/>
      <c r="Y786" s="19"/>
      <c r="Z786" s="23"/>
    </row>
    <row r="787" spans="1:26" ht="15.75" customHeight="1" x14ac:dyDescent="0.2">
      <c r="A787" s="34"/>
      <c r="B787" s="34"/>
      <c r="C787" s="34"/>
      <c r="D787" s="34"/>
      <c r="E787" s="19"/>
      <c r="F787" s="19"/>
      <c r="G787" s="19"/>
      <c r="H787" s="19"/>
      <c r="I787" s="19"/>
      <c r="J787" s="19"/>
      <c r="K787" s="19"/>
      <c r="L787" s="19"/>
      <c r="M787" s="19"/>
      <c r="N787" s="19"/>
      <c r="O787" s="19"/>
      <c r="P787" s="20"/>
      <c r="Q787" s="20"/>
      <c r="R787" s="22"/>
      <c r="S787" s="22"/>
      <c r="T787" s="20"/>
      <c r="U787" s="20"/>
      <c r="V787" s="20"/>
      <c r="W787" s="19"/>
      <c r="X787" s="19"/>
      <c r="Y787" s="19"/>
      <c r="Z787" s="23"/>
    </row>
    <row r="788" spans="1:26" ht="15.75" customHeight="1" x14ac:dyDescent="0.2">
      <c r="A788" s="34"/>
      <c r="B788" s="34"/>
      <c r="C788" s="34"/>
      <c r="D788" s="34"/>
      <c r="E788" s="19"/>
      <c r="F788" s="19"/>
      <c r="G788" s="19"/>
      <c r="H788" s="19"/>
      <c r="I788" s="19"/>
      <c r="J788" s="19"/>
      <c r="K788" s="19"/>
      <c r="L788" s="19"/>
      <c r="M788" s="19"/>
      <c r="N788" s="19"/>
      <c r="O788" s="19"/>
      <c r="P788" s="20"/>
      <c r="Q788" s="20"/>
      <c r="R788" s="22"/>
      <c r="S788" s="22"/>
      <c r="T788" s="20"/>
      <c r="U788" s="20"/>
      <c r="V788" s="20"/>
      <c r="W788" s="19"/>
      <c r="X788" s="19"/>
      <c r="Y788" s="19"/>
      <c r="Z788" s="23"/>
    </row>
    <row r="789" spans="1:26" ht="15.75" customHeight="1" x14ac:dyDescent="0.2">
      <c r="A789" s="34"/>
      <c r="B789" s="34"/>
      <c r="C789" s="34"/>
      <c r="D789" s="34"/>
      <c r="E789" s="19"/>
      <c r="F789" s="19"/>
      <c r="G789" s="19"/>
      <c r="H789" s="19"/>
      <c r="I789" s="19"/>
      <c r="J789" s="19"/>
      <c r="K789" s="19"/>
      <c r="L789" s="19"/>
      <c r="M789" s="19"/>
      <c r="N789" s="19"/>
      <c r="O789" s="19"/>
      <c r="P789" s="20"/>
      <c r="Q789" s="20"/>
      <c r="R789" s="22"/>
      <c r="S789" s="22"/>
      <c r="T789" s="20"/>
      <c r="U789" s="20"/>
      <c r="V789" s="20"/>
      <c r="W789" s="19"/>
      <c r="X789" s="19"/>
      <c r="Y789" s="19"/>
      <c r="Z789" s="23"/>
    </row>
    <row r="790" spans="1:26" ht="15.75" customHeight="1" x14ac:dyDescent="0.2">
      <c r="A790" s="34"/>
      <c r="B790" s="34"/>
      <c r="C790" s="34"/>
      <c r="D790" s="34"/>
      <c r="E790" s="19"/>
      <c r="F790" s="19"/>
      <c r="G790" s="19"/>
      <c r="H790" s="19"/>
      <c r="I790" s="19"/>
      <c r="J790" s="19"/>
      <c r="K790" s="19"/>
      <c r="L790" s="19"/>
      <c r="M790" s="19"/>
      <c r="N790" s="19"/>
      <c r="O790" s="19"/>
      <c r="P790" s="20"/>
      <c r="Q790" s="20"/>
      <c r="R790" s="22"/>
      <c r="S790" s="22"/>
      <c r="T790" s="20"/>
      <c r="U790" s="20"/>
      <c r="V790" s="20"/>
      <c r="W790" s="19"/>
      <c r="X790" s="19"/>
      <c r="Y790" s="19"/>
      <c r="Z790" s="23"/>
    </row>
    <row r="791" spans="1:26" ht="15.75" customHeight="1" x14ac:dyDescent="0.2">
      <c r="A791" s="34"/>
      <c r="B791" s="34"/>
      <c r="C791" s="34"/>
      <c r="D791" s="34"/>
      <c r="E791" s="19"/>
      <c r="F791" s="19"/>
      <c r="G791" s="19"/>
      <c r="H791" s="19"/>
      <c r="I791" s="19"/>
      <c r="J791" s="19"/>
      <c r="K791" s="19"/>
      <c r="L791" s="19"/>
      <c r="M791" s="19"/>
      <c r="N791" s="19"/>
      <c r="O791" s="19"/>
      <c r="P791" s="20"/>
      <c r="Q791" s="20"/>
      <c r="R791" s="22"/>
      <c r="S791" s="22"/>
      <c r="T791" s="20"/>
      <c r="U791" s="20"/>
      <c r="V791" s="20"/>
      <c r="W791" s="19"/>
      <c r="X791" s="19"/>
      <c r="Y791" s="19"/>
      <c r="Z791" s="23"/>
    </row>
    <row r="792" spans="1:26" ht="15.75" customHeight="1" x14ac:dyDescent="0.2">
      <c r="A792" s="34"/>
      <c r="B792" s="34"/>
      <c r="C792" s="34"/>
      <c r="D792" s="34"/>
      <c r="E792" s="19"/>
      <c r="F792" s="19"/>
      <c r="G792" s="19"/>
      <c r="H792" s="19"/>
      <c r="I792" s="19"/>
      <c r="J792" s="19"/>
      <c r="K792" s="19"/>
      <c r="L792" s="19"/>
      <c r="M792" s="19"/>
      <c r="N792" s="19"/>
      <c r="O792" s="19"/>
      <c r="P792" s="20"/>
      <c r="Q792" s="20"/>
      <c r="R792" s="22"/>
      <c r="S792" s="22"/>
      <c r="T792" s="20"/>
      <c r="U792" s="20"/>
      <c r="V792" s="20"/>
      <c r="W792" s="19"/>
      <c r="X792" s="19"/>
      <c r="Y792" s="19"/>
      <c r="Z792" s="23"/>
    </row>
    <row r="793" spans="1:26" ht="15.75" customHeight="1" x14ac:dyDescent="0.2">
      <c r="A793" s="34"/>
      <c r="B793" s="34"/>
      <c r="C793" s="34"/>
      <c r="D793" s="34"/>
      <c r="E793" s="19"/>
      <c r="F793" s="19"/>
      <c r="G793" s="19"/>
      <c r="H793" s="19"/>
      <c r="I793" s="19"/>
      <c r="J793" s="19"/>
      <c r="K793" s="19"/>
      <c r="L793" s="19"/>
      <c r="M793" s="19"/>
      <c r="N793" s="19"/>
      <c r="O793" s="19"/>
      <c r="P793" s="20"/>
      <c r="Q793" s="20"/>
      <c r="R793" s="22"/>
      <c r="S793" s="22"/>
      <c r="T793" s="20"/>
      <c r="U793" s="20"/>
      <c r="V793" s="20"/>
      <c r="W793" s="19"/>
      <c r="X793" s="19"/>
      <c r="Y793" s="19"/>
      <c r="Z793" s="23"/>
    </row>
    <row r="794" spans="1:26" ht="15.75" customHeight="1" x14ac:dyDescent="0.2">
      <c r="A794" s="34"/>
      <c r="B794" s="34"/>
      <c r="C794" s="34"/>
      <c r="D794" s="34"/>
      <c r="E794" s="19"/>
      <c r="F794" s="19"/>
      <c r="G794" s="19"/>
      <c r="H794" s="19"/>
      <c r="I794" s="19"/>
      <c r="J794" s="19"/>
      <c r="K794" s="19"/>
      <c r="L794" s="19"/>
      <c r="M794" s="19"/>
      <c r="N794" s="19"/>
      <c r="O794" s="19"/>
      <c r="P794" s="20"/>
      <c r="Q794" s="20"/>
      <c r="R794" s="22"/>
      <c r="S794" s="22"/>
      <c r="T794" s="20"/>
      <c r="U794" s="20"/>
      <c r="V794" s="20"/>
      <c r="W794" s="19"/>
      <c r="X794" s="19"/>
      <c r="Y794" s="19"/>
      <c r="Z794" s="23"/>
    </row>
    <row r="795" spans="1:26" ht="15.75" customHeight="1" x14ac:dyDescent="0.2">
      <c r="A795" s="34"/>
      <c r="B795" s="34"/>
      <c r="C795" s="34"/>
      <c r="D795" s="34"/>
      <c r="E795" s="19"/>
      <c r="F795" s="19"/>
      <c r="G795" s="19"/>
      <c r="H795" s="19"/>
      <c r="I795" s="19"/>
      <c r="J795" s="19"/>
      <c r="K795" s="19"/>
      <c r="L795" s="19"/>
      <c r="M795" s="19"/>
      <c r="N795" s="19"/>
      <c r="O795" s="19"/>
      <c r="P795" s="20"/>
      <c r="Q795" s="20"/>
      <c r="R795" s="22"/>
      <c r="S795" s="22"/>
      <c r="T795" s="20"/>
      <c r="U795" s="20"/>
      <c r="V795" s="20"/>
      <c r="W795" s="19"/>
      <c r="X795" s="19"/>
      <c r="Y795" s="19"/>
      <c r="Z795" s="23"/>
    </row>
    <row r="796" spans="1:26" ht="15.75" customHeight="1" x14ac:dyDescent="0.2">
      <c r="A796" s="34"/>
      <c r="B796" s="34"/>
      <c r="C796" s="34"/>
      <c r="D796" s="34"/>
      <c r="E796" s="19"/>
      <c r="F796" s="19"/>
      <c r="G796" s="19"/>
      <c r="H796" s="19"/>
      <c r="I796" s="19"/>
      <c r="J796" s="19"/>
      <c r="K796" s="19"/>
      <c r="L796" s="19"/>
      <c r="M796" s="19"/>
      <c r="N796" s="19"/>
      <c r="O796" s="19"/>
      <c r="P796" s="20"/>
      <c r="Q796" s="20"/>
      <c r="R796" s="22"/>
      <c r="S796" s="22"/>
      <c r="T796" s="20"/>
      <c r="U796" s="20"/>
      <c r="V796" s="20"/>
      <c r="W796" s="19"/>
      <c r="X796" s="19"/>
      <c r="Y796" s="19"/>
      <c r="Z796" s="23"/>
    </row>
    <row r="797" spans="1:26" ht="15.75" customHeight="1" x14ac:dyDescent="0.2">
      <c r="A797" s="34"/>
      <c r="B797" s="34"/>
      <c r="C797" s="34"/>
      <c r="D797" s="34"/>
      <c r="E797" s="19"/>
      <c r="F797" s="19"/>
      <c r="G797" s="19"/>
      <c r="H797" s="19"/>
      <c r="I797" s="19"/>
      <c r="J797" s="19"/>
      <c r="K797" s="19"/>
      <c r="L797" s="19"/>
      <c r="M797" s="19"/>
      <c r="N797" s="19"/>
      <c r="O797" s="19"/>
      <c r="P797" s="20"/>
      <c r="Q797" s="20"/>
      <c r="R797" s="22"/>
      <c r="S797" s="22"/>
      <c r="T797" s="20"/>
      <c r="U797" s="20"/>
      <c r="V797" s="20"/>
      <c r="W797" s="19"/>
      <c r="X797" s="19"/>
      <c r="Y797" s="19"/>
      <c r="Z797" s="23"/>
    </row>
    <row r="798" spans="1:26" ht="15.75" customHeight="1" x14ac:dyDescent="0.2">
      <c r="A798" s="34"/>
      <c r="B798" s="34"/>
      <c r="C798" s="34"/>
      <c r="D798" s="34"/>
      <c r="E798" s="19"/>
      <c r="F798" s="19"/>
      <c r="G798" s="19"/>
      <c r="H798" s="19"/>
      <c r="I798" s="19"/>
      <c r="J798" s="19"/>
      <c r="K798" s="19"/>
      <c r="L798" s="19"/>
      <c r="M798" s="19"/>
      <c r="N798" s="19"/>
      <c r="O798" s="19"/>
      <c r="P798" s="20"/>
      <c r="Q798" s="20"/>
      <c r="R798" s="22"/>
      <c r="S798" s="22"/>
      <c r="T798" s="20"/>
      <c r="U798" s="20"/>
      <c r="V798" s="20"/>
      <c r="W798" s="19"/>
      <c r="X798" s="19"/>
      <c r="Y798" s="19"/>
      <c r="Z798" s="23"/>
    </row>
    <row r="799" spans="1:26" ht="15.75" customHeight="1" x14ac:dyDescent="0.2">
      <c r="A799" s="34"/>
      <c r="B799" s="34"/>
      <c r="C799" s="34"/>
      <c r="D799" s="34"/>
      <c r="E799" s="19"/>
      <c r="F799" s="19"/>
      <c r="G799" s="19"/>
      <c r="H799" s="19"/>
      <c r="I799" s="19"/>
      <c r="J799" s="19"/>
      <c r="K799" s="19"/>
      <c r="L799" s="19"/>
      <c r="M799" s="19"/>
      <c r="N799" s="19"/>
      <c r="O799" s="19"/>
      <c r="P799" s="20"/>
      <c r="Q799" s="20"/>
      <c r="R799" s="22"/>
      <c r="S799" s="22"/>
      <c r="T799" s="20"/>
      <c r="U799" s="20"/>
      <c r="V799" s="20"/>
      <c r="W799" s="19"/>
      <c r="X799" s="19"/>
      <c r="Y799" s="19"/>
      <c r="Z799" s="23"/>
    </row>
    <row r="800" spans="1:26" ht="15.75" customHeight="1" x14ac:dyDescent="0.2">
      <c r="A800" s="34"/>
      <c r="B800" s="34"/>
      <c r="C800" s="34"/>
      <c r="D800" s="34"/>
      <c r="E800" s="19"/>
      <c r="F800" s="19"/>
      <c r="G800" s="19"/>
      <c r="H800" s="19"/>
      <c r="I800" s="19"/>
      <c r="J800" s="19"/>
      <c r="K800" s="19"/>
      <c r="L800" s="19"/>
      <c r="M800" s="19"/>
      <c r="N800" s="19"/>
      <c r="O800" s="19"/>
      <c r="P800" s="20"/>
      <c r="Q800" s="20"/>
      <c r="R800" s="22"/>
      <c r="S800" s="22"/>
      <c r="T800" s="20"/>
      <c r="U800" s="20"/>
      <c r="V800" s="20"/>
      <c r="W800" s="19"/>
      <c r="X800" s="19"/>
      <c r="Y800" s="19"/>
      <c r="Z800" s="23"/>
    </row>
    <row r="801" spans="1:26" ht="15.75" customHeight="1" x14ac:dyDescent="0.2">
      <c r="A801" s="34"/>
      <c r="B801" s="34"/>
      <c r="C801" s="34"/>
      <c r="D801" s="34"/>
      <c r="E801" s="19"/>
      <c r="F801" s="19"/>
      <c r="G801" s="19"/>
      <c r="H801" s="19"/>
      <c r="I801" s="19"/>
      <c r="J801" s="19"/>
      <c r="K801" s="19"/>
      <c r="L801" s="19"/>
      <c r="M801" s="19"/>
      <c r="N801" s="19"/>
      <c r="O801" s="19"/>
      <c r="P801" s="20"/>
      <c r="Q801" s="20"/>
      <c r="R801" s="22"/>
      <c r="S801" s="22"/>
      <c r="T801" s="20"/>
      <c r="U801" s="20"/>
      <c r="V801" s="20"/>
      <c r="W801" s="19"/>
      <c r="X801" s="19"/>
      <c r="Y801" s="19"/>
      <c r="Z801" s="23"/>
    </row>
    <row r="802" spans="1:26" ht="15.75" customHeight="1" x14ac:dyDescent="0.2">
      <c r="A802" s="34"/>
      <c r="B802" s="34"/>
      <c r="C802" s="34"/>
      <c r="D802" s="34"/>
      <c r="E802" s="19"/>
      <c r="F802" s="19"/>
      <c r="G802" s="19"/>
      <c r="H802" s="19"/>
      <c r="I802" s="19"/>
      <c r="J802" s="19"/>
      <c r="K802" s="19"/>
      <c r="L802" s="19"/>
      <c r="M802" s="19"/>
      <c r="N802" s="19"/>
      <c r="O802" s="19"/>
      <c r="P802" s="20"/>
      <c r="Q802" s="20"/>
      <c r="R802" s="22"/>
      <c r="S802" s="22"/>
      <c r="T802" s="20"/>
      <c r="U802" s="20"/>
      <c r="V802" s="20"/>
      <c r="W802" s="19"/>
      <c r="X802" s="19"/>
      <c r="Y802" s="19"/>
      <c r="Z802" s="23"/>
    </row>
    <row r="803" spans="1:26" ht="15.75" customHeight="1" x14ac:dyDescent="0.2">
      <c r="A803" s="34"/>
      <c r="B803" s="34"/>
      <c r="C803" s="34"/>
      <c r="D803" s="34"/>
      <c r="E803" s="19"/>
      <c r="F803" s="19"/>
      <c r="G803" s="19"/>
      <c r="H803" s="19"/>
      <c r="I803" s="19"/>
      <c r="J803" s="19"/>
      <c r="K803" s="19"/>
      <c r="L803" s="19"/>
      <c r="M803" s="19"/>
      <c r="N803" s="19"/>
      <c r="O803" s="19"/>
      <c r="P803" s="20"/>
      <c r="Q803" s="20"/>
      <c r="R803" s="22"/>
      <c r="S803" s="22"/>
      <c r="T803" s="20"/>
      <c r="U803" s="20"/>
      <c r="V803" s="20"/>
      <c r="W803" s="19"/>
      <c r="X803" s="19"/>
      <c r="Y803" s="19"/>
      <c r="Z803" s="23"/>
    </row>
    <row r="804" spans="1:26" ht="15.75" customHeight="1" x14ac:dyDescent="0.2">
      <c r="A804" s="34"/>
      <c r="B804" s="34"/>
      <c r="C804" s="34"/>
      <c r="D804" s="34"/>
      <c r="E804" s="19"/>
      <c r="F804" s="19"/>
      <c r="G804" s="19"/>
      <c r="H804" s="19"/>
      <c r="I804" s="19"/>
      <c r="J804" s="19"/>
      <c r="K804" s="19"/>
      <c r="L804" s="19"/>
      <c r="M804" s="19"/>
      <c r="N804" s="19"/>
      <c r="O804" s="19"/>
      <c r="P804" s="20"/>
      <c r="Q804" s="20"/>
      <c r="R804" s="22"/>
      <c r="S804" s="22"/>
      <c r="T804" s="20"/>
      <c r="U804" s="20"/>
      <c r="V804" s="20"/>
      <c r="W804" s="19"/>
      <c r="X804" s="19"/>
      <c r="Y804" s="19"/>
      <c r="Z804" s="23"/>
    </row>
    <row r="805" spans="1:26" ht="15.75" customHeight="1" x14ac:dyDescent="0.2">
      <c r="A805" s="34"/>
      <c r="B805" s="34"/>
      <c r="C805" s="34"/>
      <c r="D805" s="34"/>
      <c r="E805" s="19"/>
      <c r="F805" s="19"/>
      <c r="G805" s="19"/>
      <c r="H805" s="19"/>
      <c r="I805" s="19"/>
      <c r="J805" s="19"/>
      <c r="K805" s="19"/>
      <c r="L805" s="19"/>
      <c r="M805" s="19"/>
      <c r="N805" s="19"/>
      <c r="O805" s="19"/>
      <c r="P805" s="20"/>
      <c r="Q805" s="20"/>
      <c r="R805" s="22"/>
      <c r="S805" s="22"/>
      <c r="T805" s="20"/>
      <c r="U805" s="20"/>
      <c r="V805" s="20"/>
      <c r="W805" s="19"/>
      <c r="X805" s="19"/>
      <c r="Y805" s="19"/>
      <c r="Z805" s="23"/>
    </row>
    <row r="806" spans="1:26" ht="15.75" customHeight="1" x14ac:dyDescent="0.2">
      <c r="A806" s="34"/>
      <c r="B806" s="34"/>
      <c r="C806" s="34"/>
      <c r="D806" s="34"/>
      <c r="E806" s="19"/>
      <c r="F806" s="19"/>
      <c r="G806" s="19"/>
      <c r="H806" s="19"/>
      <c r="I806" s="19"/>
      <c r="J806" s="19"/>
      <c r="K806" s="19"/>
      <c r="L806" s="19"/>
      <c r="M806" s="19"/>
      <c r="N806" s="19"/>
      <c r="O806" s="19"/>
      <c r="P806" s="20"/>
      <c r="Q806" s="20"/>
      <c r="R806" s="22"/>
      <c r="S806" s="22"/>
      <c r="T806" s="20"/>
      <c r="U806" s="20"/>
      <c r="V806" s="20"/>
      <c r="W806" s="19"/>
      <c r="X806" s="19"/>
      <c r="Y806" s="19"/>
      <c r="Z806" s="23"/>
    </row>
    <row r="807" spans="1:26" ht="15.75" customHeight="1" x14ac:dyDescent="0.2">
      <c r="A807" s="34"/>
      <c r="B807" s="34"/>
      <c r="C807" s="34"/>
      <c r="D807" s="34"/>
      <c r="E807" s="19"/>
      <c r="F807" s="19"/>
      <c r="G807" s="19"/>
      <c r="H807" s="19"/>
      <c r="I807" s="19"/>
      <c r="J807" s="19"/>
      <c r="K807" s="19"/>
      <c r="L807" s="19"/>
      <c r="M807" s="19"/>
      <c r="N807" s="19"/>
      <c r="O807" s="19"/>
      <c r="P807" s="20"/>
      <c r="Q807" s="20"/>
      <c r="R807" s="22"/>
      <c r="S807" s="22"/>
      <c r="T807" s="20"/>
      <c r="U807" s="20"/>
      <c r="V807" s="20"/>
      <c r="W807" s="19"/>
      <c r="X807" s="19"/>
      <c r="Y807" s="19"/>
      <c r="Z807" s="23"/>
    </row>
    <row r="808" spans="1:26" ht="15.75" customHeight="1" x14ac:dyDescent="0.2">
      <c r="A808" s="34"/>
      <c r="B808" s="34"/>
      <c r="C808" s="34"/>
      <c r="D808" s="34"/>
      <c r="E808" s="19"/>
      <c r="F808" s="19"/>
      <c r="G808" s="19"/>
      <c r="H808" s="19"/>
      <c r="I808" s="19"/>
      <c r="J808" s="19"/>
      <c r="K808" s="19"/>
      <c r="L808" s="19"/>
      <c r="M808" s="19"/>
      <c r="N808" s="19"/>
      <c r="O808" s="19"/>
      <c r="P808" s="20"/>
      <c r="Q808" s="20"/>
      <c r="R808" s="22"/>
      <c r="S808" s="22"/>
      <c r="T808" s="20"/>
      <c r="U808" s="20"/>
      <c r="V808" s="20"/>
      <c r="W808" s="19"/>
      <c r="X808" s="19"/>
      <c r="Y808" s="19"/>
      <c r="Z808" s="23"/>
    </row>
    <row r="809" spans="1:26" ht="15.75" customHeight="1" x14ac:dyDescent="0.2">
      <c r="A809" s="34"/>
      <c r="B809" s="34"/>
      <c r="C809" s="34"/>
      <c r="D809" s="34"/>
      <c r="E809" s="19"/>
      <c r="F809" s="19"/>
      <c r="G809" s="19"/>
      <c r="H809" s="19"/>
      <c r="I809" s="19"/>
      <c r="J809" s="19"/>
      <c r="K809" s="19"/>
      <c r="L809" s="19"/>
      <c r="M809" s="19"/>
      <c r="N809" s="19"/>
      <c r="O809" s="19"/>
      <c r="P809" s="20"/>
      <c r="Q809" s="20"/>
      <c r="R809" s="22"/>
      <c r="S809" s="22"/>
      <c r="T809" s="20"/>
      <c r="U809" s="20"/>
      <c r="V809" s="20"/>
      <c r="W809" s="19"/>
      <c r="X809" s="19"/>
      <c r="Y809" s="19"/>
      <c r="Z809" s="23"/>
    </row>
    <row r="810" spans="1:26" ht="15.75" customHeight="1" x14ac:dyDescent="0.2">
      <c r="A810" s="34"/>
      <c r="B810" s="34"/>
      <c r="C810" s="34"/>
      <c r="D810" s="34"/>
      <c r="E810" s="19"/>
      <c r="F810" s="19"/>
      <c r="G810" s="19"/>
      <c r="H810" s="19"/>
      <c r="I810" s="19"/>
      <c r="J810" s="19"/>
      <c r="K810" s="19"/>
      <c r="L810" s="19"/>
      <c r="M810" s="19"/>
      <c r="N810" s="19"/>
      <c r="O810" s="19"/>
      <c r="P810" s="20"/>
      <c r="Q810" s="20"/>
      <c r="R810" s="22"/>
      <c r="S810" s="22"/>
      <c r="T810" s="20"/>
      <c r="U810" s="20"/>
      <c r="V810" s="20"/>
      <c r="W810" s="19"/>
      <c r="X810" s="19"/>
      <c r="Y810" s="19"/>
      <c r="Z810" s="23"/>
    </row>
    <row r="811" spans="1:26" ht="15.75" customHeight="1" x14ac:dyDescent="0.2">
      <c r="A811" s="34"/>
      <c r="B811" s="34"/>
      <c r="C811" s="34"/>
      <c r="D811" s="34"/>
      <c r="E811" s="19"/>
      <c r="F811" s="19"/>
      <c r="G811" s="19"/>
      <c r="H811" s="19"/>
      <c r="I811" s="19"/>
      <c r="J811" s="19"/>
      <c r="K811" s="19"/>
      <c r="L811" s="19"/>
      <c r="M811" s="19"/>
      <c r="N811" s="19"/>
      <c r="O811" s="19"/>
      <c r="P811" s="20"/>
      <c r="Q811" s="20"/>
      <c r="R811" s="22"/>
      <c r="S811" s="22"/>
      <c r="T811" s="20"/>
      <c r="U811" s="20"/>
      <c r="V811" s="20"/>
      <c r="W811" s="19"/>
      <c r="X811" s="19"/>
      <c r="Y811" s="19"/>
      <c r="Z811" s="23"/>
    </row>
    <row r="812" spans="1:26" ht="15.75" customHeight="1" x14ac:dyDescent="0.2">
      <c r="A812" s="34"/>
      <c r="B812" s="34"/>
      <c r="C812" s="34"/>
      <c r="D812" s="34"/>
      <c r="E812" s="19"/>
      <c r="F812" s="19"/>
      <c r="G812" s="19"/>
      <c r="H812" s="19"/>
      <c r="I812" s="19"/>
      <c r="J812" s="19"/>
      <c r="K812" s="19"/>
      <c r="L812" s="19"/>
      <c r="M812" s="19"/>
      <c r="N812" s="19"/>
      <c r="O812" s="19"/>
      <c r="P812" s="20"/>
      <c r="Q812" s="20"/>
      <c r="R812" s="22"/>
      <c r="S812" s="22"/>
      <c r="T812" s="20"/>
      <c r="U812" s="20"/>
      <c r="V812" s="20"/>
      <c r="W812" s="19"/>
      <c r="X812" s="19"/>
      <c r="Y812" s="19"/>
      <c r="Z812" s="23"/>
    </row>
    <row r="813" spans="1:26" ht="15.75" customHeight="1" x14ac:dyDescent="0.2">
      <c r="A813" s="34"/>
      <c r="B813" s="34"/>
      <c r="C813" s="34"/>
      <c r="D813" s="34"/>
      <c r="E813" s="19"/>
      <c r="F813" s="19"/>
      <c r="G813" s="19"/>
      <c r="H813" s="19"/>
      <c r="I813" s="19"/>
      <c r="J813" s="19"/>
      <c r="K813" s="19"/>
      <c r="L813" s="19"/>
      <c r="M813" s="19"/>
      <c r="N813" s="19"/>
      <c r="O813" s="19"/>
      <c r="P813" s="20"/>
      <c r="Q813" s="20"/>
      <c r="R813" s="22"/>
      <c r="S813" s="22"/>
      <c r="T813" s="20"/>
      <c r="U813" s="20"/>
      <c r="V813" s="20"/>
      <c r="W813" s="19"/>
      <c r="X813" s="19"/>
      <c r="Y813" s="19"/>
      <c r="Z813" s="23"/>
    </row>
    <row r="814" spans="1:26" ht="15.75" customHeight="1" x14ac:dyDescent="0.2">
      <c r="A814" s="34"/>
      <c r="B814" s="34"/>
      <c r="C814" s="34"/>
      <c r="D814" s="34"/>
      <c r="E814" s="19"/>
      <c r="F814" s="19"/>
      <c r="G814" s="19"/>
      <c r="H814" s="19"/>
      <c r="I814" s="19"/>
      <c r="J814" s="19"/>
      <c r="K814" s="19"/>
      <c r="L814" s="19"/>
      <c r="M814" s="19"/>
      <c r="N814" s="19"/>
      <c r="O814" s="19"/>
      <c r="P814" s="20"/>
      <c r="Q814" s="20"/>
      <c r="R814" s="22"/>
      <c r="S814" s="22"/>
      <c r="T814" s="20"/>
      <c r="U814" s="20"/>
      <c r="V814" s="20"/>
      <c r="W814" s="19"/>
      <c r="X814" s="19"/>
      <c r="Y814" s="19"/>
      <c r="Z814" s="23"/>
    </row>
    <row r="815" spans="1:26" ht="15.75" customHeight="1" x14ac:dyDescent="0.2">
      <c r="A815" s="34"/>
      <c r="B815" s="34"/>
      <c r="C815" s="34"/>
      <c r="D815" s="34"/>
      <c r="E815" s="19"/>
      <c r="F815" s="19"/>
      <c r="G815" s="19"/>
      <c r="H815" s="19"/>
      <c r="I815" s="19"/>
      <c r="J815" s="19"/>
      <c r="K815" s="19"/>
      <c r="L815" s="19"/>
      <c r="M815" s="19"/>
      <c r="N815" s="19"/>
      <c r="O815" s="19"/>
      <c r="P815" s="20"/>
      <c r="Q815" s="20"/>
      <c r="R815" s="22"/>
      <c r="S815" s="22"/>
      <c r="T815" s="20"/>
      <c r="U815" s="20"/>
      <c r="V815" s="20"/>
      <c r="W815" s="19"/>
      <c r="X815" s="19"/>
      <c r="Y815" s="19"/>
      <c r="Z815" s="23"/>
    </row>
    <row r="816" spans="1:26" ht="15.75" customHeight="1" x14ac:dyDescent="0.2">
      <c r="A816" s="34"/>
      <c r="B816" s="34"/>
      <c r="C816" s="34"/>
      <c r="D816" s="34"/>
      <c r="E816" s="19"/>
      <c r="F816" s="19"/>
      <c r="G816" s="19"/>
      <c r="H816" s="19"/>
      <c r="I816" s="19"/>
      <c r="J816" s="19"/>
      <c r="K816" s="19"/>
      <c r="L816" s="19"/>
      <c r="M816" s="19"/>
      <c r="N816" s="19"/>
      <c r="O816" s="19"/>
      <c r="P816" s="20"/>
      <c r="Q816" s="20"/>
      <c r="R816" s="22"/>
      <c r="S816" s="22"/>
      <c r="T816" s="20"/>
      <c r="U816" s="20"/>
      <c r="V816" s="20"/>
      <c r="W816" s="19"/>
      <c r="X816" s="19"/>
      <c r="Y816" s="19"/>
      <c r="Z816" s="23"/>
    </row>
    <row r="817" spans="1:26" ht="15.75" customHeight="1" x14ac:dyDescent="0.2">
      <c r="A817" s="34"/>
      <c r="B817" s="34"/>
      <c r="C817" s="34"/>
      <c r="D817" s="34"/>
      <c r="E817" s="19"/>
      <c r="F817" s="19"/>
      <c r="G817" s="19"/>
      <c r="H817" s="19"/>
      <c r="I817" s="19"/>
      <c r="J817" s="19"/>
      <c r="K817" s="19"/>
      <c r="L817" s="19"/>
      <c r="M817" s="19"/>
      <c r="N817" s="19"/>
      <c r="O817" s="19"/>
      <c r="P817" s="20"/>
      <c r="Q817" s="20"/>
      <c r="R817" s="22"/>
      <c r="S817" s="22"/>
      <c r="T817" s="20"/>
      <c r="U817" s="20"/>
      <c r="V817" s="20"/>
      <c r="W817" s="19"/>
      <c r="X817" s="19"/>
      <c r="Y817" s="19"/>
      <c r="Z817" s="23"/>
    </row>
    <row r="818" spans="1:26" ht="15.75" customHeight="1" x14ac:dyDescent="0.2">
      <c r="A818" s="34"/>
      <c r="B818" s="34"/>
      <c r="C818" s="34"/>
      <c r="D818" s="34"/>
      <c r="E818" s="19"/>
      <c r="F818" s="19"/>
      <c r="G818" s="19"/>
      <c r="H818" s="19"/>
      <c r="I818" s="19"/>
      <c r="J818" s="19"/>
      <c r="K818" s="19"/>
      <c r="L818" s="19"/>
      <c r="M818" s="19"/>
      <c r="N818" s="19"/>
      <c r="O818" s="19"/>
      <c r="P818" s="20"/>
      <c r="Q818" s="20"/>
      <c r="R818" s="22"/>
      <c r="S818" s="22"/>
      <c r="T818" s="20"/>
      <c r="U818" s="20"/>
      <c r="V818" s="20"/>
      <c r="W818" s="19"/>
      <c r="X818" s="19"/>
      <c r="Y818" s="19"/>
      <c r="Z818" s="23"/>
    </row>
    <row r="819" spans="1:26" ht="15.75" customHeight="1" x14ac:dyDescent="0.2">
      <c r="A819" s="34"/>
      <c r="B819" s="34"/>
      <c r="C819" s="34"/>
      <c r="D819" s="34"/>
      <c r="E819" s="19"/>
      <c r="F819" s="19"/>
      <c r="G819" s="19"/>
      <c r="H819" s="19"/>
      <c r="I819" s="19"/>
      <c r="J819" s="19"/>
      <c r="K819" s="19"/>
      <c r="L819" s="19"/>
      <c r="M819" s="19"/>
      <c r="N819" s="19"/>
      <c r="O819" s="19"/>
      <c r="P819" s="20"/>
      <c r="Q819" s="20"/>
      <c r="R819" s="22"/>
      <c r="S819" s="22"/>
      <c r="T819" s="20"/>
      <c r="U819" s="20"/>
      <c r="V819" s="20"/>
      <c r="W819" s="19"/>
      <c r="X819" s="19"/>
      <c r="Y819" s="19"/>
      <c r="Z819" s="23"/>
    </row>
    <row r="820" spans="1:26" ht="15.75" customHeight="1" x14ac:dyDescent="0.2">
      <c r="A820" s="34"/>
      <c r="B820" s="34"/>
      <c r="C820" s="34"/>
      <c r="D820" s="34"/>
      <c r="E820" s="19"/>
      <c r="F820" s="19"/>
      <c r="G820" s="19"/>
      <c r="H820" s="19"/>
      <c r="I820" s="19"/>
      <c r="J820" s="19"/>
      <c r="K820" s="19"/>
      <c r="L820" s="19"/>
      <c r="M820" s="19"/>
      <c r="N820" s="19"/>
      <c r="O820" s="19"/>
      <c r="P820" s="20"/>
      <c r="Q820" s="20"/>
      <c r="R820" s="22"/>
      <c r="S820" s="22"/>
      <c r="T820" s="20"/>
      <c r="U820" s="20"/>
      <c r="V820" s="20"/>
      <c r="W820" s="19"/>
      <c r="X820" s="19"/>
      <c r="Y820" s="19"/>
      <c r="Z820" s="23"/>
    </row>
    <row r="821" spans="1:26" ht="15.75" customHeight="1" x14ac:dyDescent="0.2">
      <c r="A821" s="34"/>
      <c r="B821" s="34"/>
      <c r="C821" s="34"/>
      <c r="D821" s="34"/>
      <c r="E821" s="19"/>
      <c r="F821" s="19"/>
      <c r="G821" s="19"/>
      <c r="H821" s="19"/>
      <c r="I821" s="19"/>
      <c r="J821" s="19"/>
      <c r="K821" s="19"/>
      <c r="L821" s="19"/>
      <c r="M821" s="19"/>
      <c r="N821" s="19"/>
      <c r="O821" s="19"/>
      <c r="P821" s="20"/>
      <c r="Q821" s="20"/>
      <c r="R821" s="22"/>
      <c r="S821" s="22"/>
      <c r="T821" s="20"/>
      <c r="U821" s="20"/>
      <c r="V821" s="20"/>
      <c r="W821" s="19"/>
      <c r="X821" s="19"/>
      <c r="Y821" s="19"/>
      <c r="Z821" s="23"/>
    </row>
    <row r="822" spans="1:26" ht="15.75" customHeight="1" x14ac:dyDescent="0.2">
      <c r="A822" s="34"/>
      <c r="B822" s="34"/>
      <c r="C822" s="34"/>
      <c r="D822" s="34"/>
      <c r="E822" s="19"/>
      <c r="F822" s="19"/>
      <c r="G822" s="19"/>
      <c r="H822" s="19"/>
      <c r="I822" s="19"/>
      <c r="J822" s="19"/>
      <c r="K822" s="19"/>
      <c r="L822" s="19"/>
      <c r="M822" s="19"/>
      <c r="N822" s="19"/>
      <c r="O822" s="19"/>
      <c r="P822" s="20"/>
      <c r="Q822" s="20"/>
      <c r="R822" s="22"/>
      <c r="S822" s="22"/>
      <c r="T822" s="20"/>
      <c r="U822" s="20"/>
      <c r="V822" s="20"/>
      <c r="W822" s="19"/>
      <c r="X822" s="19"/>
      <c r="Y822" s="19"/>
      <c r="Z822" s="23"/>
    </row>
    <row r="823" spans="1:26" ht="15.75" customHeight="1" x14ac:dyDescent="0.2">
      <c r="A823" s="34"/>
      <c r="B823" s="34"/>
      <c r="C823" s="34"/>
      <c r="D823" s="34"/>
      <c r="E823" s="19"/>
      <c r="F823" s="19"/>
      <c r="G823" s="19"/>
      <c r="H823" s="19"/>
      <c r="I823" s="19"/>
      <c r="J823" s="19"/>
      <c r="K823" s="19"/>
      <c r="L823" s="19"/>
      <c r="M823" s="19"/>
      <c r="N823" s="19"/>
      <c r="O823" s="19"/>
      <c r="P823" s="20"/>
      <c r="Q823" s="20"/>
      <c r="R823" s="22"/>
      <c r="S823" s="22"/>
      <c r="T823" s="20"/>
      <c r="U823" s="20"/>
      <c r="V823" s="20"/>
      <c r="W823" s="19"/>
      <c r="X823" s="19"/>
      <c r="Y823" s="19"/>
      <c r="Z823" s="23"/>
    </row>
    <row r="824" spans="1:26" ht="15.75" customHeight="1" x14ac:dyDescent="0.2">
      <c r="A824" s="34"/>
      <c r="B824" s="34"/>
      <c r="C824" s="34"/>
      <c r="D824" s="34"/>
      <c r="E824" s="19"/>
      <c r="F824" s="19"/>
      <c r="G824" s="19"/>
      <c r="H824" s="19"/>
      <c r="I824" s="19"/>
      <c r="J824" s="19"/>
      <c r="K824" s="19"/>
      <c r="L824" s="19"/>
      <c r="M824" s="19"/>
      <c r="N824" s="19"/>
      <c r="O824" s="19"/>
      <c r="P824" s="20"/>
      <c r="Q824" s="20"/>
      <c r="R824" s="22"/>
      <c r="S824" s="22"/>
      <c r="T824" s="20"/>
      <c r="U824" s="20"/>
      <c r="V824" s="20"/>
      <c r="W824" s="19"/>
      <c r="X824" s="19"/>
      <c r="Y824" s="19"/>
      <c r="Z824" s="23"/>
    </row>
    <row r="825" spans="1:26" ht="15.75" customHeight="1" x14ac:dyDescent="0.2">
      <c r="A825" s="34"/>
      <c r="B825" s="34"/>
      <c r="C825" s="34"/>
      <c r="D825" s="34"/>
      <c r="E825" s="19"/>
      <c r="F825" s="19"/>
      <c r="G825" s="19"/>
      <c r="H825" s="19"/>
      <c r="I825" s="19"/>
      <c r="J825" s="19"/>
      <c r="K825" s="19"/>
      <c r="L825" s="19"/>
      <c r="M825" s="19"/>
      <c r="N825" s="19"/>
      <c r="O825" s="19"/>
      <c r="P825" s="20"/>
      <c r="Q825" s="20"/>
      <c r="R825" s="22"/>
      <c r="S825" s="22"/>
      <c r="T825" s="20"/>
      <c r="U825" s="20"/>
      <c r="V825" s="20"/>
      <c r="W825" s="19"/>
      <c r="X825" s="19"/>
      <c r="Y825" s="19"/>
      <c r="Z825" s="23"/>
    </row>
    <row r="826" spans="1:26" ht="15.75" customHeight="1" x14ac:dyDescent="0.2">
      <c r="A826" s="34"/>
      <c r="B826" s="34"/>
      <c r="C826" s="34"/>
      <c r="D826" s="34"/>
      <c r="E826" s="19"/>
      <c r="F826" s="19"/>
      <c r="G826" s="19"/>
      <c r="H826" s="19"/>
      <c r="I826" s="19"/>
      <c r="J826" s="19"/>
      <c r="K826" s="19"/>
      <c r="L826" s="19"/>
      <c r="M826" s="19"/>
      <c r="N826" s="19"/>
      <c r="O826" s="19"/>
      <c r="P826" s="20"/>
      <c r="Q826" s="20"/>
      <c r="R826" s="22"/>
      <c r="S826" s="22"/>
      <c r="T826" s="20"/>
      <c r="U826" s="20"/>
      <c r="V826" s="20"/>
      <c r="W826" s="19"/>
      <c r="X826" s="19"/>
      <c r="Y826" s="19"/>
      <c r="Z826" s="23"/>
    </row>
    <row r="827" spans="1:26" ht="15.75" customHeight="1" x14ac:dyDescent="0.2">
      <c r="A827" s="34"/>
      <c r="B827" s="34"/>
      <c r="C827" s="34"/>
      <c r="D827" s="34"/>
      <c r="E827" s="19"/>
      <c r="F827" s="19"/>
      <c r="G827" s="19"/>
      <c r="H827" s="19"/>
      <c r="I827" s="19"/>
      <c r="J827" s="19"/>
      <c r="K827" s="19"/>
      <c r="L827" s="19"/>
      <c r="M827" s="19"/>
      <c r="N827" s="19"/>
      <c r="O827" s="19"/>
      <c r="P827" s="20"/>
      <c r="Q827" s="20"/>
      <c r="R827" s="22"/>
      <c r="S827" s="22"/>
      <c r="T827" s="20"/>
      <c r="U827" s="20"/>
      <c r="V827" s="20"/>
      <c r="W827" s="19"/>
      <c r="X827" s="19"/>
      <c r="Y827" s="19"/>
      <c r="Z827" s="23"/>
    </row>
    <row r="828" spans="1:26" ht="15.75" customHeight="1" x14ac:dyDescent="0.2">
      <c r="A828" s="34"/>
      <c r="B828" s="34"/>
      <c r="C828" s="34"/>
      <c r="D828" s="34"/>
      <c r="E828" s="19"/>
      <c r="F828" s="19"/>
      <c r="G828" s="19"/>
      <c r="H828" s="19"/>
      <c r="I828" s="19"/>
      <c r="J828" s="19"/>
      <c r="K828" s="19"/>
      <c r="L828" s="19"/>
      <c r="M828" s="19"/>
      <c r="N828" s="19"/>
      <c r="O828" s="19"/>
      <c r="P828" s="20"/>
      <c r="Q828" s="20"/>
      <c r="R828" s="22"/>
      <c r="S828" s="22"/>
      <c r="T828" s="20"/>
      <c r="U828" s="20"/>
      <c r="V828" s="20"/>
      <c r="W828" s="19"/>
      <c r="X828" s="19"/>
      <c r="Y828" s="19"/>
      <c r="Z828" s="23"/>
    </row>
    <row r="829" spans="1:26" ht="15.75" customHeight="1" x14ac:dyDescent="0.2">
      <c r="A829" s="34"/>
      <c r="B829" s="34"/>
      <c r="C829" s="34"/>
      <c r="D829" s="34"/>
      <c r="E829" s="19"/>
      <c r="F829" s="19"/>
      <c r="G829" s="19"/>
      <c r="H829" s="19"/>
      <c r="I829" s="19"/>
      <c r="J829" s="19"/>
      <c r="K829" s="19"/>
      <c r="L829" s="19"/>
      <c r="M829" s="19"/>
      <c r="N829" s="19"/>
      <c r="O829" s="19"/>
      <c r="P829" s="20"/>
      <c r="Q829" s="20"/>
      <c r="R829" s="22"/>
      <c r="S829" s="22"/>
      <c r="T829" s="20"/>
      <c r="U829" s="20"/>
      <c r="V829" s="20"/>
      <c r="W829" s="19"/>
      <c r="X829" s="19"/>
      <c r="Y829" s="19"/>
      <c r="Z829" s="23"/>
    </row>
    <row r="830" spans="1:26" ht="15.75" customHeight="1" x14ac:dyDescent="0.2">
      <c r="A830" s="34"/>
      <c r="B830" s="34"/>
      <c r="C830" s="34"/>
      <c r="D830" s="34"/>
      <c r="E830" s="19"/>
      <c r="F830" s="19"/>
      <c r="G830" s="19"/>
      <c r="H830" s="19"/>
      <c r="I830" s="19"/>
      <c r="J830" s="19"/>
      <c r="K830" s="19"/>
      <c r="L830" s="19"/>
      <c r="M830" s="19"/>
      <c r="N830" s="19"/>
      <c r="O830" s="19"/>
      <c r="P830" s="20"/>
      <c r="Q830" s="20"/>
      <c r="R830" s="22"/>
      <c r="S830" s="22"/>
      <c r="T830" s="20"/>
      <c r="U830" s="20"/>
      <c r="V830" s="20"/>
      <c r="W830" s="19"/>
      <c r="X830" s="19"/>
      <c r="Y830" s="19"/>
      <c r="Z830" s="23"/>
    </row>
    <row r="831" spans="1:26" ht="15.75" customHeight="1" x14ac:dyDescent="0.2">
      <c r="A831" s="34"/>
      <c r="B831" s="34"/>
      <c r="C831" s="34"/>
      <c r="D831" s="34"/>
      <c r="E831" s="19"/>
      <c r="F831" s="19"/>
      <c r="G831" s="19"/>
      <c r="H831" s="19"/>
      <c r="I831" s="19"/>
      <c r="J831" s="19"/>
      <c r="K831" s="19"/>
      <c r="L831" s="19"/>
      <c r="M831" s="19"/>
      <c r="N831" s="19"/>
      <c r="O831" s="19"/>
      <c r="P831" s="20"/>
      <c r="Q831" s="20"/>
      <c r="R831" s="22"/>
      <c r="S831" s="22"/>
      <c r="T831" s="20"/>
      <c r="U831" s="20"/>
      <c r="V831" s="20"/>
      <c r="W831" s="19"/>
      <c r="X831" s="19"/>
      <c r="Y831" s="19"/>
      <c r="Z831" s="23"/>
    </row>
    <row r="832" spans="1:26" ht="15.75" customHeight="1" x14ac:dyDescent="0.2">
      <c r="A832" s="34"/>
      <c r="B832" s="34"/>
      <c r="C832" s="34"/>
      <c r="D832" s="34"/>
      <c r="E832" s="19"/>
      <c r="F832" s="19"/>
      <c r="G832" s="19"/>
      <c r="H832" s="19"/>
      <c r="I832" s="19"/>
      <c r="J832" s="19"/>
      <c r="K832" s="19"/>
      <c r="L832" s="19"/>
      <c r="M832" s="19"/>
      <c r="N832" s="19"/>
      <c r="O832" s="19"/>
      <c r="P832" s="20"/>
      <c r="Q832" s="20"/>
      <c r="R832" s="22"/>
      <c r="S832" s="22"/>
      <c r="T832" s="20"/>
      <c r="U832" s="20"/>
      <c r="V832" s="20"/>
      <c r="W832" s="19"/>
      <c r="X832" s="19"/>
      <c r="Y832" s="19"/>
      <c r="Z832" s="23"/>
    </row>
    <row r="833" spans="1:26" ht="15.75" customHeight="1" x14ac:dyDescent="0.2">
      <c r="A833" s="34"/>
      <c r="B833" s="34"/>
      <c r="C833" s="34"/>
      <c r="D833" s="34"/>
      <c r="E833" s="19"/>
      <c r="F833" s="19"/>
      <c r="G833" s="19"/>
      <c r="H833" s="19"/>
      <c r="I833" s="19"/>
      <c r="J833" s="19"/>
      <c r="K833" s="19"/>
      <c r="L833" s="19"/>
      <c r="M833" s="19"/>
      <c r="N833" s="19"/>
      <c r="O833" s="19"/>
      <c r="P833" s="20"/>
      <c r="Q833" s="20"/>
      <c r="R833" s="22"/>
      <c r="S833" s="22"/>
      <c r="T833" s="20"/>
      <c r="U833" s="20"/>
      <c r="V833" s="20"/>
      <c r="W833" s="19"/>
      <c r="X833" s="19"/>
      <c r="Y833" s="19"/>
      <c r="Z833" s="23"/>
    </row>
    <row r="834" spans="1:26" ht="15.75" customHeight="1" x14ac:dyDescent="0.2">
      <c r="A834" s="34"/>
      <c r="B834" s="34"/>
      <c r="C834" s="34"/>
      <c r="D834" s="34"/>
      <c r="E834" s="19"/>
      <c r="F834" s="19"/>
      <c r="G834" s="19"/>
      <c r="H834" s="19"/>
      <c r="I834" s="19"/>
      <c r="J834" s="19"/>
      <c r="K834" s="19"/>
      <c r="L834" s="19"/>
      <c r="M834" s="19"/>
      <c r="N834" s="19"/>
      <c r="O834" s="19"/>
      <c r="P834" s="20"/>
      <c r="Q834" s="20"/>
      <c r="R834" s="22"/>
      <c r="S834" s="22"/>
      <c r="T834" s="20"/>
      <c r="U834" s="20"/>
      <c r="V834" s="20"/>
      <c r="W834" s="19"/>
      <c r="X834" s="19"/>
      <c r="Y834" s="19"/>
      <c r="Z834" s="23"/>
    </row>
    <row r="835" spans="1:26" ht="15.75" customHeight="1" x14ac:dyDescent="0.2">
      <c r="A835" s="34"/>
      <c r="B835" s="34"/>
      <c r="C835" s="34"/>
      <c r="D835" s="34"/>
      <c r="E835" s="19"/>
      <c r="F835" s="19"/>
      <c r="G835" s="19"/>
      <c r="H835" s="19"/>
      <c r="I835" s="19"/>
      <c r="J835" s="19"/>
      <c r="K835" s="19"/>
      <c r="L835" s="19"/>
      <c r="M835" s="19"/>
      <c r="N835" s="19"/>
      <c r="O835" s="19"/>
      <c r="P835" s="20"/>
      <c r="Q835" s="20"/>
      <c r="R835" s="22"/>
      <c r="S835" s="22"/>
      <c r="T835" s="20"/>
      <c r="U835" s="20"/>
      <c r="V835" s="20"/>
      <c r="W835" s="19"/>
      <c r="X835" s="19"/>
      <c r="Y835" s="19"/>
      <c r="Z835" s="23"/>
    </row>
    <row r="836" spans="1:26" ht="15.75" customHeight="1" x14ac:dyDescent="0.2">
      <c r="A836" s="34"/>
      <c r="B836" s="34"/>
      <c r="C836" s="34"/>
      <c r="D836" s="34"/>
      <c r="E836" s="19"/>
      <c r="F836" s="19"/>
      <c r="G836" s="19"/>
      <c r="H836" s="19"/>
      <c r="I836" s="19"/>
      <c r="J836" s="19"/>
      <c r="K836" s="19"/>
      <c r="L836" s="19"/>
      <c r="M836" s="19"/>
      <c r="N836" s="19"/>
      <c r="O836" s="19"/>
      <c r="P836" s="20"/>
      <c r="Q836" s="20"/>
      <c r="R836" s="22"/>
      <c r="S836" s="22"/>
      <c r="T836" s="20"/>
      <c r="U836" s="20"/>
      <c r="V836" s="20"/>
      <c r="W836" s="19"/>
      <c r="X836" s="19"/>
      <c r="Y836" s="19"/>
      <c r="Z836" s="23"/>
    </row>
    <row r="837" spans="1:26" ht="15.75" customHeight="1" x14ac:dyDescent="0.2">
      <c r="A837" s="34"/>
      <c r="B837" s="34"/>
      <c r="C837" s="34"/>
      <c r="D837" s="34"/>
      <c r="E837" s="19"/>
      <c r="F837" s="19"/>
      <c r="G837" s="19"/>
      <c r="H837" s="19"/>
      <c r="I837" s="19"/>
      <c r="J837" s="19"/>
      <c r="K837" s="19"/>
      <c r="L837" s="19"/>
      <c r="M837" s="19"/>
      <c r="N837" s="19"/>
      <c r="O837" s="19"/>
      <c r="P837" s="20"/>
      <c r="Q837" s="20"/>
      <c r="R837" s="22"/>
      <c r="S837" s="22"/>
      <c r="T837" s="20"/>
      <c r="U837" s="20"/>
      <c r="V837" s="20"/>
      <c r="W837" s="19"/>
      <c r="X837" s="19"/>
      <c r="Y837" s="19"/>
      <c r="Z837" s="23"/>
    </row>
    <row r="838" spans="1:26" ht="15.75" customHeight="1" x14ac:dyDescent="0.2">
      <c r="A838" s="34"/>
      <c r="B838" s="34"/>
      <c r="C838" s="34"/>
      <c r="D838" s="34"/>
      <c r="E838" s="19"/>
      <c r="F838" s="19"/>
      <c r="G838" s="19"/>
      <c r="H838" s="19"/>
      <c r="I838" s="19"/>
      <c r="J838" s="19"/>
      <c r="K838" s="19"/>
      <c r="L838" s="19"/>
      <c r="M838" s="19"/>
      <c r="N838" s="19"/>
      <c r="O838" s="19"/>
      <c r="P838" s="20"/>
      <c r="Q838" s="20"/>
      <c r="R838" s="22"/>
      <c r="S838" s="22"/>
      <c r="T838" s="20"/>
      <c r="U838" s="20"/>
      <c r="V838" s="20"/>
      <c r="W838" s="19"/>
      <c r="X838" s="19"/>
      <c r="Y838" s="19"/>
      <c r="Z838" s="23"/>
    </row>
    <row r="839" spans="1:26" ht="15.75" customHeight="1" x14ac:dyDescent="0.2">
      <c r="A839" s="34"/>
      <c r="B839" s="34"/>
      <c r="C839" s="34"/>
      <c r="D839" s="34"/>
      <c r="E839" s="19"/>
      <c r="F839" s="19"/>
      <c r="G839" s="19"/>
      <c r="H839" s="19"/>
      <c r="I839" s="19"/>
      <c r="J839" s="19"/>
      <c r="K839" s="19"/>
      <c r="L839" s="19"/>
      <c r="M839" s="19"/>
      <c r="N839" s="19"/>
      <c r="O839" s="19"/>
      <c r="P839" s="20"/>
      <c r="Q839" s="20"/>
      <c r="R839" s="22"/>
      <c r="S839" s="22"/>
      <c r="T839" s="20"/>
      <c r="U839" s="20"/>
      <c r="V839" s="20"/>
      <c r="W839" s="19"/>
      <c r="X839" s="19"/>
      <c r="Y839" s="19"/>
      <c r="Z839" s="23"/>
    </row>
    <row r="840" spans="1:26" ht="15.75" customHeight="1" x14ac:dyDescent="0.2">
      <c r="A840" s="34"/>
      <c r="B840" s="34"/>
      <c r="C840" s="34"/>
      <c r="D840" s="34"/>
      <c r="E840" s="19"/>
      <c r="F840" s="19"/>
      <c r="G840" s="19"/>
      <c r="H840" s="19"/>
      <c r="I840" s="19"/>
      <c r="J840" s="19"/>
      <c r="K840" s="19"/>
      <c r="L840" s="19"/>
      <c r="M840" s="19"/>
      <c r="N840" s="19"/>
      <c r="O840" s="19"/>
      <c r="P840" s="20"/>
      <c r="Q840" s="20"/>
      <c r="R840" s="22"/>
      <c r="S840" s="22"/>
      <c r="T840" s="20"/>
      <c r="U840" s="20"/>
      <c r="V840" s="20"/>
      <c r="W840" s="19"/>
      <c r="X840" s="19"/>
      <c r="Y840" s="19"/>
      <c r="Z840" s="23"/>
    </row>
    <row r="841" spans="1:26" ht="15.75" customHeight="1" x14ac:dyDescent="0.2">
      <c r="A841" s="34"/>
      <c r="B841" s="34"/>
      <c r="C841" s="34"/>
      <c r="D841" s="34"/>
      <c r="E841" s="19"/>
      <c r="F841" s="19"/>
      <c r="G841" s="19"/>
      <c r="H841" s="19"/>
      <c r="I841" s="19"/>
      <c r="J841" s="19"/>
      <c r="K841" s="19"/>
      <c r="L841" s="19"/>
      <c r="M841" s="19"/>
      <c r="N841" s="19"/>
      <c r="O841" s="19"/>
      <c r="P841" s="20"/>
      <c r="Q841" s="20"/>
      <c r="R841" s="22"/>
      <c r="S841" s="22"/>
      <c r="T841" s="20"/>
      <c r="U841" s="20"/>
      <c r="V841" s="20"/>
      <c r="W841" s="19"/>
      <c r="X841" s="19"/>
      <c r="Y841" s="19"/>
      <c r="Z841" s="23"/>
    </row>
    <row r="842" spans="1:26" ht="15.75" customHeight="1" x14ac:dyDescent="0.2">
      <c r="A842" s="34"/>
      <c r="B842" s="34"/>
      <c r="C842" s="34"/>
      <c r="D842" s="34"/>
      <c r="E842" s="19"/>
      <c r="F842" s="19"/>
      <c r="G842" s="19"/>
      <c r="H842" s="19"/>
      <c r="I842" s="19"/>
      <c r="J842" s="19"/>
      <c r="K842" s="19"/>
      <c r="L842" s="19"/>
      <c r="M842" s="19"/>
      <c r="N842" s="19"/>
      <c r="O842" s="19"/>
      <c r="P842" s="20"/>
      <c r="Q842" s="20"/>
      <c r="R842" s="22"/>
      <c r="S842" s="22"/>
      <c r="T842" s="20"/>
      <c r="U842" s="20"/>
      <c r="V842" s="20"/>
      <c r="W842" s="19"/>
      <c r="X842" s="19"/>
      <c r="Y842" s="19"/>
      <c r="Z842" s="23"/>
    </row>
    <row r="843" spans="1:26" ht="15.75" customHeight="1" x14ac:dyDescent="0.2">
      <c r="A843" s="34"/>
      <c r="B843" s="34"/>
      <c r="C843" s="34"/>
      <c r="D843" s="34"/>
      <c r="E843" s="19"/>
      <c r="F843" s="19"/>
      <c r="G843" s="19"/>
      <c r="H843" s="19"/>
      <c r="I843" s="19"/>
      <c r="J843" s="19"/>
      <c r="K843" s="19"/>
      <c r="L843" s="19"/>
      <c r="M843" s="19"/>
      <c r="N843" s="19"/>
      <c r="O843" s="19"/>
      <c r="P843" s="20"/>
      <c r="Q843" s="20"/>
      <c r="R843" s="22"/>
      <c r="S843" s="22"/>
      <c r="T843" s="20"/>
      <c r="U843" s="20"/>
      <c r="V843" s="20"/>
      <c r="W843" s="19"/>
      <c r="X843" s="19"/>
      <c r="Y843" s="19"/>
      <c r="Z843" s="23"/>
    </row>
    <row r="844" spans="1:26" ht="15.75" customHeight="1" x14ac:dyDescent="0.2">
      <c r="A844" s="34"/>
      <c r="B844" s="34"/>
      <c r="C844" s="34"/>
      <c r="D844" s="34"/>
      <c r="E844" s="19"/>
      <c r="F844" s="19"/>
      <c r="G844" s="19"/>
      <c r="H844" s="19"/>
      <c r="I844" s="19"/>
      <c r="J844" s="19"/>
      <c r="K844" s="19"/>
      <c r="L844" s="19"/>
      <c r="M844" s="19"/>
      <c r="N844" s="19"/>
      <c r="O844" s="19"/>
      <c r="P844" s="20"/>
      <c r="Q844" s="20"/>
      <c r="R844" s="22"/>
      <c r="S844" s="22"/>
      <c r="T844" s="20"/>
      <c r="U844" s="20"/>
      <c r="V844" s="20"/>
      <c r="W844" s="19"/>
      <c r="X844" s="19"/>
      <c r="Y844" s="19"/>
      <c r="Z844" s="23"/>
    </row>
    <row r="845" spans="1:26" ht="15.75" customHeight="1" x14ac:dyDescent="0.2">
      <c r="A845" s="34"/>
      <c r="B845" s="34"/>
      <c r="C845" s="34"/>
      <c r="D845" s="34"/>
      <c r="E845" s="19"/>
      <c r="F845" s="19"/>
      <c r="G845" s="19"/>
      <c r="H845" s="19"/>
      <c r="I845" s="19"/>
      <c r="J845" s="19"/>
      <c r="K845" s="19"/>
      <c r="L845" s="19"/>
      <c r="M845" s="19"/>
      <c r="N845" s="19"/>
      <c r="O845" s="19"/>
      <c r="P845" s="20"/>
      <c r="Q845" s="20"/>
      <c r="R845" s="22"/>
      <c r="S845" s="22"/>
      <c r="T845" s="20"/>
      <c r="U845" s="20"/>
      <c r="V845" s="20"/>
      <c r="W845" s="19"/>
      <c r="X845" s="19"/>
      <c r="Y845" s="19"/>
      <c r="Z845" s="23"/>
    </row>
    <row r="846" spans="1:26" ht="15.75" customHeight="1" x14ac:dyDescent="0.2">
      <c r="A846" s="34"/>
      <c r="B846" s="34"/>
      <c r="C846" s="34"/>
      <c r="D846" s="34"/>
      <c r="E846" s="19"/>
      <c r="F846" s="19"/>
      <c r="G846" s="19"/>
      <c r="H846" s="19"/>
      <c r="I846" s="19"/>
      <c r="J846" s="19"/>
      <c r="K846" s="19"/>
      <c r="L846" s="19"/>
      <c r="M846" s="19"/>
      <c r="N846" s="19"/>
      <c r="O846" s="19"/>
      <c r="P846" s="20"/>
      <c r="Q846" s="20"/>
      <c r="R846" s="22"/>
      <c r="S846" s="22"/>
      <c r="T846" s="20"/>
      <c r="U846" s="20"/>
      <c r="V846" s="20"/>
      <c r="W846" s="19"/>
      <c r="X846" s="19"/>
      <c r="Y846" s="19"/>
      <c r="Z846" s="23"/>
    </row>
    <row r="847" spans="1:26" ht="15.75" customHeight="1" x14ac:dyDescent="0.2">
      <c r="A847" s="34"/>
      <c r="B847" s="34"/>
      <c r="C847" s="34"/>
      <c r="D847" s="34"/>
      <c r="E847" s="19"/>
      <c r="F847" s="19"/>
      <c r="G847" s="19"/>
      <c r="H847" s="19"/>
      <c r="I847" s="19"/>
      <c r="J847" s="19"/>
      <c r="K847" s="19"/>
      <c r="L847" s="19"/>
      <c r="M847" s="19"/>
      <c r="N847" s="19"/>
      <c r="O847" s="19"/>
      <c r="P847" s="20"/>
      <c r="Q847" s="20"/>
      <c r="R847" s="22"/>
      <c r="S847" s="22"/>
      <c r="T847" s="20"/>
      <c r="U847" s="20"/>
      <c r="V847" s="20"/>
      <c r="W847" s="19"/>
      <c r="X847" s="19"/>
      <c r="Y847" s="19"/>
      <c r="Z847" s="23"/>
    </row>
    <row r="848" spans="1:26" ht="15.75" customHeight="1" x14ac:dyDescent="0.2">
      <c r="A848" s="34"/>
      <c r="B848" s="34"/>
      <c r="C848" s="34"/>
      <c r="D848" s="34"/>
      <c r="E848" s="19"/>
      <c r="F848" s="19"/>
      <c r="G848" s="19"/>
      <c r="H848" s="19"/>
      <c r="I848" s="19"/>
      <c r="J848" s="19"/>
      <c r="K848" s="19"/>
      <c r="L848" s="19"/>
      <c r="M848" s="19"/>
      <c r="N848" s="19"/>
      <c r="O848" s="19"/>
      <c r="P848" s="20"/>
      <c r="Q848" s="20"/>
      <c r="R848" s="22"/>
      <c r="S848" s="22"/>
      <c r="T848" s="20"/>
      <c r="U848" s="20"/>
      <c r="V848" s="20"/>
      <c r="W848" s="19"/>
      <c r="X848" s="19"/>
      <c r="Y848" s="19"/>
      <c r="Z848" s="23"/>
    </row>
    <row r="849" spans="1:26" ht="15.75" customHeight="1" x14ac:dyDescent="0.2">
      <c r="A849" s="34"/>
      <c r="B849" s="34"/>
      <c r="C849" s="34"/>
      <c r="D849" s="34"/>
      <c r="E849" s="19"/>
      <c r="F849" s="19"/>
      <c r="G849" s="19"/>
      <c r="H849" s="19"/>
      <c r="I849" s="19"/>
      <c r="J849" s="19"/>
      <c r="K849" s="19"/>
      <c r="L849" s="19"/>
      <c r="M849" s="19"/>
      <c r="N849" s="19"/>
      <c r="O849" s="19"/>
      <c r="P849" s="20"/>
      <c r="Q849" s="20"/>
      <c r="R849" s="22"/>
      <c r="S849" s="22"/>
      <c r="T849" s="20"/>
      <c r="U849" s="20"/>
      <c r="V849" s="20"/>
      <c r="W849" s="19"/>
      <c r="X849" s="19"/>
      <c r="Y849" s="19"/>
      <c r="Z849" s="23"/>
    </row>
    <row r="850" spans="1:26" ht="15.75" customHeight="1" x14ac:dyDescent="0.2">
      <c r="A850" s="34"/>
      <c r="B850" s="34"/>
      <c r="C850" s="34"/>
      <c r="D850" s="34"/>
      <c r="E850" s="19"/>
      <c r="F850" s="19"/>
      <c r="G850" s="19"/>
      <c r="H850" s="19"/>
      <c r="I850" s="19"/>
      <c r="J850" s="19"/>
      <c r="K850" s="19"/>
      <c r="L850" s="19"/>
      <c r="M850" s="19"/>
      <c r="N850" s="19"/>
      <c r="O850" s="19"/>
      <c r="P850" s="20"/>
      <c r="Q850" s="20"/>
      <c r="R850" s="22"/>
      <c r="S850" s="22"/>
      <c r="T850" s="20"/>
      <c r="U850" s="20"/>
      <c r="V850" s="20"/>
      <c r="W850" s="19"/>
      <c r="X850" s="19"/>
      <c r="Y850" s="19"/>
      <c r="Z850" s="23"/>
    </row>
    <row r="851" spans="1:26" ht="15.75" customHeight="1" x14ac:dyDescent="0.2">
      <c r="A851" s="34"/>
      <c r="B851" s="34"/>
      <c r="C851" s="34"/>
      <c r="D851" s="34"/>
      <c r="E851" s="19"/>
      <c r="F851" s="19"/>
      <c r="G851" s="19"/>
      <c r="H851" s="19"/>
      <c r="I851" s="19"/>
      <c r="J851" s="19"/>
      <c r="K851" s="19"/>
      <c r="L851" s="19"/>
      <c r="M851" s="19"/>
      <c r="N851" s="19"/>
      <c r="O851" s="19"/>
      <c r="P851" s="20"/>
      <c r="Q851" s="20"/>
      <c r="R851" s="22"/>
      <c r="S851" s="22"/>
      <c r="T851" s="20"/>
      <c r="U851" s="20"/>
      <c r="V851" s="20"/>
      <c r="W851" s="19"/>
      <c r="X851" s="19"/>
      <c r="Y851" s="19"/>
      <c r="Z851" s="23"/>
    </row>
    <row r="852" spans="1:26" ht="15.75" customHeight="1" x14ac:dyDescent="0.2">
      <c r="A852" s="34"/>
      <c r="B852" s="34"/>
      <c r="C852" s="34"/>
      <c r="D852" s="34"/>
      <c r="E852" s="19"/>
      <c r="F852" s="19"/>
      <c r="G852" s="19"/>
      <c r="H852" s="19"/>
      <c r="I852" s="19"/>
      <c r="J852" s="19"/>
      <c r="K852" s="19"/>
      <c r="L852" s="19"/>
      <c r="M852" s="19"/>
      <c r="N852" s="19"/>
      <c r="O852" s="19"/>
      <c r="P852" s="20"/>
      <c r="Q852" s="20"/>
      <c r="R852" s="22"/>
      <c r="S852" s="22"/>
      <c r="T852" s="20"/>
      <c r="U852" s="20"/>
      <c r="V852" s="20"/>
      <c r="W852" s="19"/>
      <c r="X852" s="19"/>
      <c r="Y852" s="19"/>
      <c r="Z852" s="23"/>
    </row>
    <row r="853" spans="1:26" ht="15.75" customHeight="1" x14ac:dyDescent="0.2">
      <c r="A853" s="34"/>
      <c r="B853" s="34"/>
      <c r="C853" s="34"/>
      <c r="D853" s="34"/>
      <c r="E853" s="19"/>
      <c r="F853" s="19"/>
      <c r="G853" s="19"/>
      <c r="H853" s="19"/>
      <c r="I853" s="19"/>
      <c r="J853" s="19"/>
      <c r="K853" s="19"/>
      <c r="L853" s="19"/>
      <c r="M853" s="19"/>
      <c r="N853" s="19"/>
      <c r="O853" s="19"/>
      <c r="P853" s="20"/>
      <c r="Q853" s="20"/>
      <c r="R853" s="22"/>
      <c r="S853" s="22"/>
      <c r="T853" s="20"/>
      <c r="U853" s="20"/>
      <c r="V853" s="20"/>
      <c r="W853" s="19"/>
      <c r="X853" s="19"/>
      <c r="Y853" s="19"/>
      <c r="Z853" s="23"/>
    </row>
    <row r="854" spans="1:26" ht="15.75" customHeight="1" x14ac:dyDescent="0.2">
      <c r="A854" s="34"/>
      <c r="B854" s="34"/>
      <c r="C854" s="34"/>
      <c r="D854" s="34"/>
      <c r="E854" s="19"/>
      <c r="F854" s="19"/>
      <c r="G854" s="19"/>
      <c r="H854" s="19"/>
      <c r="I854" s="19"/>
      <c r="J854" s="19"/>
      <c r="K854" s="19"/>
      <c r="L854" s="19"/>
      <c r="M854" s="19"/>
      <c r="N854" s="19"/>
      <c r="O854" s="19"/>
      <c r="P854" s="20"/>
      <c r="Q854" s="20"/>
      <c r="R854" s="22"/>
      <c r="S854" s="22"/>
      <c r="T854" s="20"/>
      <c r="U854" s="20"/>
      <c r="V854" s="20"/>
      <c r="W854" s="19"/>
      <c r="X854" s="19"/>
      <c r="Y854" s="19"/>
      <c r="Z854" s="23"/>
    </row>
    <row r="855" spans="1:26" ht="15.75" customHeight="1" x14ac:dyDescent="0.2">
      <c r="A855" s="34"/>
      <c r="B855" s="34"/>
      <c r="C855" s="34"/>
      <c r="D855" s="34"/>
      <c r="E855" s="19"/>
      <c r="F855" s="19"/>
      <c r="G855" s="19"/>
      <c r="H855" s="19"/>
      <c r="I855" s="19"/>
      <c r="J855" s="19"/>
      <c r="K855" s="19"/>
      <c r="L855" s="19"/>
      <c r="M855" s="19"/>
      <c r="N855" s="19"/>
      <c r="O855" s="19"/>
      <c r="P855" s="20"/>
      <c r="Q855" s="20"/>
      <c r="R855" s="22"/>
      <c r="S855" s="22"/>
      <c r="T855" s="20"/>
      <c r="U855" s="20"/>
      <c r="V855" s="20"/>
      <c r="W855" s="19"/>
      <c r="X855" s="19"/>
      <c r="Y855" s="19"/>
      <c r="Z855" s="23"/>
    </row>
    <row r="856" spans="1:26" ht="15.75" customHeight="1" x14ac:dyDescent="0.2">
      <c r="A856" s="34"/>
      <c r="B856" s="34"/>
      <c r="C856" s="34"/>
      <c r="D856" s="34"/>
      <c r="E856" s="19"/>
      <c r="F856" s="19"/>
      <c r="G856" s="19"/>
      <c r="H856" s="19"/>
      <c r="I856" s="19"/>
      <c r="J856" s="19"/>
      <c r="K856" s="19"/>
      <c r="L856" s="19"/>
      <c r="M856" s="19"/>
      <c r="N856" s="19"/>
      <c r="O856" s="19"/>
      <c r="P856" s="20"/>
      <c r="Q856" s="20"/>
      <c r="R856" s="22"/>
      <c r="S856" s="22"/>
      <c r="T856" s="20"/>
      <c r="U856" s="20"/>
      <c r="V856" s="20"/>
      <c r="W856" s="19"/>
      <c r="X856" s="19"/>
      <c r="Y856" s="19"/>
      <c r="Z856" s="23"/>
    </row>
    <row r="857" spans="1:26" ht="15.75" customHeight="1" x14ac:dyDescent="0.2">
      <c r="A857" s="34"/>
      <c r="B857" s="34"/>
      <c r="C857" s="34"/>
      <c r="D857" s="34"/>
      <c r="E857" s="19"/>
      <c r="F857" s="19"/>
      <c r="G857" s="19"/>
      <c r="H857" s="19"/>
      <c r="I857" s="19"/>
      <c r="J857" s="19"/>
      <c r="K857" s="19"/>
      <c r="L857" s="19"/>
      <c r="M857" s="19"/>
      <c r="N857" s="19"/>
      <c r="O857" s="19"/>
      <c r="P857" s="20"/>
      <c r="Q857" s="20"/>
      <c r="R857" s="22"/>
      <c r="S857" s="22"/>
      <c r="T857" s="20"/>
      <c r="U857" s="20"/>
      <c r="V857" s="20"/>
      <c r="W857" s="19"/>
      <c r="X857" s="19"/>
      <c r="Y857" s="19"/>
      <c r="Z857" s="23"/>
    </row>
    <row r="858" spans="1:26" ht="15.75" customHeight="1" x14ac:dyDescent="0.2">
      <c r="A858" s="34"/>
      <c r="B858" s="34"/>
      <c r="C858" s="34"/>
      <c r="D858" s="34"/>
      <c r="E858" s="19"/>
      <c r="F858" s="19"/>
      <c r="G858" s="19"/>
      <c r="H858" s="19"/>
      <c r="I858" s="19"/>
      <c r="J858" s="19"/>
      <c r="K858" s="19"/>
      <c r="L858" s="19"/>
      <c r="M858" s="19"/>
      <c r="N858" s="19"/>
      <c r="O858" s="19"/>
      <c r="P858" s="20"/>
      <c r="Q858" s="20"/>
      <c r="R858" s="22"/>
      <c r="S858" s="22"/>
      <c r="T858" s="20"/>
      <c r="U858" s="20"/>
      <c r="V858" s="20"/>
      <c r="W858" s="19"/>
      <c r="X858" s="19"/>
      <c r="Y858" s="19"/>
      <c r="Z858" s="23"/>
    </row>
    <row r="859" spans="1:26" ht="15.75" customHeight="1" x14ac:dyDescent="0.2">
      <c r="A859" s="34"/>
      <c r="B859" s="34"/>
      <c r="C859" s="34"/>
      <c r="D859" s="34"/>
      <c r="E859" s="19"/>
      <c r="F859" s="19"/>
      <c r="G859" s="19"/>
      <c r="H859" s="19"/>
      <c r="I859" s="19"/>
      <c r="J859" s="19"/>
      <c r="K859" s="19"/>
      <c r="L859" s="19"/>
      <c r="M859" s="19"/>
      <c r="N859" s="19"/>
      <c r="O859" s="19"/>
      <c r="P859" s="20"/>
      <c r="Q859" s="20"/>
      <c r="R859" s="22"/>
      <c r="S859" s="22"/>
      <c r="T859" s="20"/>
      <c r="U859" s="20"/>
      <c r="V859" s="20"/>
      <c r="W859" s="19"/>
      <c r="X859" s="19"/>
      <c r="Y859" s="19"/>
      <c r="Z859" s="23"/>
    </row>
    <row r="860" spans="1:26" ht="15.75" customHeight="1" x14ac:dyDescent="0.2">
      <c r="A860" s="34"/>
      <c r="B860" s="34"/>
      <c r="C860" s="34"/>
      <c r="D860" s="34"/>
      <c r="E860" s="19"/>
      <c r="F860" s="19"/>
      <c r="G860" s="19"/>
      <c r="H860" s="19"/>
      <c r="I860" s="19"/>
      <c r="J860" s="19"/>
      <c r="K860" s="19"/>
      <c r="L860" s="19"/>
      <c r="M860" s="19"/>
      <c r="N860" s="19"/>
      <c r="O860" s="19"/>
      <c r="P860" s="20"/>
      <c r="Q860" s="20"/>
      <c r="R860" s="22"/>
      <c r="S860" s="22"/>
      <c r="T860" s="20"/>
      <c r="U860" s="20"/>
      <c r="V860" s="20"/>
      <c r="W860" s="19"/>
      <c r="X860" s="19"/>
      <c r="Y860" s="19"/>
      <c r="Z860" s="23"/>
    </row>
    <row r="861" spans="1:26" ht="15.75" customHeight="1" x14ac:dyDescent="0.2">
      <c r="A861" s="34"/>
      <c r="B861" s="34"/>
      <c r="C861" s="34"/>
      <c r="D861" s="34"/>
      <c r="E861" s="19"/>
      <c r="F861" s="19"/>
      <c r="G861" s="19"/>
      <c r="H861" s="19"/>
      <c r="I861" s="19"/>
      <c r="J861" s="19"/>
      <c r="K861" s="19"/>
      <c r="L861" s="19"/>
      <c r="M861" s="19"/>
      <c r="N861" s="19"/>
      <c r="O861" s="19"/>
      <c r="P861" s="20"/>
      <c r="Q861" s="20"/>
      <c r="R861" s="22"/>
      <c r="S861" s="22"/>
      <c r="T861" s="20"/>
      <c r="U861" s="20"/>
      <c r="V861" s="20"/>
      <c r="W861" s="19"/>
      <c r="X861" s="19"/>
      <c r="Y861" s="19"/>
      <c r="Z861" s="23"/>
    </row>
    <row r="862" spans="1:26" ht="15.75" customHeight="1" x14ac:dyDescent="0.2">
      <c r="A862" s="34"/>
      <c r="B862" s="34"/>
      <c r="C862" s="34"/>
      <c r="D862" s="34"/>
      <c r="E862" s="19"/>
      <c r="F862" s="19"/>
      <c r="G862" s="19"/>
      <c r="H862" s="19"/>
      <c r="I862" s="19"/>
      <c r="J862" s="19"/>
      <c r="K862" s="19"/>
      <c r="L862" s="19"/>
      <c r="M862" s="19"/>
      <c r="N862" s="19"/>
      <c r="O862" s="19"/>
      <c r="P862" s="20"/>
      <c r="Q862" s="20"/>
      <c r="R862" s="22"/>
      <c r="S862" s="22"/>
      <c r="T862" s="20"/>
      <c r="U862" s="20"/>
      <c r="V862" s="20"/>
      <c r="W862" s="19"/>
      <c r="X862" s="19"/>
      <c r="Y862" s="19"/>
      <c r="Z862" s="23"/>
    </row>
    <row r="863" spans="1:26" ht="15.75" customHeight="1" x14ac:dyDescent="0.2">
      <c r="A863" s="34"/>
      <c r="B863" s="34"/>
      <c r="C863" s="34"/>
      <c r="D863" s="34"/>
      <c r="E863" s="19"/>
      <c r="F863" s="19"/>
      <c r="G863" s="19"/>
      <c r="H863" s="19"/>
      <c r="I863" s="19"/>
      <c r="J863" s="19"/>
      <c r="K863" s="19"/>
      <c r="L863" s="19"/>
      <c r="M863" s="19"/>
      <c r="N863" s="19"/>
      <c r="O863" s="19"/>
      <c r="P863" s="20"/>
      <c r="Q863" s="20"/>
      <c r="R863" s="22"/>
      <c r="S863" s="22"/>
      <c r="T863" s="20"/>
      <c r="U863" s="20"/>
      <c r="V863" s="20"/>
      <c r="W863" s="19"/>
      <c r="X863" s="19"/>
      <c r="Y863" s="19"/>
      <c r="Z863" s="23"/>
    </row>
    <row r="864" spans="1:26" ht="15.75" customHeight="1" x14ac:dyDescent="0.2">
      <c r="A864" s="34"/>
      <c r="B864" s="34"/>
      <c r="C864" s="34"/>
      <c r="D864" s="34"/>
      <c r="E864" s="19"/>
      <c r="F864" s="19"/>
      <c r="G864" s="19"/>
      <c r="H864" s="19"/>
      <c r="I864" s="19"/>
      <c r="J864" s="19"/>
      <c r="K864" s="19"/>
      <c r="L864" s="19"/>
      <c r="M864" s="19"/>
      <c r="N864" s="19"/>
      <c r="O864" s="19"/>
      <c r="P864" s="20"/>
      <c r="Q864" s="20"/>
      <c r="R864" s="22"/>
      <c r="S864" s="22"/>
      <c r="T864" s="20"/>
      <c r="U864" s="20"/>
      <c r="V864" s="20"/>
      <c r="W864" s="19"/>
      <c r="X864" s="19"/>
      <c r="Y864" s="19"/>
      <c r="Z864" s="23"/>
    </row>
    <row r="865" spans="1:26" ht="15.75" customHeight="1" x14ac:dyDescent="0.2">
      <c r="A865" s="34"/>
      <c r="B865" s="34"/>
      <c r="C865" s="34"/>
      <c r="D865" s="34"/>
      <c r="E865" s="19"/>
      <c r="F865" s="19"/>
      <c r="G865" s="19"/>
      <c r="H865" s="19"/>
      <c r="I865" s="19"/>
      <c r="J865" s="19"/>
      <c r="K865" s="19"/>
      <c r="L865" s="19"/>
      <c r="M865" s="19"/>
      <c r="N865" s="19"/>
      <c r="O865" s="19"/>
      <c r="P865" s="20"/>
      <c r="Q865" s="20"/>
      <c r="R865" s="22"/>
      <c r="S865" s="22"/>
      <c r="T865" s="20"/>
      <c r="U865" s="20"/>
      <c r="V865" s="20"/>
      <c r="W865" s="19"/>
      <c r="X865" s="19"/>
      <c r="Y865" s="19"/>
      <c r="Z865" s="23"/>
    </row>
    <row r="866" spans="1:26" ht="15.75" customHeight="1" x14ac:dyDescent="0.2">
      <c r="A866" s="34"/>
      <c r="B866" s="34"/>
      <c r="C866" s="34"/>
      <c r="D866" s="34"/>
      <c r="E866" s="19"/>
      <c r="F866" s="19"/>
      <c r="G866" s="19"/>
      <c r="H866" s="19"/>
      <c r="I866" s="19"/>
      <c r="J866" s="19"/>
      <c r="K866" s="19"/>
      <c r="L866" s="19"/>
      <c r="M866" s="19"/>
      <c r="N866" s="19"/>
      <c r="O866" s="19"/>
      <c r="P866" s="20"/>
      <c r="Q866" s="20"/>
      <c r="R866" s="22"/>
      <c r="S866" s="22"/>
      <c r="T866" s="20"/>
      <c r="U866" s="20"/>
      <c r="V866" s="20"/>
      <c r="W866" s="19"/>
      <c r="X866" s="19"/>
      <c r="Y866" s="19"/>
      <c r="Z866" s="23"/>
    </row>
    <row r="867" spans="1:26" ht="15.75" customHeight="1" x14ac:dyDescent="0.2">
      <c r="A867" s="34"/>
      <c r="B867" s="34"/>
      <c r="C867" s="34"/>
      <c r="D867" s="34"/>
      <c r="E867" s="19"/>
      <c r="F867" s="19"/>
      <c r="G867" s="19"/>
      <c r="H867" s="19"/>
      <c r="I867" s="19"/>
      <c r="J867" s="19"/>
      <c r="K867" s="19"/>
      <c r="L867" s="19"/>
      <c r="M867" s="19"/>
      <c r="N867" s="19"/>
      <c r="O867" s="19"/>
      <c r="P867" s="20"/>
      <c r="Q867" s="20"/>
      <c r="R867" s="22"/>
      <c r="S867" s="22"/>
      <c r="T867" s="20"/>
      <c r="U867" s="20"/>
      <c r="V867" s="20"/>
      <c r="W867" s="19"/>
      <c r="X867" s="19"/>
      <c r="Y867" s="19"/>
      <c r="Z867" s="23"/>
    </row>
    <row r="868" spans="1:26" ht="15.75" customHeight="1" x14ac:dyDescent="0.2">
      <c r="A868" s="34"/>
      <c r="B868" s="34"/>
      <c r="C868" s="34"/>
      <c r="D868" s="34"/>
      <c r="E868" s="19"/>
      <c r="F868" s="19"/>
      <c r="G868" s="19"/>
      <c r="H868" s="19"/>
      <c r="I868" s="19"/>
      <c r="J868" s="19"/>
      <c r="K868" s="19"/>
      <c r="L868" s="19"/>
      <c r="M868" s="19"/>
      <c r="N868" s="19"/>
      <c r="O868" s="19"/>
      <c r="P868" s="20"/>
      <c r="Q868" s="20"/>
      <c r="R868" s="22"/>
      <c r="S868" s="22"/>
      <c r="T868" s="20"/>
      <c r="U868" s="20"/>
      <c r="V868" s="20"/>
      <c r="W868" s="19"/>
      <c r="X868" s="19"/>
      <c r="Y868" s="19"/>
      <c r="Z868" s="23"/>
    </row>
    <row r="869" spans="1:26" ht="15.75" customHeight="1" x14ac:dyDescent="0.2">
      <c r="A869" s="34"/>
      <c r="B869" s="34"/>
      <c r="C869" s="34"/>
      <c r="D869" s="34"/>
      <c r="E869" s="19"/>
      <c r="F869" s="19"/>
      <c r="G869" s="19"/>
      <c r="H869" s="19"/>
      <c r="I869" s="19"/>
      <c r="J869" s="19"/>
      <c r="K869" s="19"/>
      <c r="L869" s="19"/>
      <c r="M869" s="19"/>
      <c r="N869" s="19"/>
      <c r="O869" s="19"/>
      <c r="P869" s="20"/>
      <c r="Q869" s="20"/>
      <c r="R869" s="22"/>
      <c r="S869" s="22"/>
      <c r="T869" s="20"/>
      <c r="U869" s="20"/>
      <c r="V869" s="20"/>
      <c r="W869" s="19"/>
      <c r="X869" s="19"/>
      <c r="Y869" s="19"/>
      <c r="Z869" s="23"/>
    </row>
    <row r="870" spans="1:26" ht="15.75" customHeight="1" x14ac:dyDescent="0.2">
      <c r="A870" s="34"/>
      <c r="B870" s="34"/>
      <c r="C870" s="34"/>
      <c r="D870" s="34"/>
      <c r="E870" s="19"/>
      <c r="F870" s="19"/>
      <c r="G870" s="19"/>
      <c r="H870" s="19"/>
      <c r="I870" s="19"/>
      <c r="J870" s="19"/>
      <c r="K870" s="19"/>
      <c r="L870" s="19"/>
      <c r="M870" s="19"/>
      <c r="N870" s="19"/>
      <c r="O870" s="19"/>
      <c r="P870" s="20"/>
      <c r="Q870" s="20"/>
      <c r="R870" s="22"/>
      <c r="S870" s="22"/>
      <c r="T870" s="20"/>
      <c r="U870" s="20"/>
      <c r="V870" s="20"/>
      <c r="W870" s="19"/>
      <c r="X870" s="19"/>
      <c r="Y870" s="19"/>
      <c r="Z870" s="23"/>
    </row>
    <row r="871" spans="1:26" ht="15.75" customHeight="1" x14ac:dyDescent="0.2">
      <c r="A871" s="34"/>
      <c r="B871" s="34"/>
      <c r="C871" s="34"/>
      <c r="D871" s="34"/>
      <c r="E871" s="19"/>
      <c r="F871" s="19"/>
      <c r="G871" s="19"/>
      <c r="H871" s="19"/>
      <c r="I871" s="19"/>
      <c r="J871" s="19"/>
      <c r="K871" s="19"/>
      <c r="L871" s="19"/>
      <c r="M871" s="19"/>
      <c r="N871" s="19"/>
      <c r="O871" s="19"/>
      <c r="P871" s="20"/>
      <c r="Q871" s="20"/>
      <c r="R871" s="22"/>
      <c r="S871" s="22"/>
      <c r="T871" s="20"/>
      <c r="U871" s="20"/>
      <c r="V871" s="20"/>
      <c r="W871" s="19"/>
      <c r="X871" s="19"/>
      <c r="Y871" s="19"/>
      <c r="Z871" s="23"/>
    </row>
    <row r="872" spans="1:26" ht="15.75" customHeight="1" x14ac:dyDescent="0.2">
      <c r="A872" s="34"/>
      <c r="B872" s="34"/>
      <c r="C872" s="34"/>
      <c r="D872" s="34"/>
      <c r="E872" s="19"/>
      <c r="F872" s="19"/>
      <c r="G872" s="19"/>
      <c r="H872" s="19"/>
      <c r="I872" s="19"/>
      <c r="J872" s="19"/>
      <c r="K872" s="19"/>
      <c r="L872" s="19"/>
      <c r="M872" s="19"/>
      <c r="N872" s="19"/>
      <c r="O872" s="19"/>
      <c r="P872" s="20"/>
      <c r="Q872" s="20"/>
      <c r="R872" s="22"/>
      <c r="S872" s="22"/>
      <c r="T872" s="20"/>
      <c r="U872" s="20"/>
      <c r="V872" s="20"/>
      <c r="W872" s="19"/>
      <c r="X872" s="19"/>
      <c r="Y872" s="19"/>
      <c r="Z872" s="23"/>
    </row>
    <row r="873" spans="1:26" ht="15.75" customHeight="1" x14ac:dyDescent="0.2">
      <c r="A873" s="34"/>
      <c r="B873" s="34"/>
      <c r="C873" s="34"/>
      <c r="D873" s="34"/>
      <c r="E873" s="19"/>
      <c r="F873" s="19"/>
      <c r="G873" s="19"/>
      <c r="H873" s="19"/>
      <c r="I873" s="19"/>
      <c r="J873" s="19"/>
      <c r="K873" s="19"/>
      <c r="L873" s="19"/>
      <c r="M873" s="19"/>
      <c r="N873" s="19"/>
      <c r="O873" s="19"/>
      <c r="P873" s="20"/>
      <c r="Q873" s="20"/>
      <c r="R873" s="22"/>
      <c r="S873" s="22"/>
      <c r="T873" s="20"/>
      <c r="U873" s="20"/>
      <c r="V873" s="20"/>
      <c r="W873" s="19"/>
      <c r="X873" s="19"/>
      <c r="Y873" s="19"/>
      <c r="Z873" s="23"/>
    </row>
    <row r="874" spans="1:26" ht="15.75" customHeight="1" x14ac:dyDescent="0.2">
      <c r="A874" s="34"/>
      <c r="B874" s="34"/>
      <c r="C874" s="34"/>
      <c r="D874" s="34"/>
      <c r="E874" s="19"/>
      <c r="F874" s="19"/>
      <c r="G874" s="19"/>
      <c r="H874" s="19"/>
      <c r="I874" s="19"/>
      <c r="J874" s="19"/>
      <c r="K874" s="19"/>
      <c r="L874" s="19"/>
      <c r="M874" s="19"/>
      <c r="N874" s="19"/>
      <c r="O874" s="19"/>
      <c r="P874" s="20"/>
      <c r="Q874" s="20"/>
      <c r="R874" s="22"/>
      <c r="S874" s="22"/>
      <c r="T874" s="20"/>
      <c r="U874" s="20"/>
      <c r="V874" s="20"/>
      <c r="W874" s="19"/>
      <c r="X874" s="19"/>
      <c r="Y874" s="19"/>
      <c r="Z874" s="23"/>
    </row>
    <row r="875" spans="1:26" ht="15.75" customHeight="1" x14ac:dyDescent="0.2">
      <c r="A875" s="34"/>
      <c r="B875" s="34"/>
      <c r="C875" s="34"/>
      <c r="D875" s="34"/>
      <c r="E875" s="19"/>
      <c r="F875" s="19"/>
      <c r="G875" s="19"/>
      <c r="H875" s="19"/>
      <c r="I875" s="19"/>
      <c r="J875" s="19"/>
      <c r="K875" s="19"/>
      <c r="L875" s="19"/>
      <c r="M875" s="19"/>
      <c r="N875" s="19"/>
      <c r="O875" s="19"/>
      <c r="P875" s="20"/>
      <c r="Q875" s="20"/>
      <c r="R875" s="22"/>
      <c r="S875" s="22"/>
      <c r="T875" s="20"/>
      <c r="U875" s="20"/>
      <c r="V875" s="20"/>
      <c r="W875" s="19"/>
      <c r="X875" s="19"/>
      <c r="Y875" s="19"/>
      <c r="Z875" s="23"/>
    </row>
    <row r="876" spans="1:26" ht="15.75" customHeight="1" x14ac:dyDescent="0.2">
      <c r="A876" s="34"/>
      <c r="B876" s="34"/>
      <c r="C876" s="34"/>
      <c r="D876" s="34"/>
      <c r="E876" s="19"/>
      <c r="F876" s="19"/>
      <c r="G876" s="19"/>
      <c r="H876" s="19"/>
      <c r="I876" s="19"/>
      <c r="J876" s="19"/>
      <c r="K876" s="19"/>
      <c r="L876" s="19"/>
      <c r="M876" s="19"/>
      <c r="N876" s="19"/>
      <c r="O876" s="19"/>
      <c r="P876" s="20"/>
      <c r="Q876" s="20"/>
      <c r="R876" s="22"/>
      <c r="S876" s="22"/>
      <c r="T876" s="20"/>
      <c r="U876" s="20"/>
      <c r="V876" s="20"/>
      <c r="W876" s="19"/>
      <c r="X876" s="19"/>
      <c r="Y876" s="19"/>
      <c r="Z876" s="23"/>
    </row>
    <row r="877" spans="1:26" ht="15.75" customHeight="1" x14ac:dyDescent="0.2">
      <c r="A877" s="34"/>
      <c r="B877" s="34"/>
      <c r="C877" s="34"/>
      <c r="D877" s="34"/>
      <c r="E877" s="19"/>
      <c r="F877" s="19"/>
      <c r="G877" s="19"/>
      <c r="H877" s="19"/>
      <c r="I877" s="19"/>
      <c r="J877" s="19"/>
      <c r="K877" s="19"/>
      <c r="L877" s="19"/>
      <c r="M877" s="19"/>
      <c r="N877" s="19"/>
      <c r="O877" s="19"/>
      <c r="P877" s="20"/>
      <c r="Q877" s="20"/>
      <c r="R877" s="22"/>
      <c r="S877" s="22"/>
      <c r="T877" s="20"/>
      <c r="U877" s="20"/>
      <c r="V877" s="20"/>
      <c r="W877" s="19"/>
      <c r="X877" s="19"/>
      <c r="Y877" s="19"/>
      <c r="Z877" s="23"/>
    </row>
    <row r="878" spans="1:26" ht="15.75" customHeight="1" x14ac:dyDescent="0.2">
      <c r="A878" s="34"/>
      <c r="B878" s="34"/>
      <c r="C878" s="34"/>
      <c r="D878" s="34"/>
      <c r="E878" s="19"/>
      <c r="F878" s="19"/>
      <c r="G878" s="19"/>
      <c r="H878" s="19"/>
      <c r="I878" s="19"/>
      <c r="J878" s="19"/>
      <c r="K878" s="19"/>
      <c r="L878" s="19"/>
      <c r="M878" s="19"/>
      <c r="N878" s="19"/>
      <c r="O878" s="19"/>
      <c r="P878" s="20"/>
      <c r="Q878" s="20"/>
      <c r="R878" s="22"/>
      <c r="S878" s="22"/>
      <c r="T878" s="20"/>
      <c r="U878" s="20"/>
      <c r="V878" s="20"/>
      <c r="W878" s="19"/>
      <c r="X878" s="19"/>
      <c r="Y878" s="19"/>
      <c r="Z878" s="23"/>
    </row>
    <row r="879" spans="1:26" ht="15.75" customHeight="1" x14ac:dyDescent="0.2">
      <c r="A879" s="34"/>
      <c r="B879" s="34"/>
      <c r="C879" s="34"/>
      <c r="D879" s="34"/>
      <c r="E879" s="19"/>
      <c r="F879" s="19"/>
      <c r="G879" s="19"/>
      <c r="H879" s="19"/>
      <c r="I879" s="19"/>
      <c r="J879" s="19"/>
      <c r="K879" s="19"/>
      <c r="L879" s="19"/>
      <c r="M879" s="19"/>
      <c r="N879" s="19"/>
      <c r="O879" s="19"/>
      <c r="P879" s="20"/>
      <c r="Q879" s="20"/>
      <c r="R879" s="22"/>
      <c r="S879" s="22"/>
      <c r="T879" s="20"/>
      <c r="U879" s="20"/>
      <c r="V879" s="20"/>
      <c r="W879" s="19"/>
      <c r="X879" s="19"/>
      <c r="Y879" s="19"/>
      <c r="Z879" s="23"/>
    </row>
    <row r="880" spans="1:26" ht="15.75" customHeight="1" x14ac:dyDescent="0.2">
      <c r="A880" s="34"/>
      <c r="B880" s="34"/>
      <c r="C880" s="34"/>
      <c r="D880" s="34"/>
      <c r="E880" s="19"/>
      <c r="F880" s="19"/>
      <c r="G880" s="19"/>
      <c r="H880" s="19"/>
      <c r="I880" s="19"/>
      <c r="J880" s="19"/>
      <c r="K880" s="19"/>
      <c r="L880" s="19"/>
      <c r="M880" s="19"/>
      <c r="N880" s="19"/>
      <c r="O880" s="19"/>
      <c r="P880" s="20"/>
      <c r="Q880" s="20"/>
      <c r="R880" s="22"/>
      <c r="S880" s="22"/>
      <c r="T880" s="20"/>
      <c r="U880" s="20"/>
      <c r="V880" s="20"/>
      <c r="W880" s="19"/>
      <c r="X880" s="19"/>
      <c r="Y880" s="19"/>
      <c r="Z880" s="23"/>
    </row>
    <row r="881" spans="1:26" ht="15.75" customHeight="1" x14ac:dyDescent="0.2">
      <c r="A881" s="34"/>
      <c r="B881" s="34"/>
      <c r="C881" s="34"/>
      <c r="D881" s="34"/>
      <c r="E881" s="19"/>
      <c r="F881" s="19"/>
      <c r="G881" s="19"/>
      <c r="H881" s="19"/>
      <c r="I881" s="19"/>
      <c r="J881" s="19"/>
      <c r="K881" s="19"/>
      <c r="L881" s="19"/>
      <c r="M881" s="19"/>
      <c r="N881" s="19"/>
      <c r="O881" s="19"/>
      <c r="P881" s="20"/>
      <c r="Q881" s="20"/>
      <c r="R881" s="22"/>
      <c r="S881" s="22"/>
      <c r="T881" s="20"/>
      <c r="U881" s="20"/>
      <c r="V881" s="20"/>
      <c r="W881" s="19"/>
      <c r="X881" s="19"/>
      <c r="Y881" s="19"/>
      <c r="Z881" s="23"/>
    </row>
    <row r="882" spans="1:26" ht="15.75" customHeight="1" x14ac:dyDescent="0.2">
      <c r="A882" s="34"/>
      <c r="B882" s="34"/>
      <c r="C882" s="34"/>
      <c r="D882" s="34"/>
      <c r="E882" s="19"/>
      <c r="F882" s="19"/>
      <c r="G882" s="19"/>
      <c r="H882" s="19"/>
      <c r="I882" s="19"/>
      <c r="J882" s="19"/>
      <c r="K882" s="19"/>
      <c r="L882" s="19"/>
      <c r="M882" s="19"/>
      <c r="N882" s="19"/>
      <c r="O882" s="19"/>
      <c r="P882" s="20"/>
      <c r="Q882" s="20"/>
      <c r="R882" s="22"/>
      <c r="S882" s="22"/>
      <c r="T882" s="20"/>
      <c r="U882" s="20"/>
      <c r="V882" s="20"/>
      <c r="W882" s="19"/>
      <c r="X882" s="19"/>
      <c r="Y882" s="19"/>
      <c r="Z882" s="23"/>
    </row>
    <row r="883" spans="1:26" ht="15.75" customHeight="1" x14ac:dyDescent="0.2">
      <c r="A883" s="34"/>
      <c r="B883" s="34"/>
      <c r="C883" s="34"/>
      <c r="D883" s="34"/>
      <c r="E883" s="19"/>
      <c r="F883" s="19"/>
      <c r="G883" s="19"/>
      <c r="H883" s="19"/>
      <c r="I883" s="19"/>
      <c r="J883" s="19"/>
      <c r="K883" s="19"/>
      <c r="L883" s="19"/>
      <c r="M883" s="19"/>
      <c r="N883" s="19"/>
      <c r="O883" s="19"/>
      <c r="P883" s="20"/>
      <c r="Q883" s="20"/>
      <c r="R883" s="22"/>
      <c r="S883" s="22"/>
      <c r="T883" s="20"/>
      <c r="U883" s="20"/>
      <c r="V883" s="20"/>
      <c r="W883" s="19"/>
      <c r="X883" s="19"/>
      <c r="Y883" s="19"/>
      <c r="Z883" s="23"/>
    </row>
    <row r="884" spans="1:26" ht="15.75" customHeight="1" x14ac:dyDescent="0.2">
      <c r="A884" s="34"/>
      <c r="B884" s="34"/>
      <c r="C884" s="34"/>
      <c r="D884" s="34"/>
      <c r="E884" s="19"/>
      <c r="F884" s="19"/>
      <c r="G884" s="19"/>
      <c r="H884" s="19"/>
      <c r="I884" s="19"/>
      <c r="J884" s="19"/>
      <c r="K884" s="19"/>
      <c r="L884" s="19"/>
      <c r="M884" s="19"/>
      <c r="N884" s="19"/>
      <c r="O884" s="19"/>
      <c r="P884" s="20"/>
      <c r="Q884" s="20"/>
      <c r="R884" s="22"/>
      <c r="S884" s="22"/>
      <c r="T884" s="20"/>
      <c r="U884" s="20"/>
      <c r="V884" s="20"/>
      <c r="W884" s="19"/>
      <c r="X884" s="19"/>
      <c r="Y884" s="19"/>
      <c r="Z884" s="23"/>
    </row>
    <row r="885" spans="1:26" ht="15.75" customHeight="1" x14ac:dyDescent="0.2">
      <c r="A885" s="34"/>
      <c r="B885" s="34"/>
      <c r="C885" s="34"/>
      <c r="D885" s="34"/>
      <c r="E885" s="19"/>
      <c r="F885" s="19"/>
      <c r="G885" s="19"/>
      <c r="H885" s="19"/>
      <c r="I885" s="19"/>
      <c r="J885" s="19"/>
      <c r="K885" s="19"/>
      <c r="L885" s="19"/>
      <c r="M885" s="19"/>
      <c r="N885" s="19"/>
      <c r="O885" s="19"/>
      <c r="P885" s="20"/>
      <c r="Q885" s="20"/>
      <c r="R885" s="22"/>
      <c r="S885" s="22"/>
      <c r="T885" s="20"/>
      <c r="U885" s="20"/>
      <c r="V885" s="20"/>
      <c r="W885" s="19"/>
      <c r="X885" s="19"/>
      <c r="Y885" s="19"/>
      <c r="Z885" s="23"/>
    </row>
    <row r="886" spans="1:26" ht="15.75" customHeight="1" x14ac:dyDescent="0.2">
      <c r="A886" s="34"/>
      <c r="B886" s="34"/>
      <c r="C886" s="34"/>
      <c r="D886" s="34"/>
      <c r="E886" s="19"/>
      <c r="F886" s="19"/>
      <c r="G886" s="19"/>
      <c r="H886" s="19"/>
      <c r="I886" s="19"/>
      <c r="J886" s="19"/>
      <c r="K886" s="19"/>
      <c r="L886" s="19"/>
      <c r="M886" s="19"/>
      <c r="N886" s="19"/>
      <c r="O886" s="19"/>
      <c r="P886" s="20"/>
      <c r="Q886" s="20"/>
      <c r="R886" s="22"/>
      <c r="S886" s="22"/>
      <c r="T886" s="20"/>
      <c r="U886" s="20"/>
      <c r="V886" s="20"/>
      <c r="W886" s="19"/>
      <c r="X886" s="19"/>
      <c r="Y886" s="19"/>
      <c r="Z886" s="23"/>
    </row>
    <row r="887" spans="1:26" ht="15.75" customHeight="1" x14ac:dyDescent="0.2">
      <c r="A887" s="34"/>
      <c r="B887" s="34"/>
      <c r="C887" s="34"/>
      <c r="D887" s="34"/>
      <c r="E887" s="19"/>
      <c r="F887" s="19"/>
      <c r="G887" s="19"/>
      <c r="H887" s="19"/>
      <c r="I887" s="19"/>
      <c r="J887" s="19"/>
      <c r="K887" s="19"/>
      <c r="L887" s="19"/>
      <c r="M887" s="19"/>
      <c r="N887" s="19"/>
      <c r="O887" s="19"/>
      <c r="P887" s="20"/>
      <c r="Q887" s="20"/>
      <c r="R887" s="22"/>
      <c r="S887" s="22"/>
      <c r="T887" s="20"/>
      <c r="U887" s="20"/>
      <c r="V887" s="20"/>
      <c r="W887" s="19"/>
      <c r="X887" s="19"/>
      <c r="Y887" s="19"/>
      <c r="Z887" s="23"/>
    </row>
    <row r="888" spans="1:26" ht="15.75" customHeight="1" x14ac:dyDescent="0.2">
      <c r="A888" s="34"/>
      <c r="B888" s="34"/>
      <c r="C888" s="34"/>
      <c r="D888" s="34"/>
      <c r="E888" s="19"/>
      <c r="F888" s="19"/>
      <c r="G888" s="19"/>
      <c r="H888" s="19"/>
      <c r="I888" s="19"/>
      <c r="J888" s="19"/>
      <c r="K888" s="19"/>
      <c r="L888" s="19"/>
      <c r="M888" s="19"/>
      <c r="N888" s="19"/>
      <c r="O888" s="19"/>
      <c r="P888" s="20"/>
      <c r="Q888" s="20"/>
      <c r="R888" s="22"/>
      <c r="S888" s="22"/>
      <c r="T888" s="20"/>
      <c r="U888" s="20"/>
      <c r="V888" s="20"/>
      <c r="W888" s="19"/>
      <c r="X888" s="19"/>
      <c r="Y888" s="19"/>
      <c r="Z888" s="23"/>
    </row>
    <row r="889" spans="1:26" ht="15.75" customHeight="1" x14ac:dyDescent="0.2">
      <c r="A889" s="34"/>
      <c r="B889" s="34"/>
      <c r="C889" s="34"/>
      <c r="D889" s="34"/>
      <c r="E889" s="19"/>
      <c r="F889" s="19"/>
      <c r="G889" s="19"/>
      <c r="H889" s="19"/>
      <c r="I889" s="19"/>
      <c r="J889" s="19"/>
      <c r="K889" s="19"/>
      <c r="L889" s="19"/>
      <c r="M889" s="19"/>
      <c r="N889" s="19"/>
      <c r="O889" s="19"/>
      <c r="P889" s="20"/>
      <c r="Q889" s="20"/>
      <c r="R889" s="22"/>
      <c r="S889" s="22"/>
      <c r="T889" s="20"/>
      <c r="U889" s="20"/>
      <c r="V889" s="20"/>
      <c r="W889" s="19"/>
      <c r="X889" s="19"/>
      <c r="Y889" s="19"/>
      <c r="Z889" s="23"/>
    </row>
    <row r="890" spans="1:26" ht="15.75" customHeight="1" x14ac:dyDescent="0.2">
      <c r="A890" s="34"/>
      <c r="B890" s="34"/>
      <c r="C890" s="34"/>
      <c r="D890" s="34"/>
      <c r="E890" s="19"/>
      <c r="F890" s="19"/>
      <c r="G890" s="19"/>
      <c r="H890" s="19"/>
      <c r="I890" s="19"/>
      <c r="J890" s="19"/>
      <c r="K890" s="19"/>
      <c r="L890" s="19"/>
      <c r="M890" s="19"/>
      <c r="N890" s="19"/>
      <c r="O890" s="19"/>
      <c r="P890" s="20"/>
      <c r="Q890" s="20"/>
      <c r="R890" s="22"/>
      <c r="S890" s="22"/>
      <c r="T890" s="20"/>
      <c r="U890" s="20"/>
      <c r="V890" s="20"/>
      <c r="W890" s="19"/>
      <c r="X890" s="19"/>
      <c r="Y890" s="19"/>
      <c r="Z890" s="23"/>
    </row>
    <row r="891" spans="1:26" ht="15.75" customHeight="1" x14ac:dyDescent="0.2">
      <c r="A891" s="34"/>
      <c r="B891" s="34"/>
      <c r="C891" s="34"/>
      <c r="D891" s="34"/>
      <c r="E891" s="19"/>
      <c r="F891" s="19"/>
      <c r="G891" s="19"/>
      <c r="H891" s="19"/>
      <c r="I891" s="19"/>
      <c r="J891" s="19"/>
      <c r="K891" s="19"/>
      <c r="L891" s="19"/>
      <c r="M891" s="19"/>
      <c r="N891" s="19"/>
      <c r="O891" s="19"/>
      <c r="P891" s="20"/>
      <c r="Q891" s="20"/>
      <c r="R891" s="22"/>
      <c r="S891" s="22"/>
      <c r="T891" s="20"/>
      <c r="U891" s="20"/>
      <c r="V891" s="20"/>
      <c r="W891" s="19"/>
      <c r="X891" s="19"/>
      <c r="Y891" s="19"/>
      <c r="Z891" s="23"/>
    </row>
    <row r="892" spans="1:26" ht="15.75" customHeight="1" x14ac:dyDescent="0.2">
      <c r="A892" s="34"/>
      <c r="B892" s="34"/>
      <c r="C892" s="34"/>
      <c r="D892" s="34"/>
      <c r="E892" s="19"/>
      <c r="F892" s="19"/>
      <c r="G892" s="19"/>
      <c r="H892" s="19"/>
      <c r="I892" s="19"/>
      <c r="J892" s="19"/>
      <c r="K892" s="19"/>
      <c r="L892" s="19"/>
      <c r="M892" s="19"/>
      <c r="N892" s="19"/>
      <c r="O892" s="19"/>
      <c r="P892" s="20"/>
      <c r="Q892" s="20"/>
      <c r="R892" s="22"/>
      <c r="S892" s="22"/>
      <c r="T892" s="20"/>
      <c r="U892" s="20"/>
      <c r="V892" s="20"/>
      <c r="W892" s="19"/>
      <c r="X892" s="19"/>
      <c r="Y892" s="19"/>
      <c r="Z892" s="23"/>
    </row>
    <row r="893" spans="1:26" ht="15.75" customHeight="1" x14ac:dyDescent="0.2">
      <c r="A893" s="34"/>
      <c r="B893" s="34"/>
      <c r="C893" s="34"/>
      <c r="D893" s="34"/>
      <c r="E893" s="19"/>
      <c r="F893" s="19"/>
      <c r="G893" s="19"/>
      <c r="H893" s="19"/>
      <c r="I893" s="19"/>
      <c r="J893" s="19"/>
      <c r="K893" s="19"/>
      <c r="L893" s="19"/>
      <c r="M893" s="19"/>
      <c r="N893" s="19"/>
      <c r="O893" s="19"/>
      <c r="P893" s="20"/>
      <c r="Q893" s="20"/>
      <c r="R893" s="22"/>
      <c r="S893" s="22"/>
      <c r="T893" s="20"/>
      <c r="U893" s="20"/>
      <c r="V893" s="20"/>
      <c r="W893" s="19"/>
      <c r="X893" s="19"/>
      <c r="Y893" s="19"/>
      <c r="Z893" s="23"/>
    </row>
    <row r="894" spans="1:26" ht="15.75" customHeight="1" x14ac:dyDescent="0.2">
      <c r="A894" s="34"/>
      <c r="B894" s="34"/>
      <c r="C894" s="34"/>
      <c r="D894" s="34"/>
      <c r="E894" s="19"/>
      <c r="F894" s="19"/>
      <c r="G894" s="19"/>
      <c r="H894" s="19"/>
      <c r="I894" s="19"/>
      <c r="J894" s="19"/>
      <c r="K894" s="19"/>
      <c r="L894" s="19"/>
      <c r="M894" s="19"/>
      <c r="N894" s="19"/>
      <c r="O894" s="19"/>
      <c r="P894" s="20"/>
      <c r="Q894" s="20"/>
      <c r="R894" s="22"/>
      <c r="S894" s="22"/>
      <c r="T894" s="20"/>
      <c r="U894" s="20"/>
      <c r="V894" s="20"/>
      <c r="W894" s="19"/>
      <c r="X894" s="19"/>
      <c r="Y894" s="19"/>
      <c r="Z894" s="23"/>
    </row>
    <row r="895" spans="1:26" ht="15.75" customHeight="1" x14ac:dyDescent="0.2">
      <c r="A895" s="34"/>
      <c r="B895" s="34"/>
      <c r="C895" s="34"/>
      <c r="D895" s="34"/>
      <c r="E895" s="19"/>
      <c r="F895" s="19"/>
      <c r="G895" s="19"/>
      <c r="H895" s="19"/>
      <c r="I895" s="19"/>
      <c r="J895" s="19"/>
      <c r="K895" s="19"/>
      <c r="L895" s="19"/>
      <c r="M895" s="19"/>
      <c r="N895" s="19"/>
      <c r="O895" s="19"/>
      <c r="P895" s="20"/>
      <c r="Q895" s="20"/>
      <c r="R895" s="22"/>
      <c r="S895" s="22"/>
      <c r="T895" s="20"/>
      <c r="U895" s="20"/>
      <c r="V895" s="20"/>
      <c r="W895" s="19"/>
      <c r="X895" s="19"/>
      <c r="Y895" s="19"/>
      <c r="Z895" s="23"/>
    </row>
    <row r="896" spans="1:26" ht="15.75" customHeight="1" x14ac:dyDescent="0.2">
      <c r="A896" s="34"/>
      <c r="B896" s="34"/>
      <c r="C896" s="34"/>
      <c r="D896" s="34"/>
      <c r="E896" s="19"/>
      <c r="F896" s="19"/>
      <c r="G896" s="19"/>
      <c r="H896" s="19"/>
      <c r="I896" s="19"/>
      <c r="J896" s="19"/>
      <c r="K896" s="19"/>
      <c r="L896" s="19"/>
      <c r="M896" s="19"/>
      <c r="N896" s="19"/>
      <c r="O896" s="19"/>
      <c r="P896" s="20"/>
      <c r="Q896" s="20"/>
      <c r="R896" s="22"/>
      <c r="S896" s="22"/>
      <c r="T896" s="20"/>
      <c r="U896" s="20"/>
      <c r="V896" s="20"/>
      <c r="W896" s="19"/>
      <c r="X896" s="19"/>
      <c r="Y896" s="19"/>
      <c r="Z896" s="23"/>
    </row>
    <row r="897" spans="1:26" ht="15.75" customHeight="1" x14ac:dyDescent="0.2">
      <c r="A897" s="34"/>
      <c r="B897" s="34"/>
      <c r="C897" s="34"/>
      <c r="D897" s="34"/>
      <c r="E897" s="19"/>
      <c r="F897" s="19"/>
      <c r="G897" s="19"/>
      <c r="H897" s="19"/>
      <c r="I897" s="19"/>
      <c r="J897" s="19"/>
      <c r="K897" s="19"/>
      <c r="L897" s="19"/>
      <c r="M897" s="19"/>
      <c r="N897" s="19"/>
      <c r="O897" s="19"/>
      <c r="P897" s="20"/>
      <c r="Q897" s="20"/>
      <c r="R897" s="22"/>
      <c r="S897" s="22"/>
      <c r="T897" s="20"/>
      <c r="U897" s="20"/>
      <c r="V897" s="20"/>
      <c r="W897" s="19"/>
      <c r="X897" s="19"/>
      <c r="Y897" s="19"/>
      <c r="Z897" s="23"/>
    </row>
    <row r="898" spans="1:26" ht="15.75" customHeight="1" x14ac:dyDescent="0.2">
      <c r="A898" s="34"/>
      <c r="B898" s="34"/>
      <c r="C898" s="34"/>
      <c r="D898" s="34"/>
      <c r="E898" s="19"/>
      <c r="F898" s="19"/>
      <c r="G898" s="19"/>
      <c r="H898" s="19"/>
      <c r="I898" s="19"/>
      <c r="J898" s="19"/>
      <c r="K898" s="19"/>
      <c r="L898" s="19"/>
      <c r="M898" s="19"/>
      <c r="N898" s="19"/>
      <c r="O898" s="19"/>
      <c r="P898" s="20"/>
      <c r="Q898" s="20"/>
      <c r="R898" s="22"/>
      <c r="S898" s="22"/>
      <c r="T898" s="20"/>
      <c r="U898" s="20"/>
      <c r="V898" s="20"/>
      <c r="W898" s="19"/>
      <c r="X898" s="19"/>
      <c r="Y898" s="19"/>
      <c r="Z898" s="23"/>
    </row>
    <row r="899" spans="1:26" ht="15.75" customHeight="1" x14ac:dyDescent="0.2">
      <c r="A899" s="34"/>
      <c r="B899" s="34"/>
      <c r="C899" s="34"/>
      <c r="D899" s="34"/>
      <c r="E899" s="19"/>
      <c r="F899" s="19"/>
      <c r="G899" s="19"/>
      <c r="H899" s="19"/>
      <c r="I899" s="19"/>
      <c r="J899" s="19"/>
      <c r="K899" s="19"/>
      <c r="L899" s="19"/>
      <c r="M899" s="19"/>
      <c r="N899" s="19"/>
      <c r="O899" s="19"/>
      <c r="P899" s="20"/>
      <c r="Q899" s="20"/>
      <c r="R899" s="22"/>
      <c r="S899" s="22"/>
      <c r="T899" s="20"/>
      <c r="U899" s="20"/>
      <c r="V899" s="20"/>
      <c r="W899" s="19"/>
      <c r="X899" s="19"/>
      <c r="Y899" s="19"/>
      <c r="Z899" s="23"/>
    </row>
    <row r="900" spans="1:26" ht="15.75" customHeight="1" x14ac:dyDescent="0.2">
      <c r="A900" s="34"/>
      <c r="B900" s="34"/>
      <c r="C900" s="34"/>
      <c r="D900" s="34"/>
      <c r="E900" s="19"/>
      <c r="F900" s="19"/>
      <c r="G900" s="19"/>
      <c r="H900" s="19"/>
      <c r="I900" s="19"/>
      <c r="J900" s="19"/>
      <c r="K900" s="19"/>
      <c r="L900" s="19"/>
      <c r="M900" s="19"/>
      <c r="N900" s="19"/>
      <c r="O900" s="19"/>
      <c r="P900" s="20"/>
      <c r="Q900" s="20"/>
      <c r="R900" s="22"/>
      <c r="S900" s="22"/>
      <c r="T900" s="20"/>
      <c r="U900" s="20"/>
      <c r="V900" s="20"/>
      <c r="W900" s="19"/>
      <c r="X900" s="19"/>
      <c r="Y900" s="19"/>
      <c r="Z900" s="23"/>
    </row>
    <row r="901" spans="1:26" ht="15.75" customHeight="1" x14ac:dyDescent="0.2">
      <c r="A901" s="34"/>
      <c r="B901" s="34"/>
      <c r="C901" s="34"/>
      <c r="D901" s="34"/>
      <c r="E901" s="19"/>
      <c r="F901" s="19"/>
      <c r="G901" s="19"/>
      <c r="H901" s="19"/>
      <c r="I901" s="19"/>
      <c r="J901" s="19"/>
      <c r="K901" s="19"/>
      <c r="L901" s="19"/>
      <c r="M901" s="19"/>
      <c r="N901" s="19"/>
      <c r="O901" s="19"/>
      <c r="P901" s="20"/>
      <c r="Q901" s="20"/>
      <c r="R901" s="22"/>
      <c r="S901" s="22"/>
      <c r="T901" s="20"/>
      <c r="U901" s="20"/>
      <c r="V901" s="20"/>
      <c r="W901" s="19"/>
      <c r="X901" s="19"/>
      <c r="Y901" s="19"/>
      <c r="Z901" s="23"/>
    </row>
    <row r="902" spans="1:26" ht="15.75" customHeight="1" x14ac:dyDescent="0.2">
      <c r="A902" s="34"/>
      <c r="B902" s="34"/>
      <c r="C902" s="34"/>
      <c r="D902" s="34"/>
      <c r="E902" s="19"/>
      <c r="F902" s="19"/>
      <c r="G902" s="19"/>
      <c r="H902" s="19"/>
      <c r="I902" s="19"/>
      <c r="J902" s="19"/>
      <c r="K902" s="19"/>
      <c r="L902" s="19"/>
      <c r="M902" s="19"/>
      <c r="N902" s="19"/>
      <c r="O902" s="19"/>
      <c r="P902" s="20"/>
      <c r="Q902" s="20"/>
      <c r="R902" s="22"/>
      <c r="S902" s="22"/>
      <c r="T902" s="20"/>
      <c r="U902" s="20"/>
      <c r="V902" s="20"/>
      <c r="W902" s="19"/>
      <c r="X902" s="19"/>
      <c r="Y902" s="19"/>
      <c r="Z902" s="23"/>
    </row>
    <row r="903" spans="1:26" ht="15.75" customHeight="1" x14ac:dyDescent="0.2">
      <c r="A903" s="34"/>
      <c r="B903" s="34"/>
      <c r="C903" s="34"/>
      <c r="D903" s="34"/>
      <c r="E903" s="19"/>
      <c r="F903" s="19"/>
      <c r="G903" s="19"/>
      <c r="H903" s="19"/>
      <c r="I903" s="19"/>
      <c r="J903" s="19"/>
      <c r="K903" s="19"/>
      <c r="L903" s="19"/>
      <c r="M903" s="19"/>
      <c r="N903" s="19"/>
      <c r="O903" s="19"/>
      <c r="P903" s="20"/>
      <c r="Q903" s="20"/>
      <c r="R903" s="22"/>
      <c r="S903" s="22"/>
      <c r="T903" s="20"/>
      <c r="U903" s="20"/>
      <c r="V903" s="20"/>
      <c r="W903" s="19"/>
      <c r="X903" s="19"/>
      <c r="Y903" s="19"/>
      <c r="Z903" s="23"/>
    </row>
    <row r="904" spans="1:26" ht="15.75" customHeight="1" x14ac:dyDescent="0.2">
      <c r="A904" s="34"/>
      <c r="B904" s="34"/>
      <c r="C904" s="34"/>
      <c r="D904" s="34"/>
      <c r="E904" s="19"/>
      <c r="F904" s="19"/>
      <c r="G904" s="19"/>
      <c r="H904" s="19"/>
      <c r="I904" s="19"/>
      <c r="J904" s="19"/>
      <c r="K904" s="19"/>
      <c r="L904" s="19"/>
      <c r="M904" s="19"/>
      <c r="N904" s="19"/>
      <c r="O904" s="19"/>
      <c r="P904" s="20"/>
      <c r="Q904" s="20"/>
      <c r="R904" s="22"/>
      <c r="S904" s="22"/>
      <c r="T904" s="20"/>
      <c r="U904" s="20"/>
      <c r="V904" s="20"/>
      <c r="W904" s="19"/>
      <c r="X904" s="19"/>
      <c r="Y904" s="19"/>
      <c r="Z904" s="23"/>
    </row>
    <row r="905" spans="1:26" ht="15.75" customHeight="1" x14ac:dyDescent="0.2">
      <c r="A905" s="34"/>
      <c r="B905" s="34"/>
      <c r="C905" s="34"/>
      <c r="D905" s="34"/>
      <c r="E905" s="19"/>
      <c r="F905" s="19"/>
      <c r="G905" s="19"/>
      <c r="H905" s="19"/>
      <c r="I905" s="19"/>
      <c r="J905" s="19"/>
      <c r="K905" s="19"/>
      <c r="L905" s="19"/>
      <c r="M905" s="19"/>
      <c r="N905" s="19"/>
      <c r="O905" s="19"/>
      <c r="P905" s="20"/>
      <c r="Q905" s="20"/>
      <c r="R905" s="22"/>
      <c r="S905" s="22"/>
      <c r="T905" s="20"/>
      <c r="U905" s="20"/>
      <c r="V905" s="20"/>
      <c r="W905" s="19"/>
      <c r="X905" s="19"/>
      <c r="Y905" s="19"/>
      <c r="Z905" s="23"/>
    </row>
    <row r="906" spans="1:26" ht="15.75" customHeight="1" x14ac:dyDescent="0.2">
      <c r="A906" s="34"/>
      <c r="B906" s="34"/>
      <c r="C906" s="34"/>
      <c r="D906" s="34"/>
      <c r="E906" s="19"/>
      <c r="F906" s="19"/>
      <c r="G906" s="19"/>
      <c r="H906" s="19"/>
      <c r="I906" s="19"/>
      <c r="J906" s="19"/>
      <c r="K906" s="19"/>
      <c r="L906" s="19"/>
      <c r="M906" s="19"/>
      <c r="N906" s="19"/>
      <c r="O906" s="19"/>
      <c r="P906" s="20"/>
      <c r="Q906" s="20"/>
      <c r="R906" s="22"/>
      <c r="S906" s="22"/>
      <c r="T906" s="20"/>
      <c r="U906" s="20"/>
      <c r="V906" s="20"/>
      <c r="W906" s="19"/>
      <c r="X906" s="19"/>
      <c r="Y906" s="19"/>
      <c r="Z906" s="23"/>
    </row>
    <row r="907" spans="1:26" ht="15.75" customHeight="1" x14ac:dyDescent="0.2">
      <c r="A907" s="34"/>
      <c r="B907" s="34"/>
      <c r="C907" s="34"/>
      <c r="D907" s="34"/>
      <c r="E907" s="19"/>
      <c r="F907" s="19"/>
      <c r="G907" s="19"/>
      <c r="H907" s="19"/>
      <c r="I907" s="19"/>
      <c r="J907" s="19"/>
      <c r="K907" s="19"/>
      <c r="L907" s="19"/>
      <c r="M907" s="19"/>
      <c r="N907" s="19"/>
      <c r="O907" s="19"/>
      <c r="P907" s="20"/>
      <c r="Q907" s="20"/>
      <c r="R907" s="22"/>
      <c r="S907" s="22"/>
      <c r="T907" s="20"/>
      <c r="U907" s="20"/>
      <c r="V907" s="20"/>
      <c r="W907" s="19"/>
      <c r="X907" s="19"/>
      <c r="Y907" s="19"/>
      <c r="Z907" s="23"/>
    </row>
    <row r="908" spans="1:26" ht="15.75" customHeight="1" x14ac:dyDescent="0.2">
      <c r="A908" s="34"/>
      <c r="B908" s="34"/>
      <c r="C908" s="34"/>
      <c r="D908" s="34"/>
      <c r="E908" s="19"/>
      <c r="F908" s="19"/>
      <c r="G908" s="19"/>
      <c r="H908" s="19"/>
      <c r="I908" s="19"/>
      <c r="J908" s="19"/>
      <c r="K908" s="19"/>
      <c r="L908" s="19"/>
      <c r="M908" s="19"/>
      <c r="N908" s="19"/>
      <c r="O908" s="19"/>
      <c r="P908" s="20"/>
      <c r="Q908" s="20"/>
      <c r="R908" s="22"/>
      <c r="S908" s="22"/>
      <c r="T908" s="20"/>
      <c r="U908" s="20"/>
      <c r="V908" s="20"/>
      <c r="W908" s="19"/>
      <c r="X908" s="19"/>
      <c r="Y908" s="19"/>
      <c r="Z908" s="23"/>
    </row>
    <row r="909" spans="1:26" ht="15.75" customHeight="1" x14ac:dyDescent="0.2">
      <c r="A909" s="34"/>
      <c r="B909" s="34"/>
      <c r="C909" s="34"/>
      <c r="D909" s="34"/>
      <c r="E909" s="19"/>
      <c r="F909" s="19"/>
      <c r="G909" s="19"/>
      <c r="H909" s="19"/>
      <c r="I909" s="19"/>
      <c r="J909" s="19"/>
      <c r="K909" s="19"/>
      <c r="L909" s="19"/>
      <c r="M909" s="19"/>
      <c r="N909" s="19"/>
      <c r="O909" s="19"/>
      <c r="P909" s="20"/>
      <c r="Q909" s="20"/>
      <c r="R909" s="22"/>
      <c r="S909" s="22"/>
      <c r="T909" s="20"/>
      <c r="U909" s="20"/>
      <c r="V909" s="20"/>
      <c r="W909" s="19"/>
      <c r="X909" s="19"/>
      <c r="Y909" s="19"/>
      <c r="Z909" s="23"/>
    </row>
    <row r="910" spans="1:26" ht="15.75" customHeight="1" x14ac:dyDescent="0.2">
      <c r="A910" s="34"/>
      <c r="B910" s="34"/>
      <c r="C910" s="34"/>
      <c r="D910" s="34"/>
      <c r="E910" s="19"/>
      <c r="F910" s="19"/>
      <c r="G910" s="19"/>
      <c r="H910" s="19"/>
      <c r="I910" s="19"/>
      <c r="J910" s="19"/>
      <c r="K910" s="19"/>
      <c r="L910" s="19"/>
      <c r="M910" s="19"/>
      <c r="N910" s="19"/>
      <c r="O910" s="19"/>
      <c r="P910" s="20"/>
      <c r="Q910" s="20"/>
      <c r="R910" s="22"/>
      <c r="S910" s="22"/>
      <c r="T910" s="20"/>
      <c r="U910" s="20"/>
      <c r="V910" s="20"/>
      <c r="W910" s="19"/>
      <c r="X910" s="19"/>
      <c r="Y910" s="19"/>
      <c r="Z910" s="23"/>
    </row>
    <row r="911" spans="1:26" ht="15.75" customHeight="1" x14ac:dyDescent="0.2">
      <c r="A911" s="34"/>
      <c r="B911" s="34"/>
      <c r="C911" s="34"/>
      <c r="D911" s="34"/>
      <c r="E911" s="19"/>
      <c r="F911" s="19"/>
      <c r="G911" s="19"/>
      <c r="H911" s="19"/>
      <c r="I911" s="19"/>
      <c r="J911" s="19"/>
      <c r="K911" s="19"/>
      <c r="L911" s="19"/>
      <c r="M911" s="19"/>
      <c r="N911" s="19"/>
      <c r="O911" s="19"/>
      <c r="P911" s="20"/>
      <c r="Q911" s="20"/>
      <c r="R911" s="22"/>
      <c r="S911" s="22"/>
      <c r="T911" s="20"/>
      <c r="U911" s="20"/>
      <c r="V911" s="20"/>
      <c r="W911" s="19"/>
      <c r="X911" s="19"/>
      <c r="Y911" s="19"/>
      <c r="Z911" s="23"/>
    </row>
    <row r="912" spans="1:26" ht="15.75" customHeight="1" x14ac:dyDescent="0.2">
      <c r="A912" s="34"/>
      <c r="B912" s="34"/>
      <c r="C912" s="34"/>
      <c r="D912" s="34"/>
      <c r="E912" s="19"/>
      <c r="F912" s="19"/>
      <c r="G912" s="19"/>
      <c r="H912" s="19"/>
      <c r="I912" s="19"/>
      <c r="J912" s="19"/>
      <c r="K912" s="19"/>
      <c r="L912" s="19"/>
      <c r="M912" s="19"/>
      <c r="N912" s="19"/>
      <c r="O912" s="19"/>
      <c r="P912" s="20"/>
      <c r="Q912" s="20"/>
      <c r="R912" s="22"/>
      <c r="S912" s="22"/>
      <c r="T912" s="20"/>
      <c r="U912" s="20"/>
      <c r="V912" s="20"/>
      <c r="W912" s="19"/>
      <c r="X912" s="19"/>
      <c r="Y912" s="19"/>
      <c r="Z912" s="23"/>
    </row>
    <row r="913" spans="1:26" ht="15.75" customHeight="1" x14ac:dyDescent="0.2">
      <c r="A913" s="34"/>
      <c r="B913" s="34"/>
      <c r="C913" s="34"/>
      <c r="D913" s="34"/>
      <c r="E913" s="19"/>
      <c r="F913" s="19"/>
      <c r="G913" s="19"/>
      <c r="H913" s="19"/>
      <c r="I913" s="19"/>
      <c r="J913" s="19"/>
      <c r="K913" s="19"/>
      <c r="L913" s="19"/>
      <c r="M913" s="19"/>
      <c r="N913" s="19"/>
      <c r="O913" s="19"/>
      <c r="P913" s="20"/>
      <c r="Q913" s="20"/>
      <c r="R913" s="22"/>
      <c r="S913" s="22"/>
      <c r="T913" s="20"/>
      <c r="U913" s="20"/>
      <c r="V913" s="20"/>
      <c r="W913" s="19"/>
      <c r="X913" s="19"/>
      <c r="Y913" s="19"/>
      <c r="Z913" s="23"/>
    </row>
    <row r="914" spans="1:26" ht="15.75" customHeight="1" x14ac:dyDescent="0.2">
      <c r="A914" s="34"/>
      <c r="B914" s="34"/>
      <c r="C914" s="34"/>
      <c r="D914" s="34"/>
      <c r="E914" s="19"/>
      <c r="F914" s="19"/>
      <c r="G914" s="19"/>
      <c r="H914" s="19"/>
      <c r="I914" s="19"/>
      <c r="J914" s="19"/>
      <c r="K914" s="19"/>
      <c r="L914" s="19"/>
      <c r="M914" s="19"/>
      <c r="N914" s="19"/>
      <c r="O914" s="19"/>
      <c r="P914" s="20"/>
      <c r="Q914" s="20"/>
      <c r="R914" s="22"/>
      <c r="S914" s="22"/>
      <c r="T914" s="20"/>
      <c r="U914" s="20"/>
      <c r="V914" s="20"/>
      <c r="W914" s="19"/>
      <c r="X914" s="19"/>
      <c r="Y914" s="19"/>
      <c r="Z914" s="23"/>
    </row>
    <row r="915" spans="1:26" ht="15.75" customHeight="1" x14ac:dyDescent="0.2">
      <c r="A915" s="34"/>
      <c r="B915" s="34"/>
      <c r="C915" s="34"/>
      <c r="D915" s="34"/>
      <c r="E915" s="19"/>
      <c r="F915" s="19"/>
      <c r="G915" s="19"/>
      <c r="H915" s="19"/>
      <c r="I915" s="19"/>
      <c r="J915" s="19"/>
      <c r="K915" s="19"/>
      <c r="L915" s="19"/>
      <c r="M915" s="19"/>
      <c r="N915" s="19"/>
      <c r="O915" s="19"/>
      <c r="P915" s="20"/>
      <c r="Q915" s="20"/>
      <c r="R915" s="22"/>
      <c r="S915" s="22"/>
      <c r="T915" s="20"/>
      <c r="U915" s="20"/>
      <c r="V915" s="20"/>
      <c r="W915" s="19"/>
      <c r="X915" s="19"/>
      <c r="Y915" s="19"/>
      <c r="Z915" s="23"/>
    </row>
    <row r="916" spans="1:26" ht="15.75" customHeight="1" x14ac:dyDescent="0.2">
      <c r="A916" s="34"/>
      <c r="B916" s="34"/>
      <c r="C916" s="34"/>
      <c r="D916" s="34"/>
      <c r="E916" s="19"/>
      <c r="F916" s="19"/>
      <c r="G916" s="19"/>
      <c r="H916" s="19"/>
      <c r="I916" s="19"/>
      <c r="J916" s="19"/>
      <c r="K916" s="19"/>
      <c r="L916" s="19"/>
      <c r="M916" s="19"/>
      <c r="N916" s="19"/>
      <c r="O916" s="19"/>
      <c r="P916" s="20"/>
      <c r="Q916" s="20"/>
      <c r="R916" s="22"/>
      <c r="S916" s="22"/>
      <c r="T916" s="20"/>
      <c r="U916" s="20"/>
      <c r="V916" s="20"/>
      <c r="W916" s="19"/>
      <c r="X916" s="19"/>
      <c r="Y916" s="19"/>
      <c r="Z916" s="23"/>
    </row>
    <row r="917" spans="1:26" ht="15.75" customHeight="1" x14ac:dyDescent="0.2">
      <c r="A917" s="34"/>
      <c r="B917" s="34"/>
      <c r="C917" s="34"/>
      <c r="D917" s="34"/>
      <c r="E917" s="19"/>
      <c r="F917" s="19"/>
      <c r="G917" s="19"/>
      <c r="H917" s="19"/>
      <c r="I917" s="19"/>
      <c r="J917" s="19"/>
      <c r="K917" s="19"/>
      <c r="L917" s="19"/>
      <c r="M917" s="19"/>
      <c r="N917" s="19"/>
      <c r="O917" s="19"/>
      <c r="P917" s="20"/>
      <c r="Q917" s="20"/>
      <c r="R917" s="22"/>
      <c r="S917" s="22"/>
      <c r="T917" s="20"/>
      <c r="U917" s="20"/>
      <c r="V917" s="20"/>
      <c r="W917" s="19"/>
      <c r="X917" s="19"/>
      <c r="Y917" s="19"/>
      <c r="Z917" s="23"/>
    </row>
    <row r="918" spans="1:26" ht="15.75" customHeight="1" x14ac:dyDescent="0.2">
      <c r="A918" s="34"/>
      <c r="B918" s="34"/>
      <c r="C918" s="34"/>
      <c r="D918" s="34"/>
      <c r="E918" s="19"/>
      <c r="F918" s="19"/>
      <c r="G918" s="19"/>
      <c r="H918" s="19"/>
      <c r="I918" s="19"/>
      <c r="J918" s="19"/>
      <c r="K918" s="19"/>
      <c r="L918" s="19"/>
      <c r="M918" s="19"/>
      <c r="N918" s="19"/>
      <c r="O918" s="19"/>
      <c r="P918" s="20"/>
      <c r="Q918" s="20"/>
      <c r="R918" s="22"/>
      <c r="S918" s="22"/>
      <c r="T918" s="20"/>
      <c r="U918" s="20"/>
      <c r="V918" s="20"/>
      <c r="W918" s="19"/>
      <c r="X918" s="19"/>
      <c r="Y918" s="19"/>
      <c r="Z918" s="23"/>
    </row>
    <row r="919" spans="1:26" ht="15.75" customHeight="1" x14ac:dyDescent="0.2">
      <c r="A919" s="34"/>
      <c r="B919" s="34"/>
      <c r="C919" s="34"/>
      <c r="D919" s="34"/>
      <c r="E919" s="19"/>
      <c r="F919" s="19"/>
      <c r="G919" s="19"/>
      <c r="H919" s="19"/>
      <c r="I919" s="19"/>
      <c r="J919" s="19"/>
      <c r="K919" s="19"/>
      <c r="L919" s="19"/>
      <c r="M919" s="19"/>
      <c r="N919" s="19"/>
      <c r="O919" s="19"/>
      <c r="P919" s="20"/>
      <c r="Q919" s="20"/>
      <c r="R919" s="22"/>
      <c r="S919" s="22"/>
      <c r="T919" s="20"/>
      <c r="U919" s="20"/>
      <c r="V919" s="20"/>
      <c r="W919" s="19"/>
      <c r="X919" s="19"/>
      <c r="Y919" s="19"/>
      <c r="Z919" s="23"/>
    </row>
    <row r="920" spans="1:26" ht="15.75" customHeight="1" x14ac:dyDescent="0.2">
      <c r="A920" s="34"/>
      <c r="B920" s="34"/>
      <c r="C920" s="34"/>
      <c r="D920" s="34"/>
      <c r="E920" s="19"/>
      <c r="F920" s="19"/>
      <c r="G920" s="19"/>
      <c r="H920" s="19"/>
      <c r="I920" s="19"/>
      <c r="J920" s="19"/>
      <c r="K920" s="19"/>
      <c r="L920" s="19"/>
      <c r="M920" s="19"/>
      <c r="N920" s="19"/>
      <c r="O920" s="19"/>
      <c r="P920" s="20"/>
      <c r="Q920" s="20"/>
      <c r="R920" s="22"/>
      <c r="S920" s="22"/>
      <c r="T920" s="20"/>
      <c r="U920" s="20"/>
      <c r="V920" s="20"/>
      <c r="W920" s="19"/>
      <c r="X920" s="19"/>
      <c r="Y920" s="19"/>
      <c r="Z920" s="23"/>
    </row>
    <row r="921" spans="1:26" ht="15.75" customHeight="1" x14ac:dyDescent="0.2">
      <c r="A921" s="34"/>
      <c r="B921" s="34"/>
      <c r="C921" s="34"/>
      <c r="D921" s="34"/>
      <c r="E921" s="19"/>
      <c r="F921" s="19"/>
      <c r="G921" s="19"/>
      <c r="H921" s="19"/>
      <c r="I921" s="19"/>
      <c r="J921" s="19"/>
      <c r="K921" s="19"/>
      <c r="L921" s="19"/>
      <c r="M921" s="19"/>
      <c r="N921" s="19"/>
      <c r="O921" s="19"/>
      <c r="P921" s="20"/>
      <c r="Q921" s="20"/>
      <c r="R921" s="22"/>
      <c r="S921" s="22"/>
      <c r="T921" s="20"/>
      <c r="U921" s="20"/>
      <c r="V921" s="20"/>
      <c r="W921" s="19"/>
      <c r="X921" s="19"/>
      <c r="Y921" s="19"/>
      <c r="Z921" s="23"/>
    </row>
    <row r="922" spans="1:26" ht="15.75" customHeight="1" x14ac:dyDescent="0.2">
      <c r="A922" s="34"/>
      <c r="B922" s="34"/>
      <c r="C922" s="34"/>
      <c r="D922" s="34"/>
      <c r="E922" s="19"/>
      <c r="F922" s="19"/>
      <c r="G922" s="19"/>
      <c r="H922" s="19"/>
      <c r="I922" s="19"/>
      <c r="J922" s="19"/>
      <c r="K922" s="19"/>
      <c r="L922" s="19"/>
      <c r="M922" s="19"/>
      <c r="N922" s="19"/>
      <c r="O922" s="19"/>
      <c r="P922" s="20"/>
      <c r="Q922" s="20"/>
      <c r="R922" s="22"/>
      <c r="S922" s="22"/>
      <c r="T922" s="20"/>
      <c r="U922" s="20"/>
      <c r="V922" s="20"/>
      <c r="W922" s="19"/>
      <c r="X922" s="19"/>
      <c r="Y922" s="19"/>
      <c r="Z922" s="23"/>
    </row>
    <row r="923" spans="1:26" ht="15.75" customHeight="1" x14ac:dyDescent="0.2">
      <c r="A923" s="34"/>
      <c r="B923" s="34"/>
      <c r="C923" s="34"/>
      <c r="D923" s="34"/>
      <c r="E923" s="19"/>
      <c r="F923" s="19"/>
      <c r="G923" s="19"/>
      <c r="H923" s="19"/>
      <c r="I923" s="19"/>
      <c r="J923" s="19"/>
      <c r="K923" s="19"/>
      <c r="L923" s="19"/>
      <c r="M923" s="19"/>
      <c r="N923" s="19"/>
      <c r="O923" s="19"/>
      <c r="P923" s="20"/>
      <c r="Q923" s="20"/>
      <c r="R923" s="22"/>
      <c r="S923" s="22"/>
      <c r="T923" s="20"/>
      <c r="U923" s="20"/>
      <c r="V923" s="20"/>
      <c r="W923" s="19"/>
      <c r="X923" s="19"/>
      <c r="Y923" s="19"/>
      <c r="Z923" s="23"/>
    </row>
    <row r="924" spans="1:26" ht="15.75" customHeight="1" x14ac:dyDescent="0.2">
      <c r="A924" s="34"/>
      <c r="B924" s="34"/>
      <c r="C924" s="34"/>
      <c r="D924" s="34"/>
      <c r="E924" s="19"/>
      <c r="F924" s="19"/>
      <c r="G924" s="19"/>
      <c r="H924" s="19"/>
      <c r="I924" s="19"/>
      <c r="J924" s="19"/>
      <c r="K924" s="19"/>
      <c r="L924" s="19"/>
      <c r="M924" s="19"/>
      <c r="N924" s="19"/>
      <c r="O924" s="19"/>
      <c r="P924" s="20"/>
      <c r="Q924" s="20"/>
      <c r="R924" s="22"/>
      <c r="S924" s="22"/>
      <c r="T924" s="20"/>
      <c r="U924" s="20"/>
      <c r="V924" s="20"/>
      <c r="W924" s="19"/>
      <c r="X924" s="19"/>
      <c r="Y924" s="19"/>
      <c r="Z924" s="23"/>
    </row>
    <row r="925" spans="1:26" ht="15.75" customHeight="1" x14ac:dyDescent="0.2">
      <c r="A925" s="34"/>
      <c r="B925" s="34"/>
      <c r="C925" s="34"/>
      <c r="D925" s="34"/>
      <c r="E925" s="19"/>
      <c r="F925" s="19"/>
      <c r="G925" s="19"/>
      <c r="H925" s="19"/>
      <c r="I925" s="19"/>
      <c r="J925" s="19"/>
      <c r="K925" s="19"/>
      <c r="L925" s="19"/>
      <c r="M925" s="19"/>
      <c r="N925" s="19"/>
      <c r="O925" s="19"/>
      <c r="P925" s="20"/>
      <c r="Q925" s="20"/>
      <c r="R925" s="22"/>
      <c r="S925" s="22"/>
      <c r="T925" s="20"/>
      <c r="U925" s="20"/>
      <c r="V925" s="20"/>
      <c r="W925" s="19"/>
      <c r="X925" s="19"/>
      <c r="Y925" s="19"/>
      <c r="Z925" s="23"/>
    </row>
    <row r="926" spans="1:26" ht="15.75" customHeight="1" x14ac:dyDescent="0.2">
      <c r="A926" s="34"/>
      <c r="B926" s="34"/>
      <c r="C926" s="34"/>
      <c r="D926" s="34"/>
      <c r="E926" s="19"/>
      <c r="F926" s="19"/>
      <c r="G926" s="19"/>
      <c r="H926" s="19"/>
      <c r="I926" s="19"/>
      <c r="J926" s="19"/>
      <c r="K926" s="19"/>
      <c r="L926" s="19"/>
      <c r="M926" s="19"/>
      <c r="N926" s="19"/>
      <c r="O926" s="19"/>
      <c r="P926" s="20"/>
      <c r="Q926" s="20"/>
      <c r="R926" s="22"/>
      <c r="S926" s="22"/>
      <c r="T926" s="20"/>
      <c r="U926" s="20"/>
      <c r="V926" s="20"/>
      <c r="W926" s="19"/>
      <c r="X926" s="19"/>
      <c r="Y926" s="19"/>
      <c r="Z926" s="23"/>
    </row>
    <row r="927" spans="1:26" ht="15.75" customHeight="1" x14ac:dyDescent="0.2">
      <c r="A927" s="34"/>
      <c r="B927" s="34"/>
      <c r="C927" s="34"/>
      <c r="D927" s="34"/>
      <c r="E927" s="19"/>
      <c r="F927" s="19"/>
      <c r="G927" s="19"/>
      <c r="H927" s="19"/>
      <c r="I927" s="19"/>
      <c r="J927" s="19"/>
      <c r="K927" s="19"/>
      <c r="L927" s="19"/>
      <c r="M927" s="19"/>
      <c r="N927" s="19"/>
      <c r="O927" s="19"/>
      <c r="P927" s="20"/>
      <c r="Q927" s="20"/>
      <c r="R927" s="22"/>
      <c r="S927" s="22"/>
      <c r="T927" s="20"/>
      <c r="U927" s="20"/>
      <c r="V927" s="20"/>
      <c r="W927" s="19"/>
      <c r="X927" s="19"/>
      <c r="Y927" s="19"/>
      <c r="Z927" s="23"/>
    </row>
    <row r="928" spans="1:26" ht="15.75" customHeight="1" x14ac:dyDescent="0.2">
      <c r="A928" s="34"/>
      <c r="B928" s="34"/>
      <c r="C928" s="34"/>
      <c r="D928" s="34"/>
      <c r="E928" s="19"/>
      <c r="F928" s="19"/>
      <c r="G928" s="19"/>
      <c r="H928" s="19"/>
      <c r="I928" s="19"/>
      <c r="J928" s="19"/>
      <c r="K928" s="19"/>
      <c r="L928" s="19"/>
      <c r="M928" s="19"/>
      <c r="N928" s="19"/>
      <c r="O928" s="19"/>
      <c r="P928" s="20"/>
      <c r="Q928" s="20"/>
      <c r="R928" s="22"/>
      <c r="S928" s="22"/>
      <c r="T928" s="20"/>
      <c r="U928" s="20"/>
      <c r="V928" s="20"/>
      <c r="W928" s="19"/>
      <c r="X928" s="19"/>
      <c r="Y928" s="19"/>
      <c r="Z928" s="23"/>
    </row>
    <row r="929" spans="1:26" ht="15.75" customHeight="1" x14ac:dyDescent="0.2">
      <c r="A929" s="34"/>
      <c r="B929" s="34"/>
      <c r="C929" s="34"/>
      <c r="D929" s="34"/>
      <c r="E929" s="19"/>
      <c r="F929" s="19"/>
      <c r="G929" s="19"/>
      <c r="H929" s="19"/>
      <c r="I929" s="19"/>
      <c r="J929" s="19"/>
      <c r="K929" s="19"/>
      <c r="L929" s="19"/>
      <c r="M929" s="19"/>
      <c r="N929" s="19"/>
      <c r="O929" s="19"/>
      <c r="P929" s="20"/>
      <c r="Q929" s="20"/>
      <c r="R929" s="22"/>
      <c r="S929" s="22"/>
      <c r="T929" s="20"/>
      <c r="U929" s="20"/>
      <c r="V929" s="20"/>
      <c r="W929" s="19"/>
      <c r="X929" s="19"/>
      <c r="Y929" s="19"/>
      <c r="Z929" s="23"/>
    </row>
    <row r="930" spans="1:26" ht="15.75" customHeight="1" x14ac:dyDescent="0.2">
      <c r="A930" s="34"/>
      <c r="B930" s="34"/>
      <c r="C930" s="34"/>
      <c r="D930" s="34"/>
      <c r="E930" s="19"/>
      <c r="F930" s="19"/>
      <c r="G930" s="19"/>
      <c r="H930" s="19"/>
      <c r="I930" s="19"/>
      <c r="J930" s="19"/>
      <c r="K930" s="19"/>
      <c r="L930" s="19"/>
      <c r="M930" s="19"/>
      <c r="N930" s="19"/>
      <c r="O930" s="19"/>
      <c r="P930" s="20"/>
      <c r="Q930" s="20"/>
      <c r="R930" s="22"/>
      <c r="S930" s="22"/>
      <c r="T930" s="20"/>
      <c r="U930" s="20"/>
      <c r="V930" s="20"/>
      <c r="W930" s="19"/>
      <c r="X930" s="19"/>
      <c r="Y930" s="19"/>
      <c r="Z930" s="23"/>
    </row>
    <row r="931" spans="1:26" ht="15.75" customHeight="1" x14ac:dyDescent="0.2">
      <c r="A931" s="34"/>
      <c r="B931" s="34"/>
      <c r="C931" s="34"/>
      <c r="D931" s="34"/>
      <c r="E931" s="19"/>
      <c r="F931" s="19"/>
      <c r="G931" s="19"/>
      <c r="H931" s="19"/>
      <c r="I931" s="19"/>
      <c r="J931" s="19"/>
      <c r="K931" s="19"/>
      <c r="L931" s="19"/>
      <c r="M931" s="19"/>
      <c r="N931" s="19"/>
      <c r="O931" s="19"/>
      <c r="P931" s="20"/>
      <c r="Q931" s="20"/>
      <c r="R931" s="22"/>
      <c r="S931" s="22"/>
      <c r="T931" s="20"/>
      <c r="U931" s="20"/>
      <c r="V931" s="20"/>
      <c r="W931" s="19"/>
      <c r="X931" s="19"/>
      <c r="Y931" s="19"/>
      <c r="Z931" s="23"/>
    </row>
    <row r="932" spans="1:26" ht="15.75" customHeight="1" x14ac:dyDescent="0.2">
      <c r="A932" s="34"/>
      <c r="B932" s="34"/>
      <c r="C932" s="34"/>
      <c r="D932" s="34"/>
      <c r="E932" s="19"/>
      <c r="F932" s="19"/>
      <c r="G932" s="19"/>
      <c r="H932" s="19"/>
      <c r="I932" s="19"/>
      <c r="J932" s="19"/>
      <c r="K932" s="19"/>
      <c r="L932" s="19"/>
      <c r="M932" s="19"/>
      <c r="N932" s="19"/>
      <c r="O932" s="19"/>
      <c r="P932" s="20"/>
      <c r="Q932" s="20"/>
      <c r="R932" s="22"/>
      <c r="S932" s="22"/>
      <c r="T932" s="20"/>
      <c r="U932" s="20"/>
      <c r="V932" s="20"/>
      <c r="W932" s="19"/>
      <c r="X932" s="19"/>
      <c r="Y932" s="19"/>
      <c r="Z932" s="23"/>
    </row>
    <row r="933" spans="1:26" ht="15.75" customHeight="1" x14ac:dyDescent="0.2">
      <c r="A933" s="34"/>
      <c r="B933" s="34"/>
      <c r="C933" s="34"/>
      <c r="D933" s="34"/>
      <c r="E933" s="19"/>
      <c r="F933" s="19"/>
      <c r="G933" s="19"/>
      <c r="H933" s="19"/>
      <c r="I933" s="19"/>
      <c r="J933" s="19"/>
      <c r="K933" s="19"/>
      <c r="L933" s="19"/>
      <c r="M933" s="19"/>
      <c r="N933" s="19"/>
      <c r="O933" s="19"/>
      <c r="P933" s="20"/>
      <c r="Q933" s="20"/>
      <c r="R933" s="22"/>
      <c r="S933" s="22"/>
      <c r="T933" s="20"/>
      <c r="U933" s="20"/>
      <c r="V933" s="20"/>
      <c r="W933" s="19"/>
      <c r="X933" s="19"/>
      <c r="Y933" s="19"/>
      <c r="Z933" s="23"/>
    </row>
    <row r="934" spans="1:26" ht="15.75" customHeight="1" x14ac:dyDescent="0.2">
      <c r="A934" s="34"/>
      <c r="B934" s="34"/>
      <c r="C934" s="34"/>
      <c r="D934" s="34"/>
      <c r="E934" s="19"/>
      <c r="F934" s="19"/>
      <c r="G934" s="19"/>
      <c r="H934" s="19"/>
      <c r="I934" s="19"/>
      <c r="J934" s="19"/>
      <c r="K934" s="19"/>
      <c r="L934" s="19"/>
      <c r="M934" s="19"/>
      <c r="N934" s="19"/>
      <c r="O934" s="19"/>
      <c r="P934" s="20"/>
      <c r="Q934" s="20"/>
      <c r="R934" s="22"/>
      <c r="S934" s="22"/>
      <c r="T934" s="20"/>
      <c r="U934" s="20"/>
      <c r="V934" s="20"/>
      <c r="W934" s="19"/>
      <c r="X934" s="19"/>
      <c r="Y934" s="19"/>
      <c r="Z934" s="23"/>
    </row>
    <row r="935" spans="1:26" ht="15.75" customHeight="1" x14ac:dyDescent="0.2">
      <c r="A935" s="34"/>
      <c r="B935" s="34"/>
      <c r="C935" s="34"/>
      <c r="D935" s="34"/>
      <c r="E935" s="19"/>
      <c r="F935" s="19"/>
      <c r="G935" s="19"/>
      <c r="H935" s="19"/>
      <c r="I935" s="19"/>
      <c r="J935" s="19"/>
      <c r="K935" s="19"/>
      <c r="L935" s="19"/>
      <c r="M935" s="19"/>
      <c r="N935" s="19"/>
      <c r="O935" s="19"/>
      <c r="P935" s="20"/>
      <c r="Q935" s="20"/>
      <c r="R935" s="22"/>
      <c r="S935" s="22"/>
      <c r="T935" s="20"/>
      <c r="U935" s="20"/>
      <c r="V935" s="20"/>
      <c r="W935" s="19"/>
      <c r="X935" s="19"/>
      <c r="Y935" s="19"/>
      <c r="Z935" s="23"/>
    </row>
    <row r="936" spans="1:26" ht="15.75" customHeight="1" x14ac:dyDescent="0.2">
      <c r="A936" s="34"/>
      <c r="B936" s="34"/>
      <c r="C936" s="34"/>
      <c r="D936" s="34"/>
      <c r="E936" s="19"/>
      <c r="F936" s="19"/>
      <c r="G936" s="19"/>
      <c r="H936" s="19"/>
      <c r="I936" s="19"/>
      <c r="J936" s="19"/>
      <c r="K936" s="19"/>
      <c r="L936" s="19"/>
      <c r="M936" s="19"/>
      <c r="N936" s="19"/>
      <c r="O936" s="19"/>
      <c r="P936" s="20"/>
      <c r="Q936" s="20"/>
      <c r="R936" s="22"/>
      <c r="S936" s="22"/>
      <c r="T936" s="20"/>
      <c r="U936" s="20"/>
      <c r="V936" s="20"/>
      <c r="W936" s="19"/>
      <c r="X936" s="19"/>
      <c r="Y936" s="19"/>
      <c r="Z936" s="23"/>
    </row>
    <row r="937" spans="1:26" ht="15.75" customHeight="1" x14ac:dyDescent="0.2">
      <c r="A937" s="34"/>
      <c r="B937" s="34"/>
      <c r="C937" s="34"/>
      <c r="D937" s="34"/>
      <c r="E937" s="19"/>
      <c r="F937" s="19"/>
      <c r="G937" s="19"/>
      <c r="H937" s="19"/>
      <c r="I937" s="19"/>
      <c r="J937" s="19"/>
      <c r="K937" s="19"/>
      <c r="L937" s="19"/>
      <c r="M937" s="19"/>
      <c r="N937" s="19"/>
      <c r="O937" s="19"/>
      <c r="P937" s="20"/>
      <c r="Q937" s="20"/>
      <c r="R937" s="22"/>
      <c r="S937" s="22"/>
      <c r="T937" s="20"/>
      <c r="U937" s="20"/>
      <c r="V937" s="20"/>
      <c r="W937" s="19"/>
      <c r="X937" s="19"/>
      <c r="Y937" s="19"/>
      <c r="Z937" s="23"/>
    </row>
    <row r="938" spans="1:26" ht="15.75" customHeight="1" x14ac:dyDescent="0.2">
      <c r="A938" s="34"/>
      <c r="B938" s="34"/>
      <c r="C938" s="34"/>
      <c r="D938" s="34"/>
      <c r="E938" s="19"/>
      <c r="F938" s="19"/>
      <c r="G938" s="19"/>
      <c r="H938" s="19"/>
      <c r="I938" s="19"/>
      <c r="J938" s="19"/>
      <c r="K938" s="19"/>
      <c r="L938" s="19"/>
      <c r="M938" s="19"/>
      <c r="N938" s="19"/>
      <c r="O938" s="19"/>
      <c r="P938" s="20"/>
      <c r="Q938" s="20"/>
      <c r="R938" s="22"/>
      <c r="S938" s="22"/>
      <c r="T938" s="20"/>
      <c r="U938" s="20"/>
      <c r="V938" s="20"/>
      <c r="W938" s="19"/>
      <c r="X938" s="19"/>
      <c r="Y938" s="19"/>
      <c r="Z938" s="23"/>
    </row>
    <row r="939" spans="1:26" ht="15.75" customHeight="1" x14ac:dyDescent="0.2">
      <c r="A939" s="34"/>
      <c r="B939" s="34"/>
      <c r="C939" s="34"/>
      <c r="D939" s="34"/>
      <c r="E939" s="19"/>
      <c r="F939" s="19"/>
      <c r="G939" s="19"/>
      <c r="H939" s="19"/>
      <c r="I939" s="19"/>
      <c r="J939" s="19"/>
      <c r="K939" s="19"/>
      <c r="L939" s="19"/>
      <c r="M939" s="19"/>
      <c r="N939" s="19"/>
      <c r="O939" s="19"/>
      <c r="P939" s="20"/>
      <c r="Q939" s="20"/>
      <c r="R939" s="22"/>
      <c r="S939" s="22"/>
      <c r="T939" s="20"/>
      <c r="U939" s="20"/>
      <c r="V939" s="20"/>
      <c r="W939" s="19"/>
      <c r="X939" s="19"/>
      <c r="Y939" s="19"/>
      <c r="Z939" s="23"/>
    </row>
    <row r="940" spans="1:26" ht="15.75" customHeight="1" x14ac:dyDescent="0.2">
      <c r="A940" s="34"/>
      <c r="B940" s="34"/>
      <c r="C940" s="34"/>
      <c r="D940" s="34"/>
      <c r="E940" s="19"/>
      <c r="F940" s="19"/>
      <c r="G940" s="19"/>
      <c r="H940" s="19"/>
      <c r="I940" s="19"/>
      <c r="J940" s="19"/>
      <c r="K940" s="19"/>
      <c r="L940" s="19"/>
      <c r="M940" s="19"/>
      <c r="N940" s="19"/>
      <c r="O940" s="19"/>
      <c r="P940" s="20"/>
      <c r="Q940" s="20"/>
      <c r="R940" s="22"/>
      <c r="S940" s="22"/>
      <c r="T940" s="20"/>
      <c r="U940" s="20"/>
      <c r="V940" s="20"/>
      <c r="W940" s="19"/>
      <c r="X940" s="19"/>
      <c r="Y940" s="19"/>
      <c r="Z940" s="23"/>
    </row>
    <row r="941" spans="1:26" ht="15.75" customHeight="1" x14ac:dyDescent="0.2">
      <c r="A941" s="34"/>
      <c r="B941" s="34"/>
      <c r="C941" s="34"/>
      <c r="D941" s="34"/>
      <c r="E941" s="19"/>
      <c r="F941" s="19"/>
      <c r="G941" s="19"/>
      <c r="H941" s="19"/>
      <c r="I941" s="19"/>
      <c r="J941" s="19"/>
      <c r="K941" s="19"/>
      <c r="L941" s="19"/>
      <c r="M941" s="19"/>
      <c r="N941" s="19"/>
      <c r="O941" s="19"/>
      <c r="P941" s="20"/>
      <c r="Q941" s="20"/>
      <c r="R941" s="22"/>
      <c r="S941" s="22"/>
      <c r="T941" s="20"/>
      <c r="U941" s="20"/>
      <c r="V941" s="20"/>
      <c r="W941" s="19"/>
      <c r="X941" s="19"/>
      <c r="Y941" s="19"/>
      <c r="Z941" s="23"/>
    </row>
    <row r="942" spans="1:26" ht="15.75" customHeight="1" x14ac:dyDescent="0.2">
      <c r="A942" s="34"/>
      <c r="B942" s="34"/>
      <c r="C942" s="34"/>
      <c r="D942" s="34"/>
      <c r="E942" s="19"/>
      <c r="F942" s="19"/>
      <c r="G942" s="19"/>
      <c r="H942" s="19"/>
      <c r="I942" s="19"/>
      <c r="J942" s="19"/>
      <c r="K942" s="19"/>
      <c r="L942" s="19"/>
      <c r="M942" s="19"/>
      <c r="N942" s="19"/>
      <c r="O942" s="19"/>
      <c r="P942" s="20"/>
      <c r="Q942" s="20"/>
      <c r="R942" s="22"/>
      <c r="S942" s="22"/>
      <c r="T942" s="20"/>
      <c r="U942" s="20"/>
      <c r="V942" s="20"/>
      <c r="W942" s="19"/>
      <c r="X942" s="19"/>
      <c r="Y942" s="19"/>
      <c r="Z942" s="23"/>
    </row>
    <row r="943" spans="1:26" ht="15.75" customHeight="1" x14ac:dyDescent="0.2">
      <c r="A943" s="34"/>
      <c r="B943" s="34"/>
      <c r="C943" s="34"/>
      <c r="D943" s="34"/>
      <c r="E943" s="19"/>
      <c r="F943" s="19"/>
      <c r="G943" s="19"/>
      <c r="H943" s="19"/>
      <c r="I943" s="19"/>
      <c r="J943" s="19"/>
      <c r="K943" s="19"/>
      <c r="L943" s="19"/>
      <c r="M943" s="19"/>
      <c r="N943" s="19"/>
      <c r="O943" s="19"/>
      <c r="P943" s="20"/>
      <c r="Q943" s="20"/>
      <c r="R943" s="22"/>
      <c r="S943" s="22"/>
      <c r="T943" s="20"/>
      <c r="U943" s="20"/>
      <c r="V943" s="20"/>
      <c r="W943" s="19"/>
      <c r="X943" s="19"/>
      <c r="Y943" s="19"/>
      <c r="Z943" s="23"/>
    </row>
    <row r="944" spans="1:26" ht="15.75" customHeight="1" x14ac:dyDescent="0.2">
      <c r="A944" s="34"/>
      <c r="B944" s="34"/>
      <c r="C944" s="34"/>
      <c r="D944" s="34"/>
      <c r="E944" s="19"/>
      <c r="F944" s="19"/>
      <c r="G944" s="19"/>
      <c r="H944" s="19"/>
      <c r="I944" s="19"/>
      <c r="J944" s="19"/>
      <c r="K944" s="19"/>
      <c r="L944" s="19"/>
      <c r="M944" s="19"/>
      <c r="N944" s="19"/>
      <c r="O944" s="19"/>
      <c r="P944" s="20"/>
      <c r="Q944" s="20"/>
      <c r="R944" s="22"/>
      <c r="S944" s="22"/>
      <c r="T944" s="20"/>
      <c r="U944" s="20"/>
      <c r="V944" s="20"/>
      <c r="W944" s="19"/>
      <c r="X944" s="19"/>
      <c r="Y944" s="19"/>
      <c r="Z944" s="23"/>
    </row>
    <row r="945" spans="1:26" ht="15.75" customHeight="1" x14ac:dyDescent="0.2">
      <c r="A945" s="34"/>
      <c r="B945" s="34"/>
      <c r="C945" s="34"/>
      <c r="D945" s="34"/>
      <c r="E945" s="19"/>
      <c r="F945" s="19"/>
      <c r="G945" s="19"/>
      <c r="H945" s="19"/>
      <c r="I945" s="19"/>
      <c r="J945" s="19"/>
      <c r="K945" s="19"/>
      <c r="L945" s="19"/>
      <c r="M945" s="19"/>
      <c r="N945" s="19"/>
      <c r="O945" s="19"/>
      <c r="P945" s="20"/>
      <c r="Q945" s="20"/>
      <c r="R945" s="22"/>
      <c r="S945" s="22"/>
      <c r="T945" s="20"/>
      <c r="U945" s="20"/>
      <c r="V945" s="20"/>
      <c r="W945" s="19"/>
      <c r="X945" s="19"/>
      <c r="Y945" s="19"/>
      <c r="Z945" s="23"/>
    </row>
    <row r="946" spans="1:26" ht="15.75" customHeight="1" x14ac:dyDescent="0.2">
      <c r="A946" s="34"/>
      <c r="B946" s="34"/>
      <c r="C946" s="34"/>
      <c r="D946" s="34"/>
      <c r="E946" s="19"/>
      <c r="F946" s="19"/>
      <c r="G946" s="19"/>
      <c r="H946" s="19"/>
      <c r="I946" s="19"/>
      <c r="J946" s="19"/>
      <c r="K946" s="19"/>
      <c r="L946" s="19"/>
      <c r="M946" s="19"/>
      <c r="N946" s="19"/>
      <c r="O946" s="19"/>
      <c r="P946" s="20"/>
      <c r="Q946" s="20"/>
      <c r="R946" s="22"/>
      <c r="S946" s="22"/>
      <c r="T946" s="20"/>
      <c r="U946" s="20"/>
      <c r="V946" s="20"/>
      <c r="W946" s="19"/>
      <c r="X946" s="19"/>
      <c r="Y946" s="19"/>
      <c r="Z946" s="23"/>
    </row>
    <row r="947" spans="1:26" ht="15.75" customHeight="1" x14ac:dyDescent="0.2">
      <c r="A947" s="34"/>
      <c r="B947" s="34"/>
      <c r="C947" s="34"/>
      <c r="D947" s="34"/>
      <c r="E947" s="19"/>
      <c r="F947" s="19"/>
      <c r="G947" s="19"/>
      <c r="H947" s="19"/>
      <c r="I947" s="19"/>
      <c r="J947" s="19"/>
      <c r="K947" s="19"/>
      <c r="L947" s="19"/>
      <c r="M947" s="19"/>
      <c r="N947" s="19"/>
      <c r="O947" s="19"/>
      <c r="P947" s="20"/>
      <c r="Q947" s="20"/>
      <c r="R947" s="22"/>
      <c r="S947" s="22"/>
      <c r="T947" s="20"/>
      <c r="U947" s="20"/>
      <c r="V947" s="20"/>
      <c r="W947" s="19"/>
      <c r="X947" s="19"/>
      <c r="Y947" s="19"/>
      <c r="Z947" s="23"/>
    </row>
    <row r="948" spans="1:26" ht="15.75" customHeight="1" x14ac:dyDescent="0.2">
      <c r="A948" s="34"/>
      <c r="B948" s="34"/>
      <c r="C948" s="34"/>
      <c r="D948" s="34"/>
      <c r="E948" s="19"/>
      <c r="F948" s="19"/>
      <c r="G948" s="19"/>
      <c r="H948" s="19"/>
      <c r="I948" s="19"/>
      <c r="J948" s="19"/>
      <c r="K948" s="19"/>
      <c r="L948" s="19"/>
      <c r="M948" s="19"/>
      <c r="N948" s="19"/>
      <c r="O948" s="19"/>
      <c r="P948" s="20"/>
      <c r="Q948" s="20"/>
      <c r="R948" s="22"/>
      <c r="S948" s="22"/>
      <c r="T948" s="20"/>
      <c r="U948" s="20"/>
      <c r="V948" s="20"/>
      <c r="W948" s="19"/>
      <c r="X948" s="19"/>
      <c r="Y948" s="19"/>
      <c r="Z948" s="23"/>
    </row>
    <row r="949" spans="1:26" ht="15.75" customHeight="1" x14ac:dyDescent="0.2">
      <c r="A949" s="34"/>
      <c r="B949" s="34"/>
      <c r="C949" s="34"/>
      <c r="D949" s="34"/>
      <c r="E949" s="19"/>
      <c r="F949" s="19"/>
      <c r="G949" s="19"/>
      <c r="H949" s="19"/>
      <c r="I949" s="19"/>
      <c r="J949" s="19"/>
      <c r="K949" s="19"/>
      <c r="L949" s="19"/>
      <c r="M949" s="19"/>
      <c r="N949" s="19"/>
      <c r="O949" s="19"/>
      <c r="P949" s="20"/>
      <c r="Q949" s="20"/>
      <c r="R949" s="22"/>
      <c r="S949" s="22"/>
      <c r="T949" s="20"/>
      <c r="U949" s="20"/>
      <c r="V949" s="20"/>
      <c r="W949" s="19"/>
      <c r="X949" s="19"/>
      <c r="Y949" s="19"/>
      <c r="Z949" s="23"/>
    </row>
    <row r="950" spans="1:26" ht="15.75" customHeight="1" x14ac:dyDescent="0.2">
      <c r="A950" s="34"/>
      <c r="B950" s="34"/>
      <c r="C950" s="34"/>
      <c r="D950" s="34"/>
      <c r="E950" s="19"/>
      <c r="F950" s="19"/>
      <c r="G950" s="19"/>
      <c r="H950" s="19"/>
      <c r="I950" s="19"/>
      <c r="J950" s="19"/>
      <c r="K950" s="19"/>
      <c r="L950" s="19"/>
      <c r="M950" s="19"/>
      <c r="N950" s="19"/>
      <c r="O950" s="19"/>
      <c r="P950" s="20"/>
      <c r="Q950" s="20"/>
      <c r="R950" s="22"/>
      <c r="S950" s="22"/>
      <c r="T950" s="20"/>
      <c r="U950" s="20"/>
      <c r="V950" s="20"/>
      <c r="W950" s="19"/>
      <c r="X950" s="19"/>
      <c r="Y950" s="19"/>
      <c r="Z950" s="23"/>
    </row>
    <row r="951" spans="1:26" ht="15.75" customHeight="1" x14ac:dyDescent="0.2">
      <c r="A951" s="34"/>
      <c r="B951" s="34"/>
      <c r="C951" s="34"/>
      <c r="D951" s="34"/>
      <c r="E951" s="19"/>
      <c r="F951" s="19"/>
      <c r="G951" s="19"/>
      <c r="H951" s="19"/>
      <c r="I951" s="19"/>
      <c r="J951" s="19"/>
      <c r="K951" s="19"/>
      <c r="L951" s="19"/>
      <c r="M951" s="19"/>
      <c r="N951" s="19"/>
      <c r="O951" s="19"/>
      <c r="P951" s="20"/>
      <c r="Q951" s="20"/>
      <c r="R951" s="22"/>
      <c r="S951" s="22"/>
      <c r="T951" s="20"/>
      <c r="U951" s="20"/>
      <c r="V951" s="20"/>
      <c r="W951" s="19"/>
      <c r="X951" s="19"/>
      <c r="Y951" s="19"/>
      <c r="Z951" s="23"/>
    </row>
    <row r="952" spans="1:26" ht="15.75" customHeight="1" x14ac:dyDescent="0.2">
      <c r="A952" s="34"/>
      <c r="B952" s="34"/>
      <c r="C952" s="34"/>
      <c r="D952" s="34"/>
      <c r="E952" s="19"/>
      <c r="F952" s="19"/>
      <c r="G952" s="19"/>
      <c r="H952" s="19"/>
      <c r="I952" s="19"/>
      <c r="J952" s="19"/>
      <c r="K952" s="19"/>
      <c r="L952" s="19"/>
      <c r="M952" s="19"/>
      <c r="N952" s="19"/>
      <c r="O952" s="19"/>
      <c r="P952" s="20"/>
      <c r="Q952" s="20"/>
      <c r="R952" s="22"/>
      <c r="S952" s="22"/>
      <c r="T952" s="20"/>
      <c r="U952" s="20"/>
      <c r="V952" s="20"/>
      <c r="W952" s="19"/>
      <c r="X952" s="19"/>
      <c r="Y952" s="19"/>
      <c r="Z952" s="23"/>
    </row>
    <row r="953" spans="1:26" ht="15.75" customHeight="1" x14ac:dyDescent="0.2">
      <c r="A953" s="34"/>
      <c r="B953" s="34"/>
      <c r="C953" s="34"/>
      <c r="D953" s="34"/>
      <c r="E953" s="19"/>
      <c r="F953" s="19"/>
      <c r="G953" s="19"/>
      <c r="H953" s="19"/>
      <c r="I953" s="19"/>
      <c r="J953" s="19"/>
      <c r="K953" s="19"/>
      <c r="L953" s="19"/>
      <c r="M953" s="19"/>
      <c r="N953" s="19"/>
      <c r="O953" s="19"/>
      <c r="P953" s="20"/>
      <c r="Q953" s="20"/>
      <c r="R953" s="22"/>
      <c r="S953" s="22"/>
      <c r="T953" s="20"/>
      <c r="U953" s="20"/>
      <c r="V953" s="20"/>
      <c r="W953" s="19"/>
      <c r="X953" s="19"/>
      <c r="Y953" s="19"/>
      <c r="Z953" s="23"/>
    </row>
    <row r="954" spans="1:26" ht="15.75" customHeight="1" x14ac:dyDescent="0.2">
      <c r="A954" s="34"/>
      <c r="B954" s="34"/>
      <c r="C954" s="34"/>
      <c r="D954" s="34"/>
      <c r="E954" s="19"/>
      <c r="F954" s="19"/>
      <c r="G954" s="19"/>
      <c r="H954" s="19"/>
      <c r="I954" s="19"/>
      <c r="J954" s="19"/>
      <c r="K954" s="19"/>
      <c r="L954" s="19"/>
      <c r="M954" s="19"/>
      <c r="N954" s="19"/>
      <c r="O954" s="19"/>
      <c r="P954" s="20"/>
      <c r="Q954" s="20"/>
      <c r="R954" s="22"/>
      <c r="S954" s="22"/>
      <c r="T954" s="20"/>
      <c r="U954" s="20"/>
      <c r="V954" s="20"/>
      <c r="W954" s="19"/>
      <c r="X954" s="19"/>
      <c r="Y954" s="19"/>
      <c r="Z954" s="23"/>
    </row>
    <row r="955" spans="1:26" ht="15.75" customHeight="1" x14ac:dyDescent="0.2">
      <c r="A955" s="34"/>
      <c r="B955" s="34"/>
      <c r="C955" s="34"/>
      <c r="D955" s="34"/>
      <c r="E955" s="19"/>
      <c r="F955" s="19"/>
      <c r="G955" s="19"/>
      <c r="H955" s="19"/>
      <c r="I955" s="19"/>
      <c r="J955" s="19"/>
      <c r="K955" s="19"/>
      <c r="L955" s="19"/>
      <c r="M955" s="19"/>
      <c r="N955" s="19"/>
      <c r="O955" s="19"/>
      <c r="P955" s="20"/>
      <c r="Q955" s="20"/>
      <c r="R955" s="22"/>
      <c r="S955" s="22"/>
      <c r="T955" s="20"/>
      <c r="U955" s="20"/>
      <c r="V955" s="20"/>
      <c r="W955" s="19"/>
      <c r="X955" s="19"/>
      <c r="Y955" s="19"/>
      <c r="Z955" s="23"/>
    </row>
    <row r="956" spans="1:26" ht="15.75" customHeight="1" x14ac:dyDescent="0.2">
      <c r="A956" s="34"/>
      <c r="B956" s="34"/>
      <c r="C956" s="34"/>
      <c r="D956" s="34"/>
      <c r="E956" s="19"/>
      <c r="F956" s="19"/>
      <c r="G956" s="19"/>
      <c r="H956" s="19"/>
      <c r="I956" s="19"/>
      <c r="J956" s="19"/>
      <c r="K956" s="19"/>
      <c r="L956" s="19"/>
      <c r="M956" s="19"/>
      <c r="N956" s="19"/>
      <c r="O956" s="19"/>
      <c r="P956" s="20"/>
      <c r="Q956" s="20"/>
      <c r="R956" s="22"/>
      <c r="S956" s="22"/>
      <c r="T956" s="20"/>
      <c r="U956" s="20"/>
      <c r="V956" s="20"/>
      <c r="W956" s="19"/>
      <c r="X956" s="19"/>
      <c r="Y956" s="19"/>
      <c r="Z956" s="23"/>
    </row>
    <row r="957" spans="1:26" ht="15.75" customHeight="1" x14ac:dyDescent="0.2">
      <c r="A957" s="34"/>
      <c r="B957" s="34"/>
      <c r="C957" s="34"/>
      <c r="D957" s="34"/>
      <c r="E957" s="19"/>
      <c r="F957" s="19"/>
      <c r="G957" s="19"/>
      <c r="H957" s="19"/>
      <c r="I957" s="19"/>
      <c r="J957" s="19"/>
      <c r="K957" s="19"/>
      <c r="L957" s="19"/>
      <c r="M957" s="19"/>
      <c r="N957" s="19"/>
      <c r="O957" s="19"/>
      <c r="P957" s="20"/>
      <c r="Q957" s="20"/>
      <c r="R957" s="22"/>
      <c r="S957" s="22"/>
      <c r="T957" s="20"/>
      <c r="U957" s="20"/>
      <c r="V957" s="20"/>
      <c r="W957" s="19"/>
      <c r="X957" s="19"/>
      <c r="Y957" s="19"/>
      <c r="Z957" s="23"/>
    </row>
    <row r="958" spans="1:26" ht="15.75" customHeight="1" x14ac:dyDescent="0.2">
      <c r="A958" s="34"/>
      <c r="B958" s="34"/>
      <c r="C958" s="34"/>
      <c r="D958" s="34"/>
      <c r="E958" s="19"/>
      <c r="F958" s="19"/>
      <c r="G958" s="19"/>
      <c r="H958" s="19"/>
      <c r="I958" s="19"/>
      <c r="J958" s="19"/>
      <c r="K958" s="19"/>
      <c r="L958" s="19"/>
      <c r="M958" s="19"/>
      <c r="N958" s="19"/>
      <c r="O958" s="19"/>
      <c r="P958" s="20"/>
      <c r="Q958" s="20"/>
      <c r="R958" s="22"/>
      <c r="S958" s="22"/>
      <c r="T958" s="20"/>
      <c r="U958" s="20"/>
      <c r="V958" s="20"/>
      <c r="W958" s="19"/>
      <c r="X958" s="19"/>
      <c r="Y958" s="19"/>
      <c r="Z958" s="23"/>
    </row>
    <row r="959" spans="1:26" ht="15.75" customHeight="1" x14ac:dyDescent="0.2">
      <c r="A959" s="34"/>
      <c r="B959" s="34"/>
      <c r="C959" s="34"/>
      <c r="D959" s="34"/>
      <c r="E959" s="19"/>
      <c r="F959" s="19"/>
      <c r="G959" s="19"/>
      <c r="H959" s="19"/>
      <c r="I959" s="19"/>
      <c r="J959" s="19"/>
      <c r="K959" s="19"/>
      <c r="L959" s="19"/>
      <c r="M959" s="19"/>
      <c r="N959" s="19"/>
      <c r="O959" s="19"/>
      <c r="P959" s="20"/>
      <c r="Q959" s="20"/>
      <c r="R959" s="22"/>
      <c r="S959" s="22"/>
      <c r="T959" s="20"/>
      <c r="U959" s="20"/>
      <c r="V959" s="20"/>
      <c r="W959" s="19"/>
      <c r="X959" s="19"/>
      <c r="Y959" s="19"/>
      <c r="Z959" s="23"/>
    </row>
    <row r="960" spans="1:26" ht="15.75" customHeight="1" x14ac:dyDescent="0.2">
      <c r="A960" s="34"/>
      <c r="B960" s="34"/>
      <c r="C960" s="34"/>
      <c r="D960" s="34"/>
      <c r="E960" s="19"/>
      <c r="F960" s="19"/>
      <c r="G960" s="19"/>
      <c r="H960" s="19"/>
      <c r="I960" s="19"/>
      <c r="J960" s="19"/>
      <c r="K960" s="19"/>
      <c r="L960" s="19"/>
      <c r="M960" s="19"/>
      <c r="N960" s="19"/>
      <c r="O960" s="19"/>
      <c r="P960" s="20"/>
      <c r="Q960" s="20"/>
      <c r="R960" s="22"/>
      <c r="S960" s="22"/>
      <c r="T960" s="20"/>
      <c r="U960" s="20"/>
      <c r="V960" s="20"/>
      <c r="W960" s="19"/>
      <c r="X960" s="19"/>
      <c r="Y960" s="19"/>
      <c r="Z960" s="23"/>
    </row>
    <row r="961" spans="1:26" ht="15.75" customHeight="1" x14ac:dyDescent="0.2">
      <c r="A961" s="34"/>
      <c r="B961" s="34"/>
      <c r="C961" s="34"/>
      <c r="D961" s="34"/>
      <c r="E961" s="19"/>
      <c r="F961" s="19"/>
      <c r="G961" s="19"/>
      <c r="H961" s="19"/>
      <c r="I961" s="19"/>
      <c r="J961" s="19"/>
      <c r="K961" s="19"/>
      <c r="L961" s="19"/>
      <c r="M961" s="19"/>
      <c r="N961" s="19"/>
      <c r="O961" s="19"/>
      <c r="P961" s="20"/>
      <c r="Q961" s="20"/>
      <c r="R961" s="22"/>
      <c r="S961" s="22"/>
      <c r="T961" s="20"/>
      <c r="U961" s="20"/>
      <c r="V961" s="20"/>
      <c r="W961" s="19"/>
      <c r="X961" s="19"/>
      <c r="Y961" s="19"/>
      <c r="Z961" s="23"/>
    </row>
    <row r="962" spans="1:26" ht="15.75" customHeight="1" x14ac:dyDescent="0.2">
      <c r="A962" s="34"/>
      <c r="B962" s="34"/>
      <c r="C962" s="34"/>
      <c r="D962" s="34"/>
      <c r="E962" s="19"/>
      <c r="F962" s="19"/>
      <c r="G962" s="19"/>
      <c r="H962" s="19"/>
      <c r="I962" s="19"/>
      <c r="J962" s="19"/>
      <c r="K962" s="19"/>
      <c r="L962" s="19"/>
      <c r="M962" s="19"/>
      <c r="N962" s="19"/>
      <c r="O962" s="19"/>
      <c r="P962" s="20"/>
      <c r="Q962" s="20"/>
      <c r="R962" s="22"/>
      <c r="S962" s="22"/>
      <c r="T962" s="20"/>
      <c r="U962" s="20"/>
      <c r="V962" s="20"/>
      <c r="W962" s="19"/>
      <c r="X962" s="19"/>
      <c r="Y962" s="19"/>
      <c r="Z962" s="23"/>
    </row>
    <row r="963" spans="1:26" ht="15.75" customHeight="1" x14ac:dyDescent="0.2">
      <c r="A963" s="34"/>
      <c r="B963" s="34"/>
      <c r="C963" s="34"/>
      <c r="D963" s="34"/>
      <c r="E963" s="19"/>
      <c r="F963" s="19"/>
      <c r="G963" s="19"/>
      <c r="H963" s="19"/>
      <c r="I963" s="19"/>
      <c r="J963" s="19"/>
      <c r="K963" s="19"/>
      <c r="L963" s="19"/>
      <c r="M963" s="19"/>
      <c r="N963" s="19"/>
      <c r="O963" s="19"/>
      <c r="P963" s="20"/>
      <c r="Q963" s="20"/>
      <c r="R963" s="22"/>
      <c r="S963" s="22"/>
      <c r="T963" s="20"/>
      <c r="U963" s="20"/>
      <c r="V963" s="20"/>
      <c r="W963" s="19"/>
      <c r="X963" s="19"/>
      <c r="Y963" s="19"/>
      <c r="Z963" s="23"/>
    </row>
    <row r="964" spans="1:26" ht="15.75" customHeight="1" x14ac:dyDescent="0.2">
      <c r="A964" s="34"/>
      <c r="B964" s="34"/>
      <c r="C964" s="34"/>
      <c r="D964" s="34"/>
      <c r="E964" s="19"/>
      <c r="F964" s="19"/>
      <c r="G964" s="19"/>
      <c r="H964" s="19"/>
      <c r="I964" s="19"/>
      <c r="J964" s="19"/>
      <c r="K964" s="19"/>
      <c r="L964" s="19"/>
      <c r="M964" s="19"/>
      <c r="N964" s="19"/>
      <c r="O964" s="19"/>
      <c r="P964" s="20"/>
      <c r="Q964" s="20"/>
      <c r="R964" s="22"/>
      <c r="S964" s="22"/>
      <c r="T964" s="20"/>
      <c r="U964" s="20"/>
      <c r="V964" s="20"/>
      <c r="W964" s="19"/>
      <c r="X964" s="19"/>
      <c r="Y964" s="19"/>
      <c r="Z964" s="23"/>
    </row>
    <row r="965" spans="1:26" ht="15.75" customHeight="1" x14ac:dyDescent="0.2">
      <c r="A965" s="34"/>
      <c r="B965" s="34"/>
      <c r="C965" s="34"/>
      <c r="D965" s="34"/>
      <c r="E965" s="19"/>
      <c r="F965" s="19"/>
      <c r="G965" s="19"/>
      <c r="H965" s="19"/>
      <c r="I965" s="19"/>
      <c r="J965" s="19"/>
      <c r="K965" s="19"/>
      <c r="L965" s="19"/>
      <c r="M965" s="19"/>
      <c r="N965" s="19"/>
      <c r="O965" s="19"/>
      <c r="P965" s="20"/>
      <c r="Q965" s="20"/>
      <c r="R965" s="22"/>
      <c r="S965" s="22"/>
      <c r="T965" s="20"/>
      <c r="U965" s="20"/>
      <c r="V965" s="20"/>
      <c r="W965" s="19"/>
      <c r="X965" s="19"/>
      <c r="Y965" s="19"/>
      <c r="Z965" s="23"/>
    </row>
    <row r="966" spans="1:26" ht="15.75" customHeight="1" x14ac:dyDescent="0.2">
      <c r="A966" s="34"/>
      <c r="B966" s="34"/>
      <c r="C966" s="34"/>
      <c r="D966" s="34"/>
      <c r="E966" s="19"/>
      <c r="F966" s="19"/>
      <c r="G966" s="19"/>
      <c r="H966" s="19"/>
      <c r="I966" s="19"/>
      <c r="J966" s="19"/>
      <c r="K966" s="19"/>
      <c r="L966" s="19"/>
      <c r="M966" s="19"/>
      <c r="N966" s="19"/>
      <c r="O966" s="19"/>
      <c r="P966" s="20"/>
      <c r="Q966" s="20"/>
      <c r="R966" s="22"/>
      <c r="S966" s="22"/>
      <c r="T966" s="20"/>
      <c r="U966" s="20"/>
      <c r="V966" s="20"/>
      <c r="W966" s="19"/>
      <c r="X966" s="19"/>
      <c r="Y966" s="19"/>
      <c r="Z966" s="23"/>
    </row>
    <row r="967" spans="1:26" ht="15.75" customHeight="1" x14ac:dyDescent="0.2">
      <c r="A967" s="34"/>
      <c r="B967" s="34"/>
      <c r="C967" s="34"/>
      <c r="D967" s="34"/>
      <c r="E967" s="19"/>
      <c r="F967" s="19"/>
      <c r="G967" s="19"/>
      <c r="H967" s="19"/>
      <c r="I967" s="19"/>
      <c r="J967" s="19"/>
      <c r="K967" s="19"/>
      <c r="L967" s="19"/>
      <c r="M967" s="19"/>
      <c r="N967" s="19"/>
      <c r="O967" s="19"/>
      <c r="P967" s="20"/>
      <c r="Q967" s="20"/>
      <c r="R967" s="22"/>
      <c r="S967" s="22"/>
      <c r="T967" s="20"/>
      <c r="U967" s="20"/>
      <c r="V967" s="20"/>
      <c r="W967" s="19"/>
      <c r="X967" s="19"/>
      <c r="Y967" s="19"/>
      <c r="Z967" s="23"/>
    </row>
    <row r="968" spans="1:26" ht="15.75" customHeight="1" x14ac:dyDescent="0.2">
      <c r="A968" s="34"/>
      <c r="B968" s="34"/>
      <c r="C968" s="34"/>
      <c r="D968" s="34"/>
      <c r="E968" s="19"/>
      <c r="F968" s="19"/>
      <c r="G968" s="19"/>
      <c r="H968" s="19"/>
      <c r="I968" s="19"/>
      <c r="J968" s="19"/>
      <c r="K968" s="19"/>
      <c r="L968" s="19"/>
      <c r="M968" s="19"/>
      <c r="N968" s="19"/>
      <c r="O968" s="19"/>
      <c r="P968" s="20"/>
      <c r="Q968" s="20"/>
      <c r="R968" s="22"/>
      <c r="S968" s="22"/>
      <c r="T968" s="20"/>
      <c r="U968" s="20"/>
      <c r="V968" s="20"/>
      <c r="W968" s="19"/>
      <c r="X968" s="19"/>
      <c r="Y968" s="19"/>
      <c r="Z968" s="23"/>
    </row>
    <row r="969" spans="1:26" ht="15.75" customHeight="1" x14ac:dyDescent="0.2">
      <c r="A969" s="34"/>
      <c r="B969" s="34"/>
      <c r="C969" s="34"/>
      <c r="D969" s="34"/>
      <c r="E969" s="19"/>
      <c r="F969" s="19"/>
      <c r="G969" s="19"/>
      <c r="H969" s="19"/>
      <c r="I969" s="19"/>
      <c r="J969" s="19"/>
      <c r="K969" s="19"/>
      <c r="L969" s="19"/>
      <c r="M969" s="19"/>
      <c r="N969" s="19"/>
      <c r="O969" s="19"/>
      <c r="P969" s="20"/>
      <c r="Q969" s="20"/>
      <c r="R969" s="22"/>
      <c r="S969" s="22"/>
      <c r="T969" s="20"/>
      <c r="U969" s="20"/>
      <c r="V969" s="20"/>
      <c r="W969" s="19"/>
      <c r="X969" s="19"/>
      <c r="Y969" s="19"/>
      <c r="Z969" s="23"/>
    </row>
    <row r="970" spans="1:26" ht="15.75" customHeight="1" x14ac:dyDescent="0.2">
      <c r="A970" s="34"/>
      <c r="B970" s="34"/>
      <c r="C970" s="34"/>
      <c r="D970" s="34"/>
      <c r="E970" s="19"/>
      <c r="F970" s="19"/>
      <c r="G970" s="19"/>
      <c r="H970" s="19"/>
      <c r="I970" s="19"/>
      <c r="J970" s="19"/>
      <c r="K970" s="19"/>
      <c r="L970" s="19"/>
      <c r="M970" s="19"/>
      <c r="N970" s="19"/>
      <c r="O970" s="19"/>
      <c r="P970" s="20"/>
      <c r="Q970" s="20"/>
      <c r="R970" s="22"/>
      <c r="S970" s="22"/>
      <c r="T970" s="20"/>
      <c r="U970" s="20"/>
      <c r="V970" s="20"/>
      <c r="W970" s="19"/>
      <c r="X970" s="19"/>
      <c r="Y970" s="19"/>
      <c r="Z970" s="23"/>
    </row>
    <row r="971" spans="1:26" ht="15.75" customHeight="1" x14ac:dyDescent="0.2">
      <c r="A971" s="34"/>
      <c r="B971" s="34"/>
      <c r="C971" s="34"/>
      <c r="D971" s="34"/>
      <c r="E971" s="19"/>
      <c r="F971" s="19"/>
      <c r="G971" s="19"/>
      <c r="H971" s="19"/>
      <c r="I971" s="19"/>
      <c r="J971" s="19"/>
      <c r="K971" s="19"/>
      <c r="L971" s="19"/>
      <c r="M971" s="19"/>
      <c r="N971" s="19"/>
      <c r="O971" s="19"/>
      <c r="P971" s="20"/>
      <c r="Q971" s="20"/>
      <c r="R971" s="22"/>
      <c r="S971" s="22"/>
      <c r="T971" s="20"/>
      <c r="U971" s="20"/>
      <c r="V971" s="20"/>
      <c r="W971" s="19"/>
      <c r="X971" s="19"/>
      <c r="Y971" s="19"/>
      <c r="Z971" s="23"/>
    </row>
    <row r="972" spans="1:26" ht="15.75" customHeight="1" x14ac:dyDescent="0.2">
      <c r="A972" s="34"/>
      <c r="B972" s="34"/>
      <c r="C972" s="34"/>
      <c r="D972" s="34"/>
      <c r="E972" s="19"/>
      <c r="F972" s="19"/>
      <c r="G972" s="19"/>
      <c r="H972" s="19"/>
      <c r="I972" s="19"/>
      <c r="J972" s="19"/>
      <c r="K972" s="19"/>
      <c r="L972" s="19"/>
      <c r="M972" s="19"/>
      <c r="N972" s="19"/>
      <c r="O972" s="19"/>
      <c r="P972" s="20"/>
      <c r="Q972" s="20"/>
      <c r="R972" s="22"/>
      <c r="S972" s="22"/>
      <c r="T972" s="20"/>
      <c r="U972" s="20"/>
      <c r="V972" s="20"/>
      <c r="W972" s="19"/>
      <c r="X972" s="19"/>
      <c r="Y972" s="19"/>
      <c r="Z972" s="23"/>
    </row>
    <row r="973" spans="1:26" ht="15.75" customHeight="1" x14ac:dyDescent="0.2">
      <c r="A973" s="34"/>
      <c r="B973" s="34"/>
      <c r="C973" s="34"/>
      <c r="D973" s="34"/>
      <c r="E973" s="19"/>
      <c r="F973" s="19"/>
      <c r="G973" s="19"/>
      <c r="H973" s="19"/>
      <c r="I973" s="19"/>
      <c r="J973" s="19"/>
      <c r="K973" s="19"/>
      <c r="L973" s="19"/>
      <c r="M973" s="19"/>
      <c r="N973" s="19"/>
      <c r="O973" s="19"/>
      <c r="P973" s="20"/>
      <c r="Q973" s="20"/>
      <c r="R973" s="22"/>
      <c r="S973" s="22"/>
      <c r="T973" s="20"/>
      <c r="U973" s="20"/>
      <c r="V973" s="20"/>
      <c r="W973" s="19"/>
      <c r="X973" s="19"/>
      <c r="Y973" s="19"/>
      <c r="Z973" s="23"/>
    </row>
    <row r="974" spans="1:26" ht="15.75" customHeight="1" x14ac:dyDescent="0.2">
      <c r="A974" s="34"/>
      <c r="B974" s="34"/>
      <c r="C974" s="34"/>
      <c r="D974" s="34"/>
      <c r="E974" s="19"/>
      <c r="F974" s="19"/>
      <c r="G974" s="19"/>
      <c r="H974" s="19"/>
      <c r="I974" s="19"/>
      <c r="J974" s="19"/>
      <c r="K974" s="19"/>
      <c r="L974" s="19"/>
      <c r="M974" s="19"/>
      <c r="N974" s="19"/>
      <c r="O974" s="19"/>
      <c r="P974" s="20"/>
      <c r="Q974" s="20"/>
      <c r="R974" s="22"/>
      <c r="S974" s="22"/>
      <c r="T974" s="20"/>
      <c r="U974" s="20"/>
      <c r="V974" s="20"/>
      <c r="W974" s="19"/>
      <c r="X974" s="19"/>
      <c r="Y974" s="19"/>
      <c r="Z974" s="23"/>
    </row>
    <row r="975" spans="1:26" ht="15.75" customHeight="1" x14ac:dyDescent="0.2">
      <c r="A975" s="34"/>
      <c r="B975" s="34"/>
      <c r="C975" s="34"/>
      <c r="D975" s="34"/>
      <c r="E975" s="19"/>
      <c r="F975" s="19"/>
      <c r="G975" s="19"/>
      <c r="H975" s="19"/>
      <c r="I975" s="19"/>
      <c r="J975" s="19"/>
      <c r="K975" s="19"/>
      <c r="L975" s="19"/>
      <c r="M975" s="19"/>
      <c r="N975" s="19"/>
      <c r="O975" s="19"/>
      <c r="P975" s="20"/>
      <c r="Q975" s="20"/>
      <c r="R975" s="22"/>
      <c r="S975" s="22"/>
      <c r="T975" s="20"/>
      <c r="U975" s="20"/>
      <c r="V975" s="20"/>
      <c r="W975" s="19"/>
      <c r="X975" s="19"/>
      <c r="Y975" s="19"/>
      <c r="Z975" s="23"/>
    </row>
    <row r="976" spans="1:26" ht="15.75" customHeight="1" x14ac:dyDescent="0.2">
      <c r="A976" s="34"/>
      <c r="B976" s="34"/>
      <c r="C976" s="34"/>
      <c r="D976" s="34"/>
      <c r="E976" s="19"/>
      <c r="F976" s="19"/>
      <c r="G976" s="19"/>
      <c r="H976" s="19"/>
      <c r="I976" s="19"/>
      <c r="J976" s="19"/>
      <c r="K976" s="19"/>
      <c r="L976" s="19"/>
      <c r="M976" s="19"/>
      <c r="N976" s="19"/>
      <c r="O976" s="19"/>
      <c r="P976" s="20"/>
      <c r="Q976" s="20"/>
      <c r="R976" s="22"/>
      <c r="S976" s="22"/>
      <c r="T976" s="20"/>
      <c r="U976" s="20"/>
      <c r="V976" s="20"/>
      <c r="W976" s="19"/>
      <c r="X976" s="19"/>
      <c r="Y976" s="19"/>
      <c r="Z976" s="23"/>
    </row>
    <row r="977" spans="1:26" ht="15.75" customHeight="1" x14ac:dyDescent="0.2">
      <c r="A977" s="34"/>
      <c r="B977" s="34"/>
      <c r="C977" s="34"/>
      <c r="D977" s="34"/>
      <c r="E977" s="19"/>
      <c r="F977" s="19"/>
      <c r="G977" s="19"/>
      <c r="H977" s="19"/>
      <c r="I977" s="19"/>
      <c r="J977" s="19"/>
      <c r="K977" s="19"/>
      <c r="L977" s="19"/>
      <c r="M977" s="19"/>
      <c r="N977" s="19"/>
      <c r="O977" s="19"/>
      <c r="P977" s="20"/>
      <c r="Q977" s="20"/>
      <c r="R977" s="22"/>
      <c r="S977" s="22"/>
      <c r="T977" s="20"/>
      <c r="U977" s="20"/>
      <c r="V977" s="20"/>
      <c r="W977" s="19"/>
      <c r="X977" s="19"/>
      <c r="Y977" s="19"/>
      <c r="Z977" s="23"/>
    </row>
    <row r="978" spans="1:26" ht="15.75" customHeight="1" x14ac:dyDescent="0.2">
      <c r="A978" s="34"/>
      <c r="B978" s="34"/>
      <c r="C978" s="34"/>
      <c r="D978" s="34"/>
      <c r="E978" s="19"/>
      <c r="F978" s="19"/>
      <c r="G978" s="19"/>
      <c r="H978" s="19"/>
      <c r="I978" s="19"/>
      <c r="J978" s="19"/>
      <c r="K978" s="19"/>
      <c r="L978" s="19"/>
      <c r="M978" s="19"/>
      <c r="N978" s="19"/>
      <c r="O978" s="19"/>
      <c r="P978" s="20"/>
      <c r="Q978" s="20"/>
      <c r="R978" s="22"/>
      <c r="S978" s="22"/>
      <c r="T978" s="20"/>
      <c r="U978" s="20"/>
      <c r="V978" s="20"/>
      <c r="W978" s="19"/>
      <c r="X978" s="19"/>
      <c r="Y978" s="19"/>
      <c r="Z978" s="23"/>
    </row>
    <row r="979" spans="1:26" ht="15.75" customHeight="1" x14ac:dyDescent="0.2">
      <c r="A979" s="34"/>
      <c r="B979" s="34"/>
      <c r="C979" s="34"/>
      <c r="D979" s="34"/>
      <c r="E979" s="19"/>
      <c r="F979" s="19"/>
      <c r="G979" s="19"/>
      <c r="H979" s="19"/>
      <c r="I979" s="19"/>
      <c r="J979" s="19"/>
      <c r="K979" s="19"/>
      <c r="L979" s="19"/>
      <c r="M979" s="19"/>
      <c r="N979" s="19"/>
      <c r="O979" s="19"/>
      <c r="P979" s="20"/>
      <c r="Q979" s="20"/>
      <c r="R979" s="22"/>
      <c r="S979" s="22"/>
      <c r="T979" s="20"/>
      <c r="U979" s="20"/>
      <c r="V979" s="20"/>
      <c r="W979" s="19"/>
      <c r="X979" s="19"/>
      <c r="Y979" s="19"/>
      <c r="Z979" s="23"/>
    </row>
    <row r="980" spans="1:26" ht="15.75" customHeight="1" x14ac:dyDescent="0.2">
      <c r="A980" s="34"/>
      <c r="B980" s="34"/>
      <c r="C980" s="34"/>
      <c r="D980" s="34"/>
      <c r="E980" s="19"/>
      <c r="F980" s="19"/>
      <c r="G980" s="19"/>
      <c r="H980" s="19"/>
      <c r="I980" s="19"/>
      <c r="J980" s="19"/>
      <c r="K980" s="19"/>
      <c r="L980" s="19"/>
      <c r="M980" s="19"/>
      <c r="N980" s="19"/>
      <c r="O980" s="19"/>
      <c r="P980" s="20"/>
      <c r="Q980" s="20"/>
      <c r="R980" s="22"/>
      <c r="S980" s="22"/>
      <c r="T980" s="20"/>
      <c r="U980" s="20"/>
      <c r="V980" s="20"/>
      <c r="W980" s="19"/>
      <c r="X980" s="19"/>
      <c r="Y980" s="19"/>
      <c r="Z980" s="23"/>
    </row>
    <row r="981" spans="1:26" ht="15.75" customHeight="1" x14ac:dyDescent="0.2">
      <c r="A981" s="34"/>
      <c r="B981" s="34"/>
      <c r="C981" s="34"/>
      <c r="D981" s="34"/>
      <c r="E981" s="19"/>
      <c r="F981" s="19"/>
      <c r="G981" s="19"/>
      <c r="H981" s="19"/>
      <c r="I981" s="19"/>
      <c r="J981" s="19"/>
      <c r="K981" s="19"/>
      <c r="L981" s="19"/>
      <c r="M981" s="19"/>
      <c r="N981" s="19"/>
      <c r="O981" s="19"/>
      <c r="P981" s="20"/>
      <c r="Q981" s="20"/>
      <c r="R981" s="22"/>
      <c r="S981" s="22"/>
      <c r="T981" s="20"/>
      <c r="U981" s="20"/>
      <c r="V981" s="20"/>
      <c r="W981" s="19"/>
      <c r="X981" s="19"/>
      <c r="Y981" s="19"/>
      <c r="Z981" s="23"/>
    </row>
    <row r="982" spans="1:26" ht="15.75" customHeight="1" x14ac:dyDescent="0.2">
      <c r="A982" s="34"/>
      <c r="B982" s="34"/>
      <c r="C982" s="34"/>
      <c r="D982" s="34"/>
      <c r="E982" s="19"/>
      <c r="F982" s="19"/>
      <c r="G982" s="19"/>
      <c r="H982" s="19"/>
      <c r="I982" s="19"/>
      <c r="J982" s="19"/>
      <c r="K982" s="19"/>
      <c r="L982" s="19"/>
      <c r="M982" s="19"/>
      <c r="N982" s="19"/>
      <c r="O982" s="19"/>
      <c r="P982" s="20"/>
      <c r="Q982" s="20"/>
      <c r="R982" s="22"/>
      <c r="S982" s="22"/>
      <c r="T982" s="20"/>
      <c r="U982" s="20"/>
      <c r="V982" s="20"/>
      <c r="W982" s="19"/>
      <c r="X982" s="19"/>
      <c r="Y982" s="19"/>
      <c r="Z982" s="23"/>
    </row>
    <row r="983" spans="1:26" ht="15.75" customHeight="1" x14ac:dyDescent="0.2">
      <c r="A983" s="34"/>
      <c r="B983" s="34"/>
      <c r="C983" s="34"/>
      <c r="D983" s="34"/>
      <c r="E983" s="19"/>
      <c r="F983" s="19"/>
      <c r="G983" s="19"/>
      <c r="H983" s="19"/>
      <c r="I983" s="19"/>
      <c r="J983" s="19"/>
      <c r="K983" s="19"/>
      <c r="L983" s="19"/>
      <c r="M983" s="19"/>
      <c r="N983" s="19"/>
      <c r="O983" s="19"/>
      <c r="P983" s="20"/>
      <c r="Q983" s="20"/>
      <c r="R983" s="22"/>
      <c r="S983" s="22"/>
      <c r="T983" s="20"/>
      <c r="U983" s="20"/>
      <c r="V983" s="20"/>
      <c r="W983" s="19"/>
      <c r="X983" s="19"/>
      <c r="Y983" s="19"/>
      <c r="Z983" s="23"/>
    </row>
    <row r="984" spans="1:26" ht="15.75" customHeight="1" x14ac:dyDescent="0.2">
      <c r="A984" s="34"/>
      <c r="B984" s="34"/>
      <c r="C984" s="34"/>
      <c r="D984" s="34"/>
      <c r="E984" s="19"/>
      <c r="F984" s="19"/>
      <c r="G984" s="19"/>
      <c r="H984" s="19"/>
      <c r="I984" s="19"/>
      <c r="J984" s="19"/>
      <c r="K984" s="19"/>
      <c r="L984" s="19"/>
      <c r="M984" s="19"/>
      <c r="N984" s="19"/>
      <c r="O984" s="19"/>
      <c r="P984" s="20"/>
      <c r="Q984" s="20"/>
      <c r="R984" s="22"/>
      <c r="S984" s="22"/>
      <c r="T984" s="20"/>
      <c r="U984" s="20"/>
      <c r="V984" s="20"/>
      <c r="W984" s="19"/>
      <c r="X984" s="19"/>
      <c r="Y984" s="19"/>
      <c r="Z984" s="23"/>
    </row>
    <row r="985" spans="1:26" ht="15.75" customHeight="1" x14ac:dyDescent="0.2">
      <c r="A985" s="34"/>
      <c r="B985" s="34"/>
      <c r="C985" s="34"/>
      <c r="D985" s="34"/>
      <c r="E985" s="19"/>
      <c r="F985" s="19"/>
      <c r="G985" s="19"/>
      <c r="H985" s="19"/>
      <c r="I985" s="19"/>
      <c r="J985" s="19"/>
      <c r="K985" s="19"/>
      <c r="L985" s="19"/>
      <c r="M985" s="19"/>
      <c r="N985" s="19"/>
      <c r="O985" s="19"/>
      <c r="P985" s="20"/>
      <c r="Q985" s="20"/>
      <c r="R985" s="22"/>
      <c r="S985" s="22"/>
      <c r="T985" s="20"/>
      <c r="U985" s="20"/>
      <c r="V985" s="20"/>
      <c r="W985" s="19"/>
      <c r="X985" s="19"/>
      <c r="Y985" s="19"/>
      <c r="Z985" s="23"/>
    </row>
    <row r="986" spans="1:26" ht="15.75" customHeight="1" x14ac:dyDescent="0.2">
      <c r="A986" s="34"/>
      <c r="B986" s="34"/>
      <c r="C986" s="34"/>
      <c r="D986" s="34"/>
      <c r="E986" s="19"/>
      <c r="F986" s="19"/>
      <c r="G986" s="19"/>
      <c r="H986" s="19"/>
      <c r="I986" s="19"/>
      <c r="J986" s="19"/>
      <c r="K986" s="19"/>
      <c r="L986" s="19"/>
      <c r="M986" s="19"/>
      <c r="N986" s="19"/>
      <c r="O986" s="19"/>
      <c r="P986" s="20"/>
      <c r="Q986" s="20"/>
      <c r="R986" s="22"/>
      <c r="S986" s="22"/>
      <c r="T986" s="20"/>
      <c r="U986" s="20"/>
      <c r="V986" s="20"/>
      <c r="W986" s="19"/>
      <c r="X986" s="19"/>
      <c r="Y986" s="19"/>
      <c r="Z986" s="23"/>
    </row>
    <row r="987" spans="1:26" ht="15.75" customHeight="1" x14ac:dyDescent="0.2">
      <c r="A987" s="34"/>
      <c r="B987" s="34"/>
      <c r="C987" s="34"/>
      <c r="D987" s="34"/>
      <c r="E987" s="19"/>
      <c r="F987" s="19"/>
      <c r="G987" s="19"/>
      <c r="H987" s="19"/>
      <c r="I987" s="19"/>
      <c r="J987" s="19"/>
      <c r="K987" s="19"/>
      <c r="L987" s="19"/>
      <c r="M987" s="19"/>
      <c r="N987" s="19"/>
      <c r="O987" s="19"/>
      <c r="P987" s="20"/>
      <c r="Q987" s="20"/>
      <c r="R987" s="22"/>
      <c r="S987" s="22"/>
      <c r="T987" s="20"/>
      <c r="U987" s="20"/>
      <c r="V987" s="20"/>
      <c r="W987" s="19"/>
      <c r="X987" s="19"/>
      <c r="Y987" s="19"/>
      <c r="Z987" s="23"/>
    </row>
    <row r="988" spans="1:26" ht="15.75" customHeight="1" x14ac:dyDescent="0.2">
      <c r="A988" s="34"/>
      <c r="B988" s="34"/>
      <c r="C988" s="34"/>
      <c r="D988" s="34"/>
      <c r="E988" s="19"/>
      <c r="F988" s="19"/>
      <c r="G988" s="19"/>
      <c r="H988" s="19"/>
      <c r="I988" s="19"/>
      <c r="J988" s="19"/>
      <c r="K988" s="19"/>
      <c r="L988" s="19"/>
      <c r="M988" s="19"/>
      <c r="N988" s="19"/>
      <c r="O988" s="19"/>
      <c r="P988" s="20"/>
      <c r="Q988" s="20"/>
      <c r="R988" s="22"/>
      <c r="S988" s="22"/>
      <c r="T988" s="20"/>
      <c r="U988" s="20"/>
      <c r="V988" s="20"/>
      <c r="W988" s="19"/>
      <c r="X988" s="19"/>
      <c r="Y988" s="19"/>
      <c r="Z988" s="23"/>
    </row>
    <row r="989" spans="1:26" ht="15.75" customHeight="1" x14ac:dyDescent="0.2">
      <c r="A989" s="34"/>
      <c r="B989" s="34"/>
      <c r="C989" s="34"/>
      <c r="D989" s="34"/>
      <c r="E989" s="19"/>
      <c r="F989" s="19"/>
      <c r="G989" s="19"/>
      <c r="H989" s="19"/>
      <c r="I989" s="19"/>
      <c r="J989" s="19"/>
      <c r="K989" s="19"/>
      <c r="L989" s="19"/>
      <c r="M989" s="19"/>
      <c r="N989" s="19"/>
      <c r="O989" s="19"/>
      <c r="P989" s="20"/>
      <c r="Q989" s="20"/>
      <c r="R989" s="22"/>
      <c r="S989" s="22"/>
      <c r="T989" s="20"/>
      <c r="U989" s="20"/>
      <c r="V989" s="20"/>
      <c r="W989" s="19"/>
      <c r="X989" s="19"/>
      <c r="Y989" s="19"/>
      <c r="Z989" s="23"/>
    </row>
    <row r="990" spans="1:26" ht="15.75" customHeight="1" x14ac:dyDescent="0.2">
      <c r="A990" s="34"/>
      <c r="B990" s="34"/>
      <c r="C990" s="34"/>
      <c r="D990" s="34"/>
      <c r="E990" s="19"/>
      <c r="F990" s="19"/>
      <c r="G990" s="19"/>
      <c r="H990" s="19"/>
      <c r="I990" s="19"/>
      <c r="J990" s="19"/>
      <c r="K990" s="19"/>
      <c r="L990" s="19"/>
      <c r="M990" s="19"/>
      <c r="N990" s="19"/>
      <c r="O990" s="19"/>
      <c r="P990" s="20"/>
      <c r="Q990" s="20"/>
      <c r="R990" s="22"/>
      <c r="S990" s="22"/>
      <c r="T990" s="20"/>
      <c r="U990" s="20"/>
      <c r="V990" s="20"/>
      <c r="W990" s="19"/>
      <c r="X990" s="19"/>
      <c r="Y990" s="19"/>
      <c r="Z990" s="23"/>
    </row>
    <row r="991" spans="1:26" ht="15.75" customHeight="1" x14ac:dyDescent="0.2">
      <c r="A991" s="34"/>
      <c r="B991" s="34"/>
      <c r="C991" s="34"/>
      <c r="D991" s="34"/>
      <c r="E991" s="19"/>
      <c r="F991" s="19"/>
      <c r="G991" s="19"/>
      <c r="H991" s="19"/>
      <c r="I991" s="19"/>
      <c r="J991" s="19"/>
      <c r="K991" s="19"/>
      <c r="L991" s="19"/>
      <c r="M991" s="19"/>
      <c r="N991" s="19"/>
      <c r="O991" s="19"/>
      <c r="P991" s="20"/>
      <c r="Q991" s="20"/>
      <c r="R991" s="22"/>
      <c r="S991" s="22"/>
      <c r="T991" s="20"/>
      <c r="U991" s="20"/>
      <c r="V991" s="20"/>
      <c r="W991" s="19"/>
      <c r="X991" s="19"/>
      <c r="Y991" s="19"/>
      <c r="Z991" s="23"/>
    </row>
    <row r="992" spans="1:26" ht="15.75" customHeight="1" x14ac:dyDescent="0.2">
      <c r="A992" s="34"/>
      <c r="B992" s="34"/>
      <c r="C992" s="34"/>
      <c r="D992" s="34"/>
      <c r="E992" s="19"/>
      <c r="F992" s="19"/>
      <c r="G992" s="19"/>
      <c r="H992" s="19"/>
      <c r="I992" s="19"/>
      <c r="J992" s="19"/>
      <c r="K992" s="19"/>
      <c r="L992" s="19"/>
      <c r="M992" s="19"/>
      <c r="N992" s="19"/>
      <c r="O992" s="19"/>
      <c r="P992" s="20"/>
      <c r="Q992" s="20"/>
      <c r="R992" s="22"/>
      <c r="S992" s="22"/>
      <c r="T992" s="20"/>
      <c r="U992" s="20"/>
      <c r="V992" s="20"/>
      <c r="W992" s="19"/>
      <c r="X992" s="19"/>
      <c r="Y992" s="19"/>
      <c r="Z992" s="23"/>
    </row>
    <row r="993" spans="1:26" ht="15.75" customHeight="1" x14ac:dyDescent="0.2">
      <c r="A993" s="34"/>
      <c r="B993" s="34"/>
      <c r="C993" s="34"/>
      <c r="D993" s="34"/>
      <c r="E993" s="19"/>
      <c r="F993" s="19"/>
      <c r="G993" s="19"/>
      <c r="H993" s="19"/>
      <c r="I993" s="19"/>
      <c r="J993" s="19"/>
      <c r="K993" s="19"/>
      <c r="L993" s="19"/>
      <c r="M993" s="19"/>
      <c r="N993" s="19"/>
      <c r="O993" s="19"/>
      <c r="P993" s="20"/>
      <c r="Q993" s="20"/>
      <c r="R993" s="22"/>
      <c r="S993" s="22"/>
      <c r="T993" s="20"/>
      <c r="U993" s="20"/>
      <c r="V993" s="20"/>
      <c r="W993" s="19"/>
      <c r="X993" s="19"/>
      <c r="Y993" s="19"/>
      <c r="Z993" s="23"/>
    </row>
    <row r="994" spans="1:26" ht="15.75" customHeight="1" x14ac:dyDescent="0.2">
      <c r="A994" s="34"/>
      <c r="B994" s="34"/>
      <c r="C994" s="34"/>
      <c r="D994" s="34"/>
      <c r="E994" s="19"/>
      <c r="F994" s="19"/>
      <c r="G994" s="19"/>
      <c r="H994" s="19"/>
      <c r="I994" s="19"/>
      <c r="J994" s="19"/>
      <c r="K994" s="19"/>
      <c r="L994" s="19"/>
      <c r="M994" s="19"/>
      <c r="N994" s="19"/>
      <c r="O994" s="19"/>
      <c r="P994" s="20"/>
      <c r="Q994" s="20"/>
      <c r="R994" s="22"/>
      <c r="S994" s="22"/>
      <c r="T994" s="20"/>
      <c r="U994" s="20"/>
      <c r="V994" s="20"/>
      <c r="W994" s="19"/>
      <c r="X994" s="19"/>
      <c r="Y994" s="19"/>
      <c r="Z994" s="23"/>
    </row>
    <row r="995" spans="1:26" ht="15.75" customHeight="1" x14ac:dyDescent="0.2">
      <c r="A995" s="34"/>
      <c r="B995" s="34"/>
      <c r="C995" s="34"/>
      <c r="D995" s="34"/>
      <c r="E995" s="19"/>
      <c r="F995" s="19"/>
      <c r="G995" s="19"/>
      <c r="H995" s="19"/>
      <c r="I995" s="19"/>
      <c r="J995" s="19"/>
      <c r="K995" s="19"/>
      <c r="L995" s="19"/>
      <c r="M995" s="19"/>
      <c r="N995" s="19"/>
      <c r="O995" s="19"/>
      <c r="P995" s="20"/>
      <c r="Q995" s="20"/>
      <c r="R995" s="22"/>
      <c r="S995" s="22"/>
      <c r="T995" s="20"/>
      <c r="U995" s="20"/>
      <c r="V995" s="20"/>
      <c r="W995" s="19"/>
      <c r="X995" s="19"/>
      <c r="Y995" s="19"/>
      <c r="Z995" s="23"/>
    </row>
    <row r="996" spans="1:26" ht="15.75" customHeight="1" x14ac:dyDescent="0.2">
      <c r="A996" s="34"/>
      <c r="B996" s="34"/>
      <c r="C996" s="34"/>
      <c r="D996" s="34"/>
      <c r="E996" s="19"/>
      <c r="F996" s="19"/>
      <c r="G996" s="19"/>
      <c r="H996" s="19"/>
      <c r="I996" s="19"/>
      <c r="J996" s="19"/>
      <c r="K996" s="19"/>
      <c r="L996" s="19"/>
      <c r="M996" s="19"/>
      <c r="N996" s="19"/>
      <c r="O996" s="19"/>
      <c r="P996" s="20"/>
      <c r="Q996" s="20"/>
      <c r="R996" s="22"/>
      <c r="S996" s="22"/>
      <c r="T996" s="20"/>
      <c r="U996" s="20"/>
      <c r="V996" s="20"/>
      <c r="W996" s="19"/>
      <c r="X996" s="19"/>
      <c r="Y996" s="19"/>
      <c r="Z996" s="23"/>
    </row>
    <row r="997" spans="1:26" ht="15.75" customHeight="1" x14ac:dyDescent="0.2">
      <c r="A997" s="34"/>
      <c r="B997" s="34"/>
      <c r="C997" s="34"/>
      <c r="D997" s="34"/>
      <c r="E997" s="19"/>
      <c r="F997" s="19"/>
      <c r="G997" s="19"/>
      <c r="H997" s="19"/>
      <c r="I997" s="19"/>
      <c r="J997" s="19"/>
      <c r="K997" s="19"/>
      <c r="L997" s="19"/>
      <c r="M997" s="19"/>
      <c r="N997" s="19"/>
      <c r="O997" s="19"/>
      <c r="P997" s="20"/>
      <c r="Q997" s="20"/>
      <c r="R997" s="22"/>
      <c r="S997" s="22"/>
      <c r="T997" s="20"/>
      <c r="U997" s="20"/>
      <c r="V997" s="20"/>
      <c r="W997" s="19"/>
      <c r="X997" s="19"/>
      <c r="Y997" s="19"/>
      <c r="Z997" s="23"/>
    </row>
    <row r="998" spans="1:26" ht="15.75" customHeight="1" x14ac:dyDescent="0.2">
      <c r="A998" s="34"/>
      <c r="B998" s="34"/>
      <c r="C998" s="34"/>
      <c r="D998" s="34"/>
      <c r="E998" s="19"/>
      <c r="F998" s="19"/>
      <c r="G998" s="19"/>
      <c r="H998" s="19"/>
      <c r="I998" s="19"/>
      <c r="J998" s="19"/>
      <c r="K998" s="19"/>
      <c r="L998" s="19"/>
      <c r="M998" s="19"/>
      <c r="N998" s="19"/>
      <c r="O998" s="19"/>
      <c r="P998" s="20"/>
      <c r="Q998" s="20"/>
      <c r="R998" s="22"/>
      <c r="S998" s="22"/>
      <c r="T998" s="20"/>
      <c r="U998" s="20"/>
      <c r="V998" s="20"/>
      <c r="W998" s="19"/>
      <c r="X998" s="19"/>
      <c r="Y998" s="19"/>
      <c r="Z998" s="23"/>
    </row>
    <row r="999" spans="1:26" ht="15.75" customHeight="1" x14ac:dyDescent="0.2">
      <c r="A999" s="34"/>
      <c r="B999" s="34"/>
      <c r="C999" s="34"/>
      <c r="D999" s="34"/>
      <c r="E999" s="19"/>
      <c r="F999" s="19"/>
      <c r="G999" s="19"/>
      <c r="H999" s="19"/>
      <c r="I999" s="19"/>
      <c r="J999" s="19"/>
      <c r="K999" s="19"/>
      <c r="L999" s="19"/>
      <c r="M999" s="19"/>
      <c r="N999" s="19"/>
      <c r="O999" s="19"/>
      <c r="P999" s="20"/>
      <c r="Q999" s="20"/>
      <c r="R999" s="22"/>
      <c r="S999" s="22"/>
      <c r="T999" s="20"/>
      <c r="U999" s="20"/>
      <c r="V999" s="20"/>
      <c r="W999" s="19"/>
      <c r="X999" s="19"/>
      <c r="Y999" s="19"/>
      <c r="Z999" s="23"/>
    </row>
    <row r="1000" spans="1:26" ht="15.75" customHeight="1" x14ac:dyDescent="0.2">
      <c r="A1000" s="34"/>
      <c r="B1000" s="34"/>
      <c r="C1000" s="34"/>
      <c r="D1000" s="34"/>
      <c r="E1000" s="19"/>
      <c r="F1000" s="19"/>
      <c r="G1000" s="19"/>
      <c r="H1000" s="19"/>
      <c r="I1000" s="19"/>
      <c r="J1000" s="19"/>
      <c r="K1000" s="19"/>
      <c r="L1000" s="19"/>
      <c r="M1000" s="19"/>
      <c r="N1000" s="19"/>
      <c r="O1000" s="19"/>
      <c r="P1000" s="20"/>
      <c r="Q1000" s="20"/>
      <c r="R1000" s="22"/>
      <c r="S1000" s="22"/>
      <c r="T1000" s="20"/>
      <c r="U1000" s="20"/>
      <c r="V1000" s="20"/>
      <c r="W1000" s="19"/>
      <c r="X1000" s="19"/>
      <c r="Y1000" s="19"/>
      <c r="Z1000" s="23"/>
    </row>
  </sheetData>
  <autoFilter ref="A2:Z2" xr:uid="{00000000-0009-0000-0000-000003000000}"/>
  <mergeCells count="4">
    <mergeCell ref="E1:F1"/>
    <mergeCell ref="G1:I1"/>
    <mergeCell ref="J1:O1"/>
    <mergeCell ref="P1:V1"/>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5" width="12.1640625" customWidth="1"/>
    <col min="16" max="16" width="12.83203125" customWidth="1"/>
    <col min="17" max="17" width="17.5" customWidth="1"/>
    <col min="18" max="19" width="16.83203125" customWidth="1"/>
    <col min="20" max="20" width="14.33203125" customWidth="1"/>
    <col min="21" max="21" width="17.5" customWidth="1"/>
    <col min="22" max="23" width="10.6640625" customWidth="1"/>
    <col min="24" max="24" width="9.33203125" customWidth="1"/>
    <col min="25" max="25" width="13" customWidth="1"/>
    <col min="26" max="26" width="9.5" customWidth="1"/>
  </cols>
  <sheetData>
    <row r="1" spans="1:26" x14ac:dyDescent="0.2">
      <c r="A1" s="1" t="s">
        <v>281</v>
      </c>
      <c r="B1" s="3"/>
      <c r="C1" s="3"/>
      <c r="D1" s="3"/>
      <c r="E1" s="63" t="s">
        <v>1</v>
      </c>
      <c r="F1" s="64"/>
      <c r="G1" s="65" t="s">
        <v>2</v>
      </c>
      <c r="H1" s="66"/>
      <c r="I1" s="64"/>
      <c r="J1" s="67" t="s">
        <v>3</v>
      </c>
      <c r="K1" s="66"/>
      <c r="L1" s="66"/>
      <c r="M1" s="66"/>
      <c r="N1" s="66"/>
      <c r="O1" s="64"/>
      <c r="P1" s="68" t="s">
        <v>4</v>
      </c>
      <c r="Q1" s="66"/>
      <c r="R1" s="66"/>
      <c r="S1" s="66"/>
      <c r="T1" s="66"/>
      <c r="U1" s="66"/>
      <c r="V1" s="64"/>
      <c r="W1" s="3"/>
      <c r="X1" s="4"/>
      <c r="Y1" s="3"/>
      <c r="Z1" s="3"/>
    </row>
    <row r="2" spans="1:26" ht="55.5" customHeight="1" x14ac:dyDescent="0.15">
      <c r="A2" s="5" t="s">
        <v>5</v>
      </c>
      <c r="B2" s="5" t="s">
        <v>6</v>
      </c>
      <c r="C2" s="5" t="s">
        <v>7</v>
      </c>
      <c r="D2" s="5" t="s">
        <v>8</v>
      </c>
      <c r="E2" s="6" t="s">
        <v>9</v>
      </c>
      <c r="F2" s="6" t="s">
        <v>10</v>
      </c>
      <c r="G2" s="7" t="s">
        <v>11</v>
      </c>
      <c r="H2" s="7" t="s">
        <v>12</v>
      </c>
      <c r="I2" s="7" t="s">
        <v>13</v>
      </c>
      <c r="J2" s="8" t="s">
        <v>14</v>
      </c>
      <c r="K2" s="8" t="s">
        <v>15</v>
      </c>
      <c r="L2" s="8" t="s">
        <v>16</v>
      </c>
      <c r="M2" s="8" t="s">
        <v>17</v>
      </c>
      <c r="N2" s="8" t="s">
        <v>18</v>
      </c>
      <c r="O2" s="8" t="s">
        <v>19</v>
      </c>
      <c r="P2" s="9" t="s">
        <v>20</v>
      </c>
      <c r="Q2" s="9" t="s">
        <v>21</v>
      </c>
      <c r="R2" s="9" t="s">
        <v>22</v>
      </c>
      <c r="S2" s="9" t="s">
        <v>23</v>
      </c>
      <c r="T2" s="9" t="s">
        <v>24</v>
      </c>
      <c r="U2" s="12" t="s">
        <v>25</v>
      </c>
      <c r="V2" s="13" t="s">
        <v>26</v>
      </c>
      <c r="W2" s="14" t="s">
        <v>27</v>
      </c>
      <c r="X2" s="15" t="s">
        <v>29</v>
      </c>
      <c r="Y2" s="15" t="s">
        <v>30</v>
      </c>
      <c r="Z2" s="16" t="s">
        <v>31</v>
      </c>
    </row>
    <row r="3" spans="1:26" x14ac:dyDescent="0.2">
      <c r="A3" s="17" t="str">
        <f>HYPERLINK("https://www.acu.edu", "Abilene Christian University")</f>
        <v>Abilene Christian University</v>
      </c>
      <c r="B3" s="18" t="s">
        <v>32</v>
      </c>
      <c r="C3" s="18" t="s">
        <v>146</v>
      </c>
      <c r="D3" s="18" t="s">
        <v>287</v>
      </c>
      <c r="E3" s="18">
        <v>1145</v>
      </c>
      <c r="F3" s="18" t="s">
        <v>35</v>
      </c>
      <c r="J3" s="19">
        <v>0.61480000000000001</v>
      </c>
      <c r="K3" s="19">
        <v>0.34883720899999998</v>
      </c>
      <c r="L3" s="19">
        <v>0.65720000000000001</v>
      </c>
      <c r="M3" s="19">
        <v>0.40629999999999999</v>
      </c>
      <c r="N3" s="19">
        <v>0.495</v>
      </c>
      <c r="O3" s="19">
        <v>0.66669999999999996</v>
      </c>
      <c r="P3" s="20">
        <v>48300</v>
      </c>
      <c r="Q3" s="21" t="str">
        <f>HYPERLINK("https://www.acu.edu/campusoffices/sfs/calculator/freshman.html", "$22698")</f>
        <v>$22698</v>
      </c>
      <c r="R3" s="22">
        <v>24895</v>
      </c>
      <c r="S3" s="22">
        <v>26930</v>
      </c>
      <c r="T3" s="20">
        <v>4592</v>
      </c>
      <c r="U3" s="20">
        <v>18106</v>
      </c>
      <c r="W3" s="19">
        <v>0.25490000000000002</v>
      </c>
      <c r="X3" s="19">
        <v>0.36280000000000001</v>
      </c>
      <c r="Z3" s="23">
        <v>3655</v>
      </c>
    </row>
    <row r="4" spans="1:26" x14ac:dyDescent="0.2">
      <c r="A4" s="17" t="str">
        <f>HYPERLINK("https://www.albion.edu", "Albion College")</f>
        <v>Albion College</v>
      </c>
      <c r="B4" s="18" t="s">
        <v>32</v>
      </c>
      <c r="C4" s="18" t="s">
        <v>226</v>
      </c>
      <c r="D4" s="18" t="s">
        <v>289</v>
      </c>
      <c r="E4" s="18">
        <v>1123</v>
      </c>
      <c r="F4" s="18" t="s">
        <v>35</v>
      </c>
      <c r="J4" s="19">
        <v>0.56879999999999997</v>
      </c>
      <c r="K4" s="19">
        <v>0.43023255799999999</v>
      </c>
      <c r="L4" s="19">
        <v>0.58450000000000002</v>
      </c>
      <c r="M4" s="19">
        <v>0.375</v>
      </c>
      <c r="N4" s="19">
        <v>0.41670000000000001</v>
      </c>
      <c r="O4" s="19">
        <v>0.66669999999999996</v>
      </c>
      <c r="P4" s="20">
        <v>56750</v>
      </c>
      <c r="Q4" s="21" t="str">
        <f>HYPERLINK("https://www.albion.edu/admission/student-financial-services/net-price-calculator", "$12557")</f>
        <v>$12557</v>
      </c>
      <c r="R4" s="22">
        <v>14703</v>
      </c>
      <c r="S4" s="22">
        <v>22069</v>
      </c>
      <c r="T4" s="20">
        <v>1490</v>
      </c>
      <c r="U4" s="20">
        <v>11067</v>
      </c>
      <c r="W4" s="19">
        <v>0.34699999999999998</v>
      </c>
      <c r="X4" s="19">
        <v>0.3498</v>
      </c>
      <c r="Z4" s="23">
        <v>1558</v>
      </c>
    </row>
    <row r="5" spans="1:26" x14ac:dyDescent="0.2">
      <c r="A5" s="17" t="str">
        <f>HYPERLINK("https://www.alfred.edu", "Alfred University")</f>
        <v>Alfred University</v>
      </c>
      <c r="B5" s="18" t="s">
        <v>32</v>
      </c>
      <c r="C5" s="18" t="s">
        <v>38</v>
      </c>
      <c r="D5" s="18" t="s">
        <v>292</v>
      </c>
      <c r="E5" s="18">
        <v>1116</v>
      </c>
      <c r="F5" s="18" t="s">
        <v>35</v>
      </c>
      <c r="G5" s="18" t="s">
        <v>40</v>
      </c>
      <c r="H5" s="18" t="s">
        <v>293</v>
      </c>
      <c r="I5" s="18" t="s">
        <v>294</v>
      </c>
      <c r="J5" s="19">
        <v>0.53310000000000002</v>
      </c>
      <c r="K5" s="19">
        <v>0.504</v>
      </c>
      <c r="L5" s="19">
        <v>0.58169999999999999</v>
      </c>
      <c r="M5" s="19">
        <v>0.36209999999999998</v>
      </c>
      <c r="N5" s="19">
        <v>0.5</v>
      </c>
      <c r="O5" s="19">
        <v>0.57140000000000002</v>
      </c>
      <c r="P5" s="20">
        <v>43686</v>
      </c>
      <c r="Q5" s="21" t="str">
        <f>HYPERLINK("https://www.collegecostcalculator.org/alfreduniversity", "$18649")</f>
        <v>$18649</v>
      </c>
      <c r="R5" s="22">
        <v>20900</v>
      </c>
      <c r="S5" s="22">
        <v>22847</v>
      </c>
      <c r="T5" s="20">
        <v>3300</v>
      </c>
      <c r="U5" s="20">
        <v>15349</v>
      </c>
      <c r="W5" s="19">
        <v>0.37519999999999998</v>
      </c>
      <c r="X5" s="19">
        <v>0.34420000000000001</v>
      </c>
      <c r="Z5" s="23">
        <v>1621</v>
      </c>
    </row>
    <row r="6" spans="1:26" x14ac:dyDescent="0.2">
      <c r="A6" s="17" t="str">
        <f>HYPERLINK("https://alma.edu", "Alma College")</f>
        <v>Alma College</v>
      </c>
      <c r="B6" s="18" t="s">
        <v>32</v>
      </c>
      <c r="C6" s="18" t="s">
        <v>226</v>
      </c>
      <c r="D6" s="18" t="s">
        <v>296</v>
      </c>
      <c r="E6" s="18">
        <v>1140</v>
      </c>
      <c r="F6" s="18" t="s">
        <v>35</v>
      </c>
      <c r="J6" s="19">
        <v>0.67599999999999993</v>
      </c>
      <c r="K6" s="19">
        <v>0.32967033000000001</v>
      </c>
      <c r="L6" s="19">
        <v>0.69499999999999995</v>
      </c>
      <c r="M6" s="19">
        <v>0.57140000000000002</v>
      </c>
      <c r="N6" s="19">
        <v>0.3846</v>
      </c>
      <c r="O6" s="19">
        <v>0.8</v>
      </c>
      <c r="P6" s="20">
        <v>52475</v>
      </c>
      <c r="Q6" s="21" t="str">
        <f>HYPERLINK("https://alma.edu/admissions/financial-aid/aid-calculators/net-price-calculator.php", "$16870")</f>
        <v>$16870</v>
      </c>
      <c r="R6" s="22">
        <v>20070</v>
      </c>
      <c r="S6" s="22">
        <v>21503</v>
      </c>
      <c r="T6" s="20">
        <v>3065</v>
      </c>
      <c r="U6" s="20">
        <v>13805</v>
      </c>
      <c r="W6" s="19">
        <v>0.29149999999999998</v>
      </c>
      <c r="X6" s="19">
        <v>0.222</v>
      </c>
      <c r="Z6" s="23">
        <v>1392</v>
      </c>
    </row>
    <row r="7" spans="1:26" x14ac:dyDescent="0.2">
      <c r="A7" s="17" t="str">
        <f>HYPERLINK("https://www.appstate.edu/", "Appalachian State University")</f>
        <v>Appalachian State University</v>
      </c>
      <c r="B7" s="18" t="s">
        <v>49</v>
      </c>
      <c r="C7" s="18" t="s">
        <v>103</v>
      </c>
      <c r="D7" s="18" t="s">
        <v>298</v>
      </c>
      <c r="E7" s="18">
        <v>1198</v>
      </c>
      <c r="F7" s="18" t="s">
        <v>35</v>
      </c>
      <c r="J7" s="19">
        <v>0.73440000000000005</v>
      </c>
      <c r="K7" s="19">
        <v>0.57665260200000001</v>
      </c>
      <c r="L7" s="19">
        <v>0.74250000000000005</v>
      </c>
      <c r="M7" s="19">
        <v>0.69010000000000005</v>
      </c>
      <c r="N7" s="19">
        <v>0.67310000000000003</v>
      </c>
      <c r="O7" s="19">
        <v>0.65629999999999999</v>
      </c>
      <c r="P7" s="20">
        <v>33819</v>
      </c>
      <c r="Q7" s="21" t="str">
        <f>HYPERLINK("https://appstate.edu/npc/", "$23085")</f>
        <v>$23085</v>
      </c>
      <c r="R7" s="22">
        <v>28745</v>
      </c>
      <c r="S7" s="22">
        <v>32915</v>
      </c>
      <c r="T7" s="20">
        <v>3537</v>
      </c>
      <c r="U7" s="20">
        <v>19548.023255813951</v>
      </c>
      <c r="W7" s="19">
        <v>0.28449999999999998</v>
      </c>
      <c r="X7" s="19">
        <v>0.16850000000000001</v>
      </c>
      <c r="Z7" s="23">
        <v>16888</v>
      </c>
    </row>
    <row r="8" spans="1:26" x14ac:dyDescent="0.2">
      <c r="A8" s="17" t="str">
        <f>HYPERLINK("https://www.assumption.edu", "Assumption College")</f>
        <v>Assumption College</v>
      </c>
      <c r="B8" s="18" t="s">
        <v>32</v>
      </c>
      <c r="C8" s="18" t="s">
        <v>33</v>
      </c>
      <c r="D8" s="18" t="s">
        <v>86</v>
      </c>
      <c r="E8" s="18" t="s">
        <v>36</v>
      </c>
      <c r="F8" s="18" t="s">
        <v>45</v>
      </c>
      <c r="J8" s="19">
        <v>0.71</v>
      </c>
      <c r="K8" s="19">
        <v>0.712121212</v>
      </c>
      <c r="L8" s="19">
        <v>0.73050000000000004</v>
      </c>
      <c r="M8" s="19">
        <v>0.5</v>
      </c>
      <c r="N8" s="19">
        <v>0.72919999999999996</v>
      </c>
      <c r="O8" s="19">
        <v>0.75</v>
      </c>
      <c r="P8" s="20">
        <v>54594</v>
      </c>
      <c r="Q8" s="21" t="str">
        <f>HYPERLINK("https://www.assumption.edu/admissions/financial-aid/value", "$23851")</f>
        <v>$23851</v>
      </c>
      <c r="R8" s="22">
        <v>25566</v>
      </c>
      <c r="S8" s="22">
        <v>27493</v>
      </c>
      <c r="T8" s="20">
        <v>2800</v>
      </c>
      <c r="U8" s="20">
        <v>21051</v>
      </c>
      <c r="W8" s="19">
        <v>0.20330000000000001</v>
      </c>
      <c r="X8" s="19">
        <v>0.25750000000000001</v>
      </c>
      <c r="Z8" s="23">
        <v>2058</v>
      </c>
    </row>
    <row r="9" spans="1:26" x14ac:dyDescent="0.2">
      <c r="A9" s="17" t="str">
        <f>HYPERLINK("https://www.auburn.edu", "Auburn University")</f>
        <v>Auburn University</v>
      </c>
      <c r="B9" s="18" t="s">
        <v>49</v>
      </c>
      <c r="C9" s="18" t="s">
        <v>300</v>
      </c>
      <c r="D9" s="18" t="s">
        <v>301</v>
      </c>
      <c r="E9" s="18">
        <v>1282</v>
      </c>
      <c r="F9" s="18" t="s">
        <v>35</v>
      </c>
      <c r="J9" s="19">
        <v>0.76580000000000004</v>
      </c>
      <c r="K9" s="19">
        <v>0.52</v>
      </c>
      <c r="L9" s="19">
        <v>0.78249999999999997</v>
      </c>
      <c r="M9" s="19">
        <v>0.6038</v>
      </c>
      <c r="N9" s="19">
        <v>0.72499999999999998</v>
      </c>
      <c r="O9" s="19">
        <v>0.74629999999999996</v>
      </c>
      <c r="P9" s="20">
        <v>49954</v>
      </c>
      <c r="Q9" s="21" t="str">
        <f>HYPERLINK("https://www.auburn.edu/admissions/costcalc/freshman.html", "$38236")</f>
        <v>$38236</v>
      </c>
      <c r="R9" s="22">
        <v>43056</v>
      </c>
      <c r="S9" s="22">
        <v>45401</v>
      </c>
      <c r="T9" s="20">
        <v>6982</v>
      </c>
      <c r="U9" s="20">
        <v>31254.76470588235</v>
      </c>
      <c r="W9" s="19">
        <v>0.1489</v>
      </c>
      <c r="X9" s="19">
        <v>0.18200000000000011</v>
      </c>
      <c r="Z9" s="23">
        <v>23391</v>
      </c>
    </row>
    <row r="10" spans="1:26" x14ac:dyDescent="0.2">
      <c r="A10" s="17" t="str">
        <f>HYPERLINK("https://www.augie.edu", "Augustana University")</f>
        <v>Augustana University</v>
      </c>
      <c r="B10" s="18" t="s">
        <v>32</v>
      </c>
      <c r="C10" s="18" t="s">
        <v>302</v>
      </c>
      <c r="D10" s="18" t="s">
        <v>303</v>
      </c>
      <c r="E10" s="18">
        <v>1245</v>
      </c>
      <c r="F10" s="18" t="s">
        <v>35</v>
      </c>
      <c r="J10" s="19">
        <v>0.71030000000000004</v>
      </c>
      <c r="K10" s="19">
        <v>0.54022988500000002</v>
      </c>
      <c r="L10" s="19">
        <v>0.7409</v>
      </c>
      <c r="M10" s="19">
        <v>0.5</v>
      </c>
      <c r="N10" s="19">
        <v>0.42859999999999998</v>
      </c>
      <c r="O10" s="19">
        <v>0.66669999999999996</v>
      </c>
      <c r="P10" s="20">
        <v>45458</v>
      </c>
      <c r="Q10" s="21" t="str">
        <f>HYPERLINK("https://www.augie.edu/npc", "$15407")</f>
        <v>$15407</v>
      </c>
      <c r="R10" s="22">
        <v>15385</v>
      </c>
      <c r="S10" s="22">
        <v>18507</v>
      </c>
      <c r="T10" s="20">
        <v>5490</v>
      </c>
      <c r="U10" s="20">
        <v>9917</v>
      </c>
      <c r="W10" s="19">
        <v>0.18920000000000001</v>
      </c>
      <c r="X10" s="19">
        <v>0.15260000000000001</v>
      </c>
      <c r="Z10" s="23">
        <v>1704</v>
      </c>
    </row>
    <row r="11" spans="1:26" x14ac:dyDescent="0.2">
      <c r="A11" s="17" t="str">
        <f>HYPERLINK("https://www.austincollege.edu", "Austin College")</f>
        <v>Austin College</v>
      </c>
      <c r="B11" s="18" t="s">
        <v>32</v>
      </c>
      <c r="C11" s="18" t="s">
        <v>146</v>
      </c>
      <c r="D11" s="18" t="s">
        <v>304</v>
      </c>
      <c r="E11" s="18">
        <v>1255</v>
      </c>
      <c r="F11" s="18" t="s">
        <v>35</v>
      </c>
      <c r="J11" s="19">
        <v>0.67320000000000002</v>
      </c>
      <c r="K11" s="19">
        <v>0.70588235300000002</v>
      </c>
      <c r="L11" s="19">
        <v>0.69120000000000004</v>
      </c>
      <c r="M11" s="19">
        <v>0.73680000000000001</v>
      </c>
      <c r="N11" s="19">
        <v>0.74139999999999995</v>
      </c>
      <c r="O11" s="19">
        <v>0.59519999999999995</v>
      </c>
      <c r="P11" s="20">
        <v>53784</v>
      </c>
      <c r="Q11" s="21" t="str">
        <f>HYPERLINK("https://artemis.austincollege.edu/photos/finaid_calc/npcalc.htm", "$14896")</f>
        <v>$14896</v>
      </c>
      <c r="R11" s="22">
        <v>18059</v>
      </c>
      <c r="S11" s="22">
        <v>22561</v>
      </c>
      <c r="T11" s="20">
        <v>2650</v>
      </c>
      <c r="U11" s="20">
        <v>12246</v>
      </c>
      <c r="W11" s="19">
        <v>0.31059999999999999</v>
      </c>
      <c r="X11" s="19">
        <v>0.50580000000000003</v>
      </c>
      <c r="Z11" s="23">
        <v>1214</v>
      </c>
    </row>
    <row r="12" spans="1:26" x14ac:dyDescent="0.2">
      <c r="A12" s="17" t="str">
        <f>HYPERLINK("https://www.bw.edu", "Baldwin Wallace University")</f>
        <v>Baldwin Wallace University</v>
      </c>
      <c r="B12" s="18" t="s">
        <v>32</v>
      </c>
      <c r="C12" s="18" t="s">
        <v>75</v>
      </c>
      <c r="D12" s="18" t="s">
        <v>305</v>
      </c>
      <c r="E12" s="18" t="s">
        <v>36</v>
      </c>
      <c r="F12" s="18" t="s">
        <v>45</v>
      </c>
      <c r="J12" s="19">
        <v>0.67369999999999997</v>
      </c>
      <c r="K12" s="19">
        <v>0.48706896599999999</v>
      </c>
      <c r="L12" s="19">
        <v>0.70169999999999999</v>
      </c>
      <c r="M12" s="19">
        <v>0.59650000000000003</v>
      </c>
      <c r="N12" s="19">
        <v>0.6129</v>
      </c>
      <c r="O12" s="19">
        <v>0.5</v>
      </c>
      <c r="P12" s="20">
        <v>46004</v>
      </c>
      <c r="Q12" s="21" t="str">
        <f>HYPERLINK("https://bw.studentaidcalculator.com/survey.aspx", "$18051")</f>
        <v>$18051</v>
      </c>
      <c r="R12" s="22">
        <v>22018</v>
      </c>
      <c r="S12" s="22">
        <v>25567</v>
      </c>
      <c r="T12" s="20">
        <v>5194</v>
      </c>
      <c r="U12" s="20">
        <v>12857</v>
      </c>
      <c r="W12" s="19">
        <v>0.29970000000000002</v>
      </c>
      <c r="X12" s="19">
        <v>0.222</v>
      </c>
      <c r="Z12" s="23">
        <v>3131</v>
      </c>
    </row>
    <row r="13" spans="1:26" x14ac:dyDescent="0.2">
      <c r="A13" s="17" t="str">
        <f>HYPERLINK("https://www.bellarmine.edu", "Bellarmine University")</f>
        <v>Bellarmine University</v>
      </c>
      <c r="B13" s="18" t="s">
        <v>32</v>
      </c>
      <c r="C13" s="18" t="s">
        <v>205</v>
      </c>
      <c r="D13" s="18" t="s">
        <v>306</v>
      </c>
      <c r="E13" s="18">
        <v>1189</v>
      </c>
      <c r="F13" s="18" t="s">
        <v>35</v>
      </c>
      <c r="J13" s="19">
        <v>0.64539999999999997</v>
      </c>
      <c r="K13" s="19">
        <v>0.56291390699999999</v>
      </c>
      <c r="L13" s="19">
        <v>0.65029999999999999</v>
      </c>
      <c r="M13" s="19">
        <v>0.57140000000000002</v>
      </c>
      <c r="N13" s="19">
        <v>0.60709999999999997</v>
      </c>
      <c r="O13" s="19">
        <v>0.66669999999999996</v>
      </c>
      <c r="P13" s="20">
        <v>59306</v>
      </c>
      <c r="Q13" s="21" t="str">
        <f>HYPERLINK("https://bellarmine.studentaidcalculator.com/survey.aspx", "$21584")</f>
        <v>$21584</v>
      </c>
      <c r="R13" s="22">
        <v>24684</v>
      </c>
      <c r="S13" s="22">
        <v>26783</v>
      </c>
      <c r="T13" s="20">
        <v>6374</v>
      </c>
      <c r="U13" s="20">
        <v>15210</v>
      </c>
      <c r="W13" s="19">
        <v>0.25009999999999999</v>
      </c>
      <c r="X13" s="19">
        <v>0.18709999999999999</v>
      </c>
      <c r="Z13" s="23">
        <v>2474</v>
      </c>
    </row>
    <row r="14" spans="1:26" x14ac:dyDescent="0.2">
      <c r="A14" s="17" t="str">
        <f>HYPERLINK("https://www.belmont.edu", "Belmont University")</f>
        <v>Belmont University</v>
      </c>
      <c r="B14" s="18" t="s">
        <v>32</v>
      </c>
      <c r="C14" s="18" t="s">
        <v>174</v>
      </c>
      <c r="D14" s="18" t="s">
        <v>175</v>
      </c>
      <c r="E14" s="18">
        <v>1256</v>
      </c>
      <c r="F14" s="18" t="s">
        <v>35</v>
      </c>
      <c r="J14" s="19">
        <v>0.69620000000000004</v>
      </c>
      <c r="K14" s="19">
        <v>0.61751152100000006</v>
      </c>
      <c r="L14" s="19">
        <v>0.7097</v>
      </c>
      <c r="M14" s="19">
        <v>0.58700000000000008</v>
      </c>
      <c r="N14" s="19">
        <v>0.67569999999999997</v>
      </c>
      <c r="O14" s="19">
        <v>0.82350000000000001</v>
      </c>
      <c r="P14" s="20">
        <v>50740</v>
      </c>
      <c r="Q14" s="21" t="str">
        <f>HYPERLINK("https://belmont.studentaidcalculator.com/survey.aspx", "$27100")</f>
        <v>$27100</v>
      </c>
      <c r="R14" s="22">
        <v>31422</v>
      </c>
      <c r="S14" s="22">
        <v>34112</v>
      </c>
      <c r="T14" s="20">
        <v>6240</v>
      </c>
      <c r="U14" s="20">
        <v>20860</v>
      </c>
      <c r="W14" s="19">
        <v>0.1648</v>
      </c>
      <c r="X14" s="19">
        <v>0.19350000000000001</v>
      </c>
      <c r="Z14" s="23">
        <v>6443</v>
      </c>
    </row>
    <row r="15" spans="1:26" x14ac:dyDescent="0.2">
      <c r="A15" s="17" t="str">
        <f>HYPERLINK("https://www.benedictine.edu", "Benedictine College")</f>
        <v>Benedictine College</v>
      </c>
      <c r="B15" s="18" t="s">
        <v>32</v>
      </c>
      <c r="C15" s="18" t="s">
        <v>307</v>
      </c>
      <c r="D15" s="18" t="s">
        <v>308</v>
      </c>
      <c r="E15" s="18">
        <v>1215</v>
      </c>
      <c r="F15" s="18" t="s">
        <v>35</v>
      </c>
      <c r="J15" s="19">
        <v>0.62709999999999999</v>
      </c>
      <c r="K15" s="19">
        <v>0.38333333299999989</v>
      </c>
      <c r="L15" s="19">
        <v>0.67959999999999998</v>
      </c>
      <c r="M15" s="19">
        <v>0.17860000000000001</v>
      </c>
      <c r="N15" s="19">
        <v>0.43330000000000002</v>
      </c>
      <c r="O15" s="19">
        <v>0.5</v>
      </c>
      <c r="P15" s="20">
        <v>43700</v>
      </c>
      <c r="Q15" s="21" t="str">
        <f>HYPERLINK("https://www.benedictine.edu/calculator", "$19950")</f>
        <v>$19950</v>
      </c>
      <c r="R15" s="22">
        <v>22243</v>
      </c>
      <c r="S15" s="22">
        <v>24890</v>
      </c>
      <c r="T15" s="20">
        <v>5320</v>
      </c>
      <c r="U15" s="20">
        <v>14630</v>
      </c>
      <c r="W15" s="19">
        <v>0.1784</v>
      </c>
      <c r="X15" s="19">
        <v>0.21360000000000001</v>
      </c>
      <c r="Z15" s="23">
        <v>1826</v>
      </c>
    </row>
    <row r="16" spans="1:26" x14ac:dyDescent="0.2">
      <c r="A16" s="17" t="str">
        <f>HYPERLINK("https://www.berea.edu", "Berea College")</f>
        <v>Berea College</v>
      </c>
      <c r="B16" s="18" t="s">
        <v>32</v>
      </c>
      <c r="C16" s="18" t="s">
        <v>205</v>
      </c>
      <c r="D16" s="18" t="s">
        <v>305</v>
      </c>
      <c r="E16" s="18">
        <v>1188</v>
      </c>
      <c r="F16" s="18" t="s">
        <v>35</v>
      </c>
      <c r="J16" s="19">
        <v>0.65949999999999998</v>
      </c>
      <c r="K16" s="19">
        <v>0.58149779700000004</v>
      </c>
      <c r="L16" s="19">
        <v>0.65910000000000002</v>
      </c>
      <c r="M16" s="19">
        <v>0.57330000000000003</v>
      </c>
      <c r="N16" s="19">
        <v>0.61539999999999995</v>
      </c>
      <c r="O16" s="19">
        <v>0.85709999999999997</v>
      </c>
      <c r="P16" s="20">
        <v>35394</v>
      </c>
      <c r="Q16" s="21" t="str">
        <f>HYPERLINK("https://berea.studentaidcalculator.com/survey.aspx", "$838")</f>
        <v>$838</v>
      </c>
      <c r="R16" s="22">
        <v>2536</v>
      </c>
      <c r="S16" s="22">
        <v>9141</v>
      </c>
      <c r="T16" s="20">
        <v>3100</v>
      </c>
      <c r="U16" s="20">
        <v>-2262</v>
      </c>
      <c r="V16" s="18" t="s">
        <v>37</v>
      </c>
      <c r="W16" s="19">
        <v>0.82040000000000002</v>
      </c>
      <c r="X16" s="19">
        <v>0.43790000000000001</v>
      </c>
      <c r="Z16" s="23">
        <v>1610</v>
      </c>
    </row>
    <row r="17" spans="1:26" x14ac:dyDescent="0.2">
      <c r="A17" s="17" t="str">
        <f>HYPERLINK("https://www.bethelks.edu", "Bethel College-North Newton")</f>
        <v>Bethel College-North Newton</v>
      </c>
      <c r="B17" s="18" t="s">
        <v>32</v>
      </c>
      <c r="C17" s="18" t="s">
        <v>307</v>
      </c>
      <c r="D17" s="18" t="s">
        <v>309</v>
      </c>
      <c r="E17" s="18" t="s">
        <v>36</v>
      </c>
      <c r="F17" s="18" t="s">
        <v>90</v>
      </c>
      <c r="J17" s="19">
        <v>0.42059999999999997</v>
      </c>
      <c r="K17" s="19" t="s">
        <v>36</v>
      </c>
      <c r="L17" s="19">
        <v>0.50529999999999997</v>
      </c>
      <c r="M17" s="19">
        <v>5.8799999999999998E-2</v>
      </c>
      <c r="N17" s="19">
        <v>0.22220000000000001</v>
      </c>
      <c r="O17" s="19">
        <v>0</v>
      </c>
      <c r="P17" s="20">
        <v>42040</v>
      </c>
      <c r="Q17" s="21" t="str">
        <f>HYPERLINK("https://www.bethelks.edu/affordability/general-information/npc", "$20609")</f>
        <v>$20609</v>
      </c>
      <c r="R17" s="22">
        <v>25338</v>
      </c>
      <c r="S17" s="22">
        <v>21748</v>
      </c>
      <c r="T17" s="20">
        <v>5050</v>
      </c>
      <c r="U17" s="20">
        <v>15559</v>
      </c>
      <c r="W17" s="19">
        <v>0.43480000000000002</v>
      </c>
      <c r="X17" s="19">
        <v>0.33400000000000007</v>
      </c>
      <c r="Z17" s="23">
        <v>503</v>
      </c>
    </row>
    <row r="18" spans="1:26" x14ac:dyDescent="0.2">
      <c r="A18" s="17" t="str">
        <f>HYPERLINK("https://www.bethel.edu", "Bethel University")</f>
        <v>Bethel University</v>
      </c>
      <c r="B18" s="18" t="s">
        <v>32</v>
      </c>
      <c r="C18" s="18" t="s">
        <v>72</v>
      </c>
      <c r="D18" s="18" t="s">
        <v>131</v>
      </c>
      <c r="E18" s="18">
        <v>1181</v>
      </c>
      <c r="F18" s="18" t="s">
        <v>35</v>
      </c>
      <c r="J18" s="19">
        <v>0.70520000000000005</v>
      </c>
      <c r="K18" s="19">
        <v>0.497109827</v>
      </c>
      <c r="L18" s="19">
        <v>0.73009999999999997</v>
      </c>
      <c r="M18" s="19">
        <v>0.57140000000000002</v>
      </c>
      <c r="N18" s="19">
        <v>0.75</v>
      </c>
      <c r="O18" s="19">
        <v>0.5</v>
      </c>
      <c r="P18" s="20">
        <v>50350</v>
      </c>
      <c r="Q18" s="21" t="str">
        <f>HYPERLINK("https://www.bethel.edu/undergrad/financial-aid/before-apply/estimate/", "$19355")</f>
        <v>$19355</v>
      </c>
      <c r="R18" s="22">
        <v>21856</v>
      </c>
      <c r="S18" s="22">
        <v>26492</v>
      </c>
      <c r="T18" s="20">
        <v>3800</v>
      </c>
      <c r="U18" s="20">
        <v>15555</v>
      </c>
      <c r="W18" s="19">
        <v>0.23849999999999999</v>
      </c>
      <c r="X18" s="19">
        <v>0.23839999999999989</v>
      </c>
      <c r="Z18" s="23">
        <v>2777</v>
      </c>
    </row>
    <row r="19" spans="1:26" x14ac:dyDescent="0.2">
      <c r="A19" s="17" t="str">
        <f>HYPERLINK("https://www.biola.edu", "Biola University")</f>
        <v>Biola University</v>
      </c>
      <c r="B19" s="18" t="s">
        <v>32</v>
      </c>
      <c r="C19" s="18" t="s">
        <v>68</v>
      </c>
      <c r="D19" s="18" t="s">
        <v>310</v>
      </c>
      <c r="E19" s="18">
        <v>1186</v>
      </c>
      <c r="F19" s="18" t="s">
        <v>35</v>
      </c>
      <c r="J19" s="19">
        <v>0.73350000000000004</v>
      </c>
      <c r="K19" s="19">
        <v>0.56967213100000003</v>
      </c>
      <c r="L19" s="19">
        <v>0.76619999999999999</v>
      </c>
      <c r="M19" s="19">
        <v>0.66669999999999996</v>
      </c>
      <c r="N19" s="19">
        <v>0.69010000000000005</v>
      </c>
      <c r="O19" s="19">
        <v>0.73550000000000004</v>
      </c>
      <c r="P19" s="20">
        <v>54516</v>
      </c>
      <c r="Q19" s="21" t="str">
        <f>HYPERLINK("https://www.biola.edu/undergrad/financial-aid/net-price-calculator#net-price", "$25804")</f>
        <v>$25804</v>
      </c>
      <c r="R19" s="22">
        <v>30467</v>
      </c>
      <c r="S19" s="22">
        <v>32577</v>
      </c>
      <c r="T19" s="20">
        <v>5096</v>
      </c>
      <c r="U19" s="20">
        <v>20708</v>
      </c>
      <c r="W19" s="19">
        <v>0.30130000000000001</v>
      </c>
      <c r="X19" s="19">
        <v>0.5383</v>
      </c>
      <c r="Z19" s="23">
        <v>4039</v>
      </c>
    </row>
    <row r="20" spans="1:26" x14ac:dyDescent="0.2">
      <c r="A20" s="17" t="str">
        <f>HYPERLINK("https://www.bsc.edu/", "Birmingham Southern College")</f>
        <v>Birmingham Southern College</v>
      </c>
      <c r="B20" s="18" t="s">
        <v>32</v>
      </c>
      <c r="C20" s="18" t="s">
        <v>300</v>
      </c>
      <c r="D20" s="18" t="s">
        <v>311</v>
      </c>
      <c r="E20" s="18">
        <v>1231</v>
      </c>
      <c r="F20" s="18" t="s">
        <v>35</v>
      </c>
      <c r="J20" s="19">
        <v>0.66059999999999997</v>
      </c>
      <c r="K20" s="19">
        <v>0.49230769200000002</v>
      </c>
      <c r="L20" s="19">
        <v>0.66810000000000003</v>
      </c>
      <c r="M20" s="19">
        <v>0.64</v>
      </c>
      <c r="N20" s="19">
        <v>0.66669999999999996</v>
      </c>
      <c r="O20" s="19">
        <v>0.57140000000000002</v>
      </c>
      <c r="P20" s="20">
        <v>52414</v>
      </c>
      <c r="Q20" s="21" t="str">
        <f>HYPERLINK("https://www.bsc.edu/fp/np-calculator.cfm", "$20264")</f>
        <v>$20264</v>
      </c>
      <c r="R20" s="22">
        <v>21548</v>
      </c>
      <c r="S20" s="22">
        <v>22964</v>
      </c>
      <c r="T20" s="20">
        <v>4260</v>
      </c>
      <c r="U20" s="20">
        <v>16004</v>
      </c>
      <c r="W20" s="19">
        <v>0.19170000000000001</v>
      </c>
      <c r="X20" s="19">
        <v>0.20730000000000001</v>
      </c>
      <c r="Z20" s="23">
        <v>1283</v>
      </c>
    </row>
    <row r="21" spans="1:26" ht="15.75" customHeight="1" x14ac:dyDescent="0.2">
      <c r="A21" s="17" t="str">
        <f>HYPERLINK("https://www.bradley.edu", "Bradley University")</f>
        <v>Bradley University</v>
      </c>
      <c r="B21" s="18" t="s">
        <v>32</v>
      </c>
      <c r="C21" s="18" t="s">
        <v>137</v>
      </c>
      <c r="D21" s="18" t="s">
        <v>312</v>
      </c>
      <c r="E21" s="18">
        <v>1212</v>
      </c>
      <c r="F21" s="18" t="s">
        <v>35</v>
      </c>
      <c r="J21" s="19">
        <v>0.7268</v>
      </c>
      <c r="K21" s="19">
        <v>0.63876652</v>
      </c>
      <c r="L21" s="19">
        <v>0.75849999999999995</v>
      </c>
      <c r="M21" s="19">
        <v>0.5111</v>
      </c>
      <c r="N21" s="19">
        <v>0.56720000000000004</v>
      </c>
      <c r="O21" s="19">
        <v>0.8</v>
      </c>
      <c r="P21" s="20">
        <v>46680</v>
      </c>
      <c r="Q21" s="21" t="str">
        <f>HYPERLINK("https://www.admissions.bradley.edu/ssl/estimator", "$16806")</f>
        <v>$16806</v>
      </c>
      <c r="R21" s="22">
        <v>22124</v>
      </c>
      <c r="S21" s="22">
        <v>26768</v>
      </c>
      <c r="T21" s="20">
        <v>3440</v>
      </c>
      <c r="U21" s="20">
        <v>13366</v>
      </c>
      <c r="W21" s="19">
        <v>0.24099999999999999</v>
      </c>
      <c r="X21" s="19">
        <v>0.26769999999999999</v>
      </c>
      <c r="Z21" s="23">
        <v>4643</v>
      </c>
    </row>
    <row r="22" spans="1:26" ht="15.75" customHeight="1" x14ac:dyDescent="0.2">
      <c r="A22" s="17" t="str">
        <f>HYPERLINK("https://www.byuh.edu/", "Brigham Young University-Hawaii")</f>
        <v>Brigham Young University-Hawaii</v>
      </c>
      <c r="B22" s="18" t="s">
        <v>32</v>
      </c>
      <c r="C22" s="18" t="s">
        <v>313</v>
      </c>
      <c r="D22" s="18" t="s">
        <v>314</v>
      </c>
      <c r="E22" s="18">
        <v>1182</v>
      </c>
      <c r="F22" s="18" t="s">
        <v>35</v>
      </c>
      <c r="J22" s="19">
        <v>0.56020000000000003</v>
      </c>
      <c r="K22" s="19">
        <v>0.39568345300000002</v>
      </c>
      <c r="L22" s="19">
        <v>0.56440000000000001</v>
      </c>
      <c r="M22" s="19">
        <v>0.33329999999999999</v>
      </c>
      <c r="N22" s="19">
        <v>1</v>
      </c>
      <c r="O22" s="19">
        <v>0.5</v>
      </c>
      <c r="P22" s="20">
        <v>18348</v>
      </c>
      <c r="Q22" s="21" t="str">
        <f>HYPERLINK("https://eis-web1.byuh.edu/net-price-calculator/npcalc.htm", "$8743")</f>
        <v>$8743</v>
      </c>
      <c r="R22" s="22">
        <v>10643</v>
      </c>
      <c r="S22" s="22">
        <v>14077</v>
      </c>
      <c r="T22" s="20">
        <v>6638</v>
      </c>
      <c r="U22" s="20">
        <v>2105</v>
      </c>
      <c r="W22" s="19">
        <v>0.2359</v>
      </c>
      <c r="X22" s="19">
        <v>0.65179999999999993</v>
      </c>
      <c r="Z22" s="23">
        <v>2855</v>
      </c>
    </row>
    <row r="23" spans="1:26" ht="15.75" customHeight="1" x14ac:dyDescent="0.2">
      <c r="A23" s="17" t="str">
        <f>HYPERLINK("https://www.bryant.edu/", "Bryant University")</f>
        <v>Bryant University</v>
      </c>
      <c r="B23" s="18" t="s">
        <v>32</v>
      </c>
      <c r="C23" s="18" t="s">
        <v>63</v>
      </c>
      <c r="D23" s="18" t="s">
        <v>315</v>
      </c>
      <c r="E23" s="18" t="s">
        <v>36</v>
      </c>
      <c r="F23" s="18" t="s">
        <v>45</v>
      </c>
      <c r="J23" s="19">
        <v>0.79059999999999997</v>
      </c>
      <c r="K23" s="19">
        <v>0.78431372599999993</v>
      </c>
      <c r="L23" s="19">
        <v>0.81359999999999999</v>
      </c>
      <c r="M23" s="19">
        <v>0.65790000000000004</v>
      </c>
      <c r="N23" s="19">
        <v>0.79169999999999996</v>
      </c>
      <c r="O23" s="19">
        <v>0.72219999999999995</v>
      </c>
      <c r="P23" s="20">
        <v>59904</v>
      </c>
      <c r="Q23" s="21" t="str">
        <f>HYPERLINK("https://tcc.noellevitz.com/(S(foqmuuiuwgy3pp1znqst0l1r))/Bryant University/Freshman-Students", "$30432")</f>
        <v>$30432</v>
      </c>
      <c r="R23" s="22">
        <v>35814</v>
      </c>
      <c r="S23" s="22">
        <v>37859</v>
      </c>
      <c r="T23" s="20">
        <v>2700</v>
      </c>
      <c r="U23" s="20">
        <v>27732</v>
      </c>
      <c r="W23" s="19">
        <v>0.14099999999999999</v>
      </c>
      <c r="X23" s="19">
        <v>0.25219999999999998</v>
      </c>
      <c r="Z23" s="23">
        <v>3449</v>
      </c>
    </row>
    <row r="24" spans="1:26" ht="15.75" customHeight="1" x14ac:dyDescent="0.2">
      <c r="A24" s="17" t="str">
        <f>HYPERLINK("https://www.butler.edu", "Butler University")</f>
        <v>Butler University</v>
      </c>
      <c r="B24" s="18" t="s">
        <v>32</v>
      </c>
      <c r="C24" s="18" t="s">
        <v>148</v>
      </c>
      <c r="D24" s="18" t="s">
        <v>316</v>
      </c>
      <c r="E24" s="18">
        <v>1279</v>
      </c>
      <c r="F24" s="18" t="s">
        <v>35</v>
      </c>
      <c r="J24" s="19">
        <v>0.78700000000000003</v>
      </c>
      <c r="K24" s="19">
        <v>0.61206896600000005</v>
      </c>
      <c r="L24" s="19">
        <v>0.80279999999999996</v>
      </c>
      <c r="M24" s="19">
        <v>0.64</v>
      </c>
      <c r="N24" s="19">
        <v>0.68</v>
      </c>
      <c r="O24" s="19">
        <v>0.64290000000000003</v>
      </c>
      <c r="P24" s="20">
        <v>56740</v>
      </c>
      <c r="Q24" s="21" t="str">
        <f>HYPERLINK("https://butler.studentaidcalculator.com/survey.aspx", "$30655")</f>
        <v>$30655</v>
      </c>
      <c r="R24" s="22">
        <v>32410</v>
      </c>
      <c r="S24" s="22">
        <v>36231</v>
      </c>
      <c r="T24" s="20">
        <v>3850</v>
      </c>
      <c r="U24" s="20">
        <v>26805</v>
      </c>
      <c r="W24" s="19">
        <v>0.13750000000000001</v>
      </c>
      <c r="X24" s="19">
        <v>0.17419999999999999</v>
      </c>
      <c r="Z24" s="23">
        <v>4197</v>
      </c>
    </row>
    <row r="25" spans="1:26" ht="15.75" customHeight="1" x14ac:dyDescent="0.2">
      <c r="A25" s="17" t="str">
        <f>HYPERLINK("https://www.ccny.cuny.edu", "CUNY City College")</f>
        <v>CUNY City College</v>
      </c>
      <c r="B25" s="18" t="s">
        <v>49</v>
      </c>
      <c r="C25" s="18" t="s">
        <v>38</v>
      </c>
      <c r="D25" s="18" t="s">
        <v>39</v>
      </c>
      <c r="E25" s="18">
        <v>1140</v>
      </c>
      <c r="F25" s="18" t="s">
        <v>35</v>
      </c>
      <c r="G25" s="18" t="s">
        <v>201</v>
      </c>
      <c r="H25" s="18" t="s">
        <v>317</v>
      </c>
      <c r="I25" s="18" t="s">
        <v>318</v>
      </c>
      <c r="J25" s="19">
        <v>0.49969999999999998</v>
      </c>
      <c r="K25" s="19">
        <v>0.43050084399999999</v>
      </c>
      <c r="L25" s="19">
        <v>0.56850000000000001</v>
      </c>
      <c r="M25" s="19">
        <v>0.45779999999999998</v>
      </c>
      <c r="N25" s="19">
        <v>0.4526</v>
      </c>
      <c r="O25" s="19">
        <v>0.55320000000000003</v>
      </c>
      <c r="P25" s="20">
        <v>12412</v>
      </c>
      <c r="Q25" s="21" t="str">
        <f>HYPERLINK("https://portal0.uapc.cuny.edu/uapc/public/fin_aid/financial_aid_estimator/FinAidEstimator.jsp", "$1314")</f>
        <v>$1314</v>
      </c>
      <c r="R25" s="22">
        <v>7810</v>
      </c>
      <c r="S25" s="22">
        <v>11384</v>
      </c>
      <c r="T25" s="20">
        <v>5472</v>
      </c>
      <c r="U25" s="20">
        <v>-4158</v>
      </c>
      <c r="W25" s="19">
        <v>0.52500000000000002</v>
      </c>
      <c r="X25" s="19">
        <v>0.86509999999999998</v>
      </c>
      <c r="Z25" s="23">
        <v>12480</v>
      </c>
    </row>
    <row r="26" spans="1:26" ht="15.75" customHeight="1" x14ac:dyDescent="0.2">
      <c r="A26" s="17" t="str">
        <f>HYPERLINK("https://www.hunter.cuny.edu", "CUNY Hunter College")</f>
        <v>CUNY Hunter College</v>
      </c>
      <c r="B26" s="18" t="s">
        <v>49</v>
      </c>
      <c r="C26" s="18" t="s">
        <v>38</v>
      </c>
      <c r="D26" s="18" t="s">
        <v>39</v>
      </c>
      <c r="E26" s="18">
        <v>1205</v>
      </c>
      <c r="F26" s="18" t="s">
        <v>35</v>
      </c>
      <c r="G26" s="18" t="s">
        <v>201</v>
      </c>
      <c r="H26" s="18" t="s">
        <v>319</v>
      </c>
      <c r="I26" s="18" t="s">
        <v>320</v>
      </c>
      <c r="J26" s="19">
        <v>0.51919999999999999</v>
      </c>
      <c r="K26" s="19">
        <v>0.44954128399999999</v>
      </c>
      <c r="L26" s="19">
        <v>0.52990000000000004</v>
      </c>
      <c r="M26" s="19">
        <v>0.5323</v>
      </c>
      <c r="N26" s="19">
        <v>0.47799999999999998</v>
      </c>
      <c r="O26" s="19">
        <v>0.53480000000000005</v>
      </c>
      <c r="P26" s="20">
        <v>12454</v>
      </c>
      <c r="Q26" s="21" t="str">
        <f>HYPERLINK("https://portal0.uapc.cuny.edu/uapc/public/fin_aid/financial_aid_estimator/FinAidEstimator.jsp", "$1456")</f>
        <v>$1456</v>
      </c>
      <c r="R26" s="22">
        <v>7752</v>
      </c>
      <c r="S26" s="22">
        <v>11253</v>
      </c>
      <c r="T26" s="20">
        <v>5472</v>
      </c>
      <c r="U26" s="20">
        <v>-4016</v>
      </c>
      <c r="W26" s="19">
        <v>0.44440000000000002</v>
      </c>
      <c r="X26" s="19">
        <v>0.76800000000000002</v>
      </c>
      <c r="Z26" s="23">
        <v>15820</v>
      </c>
    </row>
    <row r="27" spans="1:26" ht="15.75" customHeight="1" x14ac:dyDescent="0.2">
      <c r="A27" s="17" t="str">
        <f>HYPERLINK("https://www.calvin.edu", "Calvin College")</f>
        <v>Calvin College</v>
      </c>
      <c r="B27" s="18" t="s">
        <v>32</v>
      </c>
      <c r="C27" s="18" t="s">
        <v>226</v>
      </c>
      <c r="D27" s="18" t="s">
        <v>321</v>
      </c>
      <c r="E27" s="18">
        <v>1243</v>
      </c>
      <c r="F27" s="18" t="s">
        <v>35</v>
      </c>
      <c r="J27" s="19">
        <v>0.72340000000000004</v>
      </c>
      <c r="K27" s="19">
        <v>0.587837838</v>
      </c>
      <c r="L27" s="19">
        <v>0.74709999999999999</v>
      </c>
      <c r="M27" s="19">
        <v>0.59260000000000002</v>
      </c>
      <c r="N27" s="19">
        <v>0.54759999999999998</v>
      </c>
      <c r="O27" s="19">
        <v>0.64810000000000001</v>
      </c>
      <c r="P27" s="20">
        <v>46790</v>
      </c>
      <c r="Q27" s="21" t="str">
        <f>HYPERLINK("https://calvin.studentaidcalculator.com/survey.aspx", "$20084")</f>
        <v>$20084</v>
      </c>
      <c r="R27" s="22">
        <v>22057</v>
      </c>
      <c r="S27" s="22">
        <v>25658</v>
      </c>
      <c r="T27" s="20">
        <v>3700</v>
      </c>
      <c r="U27" s="20">
        <v>16384</v>
      </c>
      <c r="W27" s="19">
        <v>0.20150000000000001</v>
      </c>
      <c r="X27" s="19">
        <v>0.2984</v>
      </c>
      <c r="Z27" s="23">
        <v>3656</v>
      </c>
    </row>
    <row r="28" spans="1:26" ht="15.75" customHeight="1" x14ac:dyDescent="0.2">
      <c r="A28" s="17" t="str">
        <f>HYPERLINK("https://www.canisius.edu", "Canisius College")</f>
        <v>Canisius College</v>
      </c>
      <c r="B28" s="18" t="s">
        <v>32</v>
      </c>
      <c r="C28" s="18" t="s">
        <v>38</v>
      </c>
      <c r="D28" s="18" t="s">
        <v>322</v>
      </c>
      <c r="E28" s="18">
        <v>1172</v>
      </c>
      <c r="F28" s="18" t="s">
        <v>35</v>
      </c>
      <c r="G28" s="18" t="s">
        <v>40</v>
      </c>
      <c r="H28" s="18" t="s">
        <v>323</v>
      </c>
      <c r="I28" s="18" t="s">
        <v>324</v>
      </c>
      <c r="J28" s="19">
        <v>0.69340000000000002</v>
      </c>
      <c r="K28" s="19">
        <v>0.53846153899999993</v>
      </c>
      <c r="L28" s="19">
        <v>0.72509999999999997</v>
      </c>
      <c r="M28" s="19">
        <v>0.625</v>
      </c>
      <c r="N28" s="19">
        <v>0.3</v>
      </c>
      <c r="O28" s="19">
        <v>0.22220000000000001</v>
      </c>
      <c r="P28" s="20">
        <v>52172</v>
      </c>
      <c r="Q28" s="21" t="str">
        <f>HYPERLINK("https://canisius.studentaidcalculator.com/welcome.aspx", "$15651")</f>
        <v>$15651</v>
      </c>
      <c r="R28" s="22">
        <v>20409</v>
      </c>
      <c r="S28" s="22">
        <v>24000</v>
      </c>
      <c r="T28" s="20">
        <v>2500</v>
      </c>
      <c r="U28" s="20">
        <v>13151</v>
      </c>
      <c r="W28" s="19">
        <v>0.30980000000000002</v>
      </c>
      <c r="X28" s="19">
        <v>0.2651</v>
      </c>
      <c r="Z28" s="23">
        <v>2324</v>
      </c>
    </row>
    <row r="29" spans="1:26" ht="15.75" customHeight="1" x14ac:dyDescent="0.2">
      <c r="A29" s="17" t="str">
        <f>HYPERLINK("https://www.catholic.edu", "Catholic University of America")</f>
        <v>Catholic University of America</v>
      </c>
      <c r="B29" s="18" t="s">
        <v>32</v>
      </c>
      <c r="C29" s="18" t="s">
        <v>113</v>
      </c>
      <c r="D29" s="18" t="s">
        <v>114</v>
      </c>
      <c r="E29" s="18" t="s">
        <v>36</v>
      </c>
      <c r="F29" s="18" t="s">
        <v>45</v>
      </c>
      <c r="J29" s="19">
        <v>0.73580000000000001</v>
      </c>
      <c r="K29" s="19">
        <v>0.61538461499999997</v>
      </c>
      <c r="L29" s="19">
        <v>0.75970000000000004</v>
      </c>
      <c r="M29" s="19">
        <v>0.42309999999999998</v>
      </c>
      <c r="N29" s="19">
        <v>0.59140000000000004</v>
      </c>
      <c r="O29" s="19">
        <v>0.77780000000000005</v>
      </c>
      <c r="P29" s="20">
        <v>62482</v>
      </c>
      <c r="Q29" s="21" t="str">
        <f>HYPERLINK("https://admissions.cua.edu/undergrad/finaid/NetPriceCalculator/calculator.html", "$24818")</f>
        <v>$24818</v>
      </c>
      <c r="R29" s="22">
        <v>25533</v>
      </c>
      <c r="S29" s="22">
        <v>30418</v>
      </c>
      <c r="T29" s="20">
        <v>4106</v>
      </c>
      <c r="U29" s="20">
        <v>20712</v>
      </c>
      <c r="W29" s="19">
        <v>0.1234</v>
      </c>
      <c r="X29" s="19">
        <v>0.34739999999999999</v>
      </c>
      <c r="Z29" s="23">
        <v>3284</v>
      </c>
    </row>
    <row r="30" spans="1:26" ht="15.75" customHeight="1" x14ac:dyDescent="0.2">
      <c r="A30" s="17" t="str">
        <f>HYPERLINK("https://www.cedarville.edu", "Cedarville University")</f>
        <v>Cedarville University</v>
      </c>
      <c r="B30" s="18" t="s">
        <v>32</v>
      </c>
      <c r="C30" s="18" t="s">
        <v>75</v>
      </c>
      <c r="D30" s="18" t="s">
        <v>325</v>
      </c>
      <c r="E30" s="18">
        <v>1246</v>
      </c>
      <c r="F30" s="18" t="s">
        <v>35</v>
      </c>
      <c r="J30" s="19">
        <v>0.71679999999999999</v>
      </c>
      <c r="K30" s="19">
        <v>0.440860215</v>
      </c>
      <c r="L30" s="19">
        <v>0.72740000000000005</v>
      </c>
      <c r="M30" s="19">
        <v>0.6</v>
      </c>
      <c r="N30" s="19">
        <v>0.86670000000000003</v>
      </c>
      <c r="O30" s="19">
        <v>0.6875</v>
      </c>
      <c r="P30" s="20">
        <v>39194</v>
      </c>
      <c r="Q30" s="21" t="str">
        <f>HYPERLINK("https://npc.collegeboard.org/app/cedarville", "$17216")</f>
        <v>$17216</v>
      </c>
      <c r="R30" s="22">
        <v>20179</v>
      </c>
      <c r="S30" s="22">
        <v>21731</v>
      </c>
      <c r="T30" s="20">
        <v>2950</v>
      </c>
      <c r="U30" s="20">
        <v>14266</v>
      </c>
      <c r="W30" s="19">
        <v>0.2009</v>
      </c>
      <c r="X30" s="19">
        <v>0.12609999999999999</v>
      </c>
      <c r="Z30" s="23">
        <v>3132</v>
      </c>
    </row>
    <row r="31" spans="1:26" ht="15.75" customHeight="1" x14ac:dyDescent="0.2">
      <c r="A31" s="17" t="str">
        <f>HYPERLINK("https://www.central.edu", "Central College")</f>
        <v>Central College</v>
      </c>
      <c r="B31" s="18" t="s">
        <v>32</v>
      </c>
      <c r="C31" s="18" t="s">
        <v>211</v>
      </c>
      <c r="D31" s="18" t="s">
        <v>326</v>
      </c>
      <c r="E31" s="18">
        <v>1161</v>
      </c>
      <c r="F31" s="18" t="s">
        <v>35</v>
      </c>
      <c r="J31" s="19">
        <v>0.68930000000000002</v>
      </c>
      <c r="K31" s="19">
        <v>0.49367088599999998</v>
      </c>
      <c r="L31" s="19">
        <v>0.70669999999999999</v>
      </c>
      <c r="M31" s="19">
        <v>0.8</v>
      </c>
      <c r="N31" s="19">
        <v>0.3</v>
      </c>
      <c r="O31" s="19">
        <v>0.75</v>
      </c>
      <c r="P31" s="20">
        <v>50547</v>
      </c>
      <c r="Q31" s="21" t="str">
        <f>HYPERLINK("https://www.central.edu/financial-aid/net-price-calculator/", "$16895")</f>
        <v>$16895</v>
      </c>
      <c r="R31" s="22">
        <v>18103</v>
      </c>
      <c r="S31" s="22">
        <v>25291</v>
      </c>
      <c r="T31" s="20">
        <v>4637</v>
      </c>
      <c r="U31" s="20">
        <v>12258</v>
      </c>
      <c r="W31" s="19">
        <v>0.24840000000000001</v>
      </c>
      <c r="X31" s="19">
        <v>0.13769999999999999</v>
      </c>
      <c r="Z31" s="23">
        <v>1198</v>
      </c>
    </row>
    <row r="32" spans="1:26" ht="15.75" customHeight="1" x14ac:dyDescent="0.2">
      <c r="A32" s="17" t="str">
        <f>HYPERLINK("https://www.champlain.edu", "Champlain College")</f>
        <v>Champlain College</v>
      </c>
      <c r="B32" s="18" t="s">
        <v>32</v>
      </c>
      <c r="C32" s="18" t="s">
        <v>47</v>
      </c>
      <c r="D32" s="18" t="s">
        <v>327</v>
      </c>
      <c r="E32" s="18">
        <v>1210</v>
      </c>
      <c r="F32" s="18" t="s">
        <v>35</v>
      </c>
      <c r="J32" s="19">
        <v>0.60450000000000004</v>
      </c>
      <c r="K32" s="19">
        <v>0.56216216200000002</v>
      </c>
      <c r="L32" s="19">
        <v>0.61380000000000001</v>
      </c>
      <c r="M32" s="19">
        <v>0.16669999999999999</v>
      </c>
      <c r="N32" s="19">
        <v>0.60870000000000002</v>
      </c>
      <c r="O32" s="19">
        <v>0.66669999999999996</v>
      </c>
      <c r="P32" s="20">
        <v>57997</v>
      </c>
      <c r="Q32" s="21" t="str">
        <f>HYPERLINK("https://www.champlain.edu/admissions/undergraduate-admissions/financial-aid-undergraduate/champlain-net-price-calculator", "$27892")</f>
        <v>$27892</v>
      </c>
      <c r="R32" s="22">
        <v>33423</v>
      </c>
      <c r="S32" s="22">
        <v>35770</v>
      </c>
      <c r="T32" s="20">
        <v>3273</v>
      </c>
      <c r="U32" s="20">
        <v>24619</v>
      </c>
      <c r="W32" s="19">
        <v>0.21110000000000001</v>
      </c>
      <c r="X32" s="19">
        <v>0.32379999999999998</v>
      </c>
      <c r="Z32" s="23">
        <v>3771</v>
      </c>
    </row>
    <row r="33" spans="1:26" ht="15.75" customHeight="1" x14ac:dyDescent="0.2">
      <c r="A33" s="17" t="str">
        <f>HYPERLINK("https://www.chapman.edu", "Chapman University")</f>
        <v>Chapman University</v>
      </c>
      <c r="B33" s="18" t="s">
        <v>32</v>
      </c>
      <c r="C33" s="18" t="s">
        <v>68</v>
      </c>
      <c r="D33" s="18" t="s">
        <v>328</v>
      </c>
      <c r="E33" s="18">
        <v>1293</v>
      </c>
      <c r="F33" s="18" t="s">
        <v>35</v>
      </c>
      <c r="J33" s="19">
        <v>0.79049999999999998</v>
      </c>
      <c r="K33" s="19">
        <v>0.28187919500000003</v>
      </c>
      <c r="L33" s="19">
        <v>0.78969999999999996</v>
      </c>
      <c r="M33" s="19">
        <v>0.60870000000000002</v>
      </c>
      <c r="N33" s="19">
        <v>0.80420000000000003</v>
      </c>
      <c r="O33" s="19">
        <v>0.88429999999999997</v>
      </c>
      <c r="P33" s="20">
        <v>69464</v>
      </c>
      <c r="Q33" s="21" t="str">
        <f>HYPERLINK("https://www.chapman.edu/students/tuition-and-aid/financial-aid/net-cost-calculator/index.aspx", "$33099")</f>
        <v>$33099</v>
      </c>
      <c r="R33" s="22">
        <v>34265</v>
      </c>
      <c r="S33" s="22">
        <v>36709</v>
      </c>
      <c r="T33" s="20">
        <v>3960</v>
      </c>
      <c r="U33" s="20">
        <v>29139</v>
      </c>
      <c r="W33" s="19">
        <v>0.16220000000000001</v>
      </c>
      <c r="X33" s="19">
        <v>0.45450000000000002</v>
      </c>
      <c r="Z33" s="23">
        <v>6740</v>
      </c>
    </row>
    <row r="34" spans="1:26" ht="15.75" customHeight="1" x14ac:dyDescent="0.2">
      <c r="A34" s="17" t="str">
        <f>HYPERLINK("https://cnu.edu/", "Christopher Newport University")</f>
        <v>Christopher Newport University</v>
      </c>
      <c r="B34" s="18" t="s">
        <v>49</v>
      </c>
      <c r="C34" s="18" t="s">
        <v>83</v>
      </c>
      <c r="D34" s="18" t="s">
        <v>329</v>
      </c>
      <c r="E34" s="18" t="s">
        <v>36</v>
      </c>
      <c r="F34" s="18" t="s">
        <v>90</v>
      </c>
      <c r="J34" s="19">
        <v>0.74539999999999995</v>
      </c>
      <c r="K34" s="19">
        <v>0.50588235299999995</v>
      </c>
      <c r="L34" s="19">
        <v>0.74950000000000006</v>
      </c>
      <c r="M34" s="19">
        <v>0.69469999999999998</v>
      </c>
      <c r="N34" s="19">
        <v>0.76559999999999995</v>
      </c>
      <c r="O34" s="19">
        <v>0.625</v>
      </c>
      <c r="P34" s="20">
        <v>41876</v>
      </c>
      <c r="Q34" s="21" t="str">
        <f>HYPERLINK("https://cnu.edu/financialaid/calculator/npcalc1415.htm", "$32561")</f>
        <v>$32561</v>
      </c>
      <c r="R34" s="22">
        <v>35486</v>
      </c>
      <c r="S34" s="22">
        <v>36606</v>
      </c>
      <c r="T34" s="20">
        <v>4802</v>
      </c>
      <c r="U34" s="20">
        <v>27759.546511627908</v>
      </c>
      <c r="W34" s="19">
        <v>0.1469</v>
      </c>
      <c r="X34" s="19">
        <v>0.24829999999999999</v>
      </c>
      <c r="Z34" s="23">
        <v>4950</v>
      </c>
    </row>
    <row r="35" spans="1:26" ht="15.75" customHeight="1" x14ac:dyDescent="0.2">
      <c r="A35" s="17" t="str">
        <f>HYPERLINK("https://www.clarkson.edu", "Clarkson University")</f>
        <v>Clarkson University</v>
      </c>
      <c r="B35" s="18" t="s">
        <v>32</v>
      </c>
      <c r="C35" s="18" t="s">
        <v>38</v>
      </c>
      <c r="D35" s="18" t="s">
        <v>330</v>
      </c>
      <c r="E35" s="18">
        <v>1247</v>
      </c>
      <c r="F35" s="18" t="s">
        <v>35</v>
      </c>
      <c r="G35" s="18" t="s">
        <v>40</v>
      </c>
      <c r="H35" s="18" t="s">
        <v>331</v>
      </c>
      <c r="I35" s="18" t="s">
        <v>332</v>
      </c>
      <c r="J35" s="19">
        <v>0.72940000000000005</v>
      </c>
      <c r="K35" s="19">
        <v>0.67375886500000004</v>
      </c>
      <c r="L35" s="19">
        <v>0.73740000000000006</v>
      </c>
      <c r="M35" s="19">
        <v>0.62960000000000005</v>
      </c>
      <c r="N35" s="19">
        <v>0.8125</v>
      </c>
      <c r="O35" s="19">
        <v>0.68969999999999998</v>
      </c>
      <c r="P35" s="20">
        <v>66106</v>
      </c>
      <c r="Q35" s="21" t="str">
        <f>HYPERLINK("https://www.clarkson.edu/admissions/undergrad_admissions/calculator.php", "$19156")</f>
        <v>$19156</v>
      </c>
      <c r="R35" s="22">
        <v>26464</v>
      </c>
      <c r="S35" s="22">
        <v>31592</v>
      </c>
      <c r="T35" s="20">
        <v>3668</v>
      </c>
      <c r="U35" s="20">
        <v>15488</v>
      </c>
      <c r="W35" s="19">
        <v>0.224</v>
      </c>
      <c r="X35" s="19">
        <v>0.18790000000000001</v>
      </c>
      <c r="Z35" s="23">
        <v>2991</v>
      </c>
    </row>
    <row r="36" spans="1:26" ht="15.75" customHeight="1" x14ac:dyDescent="0.2">
      <c r="A36" s="17" t="str">
        <f>HYPERLINK("https://www.coe.edu", "Coe College")</f>
        <v>Coe College</v>
      </c>
      <c r="B36" s="18" t="s">
        <v>32</v>
      </c>
      <c r="C36" s="18" t="s">
        <v>211</v>
      </c>
      <c r="D36" s="18" t="s">
        <v>333</v>
      </c>
      <c r="E36" s="18">
        <v>1213</v>
      </c>
      <c r="F36" s="18" t="s">
        <v>35</v>
      </c>
      <c r="J36" s="19">
        <v>0.6925</v>
      </c>
      <c r="K36" s="19">
        <v>0.50909090899999998</v>
      </c>
      <c r="L36" s="19">
        <v>0.69799999999999995</v>
      </c>
      <c r="M36" s="19">
        <v>0.77780000000000005</v>
      </c>
      <c r="N36" s="19">
        <v>0.83330000000000004</v>
      </c>
      <c r="O36" s="19">
        <v>0.7</v>
      </c>
      <c r="P36" s="20">
        <v>55240</v>
      </c>
      <c r="Q36" s="21" t="str">
        <f>HYPERLINK("https://www.coe.edu/admission/financial-aid-scholarships/resources/net-price-calculator", "$16665")</f>
        <v>$16665</v>
      </c>
      <c r="R36" s="22">
        <v>18613</v>
      </c>
      <c r="S36" s="22">
        <v>21336</v>
      </c>
      <c r="T36" s="20">
        <v>3670</v>
      </c>
      <c r="U36" s="20">
        <v>12995</v>
      </c>
      <c r="W36" s="19">
        <v>0.29520000000000002</v>
      </c>
      <c r="X36" s="19">
        <v>0.32150000000000001</v>
      </c>
      <c r="Z36" s="23">
        <v>1350</v>
      </c>
    </row>
    <row r="37" spans="1:26" ht="15.75" customHeight="1" x14ac:dyDescent="0.2">
      <c r="A37" s="17" t="str">
        <f>HYPERLINK("https://www.cofc.edu", "College of Charleston")</f>
        <v>College of Charleston</v>
      </c>
      <c r="B37" s="18" t="s">
        <v>49</v>
      </c>
      <c r="C37" s="18" t="s">
        <v>208</v>
      </c>
      <c r="D37" s="18" t="s">
        <v>334</v>
      </c>
      <c r="E37" s="18">
        <v>1176</v>
      </c>
      <c r="F37" s="18" t="s">
        <v>35</v>
      </c>
      <c r="J37" s="19">
        <v>0.69210000000000005</v>
      </c>
      <c r="K37" s="19">
        <v>0.59560067700000008</v>
      </c>
      <c r="L37" s="19">
        <v>0.69430000000000003</v>
      </c>
      <c r="M37" s="19">
        <v>0.66169999999999995</v>
      </c>
      <c r="N37" s="19">
        <v>0.64439999999999997</v>
      </c>
      <c r="O37" s="19">
        <v>0.7097</v>
      </c>
      <c r="P37" s="20">
        <v>48057</v>
      </c>
      <c r="Q37" s="21" t="str">
        <f>HYPERLINK("https://cofc.studentaidcalculator.com/survey.aspx", "$35332")</f>
        <v>$35332</v>
      </c>
      <c r="R37" s="22">
        <v>39275</v>
      </c>
      <c r="S37" s="22">
        <v>41878</v>
      </c>
      <c r="T37" s="20">
        <v>5199</v>
      </c>
      <c r="U37" s="20">
        <v>30133.008356545961</v>
      </c>
      <c r="W37" s="19">
        <v>0.23400000000000001</v>
      </c>
      <c r="X37" s="19">
        <v>0.221</v>
      </c>
      <c r="Z37" s="23">
        <v>9599</v>
      </c>
    </row>
    <row r="38" spans="1:26" ht="15.75" customHeight="1" x14ac:dyDescent="0.2">
      <c r="A38" s="17" t="str">
        <f>HYPERLINK("https://www.elms.edu", "College of Our Lady of the Elms")</f>
        <v>College of Our Lady of the Elms</v>
      </c>
      <c r="B38" s="18" t="s">
        <v>32</v>
      </c>
      <c r="C38" s="18" t="s">
        <v>33</v>
      </c>
      <c r="D38" s="18" t="s">
        <v>335</v>
      </c>
      <c r="E38" s="18">
        <v>1033</v>
      </c>
      <c r="F38" s="18" t="s">
        <v>35</v>
      </c>
      <c r="J38" s="19">
        <v>0.57069999999999999</v>
      </c>
      <c r="K38" s="19">
        <v>0.5</v>
      </c>
      <c r="L38" s="19">
        <v>0.66669999999999996</v>
      </c>
      <c r="M38" s="19">
        <v>0.35</v>
      </c>
      <c r="N38" s="19">
        <v>0.35289999999999999</v>
      </c>
      <c r="O38" s="19">
        <v>0.85709999999999997</v>
      </c>
      <c r="P38" s="20">
        <v>50792</v>
      </c>
      <c r="Q38" s="21" t="str">
        <f>HYPERLINK("https://tcc.noellevitz.com/(S(fwtmfnosjzw40vqinl1pafji))/Elms%20College/Freshman-Students", "$16843")</f>
        <v>$16843</v>
      </c>
      <c r="R38" s="22">
        <v>17969</v>
      </c>
      <c r="S38" s="22">
        <v>22283</v>
      </c>
      <c r="T38" s="20">
        <v>3550</v>
      </c>
      <c r="U38" s="20">
        <v>13293</v>
      </c>
      <c r="W38" s="19">
        <v>0.4461</v>
      </c>
      <c r="X38" s="19">
        <v>0.43519999999999998</v>
      </c>
      <c r="Z38" s="23">
        <v>1142</v>
      </c>
    </row>
    <row r="39" spans="1:26" ht="15.75" customHeight="1" x14ac:dyDescent="0.2">
      <c r="A39" s="17" t="str">
        <f>HYPERLINK("https://www.csbsju.edu", "College of Saint Benedict")</f>
        <v>College of Saint Benedict</v>
      </c>
      <c r="B39" s="18" t="s">
        <v>32</v>
      </c>
      <c r="C39" s="18" t="s">
        <v>72</v>
      </c>
      <c r="D39" s="18" t="s">
        <v>336</v>
      </c>
      <c r="E39" s="18">
        <v>1208</v>
      </c>
      <c r="F39" s="18" t="s">
        <v>35</v>
      </c>
      <c r="J39" s="19">
        <v>0.81710000000000005</v>
      </c>
      <c r="K39" s="19">
        <v>0.67241379299999993</v>
      </c>
      <c r="L39" s="19">
        <v>0.83599999999999997</v>
      </c>
      <c r="M39" s="19">
        <v>0.7</v>
      </c>
      <c r="N39" s="19">
        <v>0.8</v>
      </c>
      <c r="O39" s="19">
        <v>0.73529999999999995</v>
      </c>
      <c r="P39" s="20">
        <v>56880</v>
      </c>
      <c r="Q39" s="21" t="str">
        <f>HYPERLINK("https://csbsju.studentaidcalculator.com/survey.aspx", "$16327")</f>
        <v>$16327</v>
      </c>
      <c r="R39" s="22">
        <v>20963</v>
      </c>
      <c r="S39" s="22">
        <v>27230</v>
      </c>
      <c r="T39" s="20">
        <v>2400</v>
      </c>
      <c r="U39" s="20">
        <v>13927</v>
      </c>
      <c r="W39" s="19">
        <v>0.2349</v>
      </c>
      <c r="X39" s="19">
        <v>0.2034</v>
      </c>
      <c r="Z39" s="23">
        <v>1937</v>
      </c>
    </row>
    <row r="40" spans="1:26" ht="15.75" customHeight="1" x14ac:dyDescent="0.2">
      <c r="A40" s="17" t="str">
        <f>HYPERLINK("https://www.coa.edu", "College of the Atlantic")</f>
        <v>College of the Atlantic</v>
      </c>
      <c r="B40" s="18" t="s">
        <v>32</v>
      </c>
      <c r="C40" s="18" t="s">
        <v>43</v>
      </c>
      <c r="D40" s="18" t="s">
        <v>337</v>
      </c>
      <c r="E40" s="18" t="s">
        <v>36</v>
      </c>
      <c r="F40" s="18" t="s">
        <v>45</v>
      </c>
      <c r="J40" s="19">
        <v>0.65790000000000004</v>
      </c>
      <c r="K40" s="19" t="s">
        <v>36</v>
      </c>
      <c r="L40" s="19">
        <v>0.59650000000000003</v>
      </c>
      <c r="M40" s="19">
        <v>0</v>
      </c>
      <c r="N40" s="19">
        <v>1</v>
      </c>
      <c r="O40" s="19" t="s">
        <v>36</v>
      </c>
      <c r="P40" s="20">
        <v>54969</v>
      </c>
      <c r="Q40" s="21" t="str">
        <f>HYPERLINK("https://coa.studentaidcalculator.com", "$12746")</f>
        <v>$12746</v>
      </c>
      <c r="R40" s="22">
        <v>17988</v>
      </c>
      <c r="S40" s="22">
        <v>22859</v>
      </c>
      <c r="T40" s="20">
        <v>1680</v>
      </c>
      <c r="U40" s="20">
        <v>11066</v>
      </c>
      <c r="W40" s="19">
        <v>0.31630000000000003</v>
      </c>
      <c r="X40" s="19">
        <v>0.33329999999999999</v>
      </c>
      <c r="Z40" s="23">
        <v>339</v>
      </c>
    </row>
    <row r="41" spans="1:26" ht="15.75" customHeight="1" x14ac:dyDescent="0.2">
      <c r="A41" s="17" t="str">
        <f>HYPERLINK("https://WWW.CCU.EDU", "Colorado Christian University")</f>
        <v>Colorado Christian University</v>
      </c>
      <c r="B41" s="18" t="s">
        <v>32</v>
      </c>
      <c r="C41" s="18" t="s">
        <v>87</v>
      </c>
      <c r="D41" s="18" t="s">
        <v>338</v>
      </c>
      <c r="E41" s="18" t="s">
        <v>36</v>
      </c>
      <c r="F41" s="18" t="s">
        <v>36</v>
      </c>
      <c r="J41" s="19">
        <v>0.50170000000000003</v>
      </c>
      <c r="K41" s="19">
        <v>0.23263888899999999</v>
      </c>
      <c r="L41" s="19">
        <v>0.47910000000000003</v>
      </c>
      <c r="M41" s="19">
        <v>0.2</v>
      </c>
      <c r="N41" s="19">
        <v>0.5</v>
      </c>
      <c r="O41" s="19">
        <v>0.66669999999999996</v>
      </c>
      <c r="P41" s="20">
        <v>43486</v>
      </c>
      <c r="Q41" s="21" t="str">
        <f>HYPERLINK("https://www.ccu.edu/finaid/calculator/", "$22052")</f>
        <v>$22052</v>
      </c>
      <c r="R41" s="22">
        <v>21952</v>
      </c>
      <c r="S41" s="22">
        <v>24825</v>
      </c>
      <c r="T41" s="20">
        <v>2600</v>
      </c>
      <c r="U41" s="20">
        <v>19452</v>
      </c>
      <c r="W41" s="19">
        <v>0.34670000000000001</v>
      </c>
      <c r="X41" s="19">
        <v>0.36659999999999998</v>
      </c>
      <c r="Z41" s="23">
        <v>4918</v>
      </c>
    </row>
    <row r="42" spans="1:26" ht="15.75" customHeight="1" x14ac:dyDescent="0.2">
      <c r="A42" s="17" t="str">
        <f>HYPERLINK("https://www.colostate.edu", "Colorado State University-Fort Collins")</f>
        <v>Colorado State University-Fort Collins</v>
      </c>
      <c r="B42" s="18" t="s">
        <v>49</v>
      </c>
      <c r="C42" s="18" t="s">
        <v>87</v>
      </c>
      <c r="D42" s="18" t="s">
        <v>339</v>
      </c>
      <c r="E42" s="18">
        <v>1212</v>
      </c>
      <c r="F42" s="18" t="s">
        <v>35</v>
      </c>
      <c r="J42" s="19">
        <v>0.68599999999999994</v>
      </c>
      <c r="K42" s="19">
        <v>0.58139534900000001</v>
      </c>
      <c r="L42" s="19">
        <v>0.70979999999999999</v>
      </c>
      <c r="M42" s="19">
        <v>0.61480000000000001</v>
      </c>
      <c r="N42" s="19">
        <v>0.5948</v>
      </c>
      <c r="O42" s="19">
        <v>0.60760000000000003</v>
      </c>
      <c r="P42" s="20">
        <v>43437</v>
      </c>
      <c r="Q42" s="21" t="str">
        <f>HYPERLINK("https://npc.collegeboard.org/student/app/colostate", "$29497")</f>
        <v>$29497</v>
      </c>
      <c r="R42" s="22">
        <v>33479</v>
      </c>
      <c r="S42" s="22">
        <v>39502</v>
      </c>
      <c r="T42" s="20">
        <v>2560</v>
      </c>
      <c r="U42" s="20">
        <v>26937.385008517889</v>
      </c>
      <c r="W42" s="19">
        <v>0.22720000000000001</v>
      </c>
      <c r="X42" s="19">
        <v>0.27850000000000003</v>
      </c>
      <c r="Z42" s="23">
        <v>23804</v>
      </c>
    </row>
    <row r="43" spans="1:26" ht="15.75" customHeight="1" x14ac:dyDescent="0.2">
      <c r="A43" s="17" t="str">
        <f>HYPERLINK("https://www.cui.edu", "Concordia University-Irvine")</f>
        <v>Concordia University-Irvine</v>
      </c>
      <c r="B43" s="18" t="s">
        <v>32</v>
      </c>
      <c r="C43" s="18" t="s">
        <v>68</v>
      </c>
      <c r="D43" s="18" t="s">
        <v>340</v>
      </c>
      <c r="E43" s="18">
        <v>1121</v>
      </c>
      <c r="F43" s="18" t="s">
        <v>35</v>
      </c>
      <c r="J43" s="19">
        <v>0.64629999999999999</v>
      </c>
      <c r="K43" s="19">
        <v>0.48031496099999998</v>
      </c>
      <c r="L43" s="19">
        <v>0.69410000000000005</v>
      </c>
      <c r="M43" s="19">
        <v>0.5</v>
      </c>
      <c r="N43" s="19">
        <v>0.54390000000000005</v>
      </c>
      <c r="O43" s="19">
        <v>0.47060000000000002</v>
      </c>
      <c r="P43" s="20">
        <v>50180</v>
      </c>
      <c r="Q43" s="21" t="str">
        <f>HYPERLINK("https://www.cui.edu/studentlife/financial-aid/undergraduate/index.aspx?id=21911", "$19815")</f>
        <v>$19815</v>
      </c>
      <c r="R43" s="22">
        <v>21139</v>
      </c>
      <c r="S43" s="22">
        <v>24482</v>
      </c>
      <c r="T43" s="20">
        <v>5120</v>
      </c>
      <c r="U43" s="20">
        <v>14695</v>
      </c>
      <c r="W43" s="19">
        <v>0.27379999999999999</v>
      </c>
      <c r="X43" s="19">
        <v>0.48599999999999999</v>
      </c>
      <c r="Z43" s="23">
        <v>1821</v>
      </c>
    </row>
    <row r="44" spans="1:26" ht="15.75" customHeight="1" x14ac:dyDescent="0.2">
      <c r="A44" s="17" t="str">
        <f>HYPERLINK("https://www.cune.edu", "Concordia University-Nebraska")</f>
        <v>Concordia University-Nebraska</v>
      </c>
      <c r="B44" s="18" t="s">
        <v>32</v>
      </c>
      <c r="C44" s="18" t="s">
        <v>341</v>
      </c>
      <c r="D44" s="18" t="s">
        <v>342</v>
      </c>
      <c r="E44" s="18">
        <v>1134</v>
      </c>
      <c r="F44" s="18" t="s">
        <v>35</v>
      </c>
      <c r="J44" s="19">
        <v>0.66239999999999999</v>
      </c>
      <c r="K44" s="19">
        <v>0.43137254899999999</v>
      </c>
      <c r="L44" s="19">
        <v>0.71650000000000003</v>
      </c>
      <c r="M44" s="19">
        <v>0.2727</v>
      </c>
      <c r="N44" s="19">
        <v>0.66669999999999996</v>
      </c>
      <c r="O44" s="19">
        <v>1</v>
      </c>
      <c r="P44" s="20">
        <v>42520</v>
      </c>
      <c r="Q44" s="21" t="str">
        <f>HYPERLINK("https://www.cune.edu/netpricecalculator", "$15597")</f>
        <v>$15597</v>
      </c>
      <c r="R44" s="22">
        <v>19968</v>
      </c>
      <c r="S44" s="22">
        <v>21198</v>
      </c>
      <c r="T44" s="20">
        <v>3420</v>
      </c>
      <c r="U44" s="20">
        <v>12177</v>
      </c>
      <c r="W44" s="19">
        <v>0.18729999999999999</v>
      </c>
      <c r="X44" s="19">
        <v>0.22140000000000001</v>
      </c>
      <c r="Z44" s="23">
        <v>1233</v>
      </c>
    </row>
    <row r="45" spans="1:26" ht="15.75" customHeight="1" x14ac:dyDescent="0.2">
      <c r="A45" s="17" t="str">
        <f>HYPERLINK("https://www.corban.edu", "Corban University")</f>
        <v>Corban University</v>
      </c>
      <c r="B45" s="18" t="s">
        <v>32</v>
      </c>
      <c r="C45" s="18" t="s">
        <v>143</v>
      </c>
      <c r="D45" s="18" t="s">
        <v>343</v>
      </c>
      <c r="E45" s="18">
        <v>1145</v>
      </c>
      <c r="F45" s="18" t="s">
        <v>35</v>
      </c>
      <c r="J45" s="19">
        <v>0.49819999999999998</v>
      </c>
      <c r="K45" s="19">
        <v>0.56097560999999996</v>
      </c>
      <c r="L45" s="19">
        <v>0.53700000000000003</v>
      </c>
      <c r="M45" s="19">
        <v>0.4</v>
      </c>
      <c r="N45" s="19">
        <v>0.36359999999999998</v>
      </c>
      <c r="O45" s="19">
        <v>0.375</v>
      </c>
      <c r="P45" s="20">
        <v>44650</v>
      </c>
      <c r="Q45" s="21" t="str">
        <f>HYPERLINK("https://npc.collegeboard.org/student/app/corban", "$20738")</f>
        <v>$20738</v>
      </c>
      <c r="R45" s="22">
        <v>22607</v>
      </c>
      <c r="S45" s="22">
        <v>25865</v>
      </c>
      <c r="T45" s="20">
        <v>2950</v>
      </c>
      <c r="U45" s="20">
        <v>17788</v>
      </c>
      <c r="W45" s="19">
        <v>0.31509999999999999</v>
      </c>
      <c r="X45" s="19">
        <v>0.24709999999999999</v>
      </c>
      <c r="Z45" s="23">
        <v>963</v>
      </c>
    </row>
    <row r="46" spans="1:26" ht="15.75" customHeight="1" x14ac:dyDescent="0.2">
      <c r="A46" s="17" t="str">
        <f>HYPERLINK("https://www.covenant.edu", "Covenant College")</f>
        <v>Covenant College</v>
      </c>
      <c r="B46" s="18" t="s">
        <v>32</v>
      </c>
      <c r="C46" s="18" t="s">
        <v>107</v>
      </c>
      <c r="D46" s="18" t="s">
        <v>344</v>
      </c>
      <c r="E46" s="18">
        <v>1269</v>
      </c>
      <c r="F46" s="18" t="s">
        <v>35</v>
      </c>
      <c r="J46" s="19">
        <v>0.69469999999999998</v>
      </c>
      <c r="K46" s="19">
        <v>0.35365853700000011</v>
      </c>
      <c r="L46" s="19">
        <v>0.70200000000000007</v>
      </c>
      <c r="M46" s="19">
        <v>0.66669999999999996</v>
      </c>
      <c r="N46" s="19">
        <v>0.83330000000000004</v>
      </c>
      <c r="O46" s="19">
        <v>0.5</v>
      </c>
      <c r="P46" s="20">
        <v>45920</v>
      </c>
      <c r="Q46" s="21" t="str">
        <f>HYPERLINK("https://portal.covenant.edu/forms/index/Net_Price_Calculator", "$17249")</f>
        <v>$17249</v>
      </c>
      <c r="R46" s="22">
        <v>20040</v>
      </c>
      <c r="S46" s="22">
        <v>21912</v>
      </c>
      <c r="T46" s="20">
        <v>2840</v>
      </c>
      <c r="U46" s="20">
        <v>14409</v>
      </c>
      <c r="W46" s="19">
        <v>0.23880000000000001</v>
      </c>
      <c r="X46" s="19">
        <v>0.1389</v>
      </c>
      <c r="Z46" s="23">
        <v>986</v>
      </c>
    </row>
    <row r="47" spans="1:26" ht="15.75" customHeight="1" x14ac:dyDescent="0.2">
      <c r="A47" s="17" t="str">
        <f>HYPERLINK("https://www.creighton.edu", "Creighton University")</f>
        <v>Creighton University</v>
      </c>
      <c r="B47" s="18" t="s">
        <v>32</v>
      </c>
      <c r="C47" s="18" t="s">
        <v>341</v>
      </c>
      <c r="D47" s="18" t="s">
        <v>345</v>
      </c>
      <c r="E47" s="18">
        <v>1283</v>
      </c>
      <c r="F47" s="18" t="s">
        <v>35</v>
      </c>
      <c r="J47" s="19">
        <v>0.80599999999999994</v>
      </c>
      <c r="K47" s="19">
        <v>0.65989847700000004</v>
      </c>
      <c r="L47" s="19">
        <v>0.8296</v>
      </c>
      <c r="M47" s="19">
        <v>0.8</v>
      </c>
      <c r="N47" s="19">
        <v>0.65669999999999995</v>
      </c>
      <c r="O47" s="19">
        <v>0.82110000000000005</v>
      </c>
      <c r="P47" s="20">
        <v>53452</v>
      </c>
      <c r="Q47" s="21" t="str">
        <f>HYPERLINK("https://www.creighton.edu/financialaid/financialaidresources/netpricecalculator/", "$26121")</f>
        <v>$26121</v>
      </c>
      <c r="R47" s="22">
        <v>26739</v>
      </c>
      <c r="S47" s="22">
        <v>30411</v>
      </c>
      <c r="T47" s="20">
        <v>4000</v>
      </c>
      <c r="U47" s="20">
        <v>22121</v>
      </c>
      <c r="W47" s="19">
        <v>0.14180000000000001</v>
      </c>
      <c r="X47" s="19">
        <v>0.29249999999999998</v>
      </c>
      <c r="Z47" s="23">
        <v>4212</v>
      </c>
    </row>
    <row r="48" spans="1:26" ht="15.75" customHeight="1" x14ac:dyDescent="0.2">
      <c r="A48" s="17" t="str">
        <f>HYPERLINK("https://www.depaul.edu", "DePaul University")</f>
        <v>DePaul University</v>
      </c>
      <c r="B48" s="18" t="s">
        <v>32</v>
      </c>
      <c r="C48" s="18" t="s">
        <v>137</v>
      </c>
      <c r="D48" s="18" t="s">
        <v>161</v>
      </c>
      <c r="E48" s="18" t="s">
        <v>36</v>
      </c>
      <c r="F48" s="18" t="s">
        <v>90</v>
      </c>
      <c r="J48" s="19">
        <v>0.70820000000000005</v>
      </c>
      <c r="K48" s="19">
        <v>0.58027981399999995</v>
      </c>
      <c r="L48" s="19">
        <v>0.73770000000000002</v>
      </c>
      <c r="M48" s="19">
        <v>0.56330000000000002</v>
      </c>
      <c r="N48" s="19">
        <v>0.63380000000000003</v>
      </c>
      <c r="O48" s="19">
        <v>0.74619999999999997</v>
      </c>
      <c r="P48" s="20">
        <v>56275</v>
      </c>
      <c r="Q48" s="21" t="str">
        <f>HYPERLINK("https://depaul.studentaidcalculator.com/survey.aspx", "$26301")</f>
        <v>$26301</v>
      </c>
      <c r="R48" s="22">
        <v>28589</v>
      </c>
      <c r="S48" s="22">
        <v>31047</v>
      </c>
      <c r="T48" s="20">
        <v>3468</v>
      </c>
      <c r="U48" s="20">
        <v>22833</v>
      </c>
      <c r="W48" s="19">
        <v>0.32119999999999999</v>
      </c>
      <c r="X48" s="19">
        <v>0.47299999999999998</v>
      </c>
      <c r="Z48" s="23">
        <v>14591</v>
      </c>
    </row>
    <row r="49" spans="1:26" ht="15.75" customHeight="1" x14ac:dyDescent="0.2">
      <c r="A49" s="17" t="str">
        <f>HYPERLINK("https://www.depauw.edu", "DePauw University")</f>
        <v>DePauw University</v>
      </c>
      <c r="B49" s="18" t="s">
        <v>32</v>
      </c>
      <c r="C49" s="18" t="s">
        <v>148</v>
      </c>
      <c r="D49" s="18" t="s">
        <v>346</v>
      </c>
      <c r="E49" s="18">
        <v>1248</v>
      </c>
      <c r="F49" s="18" t="s">
        <v>35</v>
      </c>
      <c r="J49" s="19">
        <v>0.81159999999999999</v>
      </c>
      <c r="K49" s="19">
        <v>0.76623376599999993</v>
      </c>
      <c r="L49" s="19">
        <v>0.82250000000000001</v>
      </c>
      <c r="M49" s="19">
        <v>0.68569999999999998</v>
      </c>
      <c r="N49" s="19">
        <v>0.8</v>
      </c>
      <c r="O49" s="19">
        <v>0.75</v>
      </c>
      <c r="P49" s="20">
        <v>62567</v>
      </c>
      <c r="Q49" s="21" t="str">
        <f>HYPERLINK("https://www.depauw.edu/admission/financial-aid/tuition-fees/net-price-calculator/", "$16098")</f>
        <v>$16098</v>
      </c>
      <c r="R49" s="22">
        <v>18056</v>
      </c>
      <c r="S49" s="22">
        <v>24110</v>
      </c>
      <c r="T49" s="20">
        <v>2200</v>
      </c>
      <c r="U49" s="20">
        <v>13898</v>
      </c>
      <c r="W49" s="19">
        <v>0.18859999999999999</v>
      </c>
      <c r="X49" s="19">
        <v>0.32150000000000001</v>
      </c>
      <c r="Z49" s="23">
        <v>2137</v>
      </c>
    </row>
    <row r="50" spans="1:26" ht="15.75" customHeight="1" x14ac:dyDescent="0.2">
      <c r="A50" s="17" t="str">
        <f>HYPERLINK("https://www.dillard.edu", "Dillard University")</f>
        <v>Dillard University</v>
      </c>
      <c r="B50" s="18" t="s">
        <v>32</v>
      </c>
      <c r="C50" s="18" t="s">
        <v>158</v>
      </c>
      <c r="D50" s="18" t="s">
        <v>159</v>
      </c>
      <c r="E50" s="18">
        <v>1009</v>
      </c>
      <c r="F50" s="18" t="s">
        <v>35</v>
      </c>
      <c r="J50" s="19">
        <v>0.39889999999999998</v>
      </c>
      <c r="K50" s="19">
        <v>0.33834586500000002</v>
      </c>
      <c r="L50" s="19">
        <v>0</v>
      </c>
      <c r="M50" s="19">
        <v>0.3977</v>
      </c>
      <c r="N50" s="19">
        <v>1</v>
      </c>
      <c r="O50" s="19" t="s">
        <v>36</v>
      </c>
      <c r="P50" s="20">
        <v>33875</v>
      </c>
      <c r="Q50" s="21" t="str">
        <f>HYPERLINK("https://www.dillard.edu/index.php?option=com_content&amp;view=article&amp;id=268&amp;Itemid=202.", "$16075")</f>
        <v>$16075</v>
      </c>
      <c r="R50" s="22">
        <v>17940</v>
      </c>
      <c r="S50" s="22">
        <v>19908</v>
      </c>
      <c r="T50" s="20">
        <v>5973</v>
      </c>
      <c r="U50" s="20">
        <v>10102</v>
      </c>
      <c r="W50" s="19">
        <v>0.74229999999999996</v>
      </c>
      <c r="X50" s="19">
        <v>0.99529999999999996</v>
      </c>
      <c r="Z50" s="23">
        <v>1290</v>
      </c>
    </row>
    <row r="51" spans="1:26" ht="15.75" customHeight="1" x14ac:dyDescent="0.2">
      <c r="A51" s="17" t="str">
        <f>HYPERLINK("https://www.doane.edu", "Doane University-Arts &amp; Sciences")</f>
        <v>Doane University-Arts &amp; Sciences</v>
      </c>
      <c r="B51" s="18" t="s">
        <v>32</v>
      </c>
      <c r="C51" s="18" t="s">
        <v>341</v>
      </c>
      <c r="D51" s="18" t="s">
        <v>347</v>
      </c>
      <c r="E51" s="18">
        <v>1125</v>
      </c>
      <c r="F51" s="18" t="s">
        <v>35</v>
      </c>
      <c r="J51" s="19">
        <v>0.62760000000000005</v>
      </c>
      <c r="K51" s="19">
        <v>0.50253807100000003</v>
      </c>
      <c r="L51" s="19">
        <v>0.64139999999999997</v>
      </c>
      <c r="M51" s="19">
        <v>0.66669999999999996</v>
      </c>
      <c r="N51" s="19">
        <v>0.5333</v>
      </c>
      <c r="O51" s="19">
        <v>0.33329999999999999</v>
      </c>
      <c r="P51" s="20">
        <v>46710</v>
      </c>
      <c r="Q51" s="21" t="str">
        <f>HYPERLINK("https://forms.doane.edu/netpricecalc/npcalc.htm", "$20122")</f>
        <v>$20122</v>
      </c>
      <c r="R51" s="22">
        <v>23301</v>
      </c>
      <c r="S51" s="22">
        <v>25672</v>
      </c>
      <c r="T51" s="20">
        <v>5370</v>
      </c>
      <c r="U51" s="20">
        <v>14752</v>
      </c>
      <c r="W51" s="19">
        <v>0.28560000000000002</v>
      </c>
      <c r="X51" s="19">
        <v>0.17599999999999991</v>
      </c>
      <c r="Z51" s="23">
        <v>1068</v>
      </c>
    </row>
    <row r="52" spans="1:26" ht="15.75" customHeight="1" x14ac:dyDescent="0.2">
      <c r="A52" s="17" t="str">
        <f>HYPERLINK("https://www.drake.edu", "Drake University")</f>
        <v>Drake University</v>
      </c>
      <c r="B52" s="18" t="s">
        <v>32</v>
      </c>
      <c r="C52" s="18" t="s">
        <v>211</v>
      </c>
      <c r="D52" s="18" t="s">
        <v>348</v>
      </c>
      <c r="E52" s="18">
        <v>1285</v>
      </c>
      <c r="F52" s="18" t="s">
        <v>35</v>
      </c>
      <c r="J52" s="19">
        <v>0.79059999999999997</v>
      </c>
      <c r="K52" s="19">
        <v>0.53146853199999999</v>
      </c>
      <c r="L52" s="19">
        <v>0.80959999999999999</v>
      </c>
      <c r="M52" s="19">
        <v>0.54169999999999996</v>
      </c>
      <c r="N52" s="19">
        <v>0.57579999999999998</v>
      </c>
      <c r="O52" s="19">
        <v>0.80489999999999995</v>
      </c>
      <c r="P52" s="20">
        <v>54020</v>
      </c>
      <c r="Q52" s="21" t="str">
        <f>HYPERLINK("https://www.drake.edu/admission/first-yearstudents/costsfinancialaid/drakepricecalculator/", "$22137")</f>
        <v>$22137</v>
      </c>
      <c r="R52" s="22">
        <v>23925</v>
      </c>
      <c r="S52" s="22">
        <v>27107</v>
      </c>
      <c r="T52" s="20">
        <v>4800</v>
      </c>
      <c r="U52" s="20">
        <v>17337</v>
      </c>
      <c r="W52" s="19">
        <v>0.15640000000000001</v>
      </c>
      <c r="X52" s="19">
        <v>0.21890000000000001</v>
      </c>
      <c r="Z52" s="23">
        <v>3038</v>
      </c>
    </row>
    <row r="53" spans="1:26" ht="15.75" customHeight="1" x14ac:dyDescent="0.2">
      <c r="A53" s="17" t="str">
        <f>HYPERLINK("https://www.drew.edu", "Drew University")</f>
        <v>Drew University</v>
      </c>
      <c r="B53" s="18" t="s">
        <v>32</v>
      </c>
      <c r="C53" s="18" t="s">
        <v>141</v>
      </c>
      <c r="D53" s="18" t="s">
        <v>295</v>
      </c>
      <c r="E53" s="18" t="s">
        <v>36</v>
      </c>
      <c r="F53" s="18" t="s">
        <v>90</v>
      </c>
      <c r="J53" s="19">
        <v>0.61890000000000001</v>
      </c>
      <c r="K53" s="19">
        <v>0.58928571399999996</v>
      </c>
      <c r="L53" s="19">
        <v>0.65459999999999996</v>
      </c>
      <c r="M53" s="19">
        <v>0.46429999999999999</v>
      </c>
      <c r="N53" s="19">
        <v>0.63770000000000004</v>
      </c>
      <c r="O53" s="19">
        <v>0.66669999999999996</v>
      </c>
      <c r="P53" s="20">
        <v>66486</v>
      </c>
      <c r="Q53" s="21" t="str">
        <f>HYPERLINK("https://www.drew.edu/financial-aid/cost-calculator/", "$16257")</f>
        <v>$16257</v>
      </c>
      <c r="R53" s="22">
        <v>22545</v>
      </c>
      <c r="S53" s="22">
        <v>26872</v>
      </c>
      <c r="T53" s="20">
        <v>3322</v>
      </c>
      <c r="U53" s="20">
        <v>12935</v>
      </c>
      <c r="W53" s="19">
        <v>0.29320000000000002</v>
      </c>
      <c r="X53" s="19">
        <v>0.44940000000000002</v>
      </c>
      <c r="Z53" s="23">
        <v>1404</v>
      </c>
    </row>
    <row r="54" spans="1:26" ht="15.75" customHeight="1" x14ac:dyDescent="0.2">
      <c r="A54" s="17" t="str">
        <f>HYPERLINK("https://www.drury.edu", "Drury University")</f>
        <v>Drury University</v>
      </c>
      <c r="B54" s="18" t="s">
        <v>32</v>
      </c>
      <c r="C54" s="18" t="s">
        <v>164</v>
      </c>
      <c r="D54" s="18" t="s">
        <v>349</v>
      </c>
      <c r="E54" s="18">
        <v>1226</v>
      </c>
      <c r="F54" s="18" t="s">
        <v>35</v>
      </c>
      <c r="J54" s="19">
        <v>0.54510000000000003</v>
      </c>
      <c r="K54" s="19">
        <v>0.34167709600000001</v>
      </c>
      <c r="L54" s="19">
        <v>0.53639999999999999</v>
      </c>
      <c r="M54" s="19">
        <v>0.64710000000000001</v>
      </c>
      <c r="N54" s="19">
        <v>0.61539999999999995</v>
      </c>
      <c r="O54" s="19">
        <v>0.42859999999999998</v>
      </c>
      <c r="P54" s="20">
        <v>39451</v>
      </c>
      <c r="Q54" s="21" t="str">
        <f>HYPERLINK("https://drury.studentaidcalculator.com/survey.aspx", "$19259")</f>
        <v>$19259</v>
      </c>
      <c r="R54" s="22">
        <v>17931</v>
      </c>
      <c r="S54" s="22">
        <v>19180</v>
      </c>
      <c r="T54" s="20">
        <v>4400</v>
      </c>
      <c r="U54" s="20">
        <v>14859</v>
      </c>
      <c r="W54" s="19">
        <v>0.49009999999999998</v>
      </c>
      <c r="X54" s="19">
        <v>0.17369999999999999</v>
      </c>
      <c r="Z54" s="23">
        <v>2971</v>
      </c>
    </row>
    <row r="55" spans="1:26" ht="15.75" customHeight="1" x14ac:dyDescent="0.2">
      <c r="A55" s="17" t="str">
        <f>HYPERLINK("https://www.duq.edu", "Duquesne University")</f>
        <v>Duquesne University</v>
      </c>
      <c r="B55" s="18" t="s">
        <v>32</v>
      </c>
      <c r="C55" s="18" t="s">
        <v>65</v>
      </c>
      <c r="D55" s="18" t="s">
        <v>74</v>
      </c>
      <c r="E55" s="18">
        <v>1221</v>
      </c>
      <c r="F55" s="18" t="s">
        <v>35</v>
      </c>
      <c r="J55" s="19">
        <v>0.80320000000000003</v>
      </c>
      <c r="K55" s="19">
        <v>0.68137254900000011</v>
      </c>
      <c r="L55" s="19">
        <v>0.81059999999999999</v>
      </c>
      <c r="M55" s="19">
        <v>0.62960000000000005</v>
      </c>
      <c r="N55" s="19">
        <v>0.75</v>
      </c>
      <c r="O55" s="19">
        <v>0.90910000000000002</v>
      </c>
      <c r="P55" s="20">
        <v>52108</v>
      </c>
      <c r="Q55" s="21" t="str">
        <f>HYPERLINK("https://www.duq.edu/admissions-and-aid/tuition/net-price-calculator", "$22703")</f>
        <v>$22703</v>
      </c>
      <c r="R55" s="22">
        <v>26218</v>
      </c>
      <c r="S55" s="22">
        <v>29437</v>
      </c>
      <c r="T55" s="20">
        <v>3600</v>
      </c>
      <c r="U55" s="20">
        <v>19103</v>
      </c>
      <c r="W55" s="19">
        <v>0.19289999999999999</v>
      </c>
      <c r="X55" s="19">
        <v>0.1966</v>
      </c>
      <c r="Z55" s="23">
        <v>5930</v>
      </c>
    </row>
    <row r="56" spans="1:26" ht="15.75" customHeight="1" x14ac:dyDescent="0.2">
      <c r="A56" s="17" t="str">
        <f>HYPERLINK("https://www.earlham.edu", "Earlham College")</f>
        <v>Earlham College</v>
      </c>
      <c r="B56" s="18" t="s">
        <v>32</v>
      </c>
      <c r="C56" s="18" t="s">
        <v>148</v>
      </c>
      <c r="D56" s="18" t="s">
        <v>350</v>
      </c>
      <c r="E56" s="18">
        <v>1303</v>
      </c>
      <c r="F56" s="18" t="s">
        <v>115</v>
      </c>
      <c r="J56" s="19">
        <v>0.68240000000000001</v>
      </c>
      <c r="K56" s="19">
        <v>0.62745097999999999</v>
      </c>
      <c r="L56" s="19">
        <v>0.69769999999999999</v>
      </c>
      <c r="M56" s="19">
        <v>0.52170000000000005</v>
      </c>
      <c r="N56" s="19">
        <v>0.52629999999999999</v>
      </c>
      <c r="O56" s="19">
        <v>0.76919999999999999</v>
      </c>
      <c r="P56" s="20">
        <v>58670</v>
      </c>
      <c r="Q56" s="21" t="str">
        <f>HYPERLINK("https://npc.collegeboard.org/student/app/earlham", "$13683")</f>
        <v>$13683</v>
      </c>
      <c r="R56" s="22">
        <v>17076</v>
      </c>
      <c r="S56" s="22">
        <v>22442</v>
      </c>
      <c r="T56" s="20">
        <v>3000</v>
      </c>
      <c r="U56" s="20">
        <v>10683</v>
      </c>
      <c r="W56" s="19">
        <v>0.26090000000000002</v>
      </c>
      <c r="X56" s="19">
        <v>0.48199999999999998</v>
      </c>
      <c r="Z56" s="23">
        <v>1027</v>
      </c>
    </row>
    <row r="57" spans="1:26" ht="15.75" customHeight="1" x14ac:dyDescent="0.2">
      <c r="A57" s="17" t="str">
        <f>HYPERLINK("https://emu.edu", "Eastern Mennonite University")</f>
        <v>Eastern Mennonite University</v>
      </c>
      <c r="B57" s="18" t="s">
        <v>32</v>
      </c>
      <c r="C57" s="18" t="s">
        <v>83</v>
      </c>
      <c r="D57" s="18" t="s">
        <v>351</v>
      </c>
      <c r="E57" s="18">
        <v>1102</v>
      </c>
      <c r="F57" s="18" t="s">
        <v>35</v>
      </c>
      <c r="J57" s="19">
        <v>0.63249999999999995</v>
      </c>
      <c r="K57" s="19">
        <v>0.428571429</v>
      </c>
      <c r="L57" s="19">
        <v>0.68789999999999996</v>
      </c>
      <c r="M57" s="19">
        <v>0.4667</v>
      </c>
      <c r="N57" s="19">
        <v>0.4</v>
      </c>
      <c r="O57" s="19">
        <v>0.5</v>
      </c>
      <c r="P57" s="20">
        <v>49600</v>
      </c>
      <c r="Q57" s="21" t="str">
        <f>HYPERLINK("https://emu.edu/financial-aid/estimator", "$20546")</f>
        <v>$20546</v>
      </c>
      <c r="R57" s="22">
        <v>21398</v>
      </c>
      <c r="S57" s="22">
        <v>24335</v>
      </c>
      <c r="T57" s="20">
        <v>2800</v>
      </c>
      <c r="U57" s="20">
        <v>17746</v>
      </c>
      <c r="W57" s="19">
        <v>0.2621</v>
      </c>
      <c r="X57" s="19">
        <v>0.3085</v>
      </c>
      <c r="Z57" s="23">
        <v>1089</v>
      </c>
    </row>
    <row r="58" spans="1:26" ht="15.75" customHeight="1" x14ac:dyDescent="0.2">
      <c r="A58" s="17" t="str">
        <f>HYPERLINK("https://www.eckerd.edu", "Eckerd College")</f>
        <v>Eckerd College</v>
      </c>
      <c r="B58" s="18" t="s">
        <v>32</v>
      </c>
      <c r="C58" s="18" t="s">
        <v>162</v>
      </c>
      <c r="D58" s="18" t="s">
        <v>352</v>
      </c>
      <c r="E58" s="18">
        <v>1207</v>
      </c>
      <c r="F58" s="18" t="s">
        <v>35</v>
      </c>
      <c r="J58" s="19">
        <v>0.69520000000000004</v>
      </c>
      <c r="K58" s="19">
        <v>0.18965517200000001</v>
      </c>
      <c r="L58" s="19">
        <v>0.7268</v>
      </c>
      <c r="M58" s="19">
        <v>0.3846</v>
      </c>
      <c r="N58" s="19">
        <v>0.58330000000000004</v>
      </c>
      <c r="O58" s="19">
        <v>0.71430000000000005</v>
      </c>
      <c r="P58" s="20">
        <v>59200</v>
      </c>
      <c r="Q58" s="21" t="str">
        <f>HYPERLINK("https://www.eckerd.edu/admissions/net-price-calculator/", "$28095")</f>
        <v>$28095</v>
      </c>
      <c r="R58" s="22">
        <v>26942</v>
      </c>
      <c r="S58" s="22">
        <v>31227</v>
      </c>
      <c r="T58" s="20">
        <v>4450</v>
      </c>
      <c r="U58" s="20">
        <v>23645</v>
      </c>
      <c r="W58" s="19">
        <v>0.219</v>
      </c>
      <c r="X58" s="19">
        <v>0.22989999999999999</v>
      </c>
      <c r="Z58" s="23">
        <v>2018</v>
      </c>
    </row>
    <row r="59" spans="1:26" ht="15.75" customHeight="1" x14ac:dyDescent="0.2">
      <c r="A59" s="17" t="str">
        <f>HYPERLINK("https://www.etown.edu", "Elizabethtown College School of Continuing and Professional Studies")</f>
        <v>Elizabethtown College School of Continuing and Professional Studies</v>
      </c>
      <c r="B59" s="18" t="s">
        <v>32</v>
      </c>
      <c r="C59" s="18" t="s">
        <v>65</v>
      </c>
      <c r="D59" s="18" t="s">
        <v>353</v>
      </c>
      <c r="E59" s="18">
        <v>1181</v>
      </c>
      <c r="F59" s="18" t="s">
        <v>35</v>
      </c>
      <c r="J59" s="19">
        <v>0.74560000000000004</v>
      </c>
      <c r="K59" s="19">
        <v>0.50980392200000002</v>
      </c>
      <c r="L59" s="19">
        <v>0.75229999999999997</v>
      </c>
      <c r="M59" s="19">
        <v>0.42859999999999998</v>
      </c>
      <c r="N59" s="19">
        <v>0.83330000000000004</v>
      </c>
      <c r="O59" s="19">
        <v>0.72729999999999995</v>
      </c>
      <c r="P59" s="20">
        <v>58490</v>
      </c>
      <c r="Q59" s="21" t="str">
        <f>HYPERLINK("https://npc.collegeboard.org/student/app/etown", "$20156")</f>
        <v>$20156</v>
      </c>
      <c r="R59" s="22">
        <v>25429</v>
      </c>
      <c r="S59" s="22">
        <v>29946</v>
      </c>
      <c r="T59" s="20">
        <v>2150</v>
      </c>
      <c r="U59" s="20">
        <v>18006</v>
      </c>
      <c r="W59" s="19">
        <v>0.1963</v>
      </c>
      <c r="X59" s="19">
        <v>0.15</v>
      </c>
      <c r="Z59" s="23">
        <v>1647</v>
      </c>
    </row>
    <row r="60" spans="1:26" ht="15.75" customHeight="1" x14ac:dyDescent="0.2">
      <c r="A60" s="17" t="str">
        <f>HYPERLINK("https://prescott.erau.edu/", "Embry-Riddle Aeronautical University-Prescott")</f>
        <v>Embry-Riddle Aeronautical University-Prescott</v>
      </c>
      <c r="B60" s="18" t="s">
        <v>32</v>
      </c>
      <c r="C60" s="18" t="s">
        <v>354</v>
      </c>
      <c r="D60" s="18" t="s">
        <v>355</v>
      </c>
      <c r="E60" s="18">
        <v>1245</v>
      </c>
      <c r="F60" s="18" t="s">
        <v>115</v>
      </c>
      <c r="J60" s="19">
        <v>0.59599999999999997</v>
      </c>
      <c r="K60" s="19">
        <v>0.331812999</v>
      </c>
      <c r="L60" s="19">
        <v>0.61750000000000005</v>
      </c>
      <c r="M60" s="19">
        <v>0.33329999999999999</v>
      </c>
      <c r="N60" s="19">
        <v>0.54</v>
      </c>
      <c r="O60" s="19">
        <v>0.55559999999999998</v>
      </c>
      <c r="P60" s="20">
        <v>51036</v>
      </c>
      <c r="Q60" s="21" t="str">
        <f>HYPERLINK("https://prescotterau.studentaidcalculator.com/survey.aspx", "$29020")</f>
        <v>$29020</v>
      </c>
      <c r="R60" s="22">
        <v>31593</v>
      </c>
      <c r="S60" s="22">
        <v>33243</v>
      </c>
      <c r="T60" s="20">
        <v>5906</v>
      </c>
      <c r="U60" s="20">
        <v>23114</v>
      </c>
      <c r="W60" s="19">
        <v>0.24110000000000001</v>
      </c>
      <c r="X60" s="19">
        <v>0.37880000000000003</v>
      </c>
      <c r="Z60" s="23">
        <v>2598</v>
      </c>
    </row>
    <row r="61" spans="1:26" ht="15.75" customHeight="1" x14ac:dyDescent="0.2">
      <c r="A61" s="17" t="str">
        <f>HYPERLINK("https://fairfield.edu", "Fairfield University")</f>
        <v>Fairfield University</v>
      </c>
      <c r="B61" s="18" t="s">
        <v>32</v>
      </c>
      <c r="C61" s="18" t="s">
        <v>94</v>
      </c>
      <c r="D61" s="18" t="s">
        <v>356</v>
      </c>
      <c r="E61" s="18" t="s">
        <v>36</v>
      </c>
      <c r="F61" s="18" t="s">
        <v>45</v>
      </c>
      <c r="J61" s="19">
        <v>0.8095</v>
      </c>
      <c r="K61" s="19">
        <v>0.73504273499999995</v>
      </c>
      <c r="L61" s="19">
        <v>0.82599999999999996</v>
      </c>
      <c r="M61" s="19">
        <v>0.60709999999999997</v>
      </c>
      <c r="N61" s="19">
        <v>0.75</v>
      </c>
      <c r="O61" s="19">
        <v>0.9</v>
      </c>
      <c r="P61" s="20">
        <v>64325</v>
      </c>
      <c r="Q61" s="21" t="str">
        <f>HYPERLINK("https://fairfield.edu/admissionaid/financialaidtuition/undergraduatefinancialaidtuition/netpricecalculator/", "$22800")</f>
        <v>$22800</v>
      </c>
      <c r="R61" s="22">
        <v>31827</v>
      </c>
      <c r="S61" s="22">
        <v>35864</v>
      </c>
      <c r="T61" s="20">
        <v>2880</v>
      </c>
      <c r="U61" s="20">
        <v>19920</v>
      </c>
      <c r="W61" s="19">
        <v>0.1173</v>
      </c>
      <c r="X61" s="19">
        <v>0.21900000000000011</v>
      </c>
      <c r="Z61" s="23">
        <v>4023</v>
      </c>
    </row>
    <row r="62" spans="1:26" ht="15.75" customHeight="1" x14ac:dyDescent="0.2">
      <c r="A62" s="17" t="str">
        <f>HYPERLINK("https://www.flagler.edu", "Flagler College-St Augustine")</f>
        <v>Flagler College-St Augustine</v>
      </c>
      <c r="B62" s="18" t="s">
        <v>32</v>
      </c>
      <c r="C62" s="18" t="s">
        <v>162</v>
      </c>
      <c r="D62" s="18" t="s">
        <v>357</v>
      </c>
      <c r="E62" s="18">
        <v>1093</v>
      </c>
      <c r="F62" s="18" t="s">
        <v>35</v>
      </c>
      <c r="J62" s="19">
        <v>0.55069999999999997</v>
      </c>
      <c r="K62" s="19">
        <v>0.61261261299999992</v>
      </c>
      <c r="L62" s="19">
        <v>0.55279999999999996</v>
      </c>
      <c r="M62" s="19">
        <v>0.375</v>
      </c>
      <c r="N62" s="19">
        <v>0.53059999999999996</v>
      </c>
      <c r="O62" s="19">
        <v>0.71430000000000005</v>
      </c>
      <c r="P62" s="20">
        <v>33480</v>
      </c>
      <c r="Q62" s="21" t="str">
        <f>HYPERLINK("https://www.flagler.edu/admissions--aid/tuition--fees/net-price-calculator/", "$18254")</f>
        <v>$18254</v>
      </c>
      <c r="R62" s="22">
        <v>21306</v>
      </c>
      <c r="S62" s="22">
        <v>24402</v>
      </c>
      <c r="T62" s="20">
        <v>4600</v>
      </c>
      <c r="U62" s="20">
        <v>13654</v>
      </c>
      <c r="W62" s="19">
        <v>0.27539999999999998</v>
      </c>
      <c r="X62" s="19">
        <v>0.23069999999999999</v>
      </c>
      <c r="Z62" s="23">
        <v>2674</v>
      </c>
    </row>
    <row r="63" spans="1:26" ht="15.75" customHeight="1" x14ac:dyDescent="0.2">
      <c r="A63" s="17" t="str">
        <f>HYPERLINK("https://www.flagler.edu", "Flagler College-Tallahassee")</f>
        <v>Flagler College-Tallahassee</v>
      </c>
      <c r="B63" s="18" t="s">
        <v>32</v>
      </c>
      <c r="C63" s="18" t="s">
        <v>162</v>
      </c>
      <c r="D63" s="18" t="s">
        <v>216</v>
      </c>
      <c r="E63" s="18" t="s">
        <v>36</v>
      </c>
      <c r="F63" s="18" t="s">
        <v>36</v>
      </c>
      <c r="J63" s="19" t="s">
        <v>36</v>
      </c>
      <c r="K63" s="19">
        <v>0.61261261299999992</v>
      </c>
      <c r="L63" s="19" t="s">
        <v>36</v>
      </c>
      <c r="M63" s="19" t="s">
        <v>36</v>
      </c>
      <c r="N63" s="19" t="s">
        <v>36</v>
      </c>
      <c r="O63" s="19" t="s">
        <v>36</v>
      </c>
      <c r="P63" s="20" t="s">
        <v>36</v>
      </c>
      <c r="Q63" s="21" t="str">
        <f>HYPERLINK("https://www.flagler.edu/admissions--aid/tuition--fees/net-price-calculator/", "Not reported")</f>
        <v>Not reported</v>
      </c>
      <c r="R63" s="22" t="s">
        <v>36</v>
      </c>
      <c r="S63" s="22" t="s">
        <v>36</v>
      </c>
      <c r="T63" s="20" t="s">
        <v>36</v>
      </c>
      <c r="U63" s="20" t="s">
        <v>36</v>
      </c>
      <c r="W63" s="19">
        <v>0.5071</v>
      </c>
      <c r="X63" s="19">
        <v>0.32929999999999998</v>
      </c>
      <c r="Z63" s="23">
        <v>416</v>
      </c>
    </row>
    <row r="64" spans="1:26" ht="15.75" customHeight="1" x14ac:dyDescent="0.2">
      <c r="A64" s="17" t="str">
        <f>HYPERLINK("https://www.fit.edu", "Florida Institute of Technology-Online")</f>
        <v>Florida Institute of Technology-Online</v>
      </c>
      <c r="B64" s="18" t="s">
        <v>32</v>
      </c>
      <c r="C64" s="18" t="s">
        <v>162</v>
      </c>
      <c r="D64" s="18" t="s">
        <v>358</v>
      </c>
      <c r="E64" s="18">
        <v>1243</v>
      </c>
      <c r="F64" s="18" t="s">
        <v>35</v>
      </c>
      <c r="J64" s="19">
        <v>0.60329999999999995</v>
      </c>
      <c r="K64" s="19">
        <v>6.6334165E-2</v>
      </c>
      <c r="L64" s="19">
        <v>0.61890000000000001</v>
      </c>
      <c r="M64" s="19">
        <v>0.41860000000000003</v>
      </c>
      <c r="N64" s="19">
        <v>0.57779999999999998</v>
      </c>
      <c r="O64" s="19">
        <v>0.6</v>
      </c>
      <c r="P64" s="20">
        <v>59650</v>
      </c>
      <c r="Q64" s="21" t="str">
        <f>HYPERLINK("https://fit.studentaidcalculator.com/survey.aspx", "$26198")</f>
        <v>$26198</v>
      </c>
      <c r="R64" s="22">
        <v>31438</v>
      </c>
      <c r="S64" s="22">
        <v>33860</v>
      </c>
      <c r="T64" s="20">
        <v>4800</v>
      </c>
      <c r="U64" s="20">
        <v>21398</v>
      </c>
      <c r="W64" s="19">
        <v>0.20419999999999999</v>
      </c>
      <c r="X64" s="19">
        <v>0.54669999999999996</v>
      </c>
      <c r="Z64" s="23">
        <v>3395</v>
      </c>
    </row>
    <row r="65" spans="1:26" ht="15.75" customHeight="1" x14ac:dyDescent="0.2">
      <c r="A65" s="17" t="str">
        <f>HYPERLINK("https://www.fit.edu", "Florida Institute of Technology")</f>
        <v>Florida Institute of Technology</v>
      </c>
      <c r="B65" s="18" t="s">
        <v>32</v>
      </c>
      <c r="C65" s="18" t="s">
        <v>162</v>
      </c>
      <c r="D65" s="18" t="s">
        <v>358</v>
      </c>
      <c r="E65" s="18" t="s">
        <v>36</v>
      </c>
      <c r="F65" s="18" t="s">
        <v>36</v>
      </c>
      <c r="J65" s="19" t="s">
        <v>36</v>
      </c>
      <c r="K65" s="19">
        <v>6.6334165E-2</v>
      </c>
      <c r="L65" s="19" t="s">
        <v>36</v>
      </c>
      <c r="M65" s="19" t="s">
        <v>36</v>
      </c>
      <c r="N65" s="19" t="s">
        <v>36</v>
      </c>
      <c r="O65" s="19" t="s">
        <v>36</v>
      </c>
      <c r="P65" s="20" t="s">
        <v>36</v>
      </c>
      <c r="Q65" s="21" t="str">
        <f>HYPERLINK("https://fit.studentaidcalculator.com/survey.aspx", "Not reported")</f>
        <v>Not reported</v>
      </c>
      <c r="R65" s="22" t="s">
        <v>36</v>
      </c>
      <c r="S65" s="22" t="s">
        <v>36</v>
      </c>
      <c r="T65" s="20" t="s">
        <v>36</v>
      </c>
      <c r="U65" s="20" t="s">
        <v>36</v>
      </c>
      <c r="W65" s="19">
        <v>0.52100000000000002</v>
      </c>
      <c r="X65" s="19">
        <v>0.46650000000000003</v>
      </c>
      <c r="Z65" s="23">
        <v>1629</v>
      </c>
    </row>
    <row r="66" spans="1:26" ht="15.75" customHeight="1" x14ac:dyDescent="0.2">
      <c r="A66" s="17" t="str">
        <f>HYPERLINK("https://www.fiu.edu", "Florida International University")</f>
        <v>Florida International University</v>
      </c>
      <c r="B66" s="18" t="s">
        <v>49</v>
      </c>
      <c r="C66" s="18" t="s">
        <v>162</v>
      </c>
      <c r="D66" s="18" t="s">
        <v>359</v>
      </c>
      <c r="E66" s="18">
        <v>1172</v>
      </c>
      <c r="F66" s="18" t="s">
        <v>35</v>
      </c>
      <c r="J66" s="19">
        <v>0.56620000000000004</v>
      </c>
      <c r="K66" s="19">
        <v>0.51337233599999998</v>
      </c>
      <c r="L66" s="19">
        <v>0.44479999999999997</v>
      </c>
      <c r="M66" s="19">
        <v>0.4078</v>
      </c>
      <c r="N66" s="19">
        <v>0.61050000000000004</v>
      </c>
      <c r="O66" s="19">
        <v>0.63109999999999999</v>
      </c>
      <c r="P66" s="20">
        <v>36086</v>
      </c>
      <c r="Q66" s="21" t="str">
        <f>HYPERLINK("https://finance.fiu.edu/controller/UG_Calculator.htm", "$27348")</f>
        <v>$27348</v>
      </c>
      <c r="R66" s="22">
        <v>30336</v>
      </c>
      <c r="S66" s="22">
        <v>32158</v>
      </c>
      <c r="T66" s="20">
        <v>6250</v>
      </c>
      <c r="U66" s="20">
        <v>21098.55138568129</v>
      </c>
      <c r="W66" s="19">
        <v>0.4884</v>
      </c>
      <c r="X66" s="19">
        <v>0.91169999999999995</v>
      </c>
      <c r="Z66" s="23">
        <v>41834</v>
      </c>
    </row>
    <row r="67" spans="1:26" ht="15.75" customHeight="1" x14ac:dyDescent="0.2">
      <c r="A67" s="17" t="str">
        <f>HYPERLINK("https://www.flsouthern.edu", "Florida Southern College")</f>
        <v>Florida Southern College</v>
      </c>
      <c r="B67" s="18" t="s">
        <v>32</v>
      </c>
      <c r="C67" s="18" t="s">
        <v>162</v>
      </c>
      <c r="D67" s="18" t="s">
        <v>360</v>
      </c>
      <c r="E67" s="18">
        <v>1218</v>
      </c>
      <c r="F67" s="18" t="s">
        <v>35</v>
      </c>
      <c r="J67" s="19">
        <v>0.63219999999999998</v>
      </c>
      <c r="K67" s="19">
        <v>0.48087431700000011</v>
      </c>
      <c r="L67" s="19">
        <v>0.61919999999999997</v>
      </c>
      <c r="M67" s="19">
        <v>0.4839</v>
      </c>
      <c r="N67" s="19">
        <v>0.60870000000000002</v>
      </c>
      <c r="O67" s="19">
        <v>0.88890000000000002</v>
      </c>
      <c r="P67" s="20">
        <v>49900</v>
      </c>
      <c r="Q67" s="21" t="str">
        <f>HYPERLINK("https://flsouthern.studentaidcalculator.com/survey.aspx", "$21066")</f>
        <v>$21066</v>
      </c>
      <c r="R67" s="22">
        <v>24281</v>
      </c>
      <c r="S67" s="22">
        <v>25856</v>
      </c>
      <c r="T67" s="20">
        <v>3922</v>
      </c>
      <c r="U67" s="20">
        <v>17144</v>
      </c>
      <c r="W67" s="19">
        <v>0.26019999999999999</v>
      </c>
      <c r="X67" s="19">
        <v>0.25190000000000001</v>
      </c>
      <c r="Z67" s="23">
        <v>2561</v>
      </c>
    </row>
    <row r="68" spans="1:26" ht="15.75" customHeight="1" x14ac:dyDescent="0.2">
      <c r="A68" s="17" t="str">
        <f>HYPERLINK("https://www.fvsu.edu", "Fort Valley State University")</f>
        <v>Fort Valley State University</v>
      </c>
      <c r="B68" s="18" t="s">
        <v>49</v>
      </c>
      <c r="C68" s="18" t="s">
        <v>107</v>
      </c>
      <c r="D68" s="18" t="s">
        <v>361</v>
      </c>
      <c r="E68" s="18">
        <v>564</v>
      </c>
      <c r="F68" s="18" t="s">
        <v>35</v>
      </c>
      <c r="J68" s="19">
        <v>0.25929999999999997</v>
      </c>
      <c r="K68" s="19">
        <v>0.27127003700000002</v>
      </c>
      <c r="L68" s="19">
        <v>0.125</v>
      </c>
      <c r="M68" s="19">
        <v>0.2611</v>
      </c>
      <c r="N68" s="19">
        <v>0.33329999999999999</v>
      </c>
      <c r="O68" s="19">
        <v>0</v>
      </c>
      <c r="P68" s="20">
        <v>34188</v>
      </c>
      <c r="Q68" s="21" t="str">
        <f>HYPERLINK("https://npc.fvsu.edu/npc_2015/npcalc.htm", "$26803")</f>
        <v>$26803</v>
      </c>
      <c r="R68" s="22">
        <v>30036</v>
      </c>
      <c r="S68" s="22">
        <v>32053</v>
      </c>
      <c r="T68" s="20">
        <v>6500</v>
      </c>
      <c r="U68" s="20">
        <v>20303.20821114369</v>
      </c>
      <c r="W68" s="19">
        <v>0.76200000000000001</v>
      </c>
      <c r="X68" s="19">
        <v>0.96740000000000004</v>
      </c>
      <c r="Z68" s="23">
        <v>2329</v>
      </c>
    </row>
    <row r="69" spans="1:26" ht="15.75" customHeight="1" x14ac:dyDescent="0.2">
      <c r="A69" s="17" t="str">
        <f>HYPERLINK("https://www.franciscan.edu", "Franciscan University of Steubenville")</f>
        <v>Franciscan University of Steubenville</v>
      </c>
      <c r="B69" s="18" t="s">
        <v>32</v>
      </c>
      <c r="C69" s="18" t="s">
        <v>75</v>
      </c>
      <c r="D69" s="18" t="s">
        <v>362</v>
      </c>
      <c r="E69" s="18">
        <v>1209</v>
      </c>
      <c r="F69" s="18" t="s">
        <v>35</v>
      </c>
      <c r="J69" s="19">
        <v>0.77680000000000005</v>
      </c>
      <c r="K69" s="19">
        <v>0.619565217</v>
      </c>
      <c r="L69" s="19">
        <v>0.79</v>
      </c>
      <c r="M69" s="19">
        <v>1</v>
      </c>
      <c r="N69" s="19">
        <v>0.625</v>
      </c>
      <c r="O69" s="19">
        <v>0.5</v>
      </c>
      <c r="P69" s="20">
        <v>37790</v>
      </c>
      <c r="Q69" s="21" t="str">
        <f>HYPERLINK("https://www.franciscan.edu/sfs/new/", "$18612")</f>
        <v>$18612</v>
      </c>
      <c r="R69" s="22">
        <v>20130</v>
      </c>
      <c r="S69" s="22">
        <v>22621</v>
      </c>
      <c r="T69" s="20">
        <v>2960</v>
      </c>
      <c r="U69" s="20">
        <v>15652</v>
      </c>
      <c r="W69" s="19">
        <v>0.41820000000000002</v>
      </c>
      <c r="X69" s="19">
        <v>0.18729999999999999</v>
      </c>
      <c r="Z69" s="23">
        <v>2071</v>
      </c>
    </row>
    <row r="70" spans="1:26" ht="15.75" customHeight="1" x14ac:dyDescent="0.2">
      <c r="A70" s="17" t="str">
        <f>HYPERLINK("https://www.fhu.edu", "Freed-Hardeman University")</f>
        <v>Freed-Hardeman University</v>
      </c>
      <c r="B70" s="18" t="s">
        <v>32</v>
      </c>
      <c r="C70" s="18" t="s">
        <v>174</v>
      </c>
      <c r="D70" s="18" t="s">
        <v>363</v>
      </c>
      <c r="E70" s="18">
        <v>1208</v>
      </c>
      <c r="F70" s="18" t="s">
        <v>35</v>
      </c>
      <c r="J70" s="19">
        <v>0.54690000000000005</v>
      </c>
      <c r="K70" s="19">
        <v>0.462121212</v>
      </c>
      <c r="L70" s="19">
        <v>0.55620000000000003</v>
      </c>
      <c r="M70" s="19">
        <v>0.34620000000000001</v>
      </c>
      <c r="N70" s="19">
        <v>1</v>
      </c>
      <c r="O70" s="19">
        <v>0</v>
      </c>
      <c r="P70" s="20">
        <v>34950</v>
      </c>
      <c r="Q70" s="21" t="str">
        <f>HYPERLINK("https://www.fhu.edu/tuition/FinancialAidEstimator", "$16099")</f>
        <v>$16099</v>
      </c>
      <c r="R70" s="22">
        <v>16406</v>
      </c>
      <c r="S70" s="22">
        <v>19080</v>
      </c>
      <c r="T70" s="20">
        <v>5050</v>
      </c>
      <c r="U70" s="20">
        <v>11049</v>
      </c>
      <c r="W70" s="19">
        <v>0.26250000000000001</v>
      </c>
      <c r="X70" s="19">
        <v>0.14940000000000001</v>
      </c>
      <c r="Z70" s="23">
        <v>1319</v>
      </c>
    </row>
    <row r="71" spans="1:26" ht="15.75" customHeight="1" x14ac:dyDescent="0.2">
      <c r="A71" s="17" t="str">
        <f>HYPERLINK("https://www2.gmu.edu/", "George Mason University")</f>
        <v>George Mason University</v>
      </c>
      <c r="B71" s="18" t="s">
        <v>49</v>
      </c>
      <c r="C71" s="18" t="s">
        <v>83</v>
      </c>
      <c r="D71" s="18" t="s">
        <v>364</v>
      </c>
      <c r="E71" s="18">
        <v>1210</v>
      </c>
      <c r="F71" s="18" t="s">
        <v>35</v>
      </c>
      <c r="J71" s="19">
        <v>0.70860000000000001</v>
      </c>
      <c r="K71" s="19">
        <v>0.67064973900000002</v>
      </c>
      <c r="L71" s="19">
        <v>0.71189999999999998</v>
      </c>
      <c r="M71" s="19">
        <v>0.71540000000000004</v>
      </c>
      <c r="N71" s="19">
        <v>0.62170000000000003</v>
      </c>
      <c r="O71" s="19">
        <v>0.74939999999999996</v>
      </c>
      <c r="P71" s="20">
        <v>51672</v>
      </c>
      <c r="Q71" s="21" t="str">
        <f>HYPERLINK("https://gmu.studentaidcalculator.com/survey.aspx", "$41883")</f>
        <v>$41883</v>
      </c>
      <c r="R71" s="22">
        <v>45709</v>
      </c>
      <c r="S71" s="22">
        <v>48301</v>
      </c>
      <c r="T71" s="20">
        <v>5274</v>
      </c>
      <c r="U71" s="20">
        <v>36609.887005649718</v>
      </c>
      <c r="W71" s="19">
        <v>0.28399999999999997</v>
      </c>
      <c r="X71" s="19">
        <v>0.58529999999999993</v>
      </c>
      <c r="Z71" s="23">
        <v>24395</v>
      </c>
    </row>
    <row r="72" spans="1:26" ht="15.75" customHeight="1" x14ac:dyDescent="0.2">
      <c r="A72" s="17" t="str">
        <f>HYPERLINK("https://www.gcsu.edu/", "Georgia College and State University")</f>
        <v>Georgia College and State University</v>
      </c>
      <c r="B72" s="18" t="s">
        <v>49</v>
      </c>
      <c r="C72" s="18" t="s">
        <v>107</v>
      </c>
      <c r="D72" s="18" t="s">
        <v>365</v>
      </c>
      <c r="E72" s="18">
        <v>1199</v>
      </c>
      <c r="F72" s="18" t="s">
        <v>35</v>
      </c>
      <c r="J72" s="19">
        <v>0.6603</v>
      </c>
      <c r="K72" s="19">
        <v>0.55719557200000003</v>
      </c>
      <c r="L72" s="19">
        <v>0.67059999999999997</v>
      </c>
      <c r="M72" s="19">
        <v>0.61109999999999998</v>
      </c>
      <c r="N72" s="19">
        <v>0.61019999999999996</v>
      </c>
      <c r="O72" s="19">
        <v>0.57140000000000002</v>
      </c>
      <c r="P72" s="20">
        <v>46834</v>
      </c>
      <c r="Q72" s="21" t="str">
        <f>HYPERLINK("https://irout.gcsu.edu/cc/", "$35942")</f>
        <v>$35942</v>
      </c>
      <c r="R72" s="22">
        <v>39026</v>
      </c>
      <c r="S72" s="22">
        <v>40678</v>
      </c>
      <c r="T72" s="20">
        <v>6236</v>
      </c>
      <c r="U72" s="20">
        <v>29706.527777777781</v>
      </c>
      <c r="W72" s="19">
        <v>0.1923</v>
      </c>
      <c r="X72" s="19">
        <v>0.16080000000000011</v>
      </c>
      <c r="Z72" s="23">
        <v>5857</v>
      </c>
    </row>
    <row r="73" spans="1:26" ht="15.75" customHeight="1" x14ac:dyDescent="0.2">
      <c r="A73" s="17" t="str">
        <f>HYPERLINK("https://www.gsu.edu", "Georgia State University")</f>
        <v>Georgia State University</v>
      </c>
      <c r="B73" s="18" t="s">
        <v>49</v>
      </c>
      <c r="C73" s="18" t="s">
        <v>107</v>
      </c>
      <c r="D73" s="18" t="s">
        <v>108</v>
      </c>
      <c r="E73" s="18">
        <v>1128</v>
      </c>
      <c r="F73" s="18" t="s">
        <v>35</v>
      </c>
      <c r="J73" s="19">
        <v>0.53469999999999995</v>
      </c>
      <c r="K73" s="19">
        <v>0.5</v>
      </c>
      <c r="L73" s="19">
        <v>0.49680000000000002</v>
      </c>
      <c r="M73" s="19">
        <v>0.57420000000000004</v>
      </c>
      <c r="N73" s="19">
        <v>0.5494</v>
      </c>
      <c r="O73" s="19">
        <v>0.55389999999999995</v>
      </c>
      <c r="P73" s="20">
        <v>40873</v>
      </c>
      <c r="Q73" s="21" t="str">
        <f>HYPERLINK("https://admissions.gsu.edu/what-does-it-cost/cost-calculator/", "$29824")</f>
        <v>$29824</v>
      </c>
      <c r="R73" s="22">
        <v>32975</v>
      </c>
      <c r="S73" s="22">
        <v>34727</v>
      </c>
      <c r="T73" s="20">
        <v>2510</v>
      </c>
      <c r="U73" s="20">
        <v>27314.49148418492</v>
      </c>
      <c r="W73" s="19">
        <v>0.49299999999999999</v>
      </c>
      <c r="X73" s="19">
        <v>0.76570000000000005</v>
      </c>
      <c r="Z73" s="23">
        <v>25031</v>
      </c>
    </row>
    <row r="74" spans="1:26" ht="15.75" customHeight="1" x14ac:dyDescent="0.2">
      <c r="A74" s="17" t="str">
        <f>HYPERLINK("https://www.gordon.edu", "Gordon College")</f>
        <v>Gordon College</v>
      </c>
      <c r="B74" s="18" t="s">
        <v>32</v>
      </c>
      <c r="C74" s="18" t="s">
        <v>33</v>
      </c>
      <c r="D74" s="18" t="s">
        <v>366</v>
      </c>
      <c r="E74" s="18">
        <v>1189</v>
      </c>
      <c r="F74" s="18" t="s">
        <v>35</v>
      </c>
      <c r="J74" s="19">
        <v>0.70150000000000001</v>
      </c>
      <c r="K74" s="19">
        <v>0.54385964899999995</v>
      </c>
      <c r="L74" s="19">
        <v>0.71240000000000003</v>
      </c>
      <c r="M74" s="19">
        <v>0.5625</v>
      </c>
      <c r="N74" s="19">
        <v>0.60709999999999997</v>
      </c>
      <c r="O74" s="19">
        <v>0.66669999999999996</v>
      </c>
      <c r="P74" s="20">
        <v>49940</v>
      </c>
      <c r="Q74" s="21" t="str">
        <f>HYPERLINK("https://www.gordon.edu/netpricecalculator", "$22265")</f>
        <v>$22265</v>
      </c>
      <c r="R74" s="22">
        <v>25189</v>
      </c>
      <c r="S74" s="22">
        <v>26935</v>
      </c>
      <c r="T74" s="20">
        <v>2200</v>
      </c>
      <c r="U74" s="20">
        <v>20065</v>
      </c>
      <c r="W74" s="19">
        <v>0.2185</v>
      </c>
      <c r="X74" s="19">
        <v>0.31850000000000001</v>
      </c>
      <c r="Z74" s="23">
        <v>1573</v>
      </c>
    </row>
    <row r="75" spans="1:26" ht="15.75" customHeight="1" x14ac:dyDescent="0.2">
      <c r="A75" s="17" t="str">
        <f>HYPERLINK("https://www.goshen.edu", "Goshen College")</f>
        <v>Goshen College</v>
      </c>
      <c r="B75" s="18" t="s">
        <v>32</v>
      </c>
      <c r="C75" s="18" t="s">
        <v>148</v>
      </c>
      <c r="D75" s="18" t="s">
        <v>367</v>
      </c>
      <c r="E75" s="18">
        <v>1121</v>
      </c>
      <c r="F75" s="18" t="s">
        <v>35</v>
      </c>
      <c r="J75" s="19">
        <v>0.72350000000000003</v>
      </c>
      <c r="K75" s="19">
        <v>0.45454545499999999</v>
      </c>
      <c r="L75" s="19">
        <v>0.73280000000000001</v>
      </c>
      <c r="M75" s="19">
        <v>1</v>
      </c>
      <c r="N75" s="19">
        <v>0.61539999999999995</v>
      </c>
      <c r="O75" s="19">
        <v>1</v>
      </c>
      <c r="P75" s="20">
        <v>46500</v>
      </c>
      <c r="Q75" s="21" t="str">
        <f>HYPERLINK("https://tcc.noellevitz.com/Goshen%20College/Freshman-Students", "$16096")</f>
        <v>$16096</v>
      </c>
      <c r="R75" s="22">
        <v>17853</v>
      </c>
      <c r="S75" s="22">
        <v>20924</v>
      </c>
      <c r="T75" s="20">
        <v>2800</v>
      </c>
      <c r="U75" s="20">
        <v>13296</v>
      </c>
      <c r="W75" s="19">
        <v>0.32129999999999997</v>
      </c>
      <c r="X75" s="19">
        <v>0.37659999999999999</v>
      </c>
      <c r="Z75" s="23">
        <v>855</v>
      </c>
    </row>
    <row r="76" spans="1:26" ht="15.75" customHeight="1" x14ac:dyDescent="0.2">
      <c r="A76" s="17" t="str">
        <f>HYPERLINK("https://www.goucher.edu", "Goucher College")</f>
        <v>Goucher College</v>
      </c>
      <c r="B76" s="18" t="s">
        <v>32</v>
      </c>
      <c r="C76" s="18" t="s">
        <v>124</v>
      </c>
      <c r="D76" s="18" t="s">
        <v>125</v>
      </c>
      <c r="E76" s="18" t="s">
        <v>36</v>
      </c>
      <c r="F76" s="18" t="s">
        <v>90</v>
      </c>
      <c r="J76" s="19">
        <v>0.66210000000000002</v>
      </c>
      <c r="K76" s="19">
        <v>0.61194029900000002</v>
      </c>
      <c r="L76" s="19">
        <v>0.70900000000000007</v>
      </c>
      <c r="M76" s="19">
        <v>0.42859999999999998</v>
      </c>
      <c r="N76" s="19">
        <v>0.63639999999999997</v>
      </c>
      <c r="O76" s="19">
        <v>0.61539999999999995</v>
      </c>
      <c r="P76" s="20">
        <v>59810</v>
      </c>
      <c r="Q76" s="21" t="str">
        <f>HYPERLINK("https://www.goucher.edu/financial-aid/tuition-and-fees/net-price-calculator.htm", "$18785")</f>
        <v>$18785</v>
      </c>
      <c r="R76" s="22">
        <v>23334</v>
      </c>
      <c r="S76" s="22">
        <v>25947</v>
      </c>
      <c r="T76" s="20">
        <v>3700</v>
      </c>
      <c r="U76" s="20">
        <v>15085</v>
      </c>
      <c r="W76" s="19">
        <v>0.25659999999999999</v>
      </c>
      <c r="X76" s="19">
        <v>0.43509999999999999</v>
      </c>
      <c r="Z76" s="23">
        <v>1526</v>
      </c>
    </row>
    <row r="77" spans="1:26" ht="15.75" customHeight="1" x14ac:dyDescent="0.2">
      <c r="A77" s="17" t="str">
        <f>HYPERLINK("https://www.gcu.edu", "Grand Canyon University")</f>
        <v>Grand Canyon University</v>
      </c>
      <c r="B77" s="18" t="s">
        <v>368</v>
      </c>
      <c r="C77" s="18" t="s">
        <v>354</v>
      </c>
      <c r="D77" s="18" t="s">
        <v>369</v>
      </c>
      <c r="E77" s="18" t="s">
        <v>36</v>
      </c>
      <c r="F77" s="18" t="s">
        <v>90</v>
      </c>
      <c r="J77" s="19">
        <v>0.40749999999999997</v>
      </c>
      <c r="K77" s="19">
        <v>0.12990822199999999</v>
      </c>
      <c r="L77" s="19">
        <v>0.44550000000000001</v>
      </c>
      <c r="M77" s="19">
        <v>0.2195</v>
      </c>
      <c r="N77" s="19">
        <v>0.3836</v>
      </c>
      <c r="O77" s="19">
        <v>0.88890000000000002</v>
      </c>
      <c r="P77" s="20">
        <v>32100</v>
      </c>
      <c r="Q77" s="21" t="str">
        <f>HYPERLINK("https://www.gcu.edu/admissions/tuition-and-financing.php", "$18149")</f>
        <v>$18149</v>
      </c>
      <c r="R77" s="22">
        <v>21586</v>
      </c>
      <c r="S77" s="22">
        <v>22765</v>
      </c>
      <c r="T77" s="20">
        <v>6500</v>
      </c>
      <c r="U77" s="20">
        <v>11649</v>
      </c>
      <c r="W77" s="19">
        <v>0.44500000000000001</v>
      </c>
      <c r="X77" s="19">
        <v>0.51750000000000007</v>
      </c>
      <c r="Z77" s="23">
        <v>48666</v>
      </c>
    </row>
    <row r="78" spans="1:26" ht="15.75" customHeight="1" x14ac:dyDescent="0.2">
      <c r="A78" s="17" t="str">
        <f>HYPERLINK("https://www.gvsu.edu", "Grand Valley State University")</f>
        <v>Grand Valley State University</v>
      </c>
      <c r="B78" s="18" t="s">
        <v>49</v>
      </c>
      <c r="C78" s="18" t="s">
        <v>226</v>
      </c>
      <c r="D78" s="18" t="s">
        <v>370</v>
      </c>
      <c r="E78" s="18">
        <v>1150</v>
      </c>
      <c r="F78" s="18" t="s">
        <v>35</v>
      </c>
      <c r="J78" s="19">
        <v>0.65259999999999996</v>
      </c>
      <c r="K78" s="19">
        <v>0.53810264399999996</v>
      </c>
      <c r="L78" s="19">
        <v>0.67900000000000005</v>
      </c>
      <c r="M78" s="19">
        <v>0.50380000000000003</v>
      </c>
      <c r="N78" s="19">
        <v>0.55620000000000003</v>
      </c>
      <c r="O78" s="19">
        <v>0.623</v>
      </c>
      <c r="P78" s="20">
        <v>29314</v>
      </c>
      <c r="Q78" s="21" t="str">
        <f>HYPERLINK("https://www.gvsu.edu/financialaid/netprice", "$19079")</f>
        <v>$19079</v>
      </c>
      <c r="R78" s="22">
        <v>22423</v>
      </c>
      <c r="S78" s="22">
        <v>26165</v>
      </c>
      <c r="T78" s="20">
        <v>3100</v>
      </c>
      <c r="U78" s="20">
        <v>15979.390625</v>
      </c>
      <c r="W78" s="19">
        <v>0.3105</v>
      </c>
      <c r="X78" s="19">
        <v>0.18110000000000001</v>
      </c>
      <c r="Z78" s="23">
        <v>21837</v>
      </c>
    </row>
    <row r="79" spans="1:26" ht="15.75" customHeight="1" x14ac:dyDescent="0.2">
      <c r="A79" s="17" t="str">
        <f>HYPERLINK("https://www.hamline.edu", "Hamline University")</f>
        <v>Hamline University</v>
      </c>
      <c r="B79" s="18" t="s">
        <v>32</v>
      </c>
      <c r="C79" s="18" t="s">
        <v>72</v>
      </c>
      <c r="D79" s="18" t="s">
        <v>131</v>
      </c>
      <c r="E79" s="18">
        <v>1145</v>
      </c>
      <c r="F79" s="18" t="s">
        <v>35</v>
      </c>
      <c r="J79" s="19">
        <v>0.6673</v>
      </c>
      <c r="K79" s="19">
        <v>0.50588235299999995</v>
      </c>
      <c r="L79" s="19">
        <v>0.74009999999999998</v>
      </c>
      <c r="M79" s="19">
        <v>0.51219999999999999</v>
      </c>
      <c r="N79" s="19">
        <v>0.44119999999999998</v>
      </c>
      <c r="O79" s="19">
        <v>0.4516</v>
      </c>
      <c r="P79" s="20">
        <v>52178</v>
      </c>
      <c r="Q79" s="21" t="str">
        <f>HYPERLINK("https://www.hamline.edu/undergraduate/admission/net-price-calculator.html", "$16949")</f>
        <v>$16949</v>
      </c>
      <c r="R79" s="22">
        <v>18989</v>
      </c>
      <c r="S79" s="22">
        <v>21612</v>
      </c>
      <c r="T79" s="20">
        <v>1690</v>
      </c>
      <c r="U79" s="20">
        <v>15259</v>
      </c>
      <c r="W79" s="19">
        <v>0.34250000000000003</v>
      </c>
      <c r="X79" s="19">
        <v>0.33489999999999998</v>
      </c>
      <c r="Z79" s="23">
        <v>2132</v>
      </c>
    </row>
    <row r="80" spans="1:26" ht="15.75" customHeight="1" x14ac:dyDescent="0.2">
      <c r="A80" s="17" t="str">
        <f>HYPERLINK("https://www.hanover.edu", "Hanover College")</f>
        <v>Hanover College</v>
      </c>
      <c r="B80" s="18" t="s">
        <v>32</v>
      </c>
      <c r="C80" s="18" t="s">
        <v>148</v>
      </c>
      <c r="D80" s="18" t="s">
        <v>102</v>
      </c>
      <c r="E80" s="18">
        <v>1184</v>
      </c>
      <c r="F80" s="18" t="s">
        <v>115</v>
      </c>
      <c r="J80" s="19">
        <v>0.71030000000000004</v>
      </c>
      <c r="K80" s="19">
        <v>0.65384615400000001</v>
      </c>
      <c r="L80" s="19">
        <v>0.71430000000000005</v>
      </c>
      <c r="M80" s="19">
        <v>0.72219999999999995</v>
      </c>
      <c r="N80" s="19">
        <v>0.33329999999999999</v>
      </c>
      <c r="O80" s="19">
        <v>1</v>
      </c>
      <c r="P80" s="20">
        <v>50450</v>
      </c>
      <c r="Q80" s="21" t="str">
        <f>HYPERLINK("https://npc.collegeboard.org/student/app/hanover", "$16044")</f>
        <v>$16044</v>
      </c>
      <c r="R80" s="22">
        <v>19810</v>
      </c>
      <c r="S80" s="22">
        <v>24958</v>
      </c>
      <c r="T80" s="20">
        <v>2700</v>
      </c>
      <c r="U80" s="20">
        <v>13344</v>
      </c>
      <c r="W80" s="19">
        <v>0.27610000000000001</v>
      </c>
      <c r="X80" s="19">
        <v>0.23749999999999999</v>
      </c>
      <c r="Z80" s="23">
        <v>1082</v>
      </c>
    </row>
    <row r="81" spans="1:26" ht="15.75" customHeight="1" x14ac:dyDescent="0.2">
      <c r="A81" s="17" t="str">
        <f>HYPERLINK("https://hst.edu/", "Harding School of Theology")</f>
        <v>Harding School of Theology</v>
      </c>
      <c r="B81" s="18" t="s">
        <v>32</v>
      </c>
      <c r="C81" s="18" t="s">
        <v>174</v>
      </c>
      <c r="D81" s="18" t="s">
        <v>207</v>
      </c>
      <c r="E81" s="18" t="s">
        <v>36</v>
      </c>
      <c r="F81" s="18" t="s">
        <v>36</v>
      </c>
      <c r="J81" s="19" t="s">
        <v>36</v>
      </c>
      <c r="K81" s="19">
        <v>0.47465437799999999</v>
      </c>
      <c r="L81" s="19" t="s">
        <v>36</v>
      </c>
      <c r="M81" s="19" t="s">
        <v>36</v>
      </c>
      <c r="N81" s="19" t="s">
        <v>36</v>
      </c>
      <c r="O81" s="19" t="s">
        <v>36</v>
      </c>
      <c r="P81" s="20" t="s">
        <v>36</v>
      </c>
      <c r="Q81" s="35" t="s">
        <v>36</v>
      </c>
      <c r="R81" s="22" t="s">
        <v>36</v>
      </c>
      <c r="S81" s="22" t="s">
        <v>36</v>
      </c>
      <c r="T81" s="20" t="s">
        <v>36</v>
      </c>
      <c r="U81" s="20" t="s">
        <v>36</v>
      </c>
      <c r="W81" s="19" t="s">
        <v>36</v>
      </c>
      <c r="X81" s="19" t="s">
        <v>36</v>
      </c>
      <c r="Z81" s="23" t="s">
        <v>36</v>
      </c>
    </row>
    <row r="82" spans="1:26" ht="15.75" customHeight="1" x14ac:dyDescent="0.2">
      <c r="A82" s="17" t="str">
        <f>HYPERLINK("https://www.hendrix.edu", "Hendrix College")</f>
        <v>Hendrix College</v>
      </c>
      <c r="B82" s="18" t="s">
        <v>32</v>
      </c>
      <c r="C82" s="18" t="s">
        <v>371</v>
      </c>
      <c r="D82" s="18" t="s">
        <v>372</v>
      </c>
      <c r="E82" s="18">
        <v>1295</v>
      </c>
      <c r="F82" s="18" t="s">
        <v>35</v>
      </c>
      <c r="J82" s="19">
        <v>0.74529999999999996</v>
      </c>
      <c r="K82" s="19">
        <v>0.47727272700000001</v>
      </c>
      <c r="L82" s="19">
        <v>0.75960000000000005</v>
      </c>
      <c r="M82" s="19">
        <v>0.45450000000000002</v>
      </c>
      <c r="N82" s="19">
        <v>0.73080000000000001</v>
      </c>
      <c r="O82" s="19">
        <v>1</v>
      </c>
      <c r="P82" s="20">
        <v>60096</v>
      </c>
      <c r="Q82" s="21" t="str">
        <f>HYPERLINK("https://www.hendrix.edu/Admission/PriceCalculator/", "$16242")</f>
        <v>$16242</v>
      </c>
      <c r="R82" s="22">
        <v>18645</v>
      </c>
      <c r="S82" s="22">
        <v>22802</v>
      </c>
      <c r="T82" s="20">
        <v>4100</v>
      </c>
      <c r="U82" s="20">
        <v>12142</v>
      </c>
      <c r="W82" s="19">
        <v>0.23269999999999999</v>
      </c>
      <c r="X82" s="19">
        <v>0.29759999999999998</v>
      </c>
      <c r="Z82" s="23">
        <v>1233</v>
      </c>
    </row>
    <row r="83" spans="1:26" ht="15.75" customHeight="1" x14ac:dyDescent="0.2">
      <c r="A83" s="17" t="str">
        <f>HYPERLINK("https://WWW.HIRAM.EDU", "Hiram College")</f>
        <v>Hiram College</v>
      </c>
      <c r="B83" s="18" t="s">
        <v>32</v>
      </c>
      <c r="C83" s="18" t="s">
        <v>75</v>
      </c>
      <c r="D83" s="18" t="s">
        <v>373</v>
      </c>
      <c r="E83" s="18">
        <v>1066</v>
      </c>
      <c r="F83" s="18" t="s">
        <v>35</v>
      </c>
      <c r="J83" s="19">
        <v>0.55700000000000005</v>
      </c>
      <c r="K83" s="19">
        <v>0.47474747499999997</v>
      </c>
      <c r="L83" s="19">
        <v>0.59419999999999995</v>
      </c>
      <c r="M83" s="19">
        <v>0.43140000000000001</v>
      </c>
      <c r="N83" s="19">
        <v>0.5</v>
      </c>
      <c r="O83" s="19">
        <v>0.6</v>
      </c>
      <c r="P83" s="20">
        <v>47757</v>
      </c>
      <c r="Q83" s="21" t="str">
        <f>HYPERLINK("https://www.hiram.edu/finaid/netprice/", "$18382")</f>
        <v>$18382</v>
      </c>
      <c r="R83" s="22">
        <v>19064</v>
      </c>
      <c r="S83" s="22">
        <v>25275</v>
      </c>
      <c r="T83" s="20">
        <v>3167</v>
      </c>
      <c r="U83" s="20">
        <v>15215</v>
      </c>
      <c r="W83" s="19">
        <v>0.4073</v>
      </c>
      <c r="X83" s="19">
        <v>0.3619</v>
      </c>
      <c r="Z83" s="23">
        <v>967</v>
      </c>
    </row>
    <row r="84" spans="1:26" ht="15.75" customHeight="1" x14ac:dyDescent="0.2">
      <c r="A84" s="17" t="str">
        <f>HYPERLINK("https://WWW.HWS.EDU", "Hobart William Smith Colleges")</f>
        <v>Hobart William Smith Colleges</v>
      </c>
      <c r="B84" s="18" t="s">
        <v>32</v>
      </c>
      <c r="C84" s="18" t="s">
        <v>38</v>
      </c>
      <c r="D84" s="18" t="s">
        <v>374</v>
      </c>
      <c r="E84" s="18">
        <v>1270</v>
      </c>
      <c r="F84" s="18" t="s">
        <v>115</v>
      </c>
      <c r="G84" s="18" t="s">
        <v>40</v>
      </c>
      <c r="H84" s="18" t="s">
        <v>375</v>
      </c>
      <c r="I84" s="18" t="s">
        <v>376</v>
      </c>
      <c r="J84" s="19">
        <v>0.80879999999999996</v>
      </c>
      <c r="K84" s="19">
        <v>0.83529411799999997</v>
      </c>
      <c r="L84" s="19">
        <v>0.81499999999999995</v>
      </c>
      <c r="M84" s="19">
        <v>0.7429</v>
      </c>
      <c r="N84" s="19">
        <v>0.88239999999999996</v>
      </c>
      <c r="O84" s="19">
        <v>0.57889999999999997</v>
      </c>
      <c r="P84" s="20">
        <v>69775</v>
      </c>
      <c r="Q84" s="21" t="str">
        <f>HYPERLINK("https://hws.studentaidcalculator.com/survey.aspx", "$19539")</f>
        <v>$19539</v>
      </c>
      <c r="R84" s="22">
        <v>24993</v>
      </c>
      <c r="S84" s="22">
        <v>32983</v>
      </c>
      <c r="T84" s="20">
        <v>2000</v>
      </c>
      <c r="U84" s="20">
        <v>17539</v>
      </c>
      <c r="W84" s="19">
        <v>0.16930000000000001</v>
      </c>
      <c r="X84" s="19">
        <v>0.25269999999999998</v>
      </c>
      <c r="Z84" s="23">
        <v>2220</v>
      </c>
    </row>
    <row r="85" spans="1:26" ht="15.75" customHeight="1" x14ac:dyDescent="0.2">
      <c r="A85" s="17" t="str">
        <f>HYPERLINK("https://www.hofstra.edu", "Hofstra University")</f>
        <v>Hofstra University</v>
      </c>
      <c r="B85" s="18" t="s">
        <v>32</v>
      </c>
      <c r="C85" s="18" t="s">
        <v>38</v>
      </c>
      <c r="D85" s="18" t="s">
        <v>377</v>
      </c>
      <c r="E85" s="18">
        <v>1237</v>
      </c>
      <c r="F85" s="18" t="s">
        <v>115</v>
      </c>
      <c r="G85" s="18" t="s">
        <v>378</v>
      </c>
      <c r="J85" s="19">
        <v>0.63049999999999995</v>
      </c>
      <c r="K85" s="19">
        <v>0.40277777799999998</v>
      </c>
      <c r="L85" s="19">
        <v>0.66020000000000001</v>
      </c>
      <c r="M85" s="19">
        <v>0.52380000000000004</v>
      </c>
      <c r="N85" s="19">
        <v>0.55959999999999999</v>
      </c>
      <c r="O85" s="19">
        <v>0.68610000000000004</v>
      </c>
      <c r="P85" s="20">
        <v>61260</v>
      </c>
      <c r="Q85" s="33" t="str">
        <f>HYPERLINK("https://www.hofstra.edu/admission/adm_netprice.html", "$29345")</f>
        <v>$29345</v>
      </c>
      <c r="R85" s="22">
        <v>33072</v>
      </c>
      <c r="S85" s="22">
        <v>32875</v>
      </c>
      <c r="T85" s="20">
        <v>3050</v>
      </c>
      <c r="U85" s="20">
        <v>26295</v>
      </c>
      <c r="W85" s="19">
        <v>0.2142</v>
      </c>
      <c r="X85" s="19">
        <v>0.44019999999999998</v>
      </c>
      <c r="Z85" s="18">
        <v>6783</v>
      </c>
    </row>
    <row r="86" spans="1:26" ht="15.75" customHeight="1" x14ac:dyDescent="0.2">
      <c r="A86" s="17" t="str">
        <f>HYPERLINK("https://www.hollins.edu", "Hollins University")</f>
        <v>Hollins University</v>
      </c>
      <c r="B86" s="18" t="s">
        <v>32</v>
      </c>
      <c r="C86" s="18" t="s">
        <v>83</v>
      </c>
      <c r="D86" s="18" t="s">
        <v>379</v>
      </c>
      <c r="E86" s="18">
        <v>1212</v>
      </c>
      <c r="F86" s="18" t="s">
        <v>35</v>
      </c>
      <c r="J86" s="19">
        <v>0.62090000000000001</v>
      </c>
      <c r="K86" s="19">
        <v>0.35632183899999997</v>
      </c>
      <c r="L86" s="19">
        <v>0.6613</v>
      </c>
      <c r="M86" s="19">
        <v>0.58819999999999995</v>
      </c>
      <c r="N86" s="19">
        <v>0.23080000000000001</v>
      </c>
      <c r="O86" s="19">
        <v>0.75</v>
      </c>
      <c r="P86" s="20">
        <v>54205</v>
      </c>
      <c r="Q86" s="33" t="str">
        <f>HYPERLINK("https://web1.hollins.edu/finaidcalc/fac/Default.aspx", "$16921")</f>
        <v>$16921</v>
      </c>
      <c r="R86" s="22">
        <v>20045</v>
      </c>
      <c r="S86" s="22">
        <v>21996</v>
      </c>
      <c r="T86" s="20">
        <v>2800</v>
      </c>
      <c r="U86" s="20">
        <v>14121</v>
      </c>
      <c r="W86" s="19">
        <v>0.4083</v>
      </c>
      <c r="X86" s="19">
        <v>0.34239999999999998</v>
      </c>
      <c r="Z86" s="18">
        <v>628</v>
      </c>
    </row>
    <row r="87" spans="1:26" ht="15.75" customHeight="1" x14ac:dyDescent="0.2">
      <c r="A87" s="17" t="str">
        <f>HYPERLINK("https://www.hope.edu", "Hope College")</f>
        <v>Hope College</v>
      </c>
      <c r="B87" s="18" t="s">
        <v>32</v>
      </c>
      <c r="C87" s="18" t="s">
        <v>226</v>
      </c>
      <c r="D87" s="18" t="s">
        <v>380</v>
      </c>
      <c r="E87" s="18">
        <v>1240</v>
      </c>
      <c r="F87" s="18" t="s">
        <v>35</v>
      </c>
      <c r="J87" s="19">
        <v>0.80289999999999995</v>
      </c>
      <c r="K87" s="19">
        <v>0.65517241400000004</v>
      </c>
      <c r="L87" s="19">
        <v>0.81530000000000002</v>
      </c>
      <c r="M87" s="19">
        <v>0.75</v>
      </c>
      <c r="N87" s="19">
        <v>0.70369999999999999</v>
      </c>
      <c r="O87" s="19">
        <v>0.83330000000000004</v>
      </c>
      <c r="P87" s="20">
        <v>45410</v>
      </c>
      <c r="Q87" s="33" t="str">
        <f>HYPERLINK("https://www.hope.edu/admiss/npc/npcalc.htm", "$15529")</f>
        <v>$15529</v>
      </c>
      <c r="R87" s="22">
        <v>19657</v>
      </c>
      <c r="S87" s="22">
        <v>26190</v>
      </c>
      <c r="T87" s="20">
        <v>2630</v>
      </c>
      <c r="U87" s="20">
        <v>12899</v>
      </c>
      <c r="W87" s="19">
        <v>0.1827</v>
      </c>
      <c r="X87" s="19">
        <v>0.17499999999999999</v>
      </c>
      <c r="Z87" s="18">
        <v>3029</v>
      </c>
    </row>
    <row r="88" spans="1:26" ht="15.75" customHeight="1" x14ac:dyDescent="0.2">
      <c r="A88" s="17" t="str">
        <f>HYPERLINK("https://www.houghton.edu", "Houghton College")</f>
        <v>Houghton College</v>
      </c>
      <c r="B88" s="18" t="s">
        <v>32</v>
      </c>
      <c r="C88" s="18" t="s">
        <v>38</v>
      </c>
      <c r="D88" s="18" t="s">
        <v>381</v>
      </c>
      <c r="E88" s="18">
        <v>1205</v>
      </c>
      <c r="F88" s="18" t="s">
        <v>115</v>
      </c>
      <c r="J88" s="19">
        <v>0.73280000000000001</v>
      </c>
      <c r="K88" s="19">
        <v>0.41249999999999998</v>
      </c>
      <c r="L88" s="19">
        <v>0.75209999999999999</v>
      </c>
      <c r="M88" s="19">
        <v>0.57140000000000002</v>
      </c>
      <c r="N88" s="19">
        <v>1</v>
      </c>
      <c r="O88" s="19">
        <v>0.5</v>
      </c>
      <c r="P88" s="20">
        <v>44408</v>
      </c>
      <c r="Q88" s="33" t="str">
        <f>HYPERLINK("https://www.houghton.edu/financial-aid/net-price-calculator/", "$19726")</f>
        <v>$19726</v>
      </c>
      <c r="R88" s="22">
        <v>16202</v>
      </c>
      <c r="S88" s="22">
        <v>19330</v>
      </c>
      <c r="T88" s="20">
        <v>3850</v>
      </c>
      <c r="U88" s="20">
        <v>15876</v>
      </c>
      <c r="W88" s="19">
        <v>0.39789999999999998</v>
      </c>
      <c r="X88" s="19">
        <v>0.27</v>
      </c>
      <c r="Z88" s="18">
        <v>1026</v>
      </c>
    </row>
    <row r="89" spans="1:26" ht="15.75" customHeight="1" x14ac:dyDescent="0.2">
      <c r="A89" s="17" t="str">
        <f>HYPERLINK("https://www.ic.edu", "Illinois College")</f>
        <v>Illinois College</v>
      </c>
      <c r="B89" s="18" t="s">
        <v>32</v>
      </c>
      <c r="C89" s="18" t="s">
        <v>137</v>
      </c>
      <c r="D89" s="18" t="s">
        <v>382</v>
      </c>
      <c r="E89" s="18" t="s">
        <v>36</v>
      </c>
      <c r="F89" s="18" t="s">
        <v>90</v>
      </c>
      <c r="J89" s="19">
        <v>0.60070000000000001</v>
      </c>
      <c r="K89" s="19">
        <v>0.60975609799999997</v>
      </c>
      <c r="L89" s="19">
        <v>0.60619999999999996</v>
      </c>
      <c r="M89" s="19">
        <v>0.5</v>
      </c>
      <c r="N89" s="19">
        <v>0.66669999999999996</v>
      </c>
      <c r="O89" s="19">
        <v>0.33329999999999999</v>
      </c>
      <c r="P89" s="20">
        <v>42830</v>
      </c>
      <c r="Q89" s="33" t="str">
        <f>HYPERLINK("https://www.ic.edu/npc", "$12064")</f>
        <v>$12064</v>
      </c>
      <c r="R89" s="22">
        <v>15153</v>
      </c>
      <c r="S89" s="22">
        <v>19717</v>
      </c>
      <c r="T89" s="20" t="s">
        <v>36</v>
      </c>
      <c r="U89" s="20" t="s">
        <v>36</v>
      </c>
      <c r="W89" s="19">
        <v>0.41339999999999999</v>
      </c>
      <c r="X89" s="19">
        <v>0.2883</v>
      </c>
      <c r="Z89" s="18">
        <v>947</v>
      </c>
    </row>
    <row r="90" spans="1:26" ht="15.75" customHeight="1" x14ac:dyDescent="0.2">
      <c r="A90" s="17" t="str">
        <f>HYPERLINK("https://illinoisstate.edu/", "Illinois State University")</f>
        <v>Illinois State University</v>
      </c>
      <c r="B90" s="18" t="s">
        <v>49</v>
      </c>
      <c r="C90" s="18" t="s">
        <v>137</v>
      </c>
      <c r="D90" s="18" t="s">
        <v>383</v>
      </c>
      <c r="E90" s="18">
        <v>1165</v>
      </c>
      <c r="F90" s="18" t="s">
        <v>35</v>
      </c>
      <c r="J90" s="19">
        <v>0.68810000000000004</v>
      </c>
      <c r="K90" s="19">
        <v>0.60694288899999993</v>
      </c>
      <c r="L90" s="19">
        <v>0.7137</v>
      </c>
      <c r="M90" s="19">
        <v>0.52380000000000004</v>
      </c>
      <c r="N90" s="19">
        <v>0.61499999999999999</v>
      </c>
      <c r="O90" s="19">
        <v>0.74139999999999995</v>
      </c>
      <c r="P90" s="20">
        <v>40036</v>
      </c>
      <c r="Q90" s="33" t="str">
        <f>HYPERLINK("https://financialaid.illinoisstate.edu/prospective/estimator", "$26498")</f>
        <v>$26498</v>
      </c>
      <c r="R90" s="22">
        <v>32786</v>
      </c>
      <c r="S90" s="22">
        <v>37223</v>
      </c>
      <c r="T90" s="20">
        <v>5018</v>
      </c>
      <c r="U90" s="20">
        <v>21480.23900118906</v>
      </c>
      <c r="W90" s="19">
        <v>0.27550000000000002</v>
      </c>
      <c r="X90" s="19">
        <v>0.24979999999999999</v>
      </c>
      <c r="Z90" s="18">
        <v>18264</v>
      </c>
    </row>
    <row r="91" spans="1:26" ht="15.75" customHeight="1" x14ac:dyDescent="0.2">
      <c r="A91" s="17" t="str">
        <f>HYPERLINK("https://www.ithaca.edu", "Ithaca College")</f>
        <v>Ithaca College</v>
      </c>
      <c r="B91" s="18" t="s">
        <v>32</v>
      </c>
      <c r="C91" s="18" t="s">
        <v>38</v>
      </c>
      <c r="D91" s="18" t="s">
        <v>97</v>
      </c>
      <c r="E91" s="18" t="s">
        <v>36</v>
      </c>
      <c r="F91" s="18" t="s">
        <v>45</v>
      </c>
      <c r="G91" s="18" t="s">
        <v>40</v>
      </c>
      <c r="H91" s="18" t="s">
        <v>384</v>
      </c>
      <c r="I91" s="18" t="s">
        <v>385</v>
      </c>
      <c r="J91" s="19">
        <v>0.76029999999999998</v>
      </c>
      <c r="K91" s="19">
        <v>0.70033669999999992</v>
      </c>
      <c r="L91" s="19">
        <v>0.78459999999999996</v>
      </c>
      <c r="M91" s="19">
        <v>0.77500000000000002</v>
      </c>
      <c r="N91" s="19">
        <v>0.68220000000000003</v>
      </c>
      <c r="O91" s="19">
        <v>0.61819999999999997</v>
      </c>
      <c r="P91" s="20">
        <v>61339</v>
      </c>
      <c r="Q91" s="33" t="str">
        <f>HYPERLINK("https://www.ithaca.edu/finaid/aid/need/", "$22604")</f>
        <v>$22604</v>
      </c>
      <c r="R91" s="22">
        <v>29740</v>
      </c>
      <c r="S91" s="22">
        <v>34570</v>
      </c>
      <c r="T91" s="20">
        <v>3181</v>
      </c>
      <c r="U91" s="20">
        <v>19423</v>
      </c>
      <c r="W91" s="19">
        <v>0.1943</v>
      </c>
      <c r="X91" s="19">
        <v>0.26989999999999997</v>
      </c>
      <c r="Y91" s="18" t="s">
        <v>37</v>
      </c>
      <c r="Z91" s="18">
        <v>6021</v>
      </c>
    </row>
    <row r="92" spans="1:26" ht="15.75" customHeight="1" x14ac:dyDescent="0.2">
      <c r="A92" s="17" t="str">
        <f>HYPERLINK("https://www.jmu.edu/", "James Madison University")</f>
        <v>James Madison University</v>
      </c>
      <c r="B92" s="18" t="s">
        <v>49</v>
      </c>
      <c r="C92" s="18" t="s">
        <v>83</v>
      </c>
      <c r="D92" s="18" t="s">
        <v>351</v>
      </c>
      <c r="E92" s="18">
        <v>1194</v>
      </c>
      <c r="F92" s="18" t="s">
        <v>115</v>
      </c>
      <c r="J92" s="19">
        <v>0.82579999999999998</v>
      </c>
      <c r="K92" s="19">
        <v>0.69971671400000002</v>
      </c>
      <c r="L92" s="19">
        <v>0.83720000000000006</v>
      </c>
      <c r="M92" s="19">
        <v>0.69799999999999995</v>
      </c>
      <c r="N92" s="19">
        <v>0.76549999999999996</v>
      </c>
      <c r="O92" s="19">
        <v>0.84150000000000003</v>
      </c>
      <c r="P92" s="20">
        <v>42522</v>
      </c>
      <c r="Q92" s="33" t="str">
        <f>HYPERLINK("https://www.jmu.edu/financialaid/calculators/index.shtml", "$30710")</f>
        <v>$30710</v>
      </c>
      <c r="R92" s="22">
        <v>34966</v>
      </c>
      <c r="S92" s="22">
        <v>40191</v>
      </c>
      <c r="T92" s="20">
        <v>5180</v>
      </c>
      <c r="U92" s="20">
        <v>25530.712643678158</v>
      </c>
      <c r="W92" s="19">
        <v>0.14560000000000001</v>
      </c>
      <c r="X92" s="19">
        <v>0.25269999999999998</v>
      </c>
      <c r="Z92" s="18">
        <v>19666</v>
      </c>
    </row>
    <row r="93" spans="1:26" ht="15.75" customHeight="1" x14ac:dyDescent="0.2">
      <c r="A93" s="17" t="str">
        <f>HYPERLINK("https://www.jbu.edu", "John Brown University")</f>
        <v>John Brown University</v>
      </c>
      <c r="B93" s="18" t="s">
        <v>32</v>
      </c>
      <c r="C93" s="18" t="s">
        <v>371</v>
      </c>
      <c r="D93" s="18" t="s">
        <v>386</v>
      </c>
      <c r="E93" s="18">
        <v>1256</v>
      </c>
      <c r="F93" s="18" t="s">
        <v>35</v>
      </c>
      <c r="J93" s="19">
        <v>0.73060000000000003</v>
      </c>
      <c r="K93" s="19">
        <v>0.53012048200000006</v>
      </c>
      <c r="L93" s="19">
        <v>0.72950000000000004</v>
      </c>
      <c r="M93" s="19">
        <v>0.4</v>
      </c>
      <c r="N93" s="19">
        <v>0.77780000000000005</v>
      </c>
      <c r="O93" s="19">
        <v>0.5</v>
      </c>
      <c r="P93" s="20">
        <v>38834</v>
      </c>
      <c r="Q93" s="33" t="str">
        <f>HYPERLINK("https://info.eaglenet.jbu.edu/npc", "$18399")</f>
        <v>$18399</v>
      </c>
      <c r="R93" s="22">
        <v>21610</v>
      </c>
      <c r="S93" s="22">
        <v>23590</v>
      </c>
      <c r="T93" s="20">
        <v>3650</v>
      </c>
      <c r="U93" s="20">
        <v>14749</v>
      </c>
      <c r="W93" s="19">
        <v>0.2747</v>
      </c>
      <c r="X93" s="19">
        <v>0.25340000000000001</v>
      </c>
      <c r="Z93" s="18">
        <v>1606</v>
      </c>
    </row>
    <row r="94" spans="1:26" ht="15.75" customHeight="1" x14ac:dyDescent="0.2">
      <c r="A94" s="17" t="str">
        <f>HYPERLINK("https://www.juniata.edu", "Juniata College")</f>
        <v>Juniata College</v>
      </c>
      <c r="B94" s="18" t="s">
        <v>32</v>
      </c>
      <c r="C94" s="18" t="s">
        <v>65</v>
      </c>
      <c r="D94" s="18" t="s">
        <v>387</v>
      </c>
      <c r="E94" s="18" t="s">
        <v>36</v>
      </c>
      <c r="F94" s="18" t="s">
        <v>90</v>
      </c>
      <c r="J94" s="19">
        <v>0.83750000000000002</v>
      </c>
      <c r="K94" s="19">
        <v>0.60784313700000003</v>
      </c>
      <c r="L94" s="19">
        <v>0.85450000000000004</v>
      </c>
      <c r="M94" s="19">
        <v>0.8</v>
      </c>
      <c r="N94" s="19">
        <v>0.6875</v>
      </c>
      <c r="O94" s="19">
        <v>0.9</v>
      </c>
      <c r="P94" s="20">
        <v>58165</v>
      </c>
      <c r="Q94" s="33" t="str">
        <f>HYPERLINK("https://more.juniata.edu/admission/aid-calculator/index.php", "$19211")</f>
        <v>$19211</v>
      </c>
      <c r="R94" s="22">
        <v>21254</v>
      </c>
      <c r="S94" s="22">
        <v>25445</v>
      </c>
      <c r="T94" s="20">
        <v>2250</v>
      </c>
      <c r="U94" s="20">
        <v>16961</v>
      </c>
      <c r="W94" s="19">
        <v>0.24679999999999999</v>
      </c>
      <c r="X94" s="19">
        <v>0.24579999999999999</v>
      </c>
      <c r="Z94" s="18">
        <v>1371</v>
      </c>
    </row>
    <row r="95" spans="1:26" ht="15.75" customHeight="1" x14ac:dyDescent="0.2">
      <c r="A95" s="17" t="str">
        <f>HYPERLINK("https://www.k-state.edu", "Kansas State University")</f>
        <v>Kansas State University</v>
      </c>
      <c r="B95" s="18" t="s">
        <v>49</v>
      </c>
      <c r="C95" s="18" t="s">
        <v>307</v>
      </c>
      <c r="D95" s="18" t="s">
        <v>388</v>
      </c>
      <c r="E95" s="18" t="s">
        <v>36</v>
      </c>
      <c r="F95" s="18" t="s">
        <v>90</v>
      </c>
      <c r="J95" s="19">
        <v>0.62660000000000005</v>
      </c>
      <c r="K95" s="19">
        <v>0.44150559499999997</v>
      </c>
      <c r="L95" s="19">
        <v>0.66790000000000005</v>
      </c>
      <c r="M95" s="19">
        <v>0.32179999999999997</v>
      </c>
      <c r="N95" s="19">
        <v>0.52200000000000002</v>
      </c>
      <c r="O95" s="19">
        <v>0.57379999999999998</v>
      </c>
      <c r="P95" s="20">
        <v>39696</v>
      </c>
      <c r="Q95" s="33" t="str">
        <f>HYPERLINK("https://tcc.noellevitz.com/(S(dajhe443p0hn3gev2eljho1r))/Kansas%20State%20University/Net-Price-Calculator", "$30848")</f>
        <v>$30848</v>
      </c>
      <c r="R95" s="22">
        <v>33082</v>
      </c>
      <c r="S95" s="22">
        <v>35836</v>
      </c>
      <c r="T95" s="20">
        <v>4774</v>
      </c>
      <c r="U95" s="20">
        <v>26074.348780487799</v>
      </c>
      <c r="W95" s="19">
        <v>0.22900000000000001</v>
      </c>
      <c r="X95" s="19">
        <v>0.21700000000000011</v>
      </c>
      <c r="Z95" s="18">
        <v>18171</v>
      </c>
    </row>
    <row r="96" spans="1:26" ht="15.75" customHeight="1" x14ac:dyDescent="0.2">
      <c r="A96" s="17" t="str">
        <f>HYPERLINK("https://www.kennesaw.edu", "Kennesaw State University")</f>
        <v>Kennesaw State University</v>
      </c>
      <c r="B96" s="18" t="s">
        <v>49</v>
      </c>
      <c r="C96" s="18" t="s">
        <v>107</v>
      </c>
      <c r="D96" s="18" t="s">
        <v>389</v>
      </c>
      <c r="E96" s="18">
        <v>1163</v>
      </c>
      <c r="F96" s="18" t="s">
        <v>35</v>
      </c>
      <c r="J96" s="19">
        <v>0.41739999999999999</v>
      </c>
      <c r="K96" s="19">
        <v>0.41452805599999998</v>
      </c>
      <c r="L96" s="19">
        <v>0.42349999999999999</v>
      </c>
      <c r="M96" s="19">
        <v>0.41320000000000001</v>
      </c>
      <c r="N96" s="19">
        <v>0.42509999999999998</v>
      </c>
      <c r="O96" s="19">
        <v>0.41670000000000001</v>
      </c>
      <c r="P96" s="20">
        <v>36755</v>
      </c>
      <c r="Q96" s="33" t="str">
        <f>HYPERLINK("https://financialaid.kennesaw.edu/npcalc/npcalc.htm", "$28408")</f>
        <v>$28408</v>
      </c>
      <c r="R96" s="22">
        <v>31824</v>
      </c>
      <c r="S96" s="22">
        <v>33229</v>
      </c>
      <c r="T96" s="20">
        <v>7959</v>
      </c>
      <c r="U96" s="20">
        <v>20449.525117739398</v>
      </c>
      <c r="W96" s="19">
        <v>0.36759999999999998</v>
      </c>
      <c r="X96" s="19">
        <v>0.44429999999999997</v>
      </c>
      <c r="Z96" s="18">
        <v>32309</v>
      </c>
    </row>
    <row r="97" spans="1:26" ht="15.75" customHeight="1" x14ac:dyDescent="0.2">
      <c r="A97" s="36" t="str">
        <f>HYPERLINK("https://www.king.edu", "King University")</f>
        <v>King University</v>
      </c>
      <c r="B97" s="18" t="s">
        <v>32</v>
      </c>
      <c r="C97" s="18" t="s">
        <v>174</v>
      </c>
      <c r="D97" s="18" t="s">
        <v>390</v>
      </c>
      <c r="E97" s="18">
        <v>1084</v>
      </c>
      <c r="F97" s="18" t="s">
        <v>115</v>
      </c>
      <c r="J97" s="19">
        <v>0.5202</v>
      </c>
      <c r="K97" s="19">
        <v>0.52604166699999999</v>
      </c>
      <c r="L97" s="19">
        <v>0.58679999999999999</v>
      </c>
      <c r="M97" s="19">
        <v>0.375</v>
      </c>
      <c r="N97" s="19">
        <v>0.5</v>
      </c>
      <c r="O97" s="19" t="s">
        <v>36</v>
      </c>
      <c r="P97" s="20">
        <v>41936</v>
      </c>
      <c r="Q97" s="21" t="str">
        <f>HYPERLINK("https://www.king.edu/financialaid/net-price-calculator.aspx", "$16768")</f>
        <v>$16768</v>
      </c>
      <c r="R97" s="20">
        <v>19341</v>
      </c>
      <c r="S97" s="20">
        <v>18685</v>
      </c>
      <c r="T97" s="20">
        <v>4940</v>
      </c>
      <c r="U97" s="20">
        <v>11828</v>
      </c>
      <c r="W97" s="19">
        <v>0.44690000000000002</v>
      </c>
      <c r="X97" s="19">
        <v>0.20100000000000001</v>
      </c>
      <c r="Z97" s="18">
        <v>1736</v>
      </c>
    </row>
    <row r="98" spans="1:26" ht="15.75" customHeight="1" x14ac:dyDescent="0.2">
      <c r="A98" s="36" t="str">
        <f>HYPERLINK("https://www.knox.edu", "Knox College")</f>
        <v>Knox College</v>
      </c>
      <c r="B98" s="18" t="s">
        <v>32</v>
      </c>
      <c r="C98" s="18" t="s">
        <v>137</v>
      </c>
      <c r="D98" s="18" t="s">
        <v>391</v>
      </c>
      <c r="E98" s="18" t="s">
        <v>36</v>
      </c>
      <c r="F98" s="18" t="s">
        <v>90</v>
      </c>
      <c r="J98" s="19">
        <v>0.76090000000000002</v>
      </c>
      <c r="K98" s="19">
        <v>0.61016949200000004</v>
      </c>
      <c r="L98" s="19">
        <v>0.79679999999999995</v>
      </c>
      <c r="M98" s="19">
        <v>0.625</v>
      </c>
      <c r="N98" s="19">
        <v>0.65310000000000001</v>
      </c>
      <c r="O98" s="19">
        <v>0.81820000000000004</v>
      </c>
      <c r="P98" s="20">
        <v>56554</v>
      </c>
      <c r="Q98" s="21" t="str">
        <f>HYPERLINK("https://www.collegecostcalculator.org/KnoxCollege", "$18779")</f>
        <v>$18779</v>
      </c>
      <c r="R98" s="20">
        <v>19938</v>
      </c>
      <c r="S98" s="20">
        <v>23730</v>
      </c>
      <c r="T98" s="20">
        <v>1900</v>
      </c>
      <c r="U98" s="20">
        <v>16879</v>
      </c>
      <c r="W98" s="19">
        <v>0.32519999999999999</v>
      </c>
      <c r="X98" s="19">
        <v>0.53170000000000006</v>
      </c>
      <c r="Z98" s="18">
        <v>1341</v>
      </c>
    </row>
    <row r="99" spans="1:26" ht="15.75" customHeight="1" x14ac:dyDescent="0.2">
      <c r="A99" s="36" t="str">
        <f>HYPERLINK("https://lasierra.edu", "La Sierra University")</f>
        <v>La Sierra University</v>
      </c>
      <c r="B99" s="18" t="s">
        <v>32</v>
      </c>
      <c r="C99" s="18" t="s">
        <v>68</v>
      </c>
      <c r="D99" s="18" t="s">
        <v>392</v>
      </c>
      <c r="E99" s="18">
        <v>994</v>
      </c>
      <c r="F99" s="18" t="s">
        <v>35</v>
      </c>
      <c r="J99" s="19">
        <v>0.47420000000000001</v>
      </c>
      <c r="K99" s="19">
        <v>0.36507936499999999</v>
      </c>
      <c r="L99" s="19">
        <v>0.41299999999999998</v>
      </c>
      <c r="M99" s="19">
        <v>0.2273</v>
      </c>
      <c r="N99" s="19">
        <v>0.38009999999999999</v>
      </c>
      <c r="O99" s="19">
        <v>0.71230000000000004</v>
      </c>
      <c r="P99" s="20">
        <v>45402</v>
      </c>
      <c r="Q99" s="21" t="str">
        <f>HYPERLINK("https://lasierra.edu/sfs/scholarships/", "$21327")</f>
        <v>$21327</v>
      </c>
      <c r="R99" s="20">
        <v>24824</v>
      </c>
      <c r="S99" s="20">
        <v>27690</v>
      </c>
      <c r="T99" s="20">
        <v>5022</v>
      </c>
      <c r="U99" s="20">
        <v>16305</v>
      </c>
      <c r="W99" s="19">
        <v>0.4834</v>
      </c>
      <c r="X99" s="19">
        <v>0.86309999999999998</v>
      </c>
      <c r="Z99" s="18">
        <v>1929</v>
      </c>
    </row>
    <row r="100" spans="1:26" ht="15.75" customHeight="1" x14ac:dyDescent="0.2">
      <c r="A100" s="36" t="str">
        <f>HYPERLINK("https://www.lakeforest.edu", "Lake Forest College")</f>
        <v>Lake Forest College</v>
      </c>
      <c r="B100" s="18" t="s">
        <v>32</v>
      </c>
      <c r="C100" s="18" t="s">
        <v>137</v>
      </c>
      <c r="D100" s="18" t="s">
        <v>393</v>
      </c>
      <c r="E100" s="18" t="s">
        <v>36</v>
      </c>
      <c r="F100" s="18" t="s">
        <v>90</v>
      </c>
      <c r="J100" s="19">
        <v>0.72409999999999997</v>
      </c>
      <c r="K100" s="19">
        <v>0.73958333300000001</v>
      </c>
      <c r="L100" s="19">
        <v>0.69200000000000006</v>
      </c>
      <c r="M100" s="19">
        <v>0.72409999999999997</v>
      </c>
      <c r="N100" s="19">
        <v>0.73080000000000001</v>
      </c>
      <c r="O100" s="19">
        <v>0.61539999999999995</v>
      </c>
      <c r="P100" s="20">
        <v>58675</v>
      </c>
      <c r="Q100" s="21" t="str">
        <f>HYPERLINK("https://www.lakeforest.edu/admissions/finaid/price/", "$17099")</f>
        <v>$17099</v>
      </c>
      <c r="R100" s="20">
        <v>20206</v>
      </c>
      <c r="S100" s="20">
        <v>26650</v>
      </c>
      <c r="T100" s="20">
        <v>3075</v>
      </c>
      <c r="U100" s="20">
        <v>14024</v>
      </c>
      <c r="W100" s="19">
        <v>0.34810000000000002</v>
      </c>
      <c r="X100" s="19">
        <v>0.4214</v>
      </c>
      <c r="Z100" s="18">
        <v>1483</v>
      </c>
    </row>
    <row r="101" spans="1:26" ht="15.75" customHeight="1" x14ac:dyDescent="0.2">
      <c r="A101" s="36" t="str">
        <f>HYPERLINK("https://www.ltu.edu", "Lawrence Technological University")</f>
        <v>Lawrence Technological University</v>
      </c>
      <c r="B101" s="18" t="s">
        <v>32</v>
      </c>
      <c r="C101" s="18" t="s">
        <v>226</v>
      </c>
      <c r="D101" s="18" t="s">
        <v>394</v>
      </c>
      <c r="E101" s="18">
        <v>1163</v>
      </c>
      <c r="F101" s="18" t="s">
        <v>35</v>
      </c>
      <c r="J101" s="19">
        <v>0.53569999999999995</v>
      </c>
      <c r="K101" s="19">
        <v>0.38036809799999999</v>
      </c>
      <c r="L101" s="19">
        <v>0.62429999999999997</v>
      </c>
      <c r="M101" s="19">
        <v>0.17649999999999999</v>
      </c>
      <c r="N101" s="19">
        <v>0.6</v>
      </c>
      <c r="O101" s="19">
        <v>0.66669999999999996</v>
      </c>
      <c r="P101" s="20">
        <v>47482</v>
      </c>
      <c r="Q101" s="21" t="str">
        <f>HYPERLINK("https://www.ltu.edu/financial_aid/netprice.asp", "$24223")</f>
        <v>$24223</v>
      </c>
      <c r="R101" s="20">
        <v>27575</v>
      </c>
      <c r="S101" s="20">
        <v>26547</v>
      </c>
      <c r="T101" s="20">
        <v>5792</v>
      </c>
      <c r="U101" s="20">
        <v>18431</v>
      </c>
      <c r="W101" s="19">
        <v>0.2195</v>
      </c>
      <c r="X101" s="19">
        <v>0.39479999999999998</v>
      </c>
      <c r="Z101" s="18">
        <v>2191</v>
      </c>
    </row>
    <row r="102" spans="1:26" ht="15.75" customHeight="1" x14ac:dyDescent="0.2">
      <c r="A102" s="36" t="str">
        <f>HYPERLINK("https://www.lemoyne.edu", "Le Moyne College")</f>
        <v>Le Moyne College</v>
      </c>
      <c r="B102" s="18" t="s">
        <v>32</v>
      </c>
      <c r="C102" s="18" t="s">
        <v>38</v>
      </c>
      <c r="D102" s="18" t="s">
        <v>242</v>
      </c>
      <c r="E102" s="18">
        <v>1171</v>
      </c>
      <c r="F102" s="18" t="s">
        <v>115</v>
      </c>
      <c r="G102" s="18" t="s">
        <v>40</v>
      </c>
      <c r="H102" s="18" t="s">
        <v>395</v>
      </c>
      <c r="I102" s="18" t="s">
        <v>396</v>
      </c>
      <c r="J102" s="19">
        <v>0.73619999999999997</v>
      </c>
      <c r="K102" s="19">
        <v>0.60439560400000003</v>
      </c>
      <c r="L102" s="19">
        <v>0.7329</v>
      </c>
      <c r="M102" s="19">
        <v>0.72219999999999995</v>
      </c>
      <c r="N102" s="19">
        <v>0.74360000000000004</v>
      </c>
      <c r="O102" s="19">
        <v>0.83330000000000004</v>
      </c>
      <c r="P102" s="20">
        <v>49995</v>
      </c>
      <c r="Q102" s="21" t="str">
        <f>HYPERLINK("https://www.lemoyne.edu/Apply/Financial-Aid/Financial-Aid-Calculator", "$17467")</f>
        <v>$17467</v>
      </c>
      <c r="R102" s="20">
        <v>22940</v>
      </c>
      <c r="S102" s="20">
        <v>24255</v>
      </c>
      <c r="T102" s="20">
        <v>2690</v>
      </c>
      <c r="U102" s="20">
        <v>14777</v>
      </c>
      <c r="W102" s="19">
        <v>0.2979</v>
      </c>
      <c r="X102" s="19">
        <v>0.21519999999999989</v>
      </c>
      <c r="Z102" s="18">
        <v>2676</v>
      </c>
    </row>
    <row r="103" spans="1:26" ht="15.75" customHeight="1" x14ac:dyDescent="0.2">
      <c r="A103" s="36" t="str">
        <f>HYPERLINK("https://www.lclark.edu/", "Lewis &amp; Clark College")</f>
        <v>Lewis &amp; Clark College</v>
      </c>
      <c r="B103" s="18" t="s">
        <v>32</v>
      </c>
      <c r="C103" s="18" t="s">
        <v>143</v>
      </c>
      <c r="D103" s="18" t="s">
        <v>144</v>
      </c>
      <c r="E103" s="18">
        <v>1330</v>
      </c>
      <c r="F103" s="18" t="s">
        <v>115</v>
      </c>
      <c r="J103" s="19">
        <v>0.80069999999999997</v>
      </c>
      <c r="K103" s="19">
        <v>0.7</v>
      </c>
      <c r="L103" s="19">
        <v>0.80669999999999997</v>
      </c>
      <c r="M103" s="19">
        <v>0.81820000000000004</v>
      </c>
      <c r="N103" s="19">
        <v>0.76270000000000004</v>
      </c>
      <c r="O103" s="19">
        <v>0.83330000000000004</v>
      </c>
      <c r="P103" s="20">
        <v>62086</v>
      </c>
      <c r="Q103" s="21" t="str">
        <f>HYPERLINK("https://www.lclark.edu/offices/financial_aid/undergrad/net_price_calculator/", "$18719")</f>
        <v>$18719</v>
      </c>
      <c r="R103" s="20">
        <v>25151</v>
      </c>
      <c r="S103" s="20">
        <v>33904</v>
      </c>
      <c r="T103" s="20">
        <v>3102</v>
      </c>
      <c r="U103" s="20">
        <v>15617</v>
      </c>
      <c r="W103" s="19">
        <v>0.17949999999999999</v>
      </c>
      <c r="X103" s="19">
        <v>0.35580000000000001</v>
      </c>
      <c r="Z103" s="18">
        <v>2021</v>
      </c>
    </row>
    <row r="104" spans="1:26" ht="15.75" customHeight="1" x14ac:dyDescent="0.2">
      <c r="A104" s="36" t="str">
        <f>HYPERLINK("https://www.lipscomb.edu", "Lipscomb University")</f>
        <v>Lipscomb University</v>
      </c>
      <c r="B104" s="18" t="s">
        <v>32</v>
      </c>
      <c r="C104" s="18" t="s">
        <v>174</v>
      </c>
      <c r="D104" s="18" t="s">
        <v>175</v>
      </c>
      <c r="E104" s="18">
        <v>1239</v>
      </c>
      <c r="F104" s="18" t="s">
        <v>35</v>
      </c>
      <c r="J104" s="19">
        <v>0.59200000000000008</v>
      </c>
      <c r="K104" s="19">
        <v>0.52444444400000001</v>
      </c>
      <c r="L104" s="19">
        <v>0.64749999999999996</v>
      </c>
      <c r="M104" s="19">
        <v>0.34329999999999999</v>
      </c>
      <c r="N104" s="19">
        <v>0.4138</v>
      </c>
      <c r="O104" s="19">
        <v>0.5</v>
      </c>
      <c r="P104" s="20">
        <v>47734</v>
      </c>
      <c r="Q104" s="21" t="str">
        <f>HYPERLINK("https://www.lipscomb.edu/financialaid/resources/net-price-calculator", "$20253")</f>
        <v>$20253</v>
      </c>
      <c r="R104" s="20">
        <v>24922</v>
      </c>
      <c r="S104" s="20">
        <v>24944</v>
      </c>
      <c r="T104" s="20">
        <v>4750</v>
      </c>
      <c r="U104" s="20">
        <v>15503</v>
      </c>
      <c r="W104" s="19">
        <v>0.25590000000000002</v>
      </c>
      <c r="X104" s="19">
        <v>0.23710000000000001</v>
      </c>
      <c r="Z104" s="18">
        <v>2973</v>
      </c>
    </row>
    <row r="105" spans="1:26" ht="15.75" customHeight="1" x14ac:dyDescent="0.2">
      <c r="A105" s="36" t="str">
        <f>HYPERLINK("https://www.loras.edu", "Loras College")</f>
        <v>Loras College</v>
      </c>
      <c r="B105" s="18" t="s">
        <v>32</v>
      </c>
      <c r="C105" s="18" t="s">
        <v>211</v>
      </c>
      <c r="D105" s="18" t="s">
        <v>397</v>
      </c>
      <c r="E105" s="18">
        <v>1144</v>
      </c>
      <c r="F105" s="18" t="s">
        <v>35</v>
      </c>
      <c r="J105" s="19">
        <v>0.68159999999999998</v>
      </c>
      <c r="K105" s="19">
        <v>0.52083333300000001</v>
      </c>
      <c r="L105" s="19">
        <v>0.68240000000000001</v>
      </c>
      <c r="M105" s="19">
        <v>0.66669999999999996</v>
      </c>
      <c r="N105" s="19">
        <v>0.5</v>
      </c>
      <c r="O105" s="19">
        <v>0.75</v>
      </c>
      <c r="P105" s="20">
        <v>43837</v>
      </c>
      <c r="Q105" s="21" t="str">
        <f>HYPERLINK("https://www.loras.edu/npc", "$13754")</f>
        <v>$13754</v>
      </c>
      <c r="R105" s="20">
        <v>16824</v>
      </c>
      <c r="S105" s="20">
        <v>17903</v>
      </c>
      <c r="T105" s="20">
        <v>3111</v>
      </c>
      <c r="U105" s="20">
        <v>10643</v>
      </c>
      <c r="W105" s="19">
        <v>0.21870000000000001</v>
      </c>
      <c r="X105" s="19">
        <v>0.18210000000000001</v>
      </c>
      <c r="Z105" s="18">
        <v>1362</v>
      </c>
    </row>
    <row r="106" spans="1:26" ht="15.75" customHeight="1" x14ac:dyDescent="0.2">
      <c r="A106" s="36" t="str">
        <f>HYPERLINK("https://www.lsu.edu", "Louisiana State University and Agricultural &amp; Mechanical College")</f>
        <v>Louisiana State University and Agricultural &amp; Mechanical College</v>
      </c>
      <c r="B106" s="18" t="s">
        <v>49</v>
      </c>
      <c r="C106" s="18" t="s">
        <v>158</v>
      </c>
      <c r="D106" s="18" t="s">
        <v>398</v>
      </c>
      <c r="E106" s="18">
        <v>1226</v>
      </c>
      <c r="F106" s="18" t="s">
        <v>35</v>
      </c>
      <c r="J106" s="19">
        <v>0.66649999999999998</v>
      </c>
      <c r="K106" s="19">
        <v>0.55855855899999995</v>
      </c>
      <c r="L106" s="19">
        <v>0.69030000000000002</v>
      </c>
      <c r="M106" s="19">
        <v>0.56589999999999996</v>
      </c>
      <c r="N106" s="19">
        <v>0.57140000000000002</v>
      </c>
      <c r="O106" s="19">
        <v>0.62909999999999999</v>
      </c>
      <c r="P106" s="20">
        <v>46381</v>
      </c>
      <c r="Q106" s="21" t="str">
        <f>HYPERLINK("https://www.lsu.edu/financialaid/cost/net_price_calculator.php", "$30344")</f>
        <v>$30344</v>
      </c>
      <c r="R106" s="20">
        <v>38836</v>
      </c>
      <c r="S106" s="20">
        <v>40619</v>
      </c>
      <c r="T106" s="20">
        <v>6580</v>
      </c>
      <c r="U106" s="20">
        <v>23764.568561872911</v>
      </c>
      <c r="W106" s="19">
        <v>0.2031</v>
      </c>
      <c r="X106" s="19">
        <v>0.27900000000000003</v>
      </c>
      <c r="Z106" s="18">
        <v>23331</v>
      </c>
    </row>
    <row r="107" spans="1:26" ht="15.75" customHeight="1" x14ac:dyDescent="0.2">
      <c r="A107" s="36" t="str">
        <f>HYPERLINK("https://www.latech.edu", "Louisiana Tech University")</f>
        <v>Louisiana Tech University</v>
      </c>
      <c r="B107" s="18" t="s">
        <v>49</v>
      </c>
      <c r="C107" s="18" t="s">
        <v>158</v>
      </c>
      <c r="D107" s="18" t="s">
        <v>399</v>
      </c>
      <c r="E107" s="18">
        <v>1195</v>
      </c>
      <c r="F107" s="18" t="s">
        <v>35</v>
      </c>
      <c r="J107" s="19">
        <v>0.53390000000000004</v>
      </c>
      <c r="K107" s="19">
        <v>0.48214285699999998</v>
      </c>
      <c r="L107" s="19">
        <v>0.57499999999999996</v>
      </c>
      <c r="M107" s="19">
        <v>0.38590000000000002</v>
      </c>
      <c r="N107" s="19">
        <v>0.48149999999999998</v>
      </c>
      <c r="O107" s="19">
        <v>0.61109999999999998</v>
      </c>
      <c r="P107" s="20">
        <v>29277</v>
      </c>
      <c r="Q107" s="21" t="str">
        <f>HYPERLINK("https://www.latech.edu/current-students/financial-aid/resources/net-price-calculator/", "$18310")</f>
        <v>$18310</v>
      </c>
      <c r="R107" s="20">
        <v>21327</v>
      </c>
      <c r="S107" s="20">
        <v>23982</v>
      </c>
      <c r="T107" s="20">
        <v>4359</v>
      </c>
      <c r="U107" s="20">
        <v>13951.45714285714</v>
      </c>
      <c r="W107" s="19">
        <v>0.21740000000000001</v>
      </c>
      <c r="X107" s="19">
        <v>0.29880000000000001</v>
      </c>
      <c r="Z107" s="18">
        <v>8277</v>
      </c>
    </row>
    <row r="108" spans="1:26" ht="15.75" customHeight="1" x14ac:dyDescent="0.2">
      <c r="A108" s="36" t="str">
        <f>HYPERLINK("https://www.lmu.edu", "Loyola Marymount University")</f>
        <v>Loyola Marymount University</v>
      </c>
      <c r="B108" s="18" t="s">
        <v>32</v>
      </c>
      <c r="C108" s="18" t="s">
        <v>68</v>
      </c>
      <c r="D108" s="18" t="s">
        <v>140</v>
      </c>
      <c r="E108" s="18">
        <v>1307</v>
      </c>
      <c r="F108" s="18" t="s">
        <v>35</v>
      </c>
      <c r="J108" s="19">
        <v>0.79110000000000003</v>
      </c>
      <c r="K108" s="19">
        <v>0.79559748400000008</v>
      </c>
      <c r="L108" s="19">
        <v>0.78599999999999992</v>
      </c>
      <c r="M108" s="19">
        <v>0.72</v>
      </c>
      <c r="N108" s="19">
        <v>0.81669999999999998</v>
      </c>
      <c r="O108" s="19">
        <v>0.83560000000000001</v>
      </c>
      <c r="P108" s="20">
        <v>64735</v>
      </c>
      <c r="Q108" s="21" t="str">
        <f>HYPERLINK("https://financialaid.lmu.edu/prospectivestudents/netpricecalculator/", "$28856")</f>
        <v>$28856</v>
      </c>
      <c r="R108" s="20">
        <v>32209</v>
      </c>
      <c r="S108" s="20">
        <v>40165</v>
      </c>
      <c r="T108" s="20">
        <v>5094</v>
      </c>
      <c r="U108" s="20">
        <v>23762</v>
      </c>
      <c r="W108" s="19">
        <v>0.17460000000000001</v>
      </c>
      <c r="X108" s="19">
        <v>0.55630000000000002</v>
      </c>
      <c r="Z108" s="18">
        <v>6257</v>
      </c>
    </row>
    <row r="109" spans="1:26" ht="15.75" customHeight="1" x14ac:dyDescent="0.2">
      <c r="A109" s="36" t="str">
        <f>HYPERLINK("https://www.luc.edu", "Loyola University Chicago")</f>
        <v>Loyola University Chicago</v>
      </c>
      <c r="B109" s="18" t="s">
        <v>32</v>
      </c>
      <c r="C109" s="18" t="s">
        <v>137</v>
      </c>
      <c r="D109" s="18" t="s">
        <v>161</v>
      </c>
      <c r="E109" s="18">
        <v>1258</v>
      </c>
      <c r="F109" s="18" t="s">
        <v>35</v>
      </c>
      <c r="J109" s="19">
        <v>0.77149999999999996</v>
      </c>
      <c r="K109" s="19">
        <v>0.59077380999999995</v>
      </c>
      <c r="L109" s="19">
        <v>0.7903</v>
      </c>
      <c r="M109" s="19">
        <v>0.61219999999999997</v>
      </c>
      <c r="N109" s="19">
        <v>0.70169999999999999</v>
      </c>
      <c r="O109" s="19">
        <v>0.81330000000000002</v>
      </c>
      <c r="P109" s="20">
        <v>59958</v>
      </c>
      <c r="Q109" s="21" t="str">
        <f>HYPERLINK("https://www.luc.edu/undergrad/tuitionandfinancialaid/netpricecalculator/", "$27789")</f>
        <v>$27789</v>
      </c>
      <c r="R109" s="20">
        <v>30685</v>
      </c>
      <c r="S109" s="20">
        <v>33787</v>
      </c>
      <c r="T109" s="20">
        <v>2800</v>
      </c>
      <c r="U109" s="20">
        <v>24989</v>
      </c>
      <c r="W109" s="19">
        <v>0.254</v>
      </c>
      <c r="X109" s="19">
        <v>0.44679999999999997</v>
      </c>
      <c r="Z109" s="18">
        <v>11193</v>
      </c>
    </row>
    <row r="110" spans="1:26" ht="15.75" customHeight="1" x14ac:dyDescent="0.2">
      <c r="A110" s="36" t="str">
        <f>HYPERLINK("https://www.loyola.edu", "Loyola University Maryland")</f>
        <v>Loyola University Maryland</v>
      </c>
      <c r="B110" s="18" t="s">
        <v>32</v>
      </c>
      <c r="C110" s="18" t="s">
        <v>124</v>
      </c>
      <c r="D110" s="18" t="s">
        <v>125</v>
      </c>
      <c r="E110" s="18" t="s">
        <v>36</v>
      </c>
      <c r="F110" s="18" t="s">
        <v>45</v>
      </c>
      <c r="J110" s="19">
        <v>0.81089999999999995</v>
      </c>
      <c r="K110" s="19">
        <v>0.76056338000000001</v>
      </c>
      <c r="L110" s="19">
        <v>0.81059999999999999</v>
      </c>
      <c r="M110" s="19">
        <v>0.7659999999999999</v>
      </c>
      <c r="N110" s="19">
        <v>0.82410000000000005</v>
      </c>
      <c r="O110" s="19">
        <v>0.86109999999999998</v>
      </c>
      <c r="P110" s="20">
        <v>64520</v>
      </c>
      <c r="Q110" s="21" t="str">
        <f>HYPERLINK("https://npc.collegeboard.org/student/app/loyola", "$26088")</f>
        <v>$26088</v>
      </c>
      <c r="R110" s="20">
        <v>25239</v>
      </c>
      <c r="S110" s="20">
        <v>30896</v>
      </c>
      <c r="T110" s="20">
        <v>2810</v>
      </c>
      <c r="U110" s="20">
        <v>23278</v>
      </c>
      <c r="W110" s="19">
        <v>0.12790000000000001</v>
      </c>
      <c r="X110" s="19">
        <v>0.22370000000000001</v>
      </c>
      <c r="Z110" s="18">
        <v>3903</v>
      </c>
    </row>
    <row r="111" spans="1:26" ht="15.75" customHeight="1" x14ac:dyDescent="0.2">
      <c r="A111" s="36" t="str">
        <f>HYPERLINK("https://www.loyno.edu", "Loyola University New Orleans")</f>
        <v>Loyola University New Orleans</v>
      </c>
      <c r="B111" s="18" t="s">
        <v>32</v>
      </c>
      <c r="C111" s="18" t="s">
        <v>158</v>
      </c>
      <c r="D111" s="18" t="s">
        <v>159</v>
      </c>
      <c r="E111" s="18">
        <v>1203</v>
      </c>
      <c r="F111" s="18" t="s">
        <v>35</v>
      </c>
      <c r="J111" s="19">
        <v>0.56230000000000002</v>
      </c>
      <c r="K111" s="19">
        <v>0.57534246600000005</v>
      </c>
      <c r="L111" s="19">
        <v>0.56720000000000004</v>
      </c>
      <c r="M111" s="19">
        <v>0.48609999999999998</v>
      </c>
      <c r="N111" s="19">
        <v>0.59089999999999998</v>
      </c>
      <c r="O111" s="19">
        <v>0.8</v>
      </c>
      <c r="P111" s="20">
        <v>55402</v>
      </c>
      <c r="Q111" s="21" t="str">
        <f>HYPERLINK("https://www.loyno.edu/financialaid/net-price-calculator", "$17665")</f>
        <v>$17665</v>
      </c>
      <c r="R111" s="20">
        <v>20503</v>
      </c>
      <c r="S111" s="20">
        <v>23822</v>
      </c>
      <c r="T111" s="20">
        <v>3244</v>
      </c>
      <c r="U111" s="20">
        <v>14421</v>
      </c>
      <c r="W111" s="19">
        <v>0.31559999999999999</v>
      </c>
      <c r="X111" s="19">
        <v>0.48499999999999999</v>
      </c>
      <c r="Z111" s="18">
        <v>2534</v>
      </c>
    </row>
    <row r="112" spans="1:26" ht="15.75" customHeight="1" x14ac:dyDescent="0.2">
      <c r="A112" s="36" t="str">
        <f>HYPERLINK("https://www.luther.edu", "Luther College")</f>
        <v>Luther College</v>
      </c>
      <c r="B112" s="18" t="s">
        <v>32</v>
      </c>
      <c r="C112" s="18" t="s">
        <v>211</v>
      </c>
      <c r="D112" s="18" t="s">
        <v>400</v>
      </c>
      <c r="E112" s="18">
        <v>1222</v>
      </c>
      <c r="F112" s="18" t="s">
        <v>35</v>
      </c>
      <c r="J112" s="19">
        <v>0.80059999999999998</v>
      </c>
      <c r="K112" s="19">
        <v>0.47368421100000002</v>
      </c>
      <c r="L112" s="19">
        <v>0.80479999999999996</v>
      </c>
      <c r="M112" s="19">
        <v>0.85709999999999997</v>
      </c>
      <c r="N112" s="19">
        <v>0.6</v>
      </c>
      <c r="O112" s="19">
        <v>0.5</v>
      </c>
      <c r="P112" s="20">
        <v>54045</v>
      </c>
      <c r="Q112" s="21" t="str">
        <f>HYPERLINK("https://www.luther.edu/financialaid/prospective/netpricecalculator/", "$18642")</f>
        <v>$18642</v>
      </c>
      <c r="R112" s="20">
        <v>21807</v>
      </c>
      <c r="S112" s="20">
        <v>25700</v>
      </c>
      <c r="T112" s="20">
        <v>4055</v>
      </c>
      <c r="U112" s="20">
        <v>14587</v>
      </c>
      <c r="W112" s="19">
        <v>0.18029999999999999</v>
      </c>
      <c r="X112" s="19">
        <v>0.18820000000000001</v>
      </c>
      <c r="Z112" s="18">
        <v>2008</v>
      </c>
    </row>
    <row r="113" spans="1:26" ht="15.75" customHeight="1" x14ac:dyDescent="0.2">
      <c r="A113" s="36" t="str">
        <f>HYPERLINK("https://www.madonna.edu", "Madonna University")</f>
        <v>Madonna University</v>
      </c>
      <c r="B113" s="18" t="s">
        <v>32</v>
      </c>
      <c r="C113" s="18" t="s">
        <v>226</v>
      </c>
      <c r="D113" s="18" t="s">
        <v>401</v>
      </c>
      <c r="E113" s="18">
        <v>1053</v>
      </c>
      <c r="F113" s="18" t="s">
        <v>35</v>
      </c>
      <c r="J113" s="19">
        <v>0.68969999999999998</v>
      </c>
      <c r="K113" s="19">
        <v>0.43116883099999997</v>
      </c>
      <c r="L113" s="19">
        <v>0.68669999999999998</v>
      </c>
      <c r="M113" s="19">
        <v>0.7</v>
      </c>
      <c r="N113" s="19">
        <v>1</v>
      </c>
      <c r="O113" s="19" t="s">
        <v>36</v>
      </c>
      <c r="P113" s="20">
        <v>34186</v>
      </c>
      <c r="Q113" s="21" t="str">
        <f>HYPERLINK("https://ww4.madonna.edu/NetPriceCalc_17/npcalc.htm", "$11820")</f>
        <v>$11820</v>
      </c>
      <c r="R113" s="20">
        <v>15088</v>
      </c>
      <c r="S113" s="20">
        <v>19553</v>
      </c>
      <c r="T113" s="20">
        <v>3736</v>
      </c>
      <c r="U113" s="20">
        <v>8084</v>
      </c>
      <c r="W113" s="19">
        <v>0.32029999999999997</v>
      </c>
      <c r="X113" s="19">
        <v>0.36049999999999999</v>
      </c>
      <c r="Z113" s="18">
        <v>2291</v>
      </c>
    </row>
    <row r="114" spans="1:26" ht="15.75" customHeight="1" x14ac:dyDescent="0.2">
      <c r="A114" s="36" t="str">
        <f>HYPERLINK("https://www.manhattan.edu", "Manhattan College")</f>
        <v>Manhattan College</v>
      </c>
      <c r="B114" s="18" t="s">
        <v>32</v>
      </c>
      <c r="C114" s="18" t="s">
        <v>38</v>
      </c>
      <c r="D114" s="18" t="s">
        <v>402</v>
      </c>
      <c r="E114" s="18">
        <v>1169</v>
      </c>
      <c r="F114" s="18" t="s">
        <v>35</v>
      </c>
      <c r="G114" s="18" t="s">
        <v>40</v>
      </c>
      <c r="H114" s="18" t="s">
        <v>403</v>
      </c>
      <c r="I114" s="18" t="s">
        <v>404</v>
      </c>
      <c r="J114" s="19">
        <v>0.75190000000000001</v>
      </c>
      <c r="K114" s="19">
        <v>0.66025641000000002</v>
      </c>
      <c r="L114" s="19">
        <v>0.79810000000000003</v>
      </c>
      <c r="M114" s="19">
        <v>0.62070000000000003</v>
      </c>
      <c r="N114" s="19">
        <v>0.68120000000000003</v>
      </c>
      <c r="O114" s="19">
        <v>0.73170000000000002</v>
      </c>
      <c r="P114" s="20">
        <v>60212</v>
      </c>
      <c r="Q114" s="21" t="str">
        <f>HYPERLINK("https://manhattan.studentaidcalculator.com/survey.aspx", "$24446")</f>
        <v>$24446</v>
      </c>
      <c r="R114" s="20">
        <v>27183</v>
      </c>
      <c r="S114" s="20">
        <v>28134</v>
      </c>
      <c r="T114" s="20">
        <v>3200</v>
      </c>
      <c r="U114" s="20">
        <v>21246</v>
      </c>
      <c r="W114" s="19">
        <v>0.28589999999999999</v>
      </c>
      <c r="X114" s="19">
        <v>0.45279999999999998</v>
      </c>
      <c r="Z114" s="18">
        <v>3664</v>
      </c>
    </row>
    <row r="115" spans="1:26" ht="15.75" customHeight="1" x14ac:dyDescent="0.2">
      <c r="A115" s="36" t="str">
        <f>HYPERLINK("https://www.mville.edu", "Manhattanville College")</f>
        <v>Manhattanville College</v>
      </c>
      <c r="B115" s="18" t="s">
        <v>32</v>
      </c>
      <c r="C115" s="18" t="s">
        <v>38</v>
      </c>
      <c r="D115" s="18" t="s">
        <v>405</v>
      </c>
      <c r="E115" s="18" t="s">
        <v>36</v>
      </c>
      <c r="F115" s="18" t="s">
        <v>90</v>
      </c>
      <c r="G115" s="18" t="s">
        <v>406</v>
      </c>
      <c r="J115" s="19">
        <v>0.54600000000000004</v>
      </c>
      <c r="K115" s="19">
        <v>0.57480315000000004</v>
      </c>
      <c r="L115" s="19">
        <v>0.58819999999999995</v>
      </c>
      <c r="M115" s="19">
        <v>0.45</v>
      </c>
      <c r="N115" s="19">
        <v>0.50980000000000003</v>
      </c>
      <c r="O115" s="19">
        <v>0.35</v>
      </c>
      <c r="P115" s="20">
        <v>54780</v>
      </c>
      <c r="Q115" s="21" t="str">
        <f>HYPERLINK("https://www.mville.edu/undergraduate-admissions/financial-aid-scholarships/forms-calculators", "$17603")</f>
        <v>$17603</v>
      </c>
      <c r="R115" s="20">
        <v>19197</v>
      </c>
      <c r="S115" s="20">
        <v>24723</v>
      </c>
      <c r="T115" s="20">
        <v>2350</v>
      </c>
      <c r="U115" s="20">
        <v>15253</v>
      </c>
      <c r="W115" s="19">
        <v>0.31940000000000002</v>
      </c>
      <c r="X115" s="19">
        <v>0.53349999999999997</v>
      </c>
      <c r="Z115" s="18">
        <v>1674</v>
      </c>
    </row>
    <row r="116" spans="1:26" ht="15.75" customHeight="1" x14ac:dyDescent="0.2">
      <c r="A116" s="36" t="str">
        <f>HYPERLINK("https://www.Marist.edu", "Marist College")</f>
        <v>Marist College</v>
      </c>
      <c r="B116" s="18" t="s">
        <v>32</v>
      </c>
      <c r="C116" s="18" t="s">
        <v>38</v>
      </c>
      <c r="D116" s="18" t="s">
        <v>176</v>
      </c>
      <c r="E116" s="18" t="s">
        <v>36</v>
      </c>
      <c r="F116" s="18" t="s">
        <v>45</v>
      </c>
      <c r="G116" s="18" t="s">
        <v>40</v>
      </c>
      <c r="H116" s="18" t="s">
        <v>407</v>
      </c>
      <c r="I116" s="18" t="s">
        <v>408</v>
      </c>
      <c r="J116" s="19">
        <v>0.83650000000000002</v>
      </c>
      <c r="K116" s="19">
        <v>0.62011173200000003</v>
      </c>
      <c r="L116" s="19">
        <v>0.84200000000000008</v>
      </c>
      <c r="M116" s="19">
        <v>0.66669999999999996</v>
      </c>
      <c r="N116" s="19">
        <v>0.84619999999999995</v>
      </c>
      <c r="O116" s="19">
        <v>0.81479999999999997</v>
      </c>
      <c r="P116" s="20">
        <v>54880</v>
      </c>
      <c r="Q116" s="21" t="str">
        <f>HYPERLINK("https://marist.studentaidcalculator.com/survey.aspx", "$24972")</f>
        <v>$24972</v>
      </c>
      <c r="R116" s="20">
        <v>30869</v>
      </c>
      <c r="S116" s="20">
        <v>34008</v>
      </c>
      <c r="T116" s="20">
        <v>3000</v>
      </c>
      <c r="U116" s="20">
        <v>21972</v>
      </c>
      <c r="W116" s="19">
        <v>0.1522</v>
      </c>
      <c r="X116" s="19">
        <v>0.2278</v>
      </c>
      <c r="Z116" s="18">
        <v>5404</v>
      </c>
    </row>
    <row r="117" spans="1:26" ht="15.75" customHeight="1" x14ac:dyDescent="0.2">
      <c r="A117" s="36" t="str">
        <f>HYPERLINK("https://www.marlboro.edu", "Marlboro College")</f>
        <v>Marlboro College</v>
      </c>
      <c r="B117" s="18" t="s">
        <v>32</v>
      </c>
      <c r="C117" s="18" t="s">
        <v>47</v>
      </c>
      <c r="D117" s="18" t="s">
        <v>409</v>
      </c>
      <c r="E117" s="18" t="s">
        <v>36</v>
      </c>
      <c r="F117" s="18" t="s">
        <v>45</v>
      </c>
      <c r="J117" s="19">
        <v>0.5161</v>
      </c>
      <c r="K117" s="19" t="s">
        <v>36</v>
      </c>
      <c r="L117" s="19">
        <v>0.46510000000000001</v>
      </c>
      <c r="M117" s="19" t="s">
        <v>36</v>
      </c>
      <c r="N117" s="19" t="s">
        <v>36</v>
      </c>
      <c r="O117" s="19">
        <v>0.5</v>
      </c>
      <c r="P117" s="20">
        <v>55625</v>
      </c>
      <c r="Q117" s="21" t="str">
        <f>HYPERLINK("https://www.marlboro.edu/admissions/undergraduate/financial-aid", "$13576")</f>
        <v>$13576</v>
      </c>
      <c r="R117" s="20">
        <v>13860</v>
      </c>
      <c r="S117" s="20">
        <v>17102</v>
      </c>
      <c r="T117" s="20">
        <v>3270</v>
      </c>
      <c r="U117" s="20">
        <v>10306</v>
      </c>
      <c r="W117" s="19">
        <v>0.37880000000000003</v>
      </c>
      <c r="X117" s="19">
        <v>0.22159999999999999</v>
      </c>
      <c r="Z117" s="18">
        <v>176</v>
      </c>
    </row>
    <row r="118" spans="1:26" ht="15.75" customHeight="1" x14ac:dyDescent="0.2">
      <c r="A118" s="36" t="str">
        <f>HYPERLINK("https://www.marquette.edu", "Marquette University")</f>
        <v>Marquette University</v>
      </c>
      <c r="B118" s="18" t="s">
        <v>32</v>
      </c>
      <c r="C118" s="18" t="s">
        <v>196</v>
      </c>
      <c r="D118" s="18" t="s">
        <v>410</v>
      </c>
      <c r="E118" s="18">
        <v>1262</v>
      </c>
      <c r="F118" s="18" t="s">
        <v>35</v>
      </c>
      <c r="J118" s="19">
        <v>0.80310000000000004</v>
      </c>
      <c r="K118" s="19">
        <v>0.68376068400000001</v>
      </c>
      <c r="L118" s="19">
        <v>0.81869999999999998</v>
      </c>
      <c r="M118" s="19">
        <v>0.73470000000000002</v>
      </c>
      <c r="N118" s="19">
        <v>0.78769999999999996</v>
      </c>
      <c r="O118" s="19">
        <v>0.74509999999999998</v>
      </c>
      <c r="P118" s="20">
        <v>55273</v>
      </c>
      <c r="Q118" s="21" t="str">
        <f>HYPERLINK("https://tcc.noellevitz.com/Marquette University/Freshman-Students", "$19172")</f>
        <v>$19172</v>
      </c>
      <c r="R118" s="20">
        <v>24844</v>
      </c>
      <c r="S118" s="20">
        <v>29993</v>
      </c>
      <c r="T118" s="20">
        <v>3483</v>
      </c>
      <c r="U118" s="20">
        <v>15689</v>
      </c>
      <c r="W118" s="19">
        <v>0.1595</v>
      </c>
      <c r="X118" s="19">
        <v>0.30120000000000002</v>
      </c>
      <c r="Z118" s="18">
        <v>8093</v>
      </c>
    </row>
    <row r="119" spans="1:26" ht="15.75" customHeight="1" x14ac:dyDescent="0.2">
      <c r="A119" s="36" t="str">
        <f>HYPERLINK("https://www.mmm.edu", "Marymount Manhattan College")</f>
        <v>Marymount Manhattan College</v>
      </c>
      <c r="B119" s="18" t="s">
        <v>32</v>
      </c>
      <c r="C119" s="18" t="s">
        <v>38</v>
      </c>
      <c r="D119" s="18" t="s">
        <v>39</v>
      </c>
      <c r="E119" s="18">
        <v>1149</v>
      </c>
      <c r="F119" s="18" t="s">
        <v>115</v>
      </c>
      <c r="G119" s="18" t="s">
        <v>40</v>
      </c>
      <c r="H119" s="18" t="s">
        <v>411</v>
      </c>
      <c r="I119" s="18" t="s">
        <v>412</v>
      </c>
      <c r="J119" s="19">
        <v>0.4929</v>
      </c>
      <c r="K119" s="19">
        <v>0.38620689699999999</v>
      </c>
      <c r="L119" s="19">
        <v>0.53869999999999996</v>
      </c>
      <c r="M119" s="19">
        <v>0.2727</v>
      </c>
      <c r="N119" s="19">
        <v>0.47299999999999998</v>
      </c>
      <c r="O119" s="19">
        <v>0.25</v>
      </c>
      <c r="P119" s="20">
        <v>55850</v>
      </c>
      <c r="Q119" s="21" t="str">
        <f>HYPERLINK("https://www.mmm.edu/offices/center-for-student-services/net-price-calculator/index.php", "$31299")</f>
        <v>$31299</v>
      </c>
      <c r="R119" s="20">
        <v>34505</v>
      </c>
      <c r="S119" s="20">
        <v>36791</v>
      </c>
      <c r="T119" s="20">
        <v>7500</v>
      </c>
      <c r="U119" s="20">
        <v>23799</v>
      </c>
      <c r="W119" s="19">
        <v>0.24310000000000001</v>
      </c>
      <c r="X119" s="19">
        <v>0.41539999999999999</v>
      </c>
      <c r="Z119" s="18">
        <v>2109</v>
      </c>
    </row>
    <row r="120" spans="1:26" ht="15.75" customHeight="1" x14ac:dyDescent="0.2">
      <c r="A120" s="36" t="str">
        <f>HYPERLINK("https://www.maryvillecollege.edu", "Maryville College")</f>
        <v>Maryville College</v>
      </c>
      <c r="B120" s="18" t="s">
        <v>32</v>
      </c>
      <c r="C120" s="18" t="s">
        <v>174</v>
      </c>
      <c r="D120" s="18" t="s">
        <v>413</v>
      </c>
      <c r="E120" s="18">
        <v>1138</v>
      </c>
      <c r="F120" s="18" t="s">
        <v>35</v>
      </c>
      <c r="J120" s="19">
        <v>0.59389999999999998</v>
      </c>
      <c r="K120" s="19">
        <v>0.17977528100000001</v>
      </c>
      <c r="L120" s="19">
        <v>0.59179999999999999</v>
      </c>
      <c r="M120" s="19">
        <v>0.72219999999999995</v>
      </c>
      <c r="N120" s="19">
        <v>0.625</v>
      </c>
      <c r="O120" s="19">
        <v>0.5</v>
      </c>
      <c r="P120" s="20">
        <v>49266</v>
      </c>
      <c r="Q120" s="21" t="str">
        <f>HYPERLINK("https://www.maryvillecollege.edu/admissions/finaid/net-price-calculator/", "$18946")</f>
        <v>$18946</v>
      </c>
      <c r="R120" s="20">
        <v>15471</v>
      </c>
      <c r="S120" s="20">
        <v>17773</v>
      </c>
      <c r="T120" s="20">
        <v>3926</v>
      </c>
      <c r="U120" s="20">
        <v>15020</v>
      </c>
      <c r="W120" s="19">
        <v>0.41889999999999999</v>
      </c>
      <c r="X120" s="19">
        <v>0.2641</v>
      </c>
      <c r="Z120" s="18">
        <v>1151</v>
      </c>
    </row>
    <row r="121" spans="1:26" ht="15.75" customHeight="1" x14ac:dyDescent="0.2">
      <c r="A121" s="36" t="str">
        <f>HYPERLINK("https://www.maryville.edu", "Maryville University of Saint Louis")</f>
        <v>Maryville University of Saint Louis</v>
      </c>
      <c r="B121" s="18" t="s">
        <v>32</v>
      </c>
      <c r="C121" s="18" t="s">
        <v>164</v>
      </c>
      <c r="D121" s="18" t="s">
        <v>179</v>
      </c>
      <c r="E121" s="18">
        <v>1176</v>
      </c>
      <c r="F121" s="18" t="s">
        <v>35</v>
      </c>
      <c r="J121" s="19">
        <v>0.71560000000000001</v>
      </c>
      <c r="K121" s="19">
        <v>0.34684684700000001</v>
      </c>
      <c r="L121" s="19">
        <v>0.73909999999999998</v>
      </c>
      <c r="M121" s="19">
        <v>0.52939999999999998</v>
      </c>
      <c r="N121" s="19">
        <v>0.625</v>
      </c>
      <c r="O121" s="19">
        <v>0.85709999999999997</v>
      </c>
      <c r="P121" s="20">
        <v>46076</v>
      </c>
      <c r="Q121" s="21" t="str">
        <f>HYPERLINK("https://www.maryville.edu/admissions-finaid-worksheets.htm", "$19251")</f>
        <v>$19251</v>
      </c>
      <c r="R121" s="20">
        <v>22499</v>
      </c>
      <c r="S121" s="20">
        <v>26473</v>
      </c>
      <c r="T121" s="20" t="s">
        <v>36</v>
      </c>
      <c r="U121" s="20" t="s">
        <v>36</v>
      </c>
      <c r="W121" s="19">
        <v>0.30130000000000001</v>
      </c>
      <c r="X121" s="19">
        <v>0.27760000000000001</v>
      </c>
      <c r="Z121" s="18">
        <v>3112</v>
      </c>
    </row>
    <row r="122" spans="1:26" ht="15.75" customHeight="1" x14ac:dyDescent="0.2">
      <c r="A122" s="36" t="str">
        <f>HYPERLINK("https://www.mcdaniel.edu", "McDaniel College")</f>
        <v>McDaniel College</v>
      </c>
      <c r="B122" s="18" t="s">
        <v>32</v>
      </c>
      <c r="C122" s="18" t="s">
        <v>124</v>
      </c>
      <c r="D122" s="18" t="s">
        <v>414</v>
      </c>
      <c r="E122" s="18">
        <v>1161</v>
      </c>
      <c r="F122" s="18" t="s">
        <v>35</v>
      </c>
      <c r="J122" s="19">
        <v>0.68169999999999997</v>
      </c>
      <c r="K122" s="19">
        <v>0.625</v>
      </c>
      <c r="L122" s="19">
        <v>0.6875</v>
      </c>
      <c r="M122" s="19">
        <v>0.6875</v>
      </c>
      <c r="N122" s="19">
        <v>0.60709999999999997</v>
      </c>
      <c r="O122" s="19">
        <v>0.5</v>
      </c>
      <c r="P122" s="20">
        <v>55830</v>
      </c>
      <c r="Q122" s="21" t="str">
        <f>HYPERLINK("https://mcdaniel.studentaidcalculator.com/survey.aspx", "$13088")</f>
        <v>$13088</v>
      </c>
      <c r="R122" s="20">
        <v>16192</v>
      </c>
      <c r="S122" s="20">
        <v>22681</v>
      </c>
      <c r="T122" s="20">
        <v>2920</v>
      </c>
      <c r="U122" s="20">
        <v>10168</v>
      </c>
      <c r="W122" s="19">
        <v>0.3095</v>
      </c>
      <c r="X122" s="19">
        <v>0.35020000000000001</v>
      </c>
      <c r="Z122" s="18">
        <v>1562</v>
      </c>
    </row>
    <row r="123" spans="1:26" ht="15.75" customHeight="1" x14ac:dyDescent="0.2">
      <c r="A123" s="36" t="str">
        <f>HYPERLINK("https://www.mercer.edu", "Mercer University")</f>
        <v>Mercer University</v>
      </c>
      <c r="B123" s="18" t="s">
        <v>32</v>
      </c>
      <c r="C123" s="18" t="s">
        <v>107</v>
      </c>
      <c r="D123" s="18" t="s">
        <v>415</v>
      </c>
      <c r="E123" s="18">
        <v>1285</v>
      </c>
      <c r="F123" s="18" t="s">
        <v>35</v>
      </c>
      <c r="J123" s="19">
        <v>0.63829999999999998</v>
      </c>
      <c r="K123" s="19">
        <v>0.46476190499999998</v>
      </c>
      <c r="L123" s="19">
        <v>0.66879999999999995</v>
      </c>
      <c r="M123" s="19">
        <v>0.5464</v>
      </c>
      <c r="N123" s="19">
        <v>0.53569999999999995</v>
      </c>
      <c r="O123" s="19">
        <v>0.77359999999999995</v>
      </c>
      <c r="P123" s="20">
        <v>51293</v>
      </c>
      <c r="Q123" s="21" t="str">
        <f>HYPERLINK("https://financialaid.mercer.edu/calculators/", "$18210")</f>
        <v>$18210</v>
      </c>
      <c r="R123" s="20">
        <v>20155</v>
      </c>
      <c r="S123" s="20">
        <v>22136</v>
      </c>
      <c r="T123" s="20">
        <v>3978</v>
      </c>
      <c r="U123" s="20">
        <v>14232</v>
      </c>
      <c r="W123" s="19">
        <v>0.33939999999999998</v>
      </c>
      <c r="X123" s="19">
        <v>0.5202</v>
      </c>
      <c r="Z123" s="18">
        <v>4708</v>
      </c>
    </row>
    <row r="124" spans="1:26" ht="15.75" customHeight="1" x14ac:dyDescent="0.2">
      <c r="A124" s="36" t="str">
        <f>HYPERLINK("https://www.messiah.edu", "Messiah College")</f>
        <v>Messiah College</v>
      </c>
      <c r="B124" s="18" t="s">
        <v>32</v>
      </c>
      <c r="C124" s="18" t="s">
        <v>65</v>
      </c>
      <c r="D124" s="18" t="s">
        <v>416</v>
      </c>
      <c r="E124" s="18">
        <v>1212</v>
      </c>
      <c r="F124" s="18" t="s">
        <v>35</v>
      </c>
      <c r="J124" s="19">
        <v>0.80520000000000003</v>
      </c>
      <c r="K124" s="19">
        <v>0.607594937</v>
      </c>
      <c r="L124" s="19">
        <v>0.81799999999999995</v>
      </c>
      <c r="M124" s="19">
        <v>0.6</v>
      </c>
      <c r="N124" s="19">
        <v>0.6522</v>
      </c>
      <c r="O124" s="19">
        <v>0.81820000000000004</v>
      </c>
      <c r="P124" s="20">
        <v>47930</v>
      </c>
      <c r="Q124" s="21" t="str">
        <f>HYPERLINK("https://www.messiah.edu/info/21387/net_price_calculator", "$21188")</f>
        <v>$21188</v>
      </c>
      <c r="R124" s="20">
        <v>23119</v>
      </c>
      <c r="S124" s="20">
        <v>27521</v>
      </c>
      <c r="T124" s="20">
        <v>3550</v>
      </c>
      <c r="U124" s="20">
        <v>17638</v>
      </c>
      <c r="W124" s="19">
        <v>0.1779</v>
      </c>
      <c r="X124" s="19">
        <v>0.1903</v>
      </c>
      <c r="Z124" s="18">
        <v>2670</v>
      </c>
    </row>
    <row r="125" spans="1:26" ht="15.75" customHeight="1" x14ac:dyDescent="0.2">
      <c r="A125" s="36" t="str">
        <f>HYPERLINK("https://www.mcny.edu", "Metropolitan College of New York")</f>
        <v>Metropolitan College of New York</v>
      </c>
      <c r="B125" s="18" t="s">
        <v>32</v>
      </c>
      <c r="C125" s="18" t="s">
        <v>38</v>
      </c>
      <c r="D125" s="18" t="s">
        <v>39</v>
      </c>
      <c r="E125" s="18" t="s">
        <v>36</v>
      </c>
      <c r="F125" s="18" t="s">
        <v>90</v>
      </c>
      <c r="J125" s="19">
        <v>0.22339999999999999</v>
      </c>
      <c r="K125" s="19">
        <v>0.30232558100000001</v>
      </c>
      <c r="L125" s="19">
        <v>0</v>
      </c>
      <c r="M125" s="19">
        <v>0.20749999999999999</v>
      </c>
      <c r="N125" s="19">
        <v>0.13039999999999999</v>
      </c>
      <c r="O125" s="19">
        <v>0</v>
      </c>
      <c r="P125" s="20">
        <v>23280</v>
      </c>
      <c r="Q125" s="21" t="str">
        <f>HYPERLINK("https://apply.mcny.edu/register/npc", "$20339")</f>
        <v>$20339</v>
      </c>
      <c r="R125" s="20">
        <v>23075</v>
      </c>
      <c r="S125" s="20">
        <v>29591</v>
      </c>
      <c r="T125" s="20">
        <v>4100</v>
      </c>
      <c r="U125" s="20">
        <v>16239</v>
      </c>
      <c r="W125" s="19">
        <v>0.75900000000000001</v>
      </c>
      <c r="X125" s="19">
        <v>0.96630000000000005</v>
      </c>
      <c r="Z125" s="18">
        <v>772</v>
      </c>
    </row>
    <row r="126" spans="1:26" ht="15.75" customHeight="1" x14ac:dyDescent="0.2">
      <c r="A126" s="36" t="str">
        <f>HYPERLINK("https://miamioh.edu/regionals/", "Miami University-Hamilton")</f>
        <v>Miami University-Hamilton</v>
      </c>
      <c r="B126" s="18" t="s">
        <v>49</v>
      </c>
      <c r="C126" s="18" t="s">
        <v>75</v>
      </c>
      <c r="D126" s="18" t="s">
        <v>80</v>
      </c>
      <c r="E126" s="18" t="s">
        <v>36</v>
      </c>
      <c r="F126" s="18" t="s">
        <v>36</v>
      </c>
      <c r="J126" s="19">
        <v>0.25519999999999998</v>
      </c>
      <c r="K126" s="19">
        <v>0.29063360900000001</v>
      </c>
      <c r="L126" s="19">
        <v>0.26190000000000002</v>
      </c>
      <c r="M126" s="19">
        <v>0.1389</v>
      </c>
      <c r="N126" s="19">
        <v>0.35709999999999997</v>
      </c>
      <c r="O126" s="19">
        <v>0.36359999999999998</v>
      </c>
      <c r="P126" s="20">
        <v>33024</v>
      </c>
      <c r="Q126" s="21" t="str">
        <f>HYPERLINK("https://miamioh.edu/onestop/your-money/tuition-fees/net-price-calculators/", "$28095")</f>
        <v>$28095</v>
      </c>
      <c r="R126" s="20">
        <v>30787</v>
      </c>
      <c r="S126" s="20">
        <v>32706</v>
      </c>
      <c r="T126" s="20">
        <v>4594</v>
      </c>
      <c r="U126" s="20">
        <v>23501.307692307691</v>
      </c>
      <c r="W126" s="19">
        <v>0.37209999999999999</v>
      </c>
      <c r="X126" s="19">
        <v>0.22159999999999999</v>
      </c>
      <c r="Z126" s="18">
        <v>2545</v>
      </c>
    </row>
    <row r="127" spans="1:26" ht="15.75" customHeight="1" x14ac:dyDescent="0.2">
      <c r="A127" s="36" t="str">
        <f>HYPERLINK("https://miamioh.edu/regionals/", "Miami University-Middletown")</f>
        <v>Miami University-Middletown</v>
      </c>
      <c r="B127" s="18" t="s">
        <v>49</v>
      </c>
      <c r="C127" s="18" t="s">
        <v>75</v>
      </c>
      <c r="D127" s="18" t="s">
        <v>183</v>
      </c>
      <c r="E127" s="18" t="s">
        <v>36</v>
      </c>
      <c r="F127" s="18" t="s">
        <v>36</v>
      </c>
      <c r="J127" s="19">
        <v>0.2437</v>
      </c>
      <c r="K127" s="19">
        <v>0.29063360900000001</v>
      </c>
      <c r="L127" s="19">
        <v>0.26960000000000001</v>
      </c>
      <c r="M127" s="19">
        <v>2.1299999999999999E-2</v>
      </c>
      <c r="N127" s="19">
        <v>0.2727</v>
      </c>
      <c r="O127" s="19">
        <v>1</v>
      </c>
      <c r="P127" s="20">
        <v>33024</v>
      </c>
      <c r="Q127" s="21" t="str">
        <f>HYPERLINK("https://miamioh.edu/onestop/your-money/tuition-fees/net-price-calculators/", "$27752")</f>
        <v>$27752</v>
      </c>
      <c r="R127" s="20">
        <v>30365</v>
      </c>
      <c r="S127" s="20">
        <v>32239</v>
      </c>
      <c r="T127" s="20">
        <v>4594</v>
      </c>
      <c r="U127" s="20">
        <v>23158.78378378378</v>
      </c>
      <c r="W127" s="19">
        <v>0.29210000000000003</v>
      </c>
      <c r="X127" s="19">
        <v>0.2482</v>
      </c>
      <c r="Z127" s="18">
        <v>1519</v>
      </c>
    </row>
    <row r="128" spans="1:26" ht="15.75" customHeight="1" x14ac:dyDescent="0.2">
      <c r="A128" s="36" t="str">
        <f>HYPERLINK("https://www.msu.edu", "Michigan State University")</f>
        <v>Michigan State University</v>
      </c>
      <c r="B128" s="18" t="s">
        <v>49</v>
      </c>
      <c r="C128" s="18" t="s">
        <v>226</v>
      </c>
      <c r="D128" s="18" t="s">
        <v>417</v>
      </c>
      <c r="E128" s="18">
        <v>1220</v>
      </c>
      <c r="F128" s="18" t="s">
        <v>35</v>
      </c>
      <c r="J128" s="19">
        <v>0.79339999999999999</v>
      </c>
      <c r="K128" s="19">
        <v>0.66976455999999995</v>
      </c>
      <c r="L128" s="19">
        <v>0.82240000000000002</v>
      </c>
      <c r="M128" s="19">
        <v>0.65149999999999997</v>
      </c>
      <c r="N128" s="19">
        <v>0.69010000000000005</v>
      </c>
      <c r="O128" s="19">
        <v>0.80259999999999998</v>
      </c>
      <c r="P128" s="20">
        <v>53424</v>
      </c>
      <c r="Q128" s="21" t="str">
        <f>HYPERLINK("https://finaid.msu.edu/calc.asp", "$35335")</f>
        <v>$35335</v>
      </c>
      <c r="R128" s="20">
        <v>45982</v>
      </c>
      <c r="S128" s="20">
        <v>50493</v>
      </c>
      <c r="T128" s="20">
        <v>3992</v>
      </c>
      <c r="U128" s="20">
        <v>31343.641156462589</v>
      </c>
      <c r="W128" s="19">
        <v>0.21809999999999999</v>
      </c>
      <c r="X128" s="19">
        <v>0.32509999999999989</v>
      </c>
      <c r="Z128" s="18">
        <v>38770</v>
      </c>
    </row>
    <row r="129" spans="1:26" ht="15.75" customHeight="1" x14ac:dyDescent="0.2">
      <c r="A129" s="36" t="str">
        <f>HYPERLINK("https://www.mtu.edu", "Michigan Technological University")</f>
        <v>Michigan Technological University</v>
      </c>
      <c r="B129" s="18" t="s">
        <v>49</v>
      </c>
      <c r="C129" s="18" t="s">
        <v>226</v>
      </c>
      <c r="D129" s="18" t="s">
        <v>381</v>
      </c>
      <c r="E129" s="18">
        <v>1277</v>
      </c>
      <c r="F129" s="18" t="s">
        <v>35</v>
      </c>
      <c r="J129" s="19">
        <v>0.66520000000000001</v>
      </c>
      <c r="K129" s="19">
        <v>0.49615384600000001</v>
      </c>
      <c r="L129" s="19">
        <v>0.66830000000000001</v>
      </c>
      <c r="M129" s="19">
        <v>0.375</v>
      </c>
      <c r="N129" s="19">
        <v>0.55559999999999998</v>
      </c>
      <c r="O129" s="19">
        <v>0.7</v>
      </c>
      <c r="P129" s="20">
        <v>46344</v>
      </c>
      <c r="Q129" s="21" t="str">
        <f>HYPERLINK("https://www.mtu.edu/admissions/tuition/calculator/", "$27109")</f>
        <v>$27109</v>
      </c>
      <c r="R129" s="20">
        <v>32040</v>
      </c>
      <c r="S129" s="20">
        <v>35518</v>
      </c>
      <c r="T129" s="20">
        <v>3549</v>
      </c>
      <c r="U129" s="20">
        <v>23560.4802259887</v>
      </c>
      <c r="W129" s="19">
        <v>0.23200000000000001</v>
      </c>
      <c r="X129" s="19">
        <v>0.1197</v>
      </c>
      <c r="Z129" s="18">
        <v>5829</v>
      </c>
    </row>
    <row r="130" spans="1:26" ht="15.75" customHeight="1" x14ac:dyDescent="0.2">
      <c r="A130" s="36" t="str">
        <f>HYPERLINK("https://www.mills.edu", "Mills College")</f>
        <v>Mills College</v>
      </c>
      <c r="B130" s="18" t="s">
        <v>32</v>
      </c>
      <c r="C130" s="18" t="s">
        <v>68</v>
      </c>
      <c r="D130" s="18" t="s">
        <v>418</v>
      </c>
      <c r="E130" s="18" t="s">
        <v>36</v>
      </c>
      <c r="F130" s="18" t="s">
        <v>45</v>
      </c>
      <c r="J130" s="19">
        <v>0.6905</v>
      </c>
      <c r="K130" s="19">
        <v>0.64625850299999998</v>
      </c>
      <c r="L130" s="19">
        <v>0.66669999999999996</v>
      </c>
      <c r="M130" s="19">
        <v>0.44440000000000002</v>
      </c>
      <c r="N130" s="19">
        <v>0.88460000000000005</v>
      </c>
      <c r="O130" s="19">
        <v>0.86960000000000004</v>
      </c>
      <c r="P130" s="20">
        <v>63767</v>
      </c>
      <c r="Q130" s="21" t="str">
        <f>HYPERLINK("https://tcc.noellevitz.com/(S(4bgxyozk2ejy4wajqx3hoapx))/Mills%20College/Freshman-Students", "$19275")</f>
        <v>$19275</v>
      </c>
      <c r="R130" s="20">
        <v>23691</v>
      </c>
      <c r="S130" s="20">
        <v>26472</v>
      </c>
      <c r="T130" s="20">
        <v>3917</v>
      </c>
      <c r="U130" s="20">
        <v>15358</v>
      </c>
      <c r="W130" s="19">
        <v>0.47149999999999997</v>
      </c>
      <c r="X130" s="19">
        <v>0.58519999999999994</v>
      </c>
      <c r="Z130" s="18">
        <v>757</v>
      </c>
    </row>
    <row r="131" spans="1:26" ht="15.75" customHeight="1" x14ac:dyDescent="0.2">
      <c r="A131" s="36" t="str">
        <f>HYPERLINK("https://www.millsaps.edu", "Millsaps College")</f>
        <v>Millsaps College</v>
      </c>
      <c r="B131" s="18" t="s">
        <v>32</v>
      </c>
      <c r="C131" s="18" t="s">
        <v>59</v>
      </c>
      <c r="D131" s="18" t="s">
        <v>419</v>
      </c>
      <c r="E131" s="18">
        <v>1215</v>
      </c>
      <c r="F131" s="18" t="s">
        <v>35</v>
      </c>
      <c r="J131" s="19">
        <v>0.66520000000000001</v>
      </c>
      <c r="K131" s="19">
        <v>0.31481481500000003</v>
      </c>
      <c r="L131" s="19">
        <v>0.6784</v>
      </c>
      <c r="M131" s="19">
        <v>0.53569999999999995</v>
      </c>
      <c r="N131" s="19">
        <v>1</v>
      </c>
      <c r="O131" s="19">
        <v>0.83330000000000004</v>
      </c>
      <c r="P131" s="20">
        <v>55322</v>
      </c>
      <c r="Q131" s="21" t="str">
        <f>HYPERLINK("https://www.millsaps.edu/secure/financial-aid-net-price-calculator.php", "$17593")</f>
        <v>$17593</v>
      </c>
      <c r="R131" s="20">
        <v>21195</v>
      </c>
      <c r="S131" s="20">
        <v>23668</v>
      </c>
      <c r="T131" s="20">
        <v>2992</v>
      </c>
      <c r="U131" s="20">
        <v>14601</v>
      </c>
      <c r="W131" s="19">
        <v>0.23730000000000001</v>
      </c>
      <c r="X131" s="19">
        <v>0.30209999999999998</v>
      </c>
      <c r="Z131" s="18">
        <v>801</v>
      </c>
    </row>
    <row r="132" spans="1:26" ht="15.75" customHeight="1" x14ac:dyDescent="0.2">
      <c r="A132" s="36" t="str">
        <f>HYPERLINK("https://www.msoe.edu", "Milwaukee School of Engineering")</f>
        <v>Milwaukee School of Engineering</v>
      </c>
      <c r="B132" s="18" t="s">
        <v>32</v>
      </c>
      <c r="C132" s="18" t="s">
        <v>196</v>
      </c>
      <c r="D132" s="18" t="s">
        <v>410</v>
      </c>
      <c r="E132" s="18">
        <v>1305</v>
      </c>
      <c r="F132" s="18" t="s">
        <v>35</v>
      </c>
      <c r="J132" s="19">
        <v>0.66890000000000005</v>
      </c>
      <c r="K132" s="19">
        <v>0.51315789499999998</v>
      </c>
      <c r="L132" s="19">
        <v>0.70660000000000001</v>
      </c>
      <c r="M132" s="19">
        <v>0.53849999999999998</v>
      </c>
      <c r="N132" s="19">
        <v>0.4375</v>
      </c>
      <c r="O132" s="19">
        <v>0.5</v>
      </c>
      <c r="P132" s="20">
        <v>52046</v>
      </c>
      <c r="Q132" s="21" t="str">
        <f>HYPERLINK("https://www.msoe.edu/admissions-aid/financial-aid-scholarships/financial-aid-basics/financial-aid-estimator/", "$15580")</f>
        <v>$15580</v>
      </c>
      <c r="R132" s="20">
        <v>17866</v>
      </c>
      <c r="S132" s="20">
        <v>21517</v>
      </c>
      <c r="T132" s="20">
        <v>3200</v>
      </c>
      <c r="U132" s="20">
        <v>12380</v>
      </c>
      <c r="W132" s="19">
        <v>0.27250000000000002</v>
      </c>
      <c r="X132" s="19">
        <v>0.33009999999999989</v>
      </c>
      <c r="Z132" s="18">
        <v>2605</v>
      </c>
    </row>
    <row r="133" spans="1:26" ht="15.75" customHeight="1" x14ac:dyDescent="0.2">
      <c r="A133" s="36" t="str">
        <f>HYPERLINK("https://www.missouristate.edu", "Missouri State University-Springfield")</f>
        <v>Missouri State University-Springfield</v>
      </c>
      <c r="B133" s="18" t="s">
        <v>49</v>
      </c>
      <c r="C133" s="18" t="s">
        <v>164</v>
      </c>
      <c r="D133" s="18" t="s">
        <v>349</v>
      </c>
      <c r="E133" s="18">
        <v>1164</v>
      </c>
      <c r="F133" s="18" t="s">
        <v>35</v>
      </c>
      <c r="J133" s="19">
        <v>0.54910000000000003</v>
      </c>
      <c r="K133" s="19">
        <v>0.431677019</v>
      </c>
      <c r="L133" s="19">
        <v>0.5595</v>
      </c>
      <c r="M133" s="19">
        <v>0.45190000000000002</v>
      </c>
      <c r="N133" s="19">
        <v>0.48649999999999999</v>
      </c>
      <c r="O133" s="19">
        <v>0.5</v>
      </c>
      <c r="P133" s="20">
        <v>28502</v>
      </c>
      <c r="Q133" s="21" t="str">
        <f>HYPERLINK("https://missouristate.studentaidcalculator.com/welcome.aspx", "$20666")</f>
        <v>$20666</v>
      </c>
      <c r="R133" s="20">
        <v>23372</v>
      </c>
      <c r="S133" s="20">
        <v>25184</v>
      </c>
      <c r="T133" s="20">
        <v>5219</v>
      </c>
      <c r="U133" s="20">
        <v>15447.17410071943</v>
      </c>
      <c r="W133" s="19">
        <v>0.2913</v>
      </c>
      <c r="X133" s="19">
        <v>0.18759999999999999</v>
      </c>
      <c r="Z133" s="18">
        <v>17371</v>
      </c>
    </row>
    <row r="134" spans="1:26" ht="15.75" customHeight="1" x14ac:dyDescent="0.2">
      <c r="A134" s="36" t="str">
        <f>HYPERLINK("https://www.mst.edu/", "Missouri University of Science and Technology")</f>
        <v>Missouri University of Science and Technology</v>
      </c>
      <c r="B134" s="18" t="s">
        <v>49</v>
      </c>
      <c r="C134" s="18" t="s">
        <v>164</v>
      </c>
      <c r="D134" s="18" t="s">
        <v>420</v>
      </c>
      <c r="E134" s="18">
        <v>1323</v>
      </c>
      <c r="F134" s="18" t="s">
        <v>35</v>
      </c>
      <c r="J134" s="19">
        <v>0.64129999999999998</v>
      </c>
      <c r="K134" s="19">
        <v>0.47619047599999997</v>
      </c>
      <c r="L134" s="19">
        <v>0.65329999999999999</v>
      </c>
      <c r="M134" s="19">
        <v>0.4884</v>
      </c>
      <c r="N134" s="19">
        <v>0.4667</v>
      </c>
      <c r="O134" s="19">
        <v>0.8125</v>
      </c>
      <c r="P134" s="20">
        <v>38684</v>
      </c>
      <c r="Q134" s="21" t="str">
        <f>HYPERLINK("https://sfa.mst.edu/", "$27302")</f>
        <v>$27302</v>
      </c>
      <c r="R134" s="20">
        <v>31088</v>
      </c>
      <c r="S134" s="20">
        <v>33212</v>
      </c>
      <c r="T134" s="20">
        <v>2672</v>
      </c>
      <c r="U134" s="20">
        <v>24630.448132780079</v>
      </c>
      <c r="W134" s="19">
        <v>0.24729999999999999</v>
      </c>
      <c r="X134" s="19">
        <v>0.18920000000000001</v>
      </c>
      <c r="Z134" s="18">
        <v>6872</v>
      </c>
    </row>
    <row r="135" spans="1:26" ht="15.75" customHeight="1" x14ac:dyDescent="0.2">
      <c r="A135" s="36" t="str">
        <f>HYPERLINK("https://www.montana.edu/", "Montana State University")</f>
        <v>Montana State University</v>
      </c>
      <c r="B135" s="18" t="s">
        <v>49</v>
      </c>
      <c r="C135" s="18" t="s">
        <v>421</v>
      </c>
      <c r="D135" s="18" t="s">
        <v>422</v>
      </c>
      <c r="E135" s="18">
        <v>1195</v>
      </c>
      <c r="F135" s="18" t="s">
        <v>35</v>
      </c>
      <c r="J135" s="19">
        <v>0.54490000000000005</v>
      </c>
      <c r="K135" s="19">
        <v>0.35070575500000001</v>
      </c>
      <c r="L135" s="19">
        <v>0.56210000000000004</v>
      </c>
      <c r="M135" s="19">
        <v>0.30769999999999997</v>
      </c>
      <c r="N135" s="19">
        <v>0.35089999999999999</v>
      </c>
      <c r="O135" s="19">
        <v>0.46150000000000002</v>
      </c>
      <c r="P135" s="20">
        <v>38121</v>
      </c>
      <c r="Q135" s="21" t="str">
        <f>HYPERLINK("https://www.montana.edu/tuitioncalc/", "$33075")</f>
        <v>$33075</v>
      </c>
      <c r="R135" s="20">
        <v>35869</v>
      </c>
      <c r="S135" s="20">
        <v>37984</v>
      </c>
      <c r="T135" s="20">
        <v>4800</v>
      </c>
      <c r="U135" s="20">
        <v>28275.555910543131</v>
      </c>
      <c r="W135" s="19">
        <v>0.24049999999999999</v>
      </c>
      <c r="X135" s="19">
        <v>0.15440000000000001</v>
      </c>
      <c r="Z135" s="18">
        <v>14383</v>
      </c>
    </row>
    <row r="136" spans="1:26" ht="15.75" customHeight="1" x14ac:dyDescent="0.2">
      <c r="A136" s="36" t="str">
        <f>HYPERLINK("https://www.moravian.edu", "Moravian College")</f>
        <v>Moravian College</v>
      </c>
      <c r="B136" s="18" t="s">
        <v>32</v>
      </c>
      <c r="C136" s="18" t="s">
        <v>65</v>
      </c>
      <c r="D136" s="18" t="s">
        <v>130</v>
      </c>
      <c r="E136" s="18">
        <v>1121</v>
      </c>
      <c r="F136" s="18" t="s">
        <v>35</v>
      </c>
      <c r="J136" s="19">
        <v>0.63100000000000001</v>
      </c>
      <c r="K136" s="19">
        <v>0.56730769199999997</v>
      </c>
      <c r="L136" s="19">
        <v>0.67569999999999997</v>
      </c>
      <c r="M136" s="19">
        <v>0.17649999999999999</v>
      </c>
      <c r="N136" s="19">
        <v>0.5</v>
      </c>
      <c r="O136" s="19">
        <v>0.33329999999999999</v>
      </c>
      <c r="P136" s="20">
        <v>57868</v>
      </c>
      <c r="Q136" s="21" t="str">
        <f>HYPERLINK("https://www.moravian.edu/admissions/resources/calculator", "$21059")</f>
        <v>$21059</v>
      </c>
      <c r="R136" s="20">
        <v>23827</v>
      </c>
      <c r="S136" s="20">
        <v>27295</v>
      </c>
      <c r="T136" s="20">
        <v>3150</v>
      </c>
      <c r="U136" s="20">
        <v>17909</v>
      </c>
      <c r="W136" s="19">
        <v>0.2792</v>
      </c>
      <c r="X136" s="19">
        <v>0.29599999999999987</v>
      </c>
      <c r="Z136" s="18">
        <v>2007</v>
      </c>
    </row>
    <row r="137" spans="1:26" ht="15.75" customHeight="1" x14ac:dyDescent="0.2">
      <c r="A137" s="36" t="str">
        <f>HYPERLINK("https://www.morgan.edu", "Morgan State University")</f>
        <v>Morgan State University</v>
      </c>
      <c r="B137" s="18" t="s">
        <v>49</v>
      </c>
      <c r="C137" s="18" t="s">
        <v>124</v>
      </c>
      <c r="D137" s="18" t="s">
        <v>125</v>
      </c>
      <c r="E137" s="18">
        <v>977</v>
      </c>
      <c r="F137" s="18" t="s">
        <v>35</v>
      </c>
      <c r="J137" s="19">
        <v>0.37519999999999998</v>
      </c>
      <c r="K137" s="19">
        <v>0.315136476</v>
      </c>
      <c r="L137" s="19">
        <v>0.125</v>
      </c>
      <c r="M137" s="19">
        <v>0.37180000000000002</v>
      </c>
      <c r="N137" s="19">
        <v>0.26669999999999999</v>
      </c>
      <c r="O137" s="19">
        <v>0.66669999999999996</v>
      </c>
      <c r="P137" s="20">
        <v>33362</v>
      </c>
      <c r="Q137" s="21" t="str">
        <f>HYPERLINK("https://www.morgan.edu/netpricecalc/", "$23944")</f>
        <v>$23944</v>
      </c>
      <c r="R137" s="20">
        <v>26443</v>
      </c>
      <c r="S137" s="20">
        <v>30196</v>
      </c>
      <c r="T137" s="20">
        <v>5744</v>
      </c>
      <c r="U137" s="20">
        <v>18200.00952380952</v>
      </c>
      <c r="W137" s="19">
        <v>0.51539999999999997</v>
      </c>
      <c r="X137" s="19">
        <v>0.98099999999999998</v>
      </c>
      <c r="Z137" s="18">
        <v>6426</v>
      </c>
    </row>
    <row r="138" spans="1:26" ht="15.75" customHeight="1" x14ac:dyDescent="0.2">
      <c r="A138" s="36" t="str">
        <f>HYPERLINK("https://www.naz.edu", "Nazareth College")</f>
        <v>Nazareth College</v>
      </c>
      <c r="B138" s="18" t="s">
        <v>32</v>
      </c>
      <c r="C138" s="18" t="s">
        <v>38</v>
      </c>
      <c r="D138" s="18" t="s">
        <v>170</v>
      </c>
      <c r="E138" s="18" t="s">
        <v>36</v>
      </c>
      <c r="F138" s="18" t="s">
        <v>45</v>
      </c>
      <c r="G138" s="18" t="s">
        <v>40</v>
      </c>
      <c r="H138" s="18" t="s">
        <v>423</v>
      </c>
      <c r="I138" s="18" t="s">
        <v>424</v>
      </c>
      <c r="J138" s="19">
        <v>0.66739999999999999</v>
      </c>
      <c r="K138" s="19">
        <v>0.58227848100000001</v>
      </c>
      <c r="L138" s="19">
        <v>0.6855</v>
      </c>
      <c r="M138" s="19">
        <v>0.45</v>
      </c>
      <c r="N138" s="19">
        <v>0.5</v>
      </c>
      <c r="O138" s="19">
        <v>0.90910000000000002</v>
      </c>
      <c r="P138" s="20">
        <v>49459</v>
      </c>
      <c r="Q138" s="21" t="str">
        <f>HYPERLINK("https://forms.naz.edu/npc/", "$20858")</f>
        <v>$20858</v>
      </c>
      <c r="R138" s="20">
        <v>27684</v>
      </c>
      <c r="S138" s="20">
        <v>31924</v>
      </c>
      <c r="T138" s="20">
        <v>2500</v>
      </c>
      <c r="U138" s="20">
        <v>18358</v>
      </c>
      <c r="W138" s="19">
        <v>0.29370000000000002</v>
      </c>
      <c r="X138" s="19">
        <v>0.21060000000000001</v>
      </c>
      <c r="Z138" s="18">
        <v>2175</v>
      </c>
    </row>
    <row r="139" spans="1:26" ht="15.75" customHeight="1" x14ac:dyDescent="0.2">
      <c r="A139" s="36" t="str">
        <f>HYPERLINK("https://www.njit.edu/", "New Jersey Institute of Technology")</f>
        <v>New Jersey Institute of Technology</v>
      </c>
      <c r="B139" s="18" t="s">
        <v>49</v>
      </c>
      <c r="C139" s="18" t="s">
        <v>141</v>
      </c>
      <c r="D139" s="18" t="s">
        <v>425</v>
      </c>
      <c r="E139" s="18">
        <v>1282</v>
      </c>
      <c r="F139" s="18" t="s">
        <v>35</v>
      </c>
      <c r="J139" s="19">
        <v>0.63549999999999995</v>
      </c>
      <c r="K139" s="19">
        <v>0.52697095399999994</v>
      </c>
      <c r="L139" s="19">
        <v>0.71509999999999996</v>
      </c>
      <c r="M139" s="19">
        <v>0.41460000000000002</v>
      </c>
      <c r="N139" s="19">
        <v>0.52100000000000002</v>
      </c>
      <c r="O139" s="19">
        <v>0.72450000000000003</v>
      </c>
      <c r="P139" s="20">
        <v>51518</v>
      </c>
      <c r="Q139" s="21" t="str">
        <f>HYPERLINK("https://www.njit.edu/admissions/njheoa/", "$35853")</f>
        <v>$35853</v>
      </c>
      <c r="R139" s="20">
        <v>41896</v>
      </c>
      <c r="S139" s="20">
        <v>45984</v>
      </c>
      <c r="T139" s="20">
        <v>6300</v>
      </c>
      <c r="U139" s="20">
        <v>29553.198347107431</v>
      </c>
      <c r="W139" s="19">
        <v>0.34960000000000002</v>
      </c>
      <c r="X139" s="19">
        <v>0.65339999999999998</v>
      </c>
      <c r="Z139" s="18">
        <v>7489</v>
      </c>
    </row>
    <row r="140" spans="1:26" ht="15.75" customHeight="1" x14ac:dyDescent="0.2">
      <c r="A140" s="36" t="str">
        <f>HYPERLINK("https://www.nyit.edu", "New York Institute of Technology")</f>
        <v>New York Institute of Technology</v>
      </c>
      <c r="B140" s="18" t="s">
        <v>32</v>
      </c>
      <c r="C140" s="18" t="s">
        <v>38</v>
      </c>
      <c r="D140" s="18" t="s">
        <v>426</v>
      </c>
      <c r="E140" s="18">
        <v>1139</v>
      </c>
      <c r="F140" s="18" t="s">
        <v>35</v>
      </c>
      <c r="G140" s="18" t="s">
        <v>40</v>
      </c>
      <c r="H140" s="18" t="s">
        <v>427</v>
      </c>
      <c r="I140" s="18" t="s">
        <v>428</v>
      </c>
      <c r="J140" s="19">
        <v>0.49569999999999997</v>
      </c>
      <c r="K140" s="19">
        <v>0.35433070900000002</v>
      </c>
      <c r="L140" s="19">
        <v>0.47870000000000001</v>
      </c>
      <c r="M140" s="19">
        <v>0.2586</v>
      </c>
      <c r="N140" s="19">
        <v>0.37269999999999998</v>
      </c>
      <c r="O140" s="19">
        <v>0.59860000000000002</v>
      </c>
      <c r="P140" s="20">
        <v>57154</v>
      </c>
      <c r="Q140" s="21" t="str">
        <f>HYPERLINK("https://www.nyit.edu/admissions/net_price_calculator", "$19090")</f>
        <v>$19090</v>
      </c>
      <c r="R140" s="20">
        <v>22553</v>
      </c>
      <c r="S140" s="20">
        <v>23687</v>
      </c>
      <c r="T140" s="20">
        <v>4198</v>
      </c>
      <c r="U140" s="20">
        <v>14892</v>
      </c>
      <c r="W140" s="19">
        <v>0.41310000000000002</v>
      </c>
      <c r="X140" s="19">
        <v>0.753</v>
      </c>
      <c r="Z140" s="18">
        <v>3619</v>
      </c>
    </row>
    <row r="141" spans="1:26" ht="15.75" customHeight="1" x14ac:dyDescent="0.2">
      <c r="A141" s="36" t="str">
        <f>HYPERLINK("https://northcentralcollege.edu", "North Central College")</f>
        <v>North Central College</v>
      </c>
      <c r="B141" s="18" t="s">
        <v>32</v>
      </c>
      <c r="C141" s="18" t="s">
        <v>137</v>
      </c>
      <c r="D141" s="18" t="s">
        <v>429</v>
      </c>
      <c r="E141" s="18">
        <v>1200</v>
      </c>
      <c r="F141" s="18" t="s">
        <v>35</v>
      </c>
      <c r="J141" s="19">
        <v>0.68830000000000002</v>
      </c>
      <c r="K141" s="19">
        <v>0.49673202599999999</v>
      </c>
      <c r="L141" s="19">
        <v>0.70040000000000002</v>
      </c>
      <c r="M141" s="19">
        <v>0.66669999999999996</v>
      </c>
      <c r="N141" s="19">
        <v>0.68630000000000002</v>
      </c>
      <c r="O141" s="19">
        <v>0</v>
      </c>
      <c r="P141" s="20">
        <v>51228</v>
      </c>
      <c r="Q141" s="21" t="str">
        <f>HYPERLINK("https://northcentralcollege.edu/financial-aid/estimate", "$18169")</f>
        <v>$18169</v>
      </c>
      <c r="R141" s="20">
        <v>20133</v>
      </c>
      <c r="S141" s="20">
        <v>23951</v>
      </c>
      <c r="T141" s="20">
        <v>2829</v>
      </c>
      <c r="U141" s="20">
        <v>15340</v>
      </c>
      <c r="W141" s="19">
        <v>0.24629999999999999</v>
      </c>
      <c r="X141" s="19">
        <v>0.34930000000000011</v>
      </c>
      <c r="Z141" s="18">
        <v>2688</v>
      </c>
    </row>
    <row r="142" spans="1:26" ht="15.75" customHeight="1" x14ac:dyDescent="0.2">
      <c r="A142" s="36" t="str">
        <f>HYPERLINK("https://www.ngu.edu", "North Greenville University")</f>
        <v>North Greenville University</v>
      </c>
      <c r="B142" s="18" t="s">
        <v>32</v>
      </c>
      <c r="C142" s="18" t="s">
        <v>208</v>
      </c>
      <c r="D142" s="18" t="s">
        <v>430</v>
      </c>
      <c r="E142" s="18">
        <v>1136</v>
      </c>
      <c r="F142" s="18" t="s">
        <v>35</v>
      </c>
      <c r="J142" s="19">
        <v>0.51119999999999999</v>
      </c>
      <c r="K142" s="19">
        <v>0.43298969100000001</v>
      </c>
      <c r="L142" s="19">
        <v>0.5302</v>
      </c>
      <c r="M142" s="19">
        <v>0.31109999999999999</v>
      </c>
      <c r="N142" s="19">
        <v>0.54549999999999998</v>
      </c>
      <c r="O142" s="19">
        <v>1</v>
      </c>
      <c r="P142" s="20">
        <v>36000</v>
      </c>
      <c r="Q142" s="21" t="str">
        <f>HYPERLINK("https://www.shoppingsheet.com/Shopping/School/218441", "$26386")</f>
        <v>$26386</v>
      </c>
      <c r="R142" s="20">
        <v>26389</v>
      </c>
      <c r="S142" s="20">
        <v>26781</v>
      </c>
      <c r="T142" s="20">
        <v>6610</v>
      </c>
      <c r="U142" s="20">
        <v>19776</v>
      </c>
      <c r="W142" s="19">
        <v>0.33189999999999997</v>
      </c>
      <c r="X142" s="19">
        <v>0.21920000000000001</v>
      </c>
      <c r="Z142" s="18">
        <v>2167</v>
      </c>
    </row>
    <row r="143" spans="1:26" ht="15.75" customHeight="1" x14ac:dyDescent="0.2">
      <c r="A143" s="36" t="str">
        <f>HYPERLINK("https://www.nsuok.edu", "Northeastern State University")</f>
        <v>Northeastern State University</v>
      </c>
      <c r="B143" s="18" t="s">
        <v>49</v>
      </c>
      <c r="C143" s="18" t="s">
        <v>290</v>
      </c>
      <c r="D143" s="18" t="s">
        <v>431</v>
      </c>
      <c r="E143" s="18">
        <v>1083</v>
      </c>
      <c r="F143" s="18" t="s">
        <v>35</v>
      </c>
      <c r="J143" s="19">
        <v>0.316</v>
      </c>
      <c r="K143" s="19">
        <v>0.34655035699999998</v>
      </c>
      <c r="L143" s="19">
        <v>0.31540000000000001</v>
      </c>
      <c r="M143" s="19">
        <v>0.28570000000000001</v>
      </c>
      <c r="N143" s="19">
        <v>0.23680000000000001</v>
      </c>
      <c r="O143" s="19">
        <v>0.25</v>
      </c>
      <c r="P143" s="20">
        <v>24986</v>
      </c>
      <c r="Q143" s="21" t="str">
        <f>HYPERLINK("https://offices.nsuok.edu/financialaid/NetPriceCalculator.aspx", "$15875")</f>
        <v>$15875</v>
      </c>
      <c r="R143" s="20">
        <v>19756</v>
      </c>
      <c r="S143" s="20">
        <v>22272</v>
      </c>
      <c r="T143" s="20">
        <v>3200</v>
      </c>
      <c r="U143" s="20">
        <v>12675.705882352941</v>
      </c>
      <c r="W143" s="19">
        <v>0.45979999999999999</v>
      </c>
      <c r="X143" s="19">
        <v>0.5302</v>
      </c>
      <c r="Z143" s="18">
        <v>6401</v>
      </c>
    </row>
    <row r="144" spans="1:26" ht="15.75" customHeight="1" x14ac:dyDescent="0.2">
      <c r="A144" s="36" t="str">
        <f>HYPERLINK("https://www.nmu.edu", "Northern Michigan University")</f>
        <v>Northern Michigan University</v>
      </c>
      <c r="B144" s="18" t="s">
        <v>49</v>
      </c>
      <c r="C144" s="18" t="s">
        <v>226</v>
      </c>
      <c r="D144" s="18" t="s">
        <v>432</v>
      </c>
      <c r="E144" s="18">
        <v>1082</v>
      </c>
      <c r="F144" s="18" t="s">
        <v>35</v>
      </c>
      <c r="J144" s="19">
        <v>0.4904</v>
      </c>
      <c r="K144" s="19">
        <v>0.36953807700000002</v>
      </c>
      <c r="L144" s="19">
        <v>0.51949999999999996</v>
      </c>
      <c r="M144" s="19">
        <v>0.2034</v>
      </c>
      <c r="N144" s="19">
        <v>0.28810000000000002</v>
      </c>
      <c r="O144" s="19">
        <v>0.36359999999999998</v>
      </c>
      <c r="P144" s="20">
        <v>28784</v>
      </c>
      <c r="Q144" s="21" t="str">
        <f>HYPERLINK("https://www.nmu.edu/financialaidtoolbox/PriceCalculators", "$17044")</f>
        <v>$17044</v>
      </c>
      <c r="R144" s="20">
        <v>21993</v>
      </c>
      <c r="S144" s="20">
        <v>25555</v>
      </c>
      <c r="T144" s="20">
        <v>2720</v>
      </c>
      <c r="U144" s="20">
        <v>14324.905844155841</v>
      </c>
      <c r="W144" s="19">
        <v>0.33310000000000001</v>
      </c>
      <c r="X144" s="19">
        <v>0.14499999999999999</v>
      </c>
      <c r="Z144" s="18">
        <v>6635</v>
      </c>
    </row>
    <row r="145" spans="1:26" ht="15.75" customHeight="1" x14ac:dyDescent="0.2">
      <c r="A145" s="36" t="str">
        <f>HYPERLINK("https://www.nova.edu", "Nova Southeastern University")</f>
        <v>Nova Southeastern University</v>
      </c>
      <c r="B145" s="18" t="s">
        <v>32</v>
      </c>
      <c r="C145" s="18" t="s">
        <v>162</v>
      </c>
      <c r="D145" s="18" t="s">
        <v>433</v>
      </c>
      <c r="E145" s="18">
        <v>1201</v>
      </c>
      <c r="F145" s="18" t="s">
        <v>35</v>
      </c>
      <c r="J145" s="19">
        <v>0.52370000000000005</v>
      </c>
      <c r="K145" s="19">
        <v>0.40030557700000002</v>
      </c>
      <c r="L145" s="19">
        <v>0.56610000000000005</v>
      </c>
      <c r="M145" s="19">
        <v>0.36130000000000001</v>
      </c>
      <c r="N145" s="19">
        <v>0.44130000000000003</v>
      </c>
      <c r="O145" s="19">
        <v>0.75760000000000005</v>
      </c>
      <c r="P145" s="20">
        <v>49149</v>
      </c>
      <c r="Q145" s="21" t="str">
        <f>HYPERLINK("https://www.nova.edu/npc/", "$24328")</f>
        <v>$24328</v>
      </c>
      <c r="R145" s="20">
        <v>26360</v>
      </c>
      <c r="S145" s="20">
        <v>28524</v>
      </c>
      <c r="T145" s="20">
        <v>6669</v>
      </c>
      <c r="U145" s="20">
        <v>17659</v>
      </c>
      <c r="W145" s="19">
        <v>0.40679999999999999</v>
      </c>
      <c r="X145" s="19">
        <v>0.65700000000000003</v>
      </c>
      <c r="Z145" s="18">
        <v>4417</v>
      </c>
    </row>
    <row r="146" spans="1:26" ht="15.75" customHeight="1" x14ac:dyDescent="0.2">
      <c r="A146" s="36" t="str">
        <f>HYPERLINK("https://www.oakland.edu", "Oakland University")</f>
        <v>Oakland University</v>
      </c>
      <c r="B146" s="18" t="s">
        <v>49</v>
      </c>
      <c r="C146" s="18" t="s">
        <v>226</v>
      </c>
      <c r="D146" s="18" t="s">
        <v>434</v>
      </c>
      <c r="E146" s="18">
        <v>1141</v>
      </c>
      <c r="F146" s="18" t="s">
        <v>35</v>
      </c>
      <c r="J146" s="19">
        <v>0.45710000000000001</v>
      </c>
      <c r="K146" s="19">
        <v>0.41922773800000002</v>
      </c>
      <c r="L146" s="19">
        <v>0.50270000000000004</v>
      </c>
      <c r="M146" s="19">
        <v>0.2079</v>
      </c>
      <c r="N146" s="19">
        <v>0.36509999999999998</v>
      </c>
      <c r="O146" s="19">
        <v>0.38890000000000002</v>
      </c>
      <c r="P146" s="20">
        <v>36581</v>
      </c>
      <c r="Q146" s="21" t="str">
        <f>HYPERLINK("https://www.oakland.edu/npc", "$23951")</f>
        <v>$23951</v>
      </c>
      <c r="R146" s="20">
        <v>26912</v>
      </c>
      <c r="S146" s="20">
        <v>30458</v>
      </c>
      <c r="T146" s="20">
        <v>2798</v>
      </c>
      <c r="U146" s="20">
        <v>21153.142389525368</v>
      </c>
      <c r="W146" s="19">
        <v>0.2979</v>
      </c>
      <c r="X146" s="19">
        <v>0.248</v>
      </c>
      <c r="Z146" s="18">
        <v>15562</v>
      </c>
    </row>
    <row r="147" spans="1:26" ht="15.75" customHeight="1" x14ac:dyDescent="0.2">
      <c r="A147" s="36" t="str">
        <f>HYPERLINK("https://www.oglethorpe.edu", "Oglethorpe University")</f>
        <v>Oglethorpe University</v>
      </c>
      <c r="B147" s="18" t="s">
        <v>32</v>
      </c>
      <c r="C147" s="18" t="s">
        <v>107</v>
      </c>
      <c r="D147" s="18" t="s">
        <v>108</v>
      </c>
      <c r="E147" s="18">
        <v>1212</v>
      </c>
      <c r="F147" s="18" t="s">
        <v>35</v>
      </c>
      <c r="J147" s="19">
        <v>0.47349999999999998</v>
      </c>
      <c r="K147" s="19">
        <v>0.4</v>
      </c>
      <c r="L147" s="19">
        <v>0.44440000000000002</v>
      </c>
      <c r="M147" s="19">
        <v>0.46029999999999999</v>
      </c>
      <c r="N147" s="19">
        <v>0.4667</v>
      </c>
      <c r="O147" s="19">
        <v>0.5</v>
      </c>
      <c r="P147" s="20">
        <v>53490</v>
      </c>
      <c r="Q147" s="21" t="str">
        <f>HYPERLINK("https://www.collegecostcalculator.org/oglethorpe", "$19485")</f>
        <v>$19485</v>
      </c>
      <c r="R147" s="20">
        <v>21804</v>
      </c>
      <c r="S147" s="20">
        <v>22770</v>
      </c>
      <c r="T147" s="20">
        <v>3850</v>
      </c>
      <c r="U147" s="20">
        <v>15635</v>
      </c>
      <c r="W147" s="19">
        <v>0.35389999999999999</v>
      </c>
      <c r="X147" s="19">
        <v>0.62419999999999998</v>
      </c>
      <c r="Z147" s="18">
        <v>1232</v>
      </c>
    </row>
    <row r="148" spans="1:26" ht="15.75" customHeight="1" x14ac:dyDescent="0.2">
      <c r="A148" s="36" t="str">
        <f>HYPERLINK("https://www.onu.edu/", "Ohio Northern University")</f>
        <v>Ohio Northern University</v>
      </c>
      <c r="B148" s="18" t="s">
        <v>32</v>
      </c>
      <c r="C148" s="18" t="s">
        <v>75</v>
      </c>
      <c r="D148" s="18" t="s">
        <v>435</v>
      </c>
      <c r="E148" s="18">
        <v>1215</v>
      </c>
      <c r="F148" s="18" t="s">
        <v>35</v>
      </c>
      <c r="J148" s="19">
        <v>0.75619999999999998</v>
      </c>
      <c r="K148" s="19">
        <v>0.54117647099999999</v>
      </c>
      <c r="L148" s="19">
        <v>0.78720000000000001</v>
      </c>
      <c r="M148" s="19">
        <v>0.4516</v>
      </c>
      <c r="N148" s="19">
        <v>0.4118</v>
      </c>
      <c r="O148" s="19">
        <v>0.9</v>
      </c>
      <c r="P148" s="20">
        <v>46118</v>
      </c>
      <c r="Q148" s="21" t="str">
        <f>HYPERLINK("https://tcc.noellevitz.com/(S(44tm4xji3okjqs55x4fld0zn))/Ohio%20Northern%20University/Freshman-Students", "$18462")</f>
        <v>$18462</v>
      </c>
      <c r="R148" s="20">
        <v>21326</v>
      </c>
      <c r="S148" s="20">
        <v>24091</v>
      </c>
      <c r="T148" s="20">
        <v>3858</v>
      </c>
      <c r="U148" s="20">
        <v>14604</v>
      </c>
      <c r="W148" s="19">
        <v>0.23</v>
      </c>
      <c r="X148" s="19">
        <v>0.23069999999999999</v>
      </c>
      <c r="Z148" s="18">
        <v>2111</v>
      </c>
    </row>
    <row r="149" spans="1:26" ht="15.75" customHeight="1" x14ac:dyDescent="0.2">
      <c r="A149" s="36" t="str">
        <f>HYPERLINK("https://www.okbu.edu", "Oklahoma Baptist University")</f>
        <v>Oklahoma Baptist University</v>
      </c>
      <c r="B149" s="18" t="s">
        <v>32</v>
      </c>
      <c r="C149" s="18" t="s">
        <v>290</v>
      </c>
      <c r="D149" s="18" t="s">
        <v>436</v>
      </c>
      <c r="E149" s="18">
        <v>1126</v>
      </c>
      <c r="F149" s="18" t="s">
        <v>35</v>
      </c>
      <c r="J149" s="19">
        <v>0.58530000000000004</v>
      </c>
      <c r="K149" s="19">
        <v>0.29310344799999999</v>
      </c>
      <c r="L149" s="19">
        <v>0.67620000000000002</v>
      </c>
      <c r="M149" s="19">
        <v>0.1852</v>
      </c>
      <c r="N149" s="19">
        <v>0.4667</v>
      </c>
      <c r="O149" s="19">
        <v>1</v>
      </c>
      <c r="P149" s="20">
        <v>39840</v>
      </c>
      <c r="Q149" s="21" t="str">
        <f>HYPERLINK("https://www.okbu.edu/financial-aid/net-price-calculator", "$13671")</f>
        <v>$13671</v>
      </c>
      <c r="R149" s="20">
        <v>15596</v>
      </c>
      <c r="S149" s="20">
        <v>17089</v>
      </c>
      <c r="T149" s="20">
        <v>5850</v>
      </c>
      <c r="U149" s="20">
        <v>7821</v>
      </c>
      <c r="W149" s="19">
        <v>0.37480000000000002</v>
      </c>
      <c r="X149" s="19">
        <v>0.31369999999999998</v>
      </c>
      <c r="Z149" s="18">
        <v>1852</v>
      </c>
    </row>
    <row r="150" spans="1:26" ht="15.75" customHeight="1" x14ac:dyDescent="0.2">
      <c r="A150" s="36" t="str">
        <f>HYPERLINK("https://www.oc.edu", "Oklahoma Christian University")</f>
        <v>Oklahoma Christian University</v>
      </c>
      <c r="B150" s="18" t="s">
        <v>32</v>
      </c>
      <c r="C150" s="18" t="s">
        <v>290</v>
      </c>
      <c r="D150" s="18" t="s">
        <v>437</v>
      </c>
      <c r="E150" s="18">
        <v>1146</v>
      </c>
      <c r="F150" s="18" t="s">
        <v>35</v>
      </c>
      <c r="J150" s="19">
        <v>0.53759999999999997</v>
      </c>
      <c r="K150" s="19">
        <v>0.34677419399999998</v>
      </c>
      <c r="L150" s="19">
        <v>0.54020000000000001</v>
      </c>
      <c r="M150" s="19">
        <v>0.52500000000000002</v>
      </c>
      <c r="N150" s="19">
        <v>0.45829999999999999</v>
      </c>
      <c r="O150" s="19">
        <v>0.75</v>
      </c>
      <c r="P150" s="20">
        <v>34915</v>
      </c>
      <c r="Q150" s="21" t="str">
        <f>HYPERLINK("https://www.oc.edu/services/financial/net-price-calculator/index.html", "$13817")</f>
        <v>$13817</v>
      </c>
      <c r="R150" s="20">
        <v>15120</v>
      </c>
      <c r="S150" s="20">
        <v>19292</v>
      </c>
      <c r="T150" s="20">
        <v>5655</v>
      </c>
      <c r="U150" s="20">
        <v>8162</v>
      </c>
      <c r="W150" s="19">
        <v>0.26879999999999998</v>
      </c>
      <c r="X150" s="19">
        <v>0.27189999999999998</v>
      </c>
      <c r="Z150" s="18">
        <v>1883</v>
      </c>
    </row>
    <row r="151" spans="1:26" ht="15.75" customHeight="1" x14ac:dyDescent="0.2">
      <c r="A151" s="36" t="str">
        <f>HYPERLINK("https://www.okcu.edu", "Oklahoma City University")</f>
        <v>Oklahoma City University</v>
      </c>
      <c r="B151" s="18" t="s">
        <v>32</v>
      </c>
      <c r="C151" s="18" t="s">
        <v>290</v>
      </c>
      <c r="D151" s="18" t="s">
        <v>438</v>
      </c>
      <c r="E151" s="18">
        <v>1219</v>
      </c>
      <c r="F151" s="18" t="s">
        <v>35</v>
      </c>
      <c r="J151" s="19">
        <v>0.62949999999999995</v>
      </c>
      <c r="K151" s="19">
        <v>0.53645833300000001</v>
      </c>
      <c r="L151" s="19">
        <v>0.66090000000000004</v>
      </c>
      <c r="M151" s="19">
        <v>0.72729999999999995</v>
      </c>
      <c r="N151" s="19">
        <v>0.5</v>
      </c>
      <c r="O151" s="19">
        <v>0.5</v>
      </c>
      <c r="P151" s="20">
        <v>45408</v>
      </c>
      <c r="Q151" s="21" t="str">
        <f>HYPERLINK("https://www.okcu.edu/financialaid/calculator", "$20737")</f>
        <v>$20737</v>
      </c>
      <c r="R151" s="20">
        <v>29687</v>
      </c>
      <c r="S151" s="20">
        <v>30345</v>
      </c>
      <c r="T151" s="20">
        <v>6058</v>
      </c>
      <c r="U151" s="20">
        <v>14679</v>
      </c>
      <c r="W151" s="19">
        <v>0.2157</v>
      </c>
      <c r="X151" s="19">
        <v>0.37769999999999998</v>
      </c>
      <c r="Z151" s="18">
        <v>1692</v>
      </c>
    </row>
    <row r="152" spans="1:26" ht="15.75" customHeight="1" x14ac:dyDescent="0.2">
      <c r="A152" s="36" t="str">
        <f>HYPERLINK("https://www.okstate.edu/", "Oklahoma State University-Main Campus")</f>
        <v>Oklahoma State University-Main Campus</v>
      </c>
      <c r="B152" s="18" t="s">
        <v>49</v>
      </c>
      <c r="C152" s="18" t="s">
        <v>290</v>
      </c>
      <c r="D152" s="18" t="s">
        <v>439</v>
      </c>
      <c r="E152" s="18">
        <v>1206</v>
      </c>
      <c r="F152" s="18" t="s">
        <v>35</v>
      </c>
      <c r="J152" s="19">
        <v>0.61990000000000001</v>
      </c>
      <c r="K152" s="19">
        <v>0.49808429100000001</v>
      </c>
      <c r="L152" s="19">
        <v>0.65599999999999992</v>
      </c>
      <c r="M152" s="19">
        <v>0.33500000000000002</v>
      </c>
      <c r="N152" s="19">
        <v>0.55399999999999994</v>
      </c>
      <c r="O152" s="19">
        <v>0.58819999999999995</v>
      </c>
      <c r="P152" s="20">
        <v>38686</v>
      </c>
      <c r="Q152" s="21" t="str">
        <f>HYPERLINK("https://orange.okstate.edu/register/netprice", "$25729")</f>
        <v>$25729</v>
      </c>
      <c r="R152" s="20">
        <v>30639</v>
      </c>
      <c r="S152" s="20">
        <v>34928</v>
      </c>
      <c r="T152" s="20">
        <v>5970</v>
      </c>
      <c r="U152" s="20">
        <v>19759.928895612709</v>
      </c>
      <c r="W152" s="19">
        <v>0.27779999999999999</v>
      </c>
      <c r="X152" s="19">
        <v>0.32269999999999999</v>
      </c>
      <c r="Z152" s="18">
        <v>20743</v>
      </c>
    </row>
    <row r="153" spans="1:26" ht="15.75" customHeight="1" x14ac:dyDescent="0.2">
      <c r="A153" s="36" t="str">
        <f>HYPERLINK("https://www.obu.edu", "Ouachita Baptist University")</f>
        <v>Ouachita Baptist University</v>
      </c>
      <c r="B153" s="18" t="s">
        <v>32</v>
      </c>
      <c r="C153" s="18" t="s">
        <v>371</v>
      </c>
      <c r="D153" s="18" t="s">
        <v>440</v>
      </c>
      <c r="E153" s="18">
        <v>1186</v>
      </c>
      <c r="F153" s="18" t="s">
        <v>35</v>
      </c>
      <c r="J153" s="19">
        <v>0.63970000000000005</v>
      </c>
      <c r="K153" s="19">
        <v>0.37333333299999999</v>
      </c>
      <c r="L153" s="19">
        <v>0.66159999999999997</v>
      </c>
      <c r="M153" s="19">
        <v>0.37040000000000001</v>
      </c>
      <c r="N153" s="19">
        <v>0.57140000000000002</v>
      </c>
      <c r="O153" s="19">
        <v>1</v>
      </c>
      <c r="P153" s="20">
        <v>37600</v>
      </c>
      <c r="Q153" s="21" t="str">
        <f>HYPERLINK("https://www.obu.edu/finaid/", "$13439")</f>
        <v>$13439</v>
      </c>
      <c r="R153" s="20">
        <v>16468</v>
      </c>
      <c r="S153" s="20">
        <v>19736</v>
      </c>
      <c r="T153" s="20">
        <v>4100</v>
      </c>
      <c r="U153" s="20">
        <v>9339</v>
      </c>
      <c r="W153" s="19">
        <v>0.27260000000000001</v>
      </c>
      <c r="X153" s="19">
        <v>0.18440000000000001</v>
      </c>
      <c r="Z153" s="18">
        <v>1513</v>
      </c>
    </row>
    <row r="154" spans="1:26" ht="15.75" customHeight="1" x14ac:dyDescent="0.2">
      <c r="A154" s="36" t="str">
        <f>HYPERLINK("https://www.pace.edu", "Pace University-New York")</f>
        <v>Pace University-New York</v>
      </c>
      <c r="B154" s="18" t="s">
        <v>32</v>
      </c>
      <c r="C154" s="18" t="s">
        <v>38</v>
      </c>
      <c r="D154" s="18" t="s">
        <v>39</v>
      </c>
      <c r="E154" s="18">
        <v>1144</v>
      </c>
      <c r="F154" s="18" t="s">
        <v>35</v>
      </c>
      <c r="J154" s="19">
        <v>0.53580000000000005</v>
      </c>
      <c r="K154" s="19">
        <v>0.49160305300000001</v>
      </c>
      <c r="L154" s="19">
        <v>0.5746</v>
      </c>
      <c r="M154" s="19">
        <v>0.41360000000000002</v>
      </c>
      <c r="N154" s="19">
        <v>0.502</v>
      </c>
      <c r="O154" s="19">
        <v>0.62819999999999998</v>
      </c>
      <c r="P154" s="20">
        <v>64982</v>
      </c>
      <c r="Q154" s="21" t="str">
        <f>HYPERLINK("https://www.pace.edu/admission-aid/undergraduate-admission/freshman/net-price-calculator", "$24880")</f>
        <v>$24880</v>
      </c>
      <c r="R154" s="20">
        <v>29418</v>
      </c>
      <c r="S154" s="20">
        <v>31682</v>
      </c>
      <c r="T154" s="20">
        <v>2994</v>
      </c>
      <c r="U154" s="20">
        <v>21886</v>
      </c>
      <c r="W154" s="19">
        <v>0.27679999999999999</v>
      </c>
      <c r="X154" s="19">
        <v>0.48980000000000001</v>
      </c>
      <c r="Z154" s="18">
        <v>8456</v>
      </c>
    </row>
    <row r="155" spans="1:26" ht="15.75" customHeight="1" x14ac:dyDescent="0.2">
      <c r="A155" s="36" t="str">
        <f>HYPERLINK("https://www.plu.edu", "Pacific Lutheran University")</f>
        <v>Pacific Lutheran University</v>
      </c>
      <c r="B155" s="18" t="s">
        <v>32</v>
      </c>
      <c r="C155" s="18" t="s">
        <v>184</v>
      </c>
      <c r="D155" s="18" t="s">
        <v>286</v>
      </c>
      <c r="E155" s="18">
        <v>1162</v>
      </c>
      <c r="F155" s="18" t="s">
        <v>35</v>
      </c>
      <c r="J155" s="19">
        <v>0.70450000000000002</v>
      </c>
      <c r="K155" s="19">
        <v>0.56422018399999996</v>
      </c>
      <c r="L155" s="19">
        <v>0.74770000000000003</v>
      </c>
      <c r="M155" s="19">
        <v>0.5</v>
      </c>
      <c r="N155" s="19">
        <v>0.72729999999999995</v>
      </c>
      <c r="O155" s="19">
        <v>0.44640000000000002</v>
      </c>
      <c r="P155" s="20">
        <v>54800</v>
      </c>
      <c r="Q155" s="21" t="str">
        <f>HYPERLINK("https://www.plu.edu/financial-aid/HEOA-Required-Consumer-Information/net-price-calculator.php", "$18190")</f>
        <v>$18190</v>
      </c>
      <c r="R155" s="20">
        <v>21630</v>
      </c>
      <c r="S155" s="20">
        <v>26946</v>
      </c>
      <c r="T155" s="20">
        <v>3558</v>
      </c>
      <c r="U155" s="20">
        <v>14632</v>
      </c>
      <c r="W155" s="19">
        <v>0.30620000000000003</v>
      </c>
      <c r="X155" s="19">
        <v>0.36449999999999999</v>
      </c>
      <c r="Z155" s="18">
        <v>2672</v>
      </c>
    </row>
    <row r="156" spans="1:26" ht="15.75" customHeight="1" x14ac:dyDescent="0.2">
      <c r="A156" s="36" t="str">
        <f>HYPERLINK("https://www.puc.edu", "Pacific Union College")</f>
        <v>Pacific Union College</v>
      </c>
      <c r="B156" s="18" t="s">
        <v>32</v>
      </c>
      <c r="C156" s="18" t="s">
        <v>68</v>
      </c>
      <c r="D156" s="18" t="s">
        <v>441</v>
      </c>
      <c r="E156" s="18">
        <v>1055</v>
      </c>
      <c r="F156" s="18" t="s">
        <v>35</v>
      </c>
      <c r="J156" s="19">
        <v>0.51919999999999999</v>
      </c>
      <c r="K156" s="19">
        <v>0.34</v>
      </c>
      <c r="L156" s="19">
        <v>0.58160000000000001</v>
      </c>
      <c r="M156" s="19">
        <v>0.48</v>
      </c>
      <c r="N156" s="19">
        <v>0.44090000000000001</v>
      </c>
      <c r="O156" s="19">
        <v>0.54879999999999995</v>
      </c>
      <c r="P156" s="20">
        <v>42711</v>
      </c>
      <c r="Q156" s="21" t="str">
        <f>HYPERLINK("https://puc.studentaidcalculator.com/survey.aspx", "$18034")</f>
        <v>$18034</v>
      </c>
      <c r="R156" s="20">
        <v>18071</v>
      </c>
      <c r="S156" s="20">
        <v>20996</v>
      </c>
      <c r="T156" s="20">
        <v>5094</v>
      </c>
      <c r="U156" s="20">
        <v>12940</v>
      </c>
      <c r="W156" s="19">
        <v>0.42980000000000002</v>
      </c>
      <c r="X156" s="19">
        <v>0.78410000000000002</v>
      </c>
      <c r="Z156" s="18">
        <v>1181</v>
      </c>
    </row>
    <row r="157" spans="1:26" ht="15.75" customHeight="1" x14ac:dyDescent="0.2">
      <c r="A157" s="36" t="str">
        <f>HYPERLINK("https://www.psu.edu/", "Pennsylvania State University-World Campus")</f>
        <v>Pennsylvania State University-World Campus</v>
      </c>
      <c r="B157" s="18" t="s">
        <v>49</v>
      </c>
      <c r="C157" s="18" t="s">
        <v>65</v>
      </c>
      <c r="D157" s="18" t="s">
        <v>442</v>
      </c>
      <c r="E157" s="18">
        <v>1269</v>
      </c>
      <c r="F157" s="18" t="s">
        <v>35</v>
      </c>
      <c r="J157" s="19">
        <v>0.84809999999999997</v>
      </c>
      <c r="K157" s="19">
        <v>0.485670194</v>
      </c>
      <c r="L157" s="19">
        <v>0.88080000000000003</v>
      </c>
      <c r="M157" s="19">
        <v>0.65190000000000003</v>
      </c>
      <c r="N157" s="19">
        <v>0.77370000000000005</v>
      </c>
      <c r="O157" s="19">
        <v>0.81569999999999998</v>
      </c>
      <c r="P157" s="20">
        <v>51572</v>
      </c>
      <c r="Q157" s="21" t="str">
        <f>HYPERLINK("https://tuition.psu.edu/CostEstimate.aspx", "$37823")</f>
        <v>$37823</v>
      </c>
      <c r="R157" s="20">
        <v>42656</v>
      </c>
      <c r="S157" s="20">
        <v>48185</v>
      </c>
      <c r="T157" s="20">
        <v>6628</v>
      </c>
      <c r="U157" s="20">
        <v>31195.217391304352</v>
      </c>
      <c r="W157" s="19">
        <v>0.14760000000000001</v>
      </c>
      <c r="X157" s="19">
        <v>0.33889999999999998</v>
      </c>
      <c r="Z157" s="18">
        <v>40553</v>
      </c>
    </row>
    <row r="158" spans="1:26" ht="15.75" customHeight="1" x14ac:dyDescent="0.2">
      <c r="A158" s="36" t="str">
        <f>HYPERLINK("https://fayette.psu.edu/", "Pennsylvania State University-Penn State Fayette- Eberly")</f>
        <v>Pennsylvania State University-Penn State Fayette- Eberly</v>
      </c>
      <c r="B158" s="18" t="s">
        <v>49</v>
      </c>
      <c r="C158" s="18" t="s">
        <v>65</v>
      </c>
      <c r="D158" s="18" t="s">
        <v>443</v>
      </c>
      <c r="E158" s="18">
        <v>1037</v>
      </c>
      <c r="F158" s="18" t="s">
        <v>35</v>
      </c>
      <c r="J158" s="19">
        <v>0.48470000000000002</v>
      </c>
      <c r="K158" s="19">
        <v>0.485670194</v>
      </c>
      <c r="L158" s="19">
        <v>0.51759999999999995</v>
      </c>
      <c r="M158" s="19">
        <v>0.25</v>
      </c>
      <c r="N158" s="19">
        <v>0.2</v>
      </c>
      <c r="O158" s="19">
        <v>0.5</v>
      </c>
      <c r="P158" s="20">
        <v>39174</v>
      </c>
      <c r="Q158" s="21" t="str">
        <f>HYPERLINK("https://tuition.psu.edu/CostEstimate.aspx", "$28305")</f>
        <v>$28305</v>
      </c>
      <c r="R158" s="20">
        <v>31393</v>
      </c>
      <c r="S158" s="20">
        <v>35102</v>
      </c>
      <c r="T158" s="20">
        <v>6628</v>
      </c>
      <c r="U158" s="20">
        <v>21677.721311475409</v>
      </c>
      <c r="W158" s="19">
        <v>0.43390000000000001</v>
      </c>
      <c r="X158" s="19">
        <v>0.14330000000000001</v>
      </c>
      <c r="Z158" s="18">
        <v>649</v>
      </c>
    </row>
    <row r="159" spans="1:26" ht="15.75" customHeight="1" x14ac:dyDescent="0.2">
      <c r="A159" s="36" t="str">
        <f>HYPERLINK("https://newkensington.psu.edu/", "Pennsylvania State University-Penn State New Kensington")</f>
        <v>Pennsylvania State University-Penn State New Kensington</v>
      </c>
      <c r="B159" s="18" t="s">
        <v>49</v>
      </c>
      <c r="C159" s="18" t="s">
        <v>65</v>
      </c>
      <c r="D159" s="18" t="s">
        <v>444</v>
      </c>
      <c r="E159" s="18">
        <v>1086</v>
      </c>
      <c r="F159" s="18" t="s">
        <v>35</v>
      </c>
      <c r="J159" s="19">
        <v>0.47060000000000002</v>
      </c>
      <c r="K159" s="19">
        <v>0.485670194</v>
      </c>
      <c r="L159" s="19">
        <v>0.4788</v>
      </c>
      <c r="M159" s="19">
        <v>0.41670000000000001</v>
      </c>
      <c r="N159" s="19">
        <v>1</v>
      </c>
      <c r="O159" s="19">
        <v>0.33329999999999999</v>
      </c>
      <c r="P159" s="20">
        <v>39236</v>
      </c>
      <c r="Q159" s="21" t="str">
        <f>HYPERLINK("https://tuition.psu.edu/CostEstimate.aspx", "$28364")</f>
        <v>$28364</v>
      </c>
      <c r="R159" s="20">
        <v>31383</v>
      </c>
      <c r="S159" s="20">
        <v>35508</v>
      </c>
      <c r="T159" s="20">
        <v>6628</v>
      </c>
      <c r="U159" s="20">
        <v>21736.069767441859</v>
      </c>
      <c r="W159" s="19">
        <v>0.29299999999999998</v>
      </c>
      <c r="X159" s="19">
        <v>0.12570000000000001</v>
      </c>
      <c r="Z159" s="18">
        <v>573</v>
      </c>
    </row>
    <row r="160" spans="1:26" ht="15.75" customHeight="1" x14ac:dyDescent="0.2">
      <c r="A160" s="36" t="str">
        <f>HYPERLINK("https://shenango.psu.edu", "Pennsylvania State University-Penn State Shenango")</f>
        <v>Pennsylvania State University-Penn State Shenango</v>
      </c>
      <c r="B160" s="18" t="s">
        <v>49</v>
      </c>
      <c r="C160" s="18" t="s">
        <v>65</v>
      </c>
      <c r="D160" s="18" t="s">
        <v>445</v>
      </c>
      <c r="E160" s="18">
        <v>1029</v>
      </c>
      <c r="F160" s="18" t="s">
        <v>35</v>
      </c>
      <c r="J160" s="19">
        <v>0.23910000000000001</v>
      </c>
      <c r="K160" s="19">
        <v>0.485670194</v>
      </c>
      <c r="L160" s="19">
        <v>0.21329999999999999</v>
      </c>
      <c r="M160" s="19">
        <v>0.22220000000000001</v>
      </c>
      <c r="N160" s="19">
        <v>0.33329999999999999</v>
      </c>
      <c r="O160" s="19" t="s">
        <v>36</v>
      </c>
      <c r="P160" s="20">
        <v>38718</v>
      </c>
      <c r="Q160" s="21" t="str">
        <f>HYPERLINK("https://tuition.psu.edu/CostEstimate.aspx", "$27752")</f>
        <v>$27752</v>
      </c>
      <c r="R160" s="20">
        <v>27992</v>
      </c>
      <c r="S160" s="20">
        <v>34295</v>
      </c>
      <c r="T160" s="20">
        <v>6628</v>
      </c>
      <c r="U160" s="20">
        <v>21124</v>
      </c>
      <c r="W160" s="19">
        <v>0.43719999999999998</v>
      </c>
      <c r="X160" s="19">
        <v>0.17390000000000011</v>
      </c>
      <c r="Z160" s="18">
        <v>345</v>
      </c>
    </row>
    <row r="161" spans="1:26" ht="15.75" customHeight="1" x14ac:dyDescent="0.2">
      <c r="A161" s="36" t="str">
        <f>HYPERLINK("https://wilkesbarre.psu.edu/", "Pennsylvania State University-Penn State Wilkes-Barre")</f>
        <v>Pennsylvania State University-Penn State Wilkes-Barre</v>
      </c>
      <c r="B161" s="18" t="s">
        <v>49</v>
      </c>
      <c r="C161" s="18" t="s">
        <v>65</v>
      </c>
      <c r="D161" s="18" t="s">
        <v>446</v>
      </c>
      <c r="E161" s="18">
        <v>1078</v>
      </c>
      <c r="F161" s="18" t="s">
        <v>35</v>
      </c>
      <c r="J161" s="19">
        <v>0.60209999999999997</v>
      </c>
      <c r="K161" s="19">
        <v>0.485670194</v>
      </c>
      <c r="L161" s="19">
        <v>0.61180000000000001</v>
      </c>
      <c r="M161" s="19">
        <v>0.6</v>
      </c>
      <c r="N161" s="19">
        <v>0.55559999999999998</v>
      </c>
      <c r="O161" s="19">
        <v>0.25</v>
      </c>
      <c r="P161" s="20">
        <v>39110</v>
      </c>
      <c r="Q161" s="21" t="str">
        <f>HYPERLINK("https://tuition.psu.edu/CostEstimate.aspx", "$27252")</f>
        <v>$27252</v>
      </c>
      <c r="R161" s="20">
        <v>32744</v>
      </c>
      <c r="S161" s="20">
        <v>34136</v>
      </c>
      <c r="T161" s="20">
        <v>6628</v>
      </c>
      <c r="U161" s="20">
        <v>20624.10526315789</v>
      </c>
      <c r="W161" s="19">
        <v>0.33750000000000002</v>
      </c>
      <c r="X161" s="19">
        <v>0.1807</v>
      </c>
      <c r="Z161" s="18">
        <v>404</v>
      </c>
    </row>
    <row r="162" spans="1:26" ht="15.75" customHeight="1" x14ac:dyDescent="0.2">
      <c r="A162" s="36" t="str">
        <f>HYPERLINK("https://worldcampus.psu.edu/", "Pennsylvania State University-Main Campus")</f>
        <v>Pennsylvania State University-Main Campus</v>
      </c>
      <c r="B162" s="18" t="s">
        <v>49</v>
      </c>
      <c r="C162" s="18" t="s">
        <v>65</v>
      </c>
      <c r="D162" s="18" t="s">
        <v>442</v>
      </c>
      <c r="E162" s="18">
        <v>1106</v>
      </c>
      <c r="F162" s="18" t="s">
        <v>35</v>
      </c>
      <c r="J162" s="19">
        <v>0.27539999999999998</v>
      </c>
      <c r="K162" s="19">
        <v>0.485670194</v>
      </c>
      <c r="L162" s="19">
        <v>0.26790000000000003</v>
      </c>
      <c r="M162" s="19">
        <v>0.5</v>
      </c>
      <c r="N162" s="19">
        <v>0</v>
      </c>
      <c r="O162" s="19">
        <v>0</v>
      </c>
      <c r="P162" s="20">
        <v>30330</v>
      </c>
      <c r="Q162" s="21" t="str">
        <f>HYPERLINK("https://tuition.psu.edu/CostEstimate.aspx", "$22787")</f>
        <v>$22787</v>
      </c>
      <c r="R162" s="20">
        <v>25398</v>
      </c>
      <c r="S162" s="20">
        <v>27691</v>
      </c>
      <c r="T162" s="20">
        <v>5062</v>
      </c>
      <c r="U162" s="20">
        <v>17725.31578947368</v>
      </c>
      <c r="W162" s="19">
        <v>0.33029999999999998</v>
      </c>
      <c r="X162" s="19">
        <v>0.31030000000000002</v>
      </c>
      <c r="Z162" s="18">
        <v>8108</v>
      </c>
    </row>
    <row r="163" spans="1:26" ht="15.75" customHeight="1" x14ac:dyDescent="0.2">
      <c r="A163" s="36" t="str">
        <f>HYPERLINK("https://www.pointloma.edu", "Point Loma Nazarene University")</f>
        <v>Point Loma Nazarene University</v>
      </c>
      <c r="B163" s="18" t="s">
        <v>32</v>
      </c>
      <c r="C163" s="18" t="s">
        <v>68</v>
      </c>
      <c r="D163" s="18" t="s">
        <v>288</v>
      </c>
      <c r="E163" s="18">
        <v>1211</v>
      </c>
      <c r="F163" s="18" t="s">
        <v>35</v>
      </c>
      <c r="J163" s="19">
        <v>0.74439999999999995</v>
      </c>
      <c r="K163" s="19">
        <v>0.71724137900000007</v>
      </c>
      <c r="L163" s="19">
        <v>0.76449999999999996</v>
      </c>
      <c r="M163" s="19">
        <v>0.57889999999999997</v>
      </c>
      <c r="N163" s="19">
        <v>0.73270000000000002</v>
      </c>
      <c r="O163" s="19">
        <v>0.74470000000000003</v>
      </c>
      <c r="P163" s="20">
        <v>49844</v>
      </c>
      <c r="Q163" s="21" t="str">
        <f>HYPERLINK("https://www.pointloma.edu/NPC", "$23567")</f>
        <v>$23567</v>
      </c>
      <c r="R163" s="20">
        <v>27632</v>
      </c>
      <c r="S163" s="20">
        <v>30970</v>
      </c>
      <c r="T163" s="20">
        <v>5094</v>
      </c>
      <c r="U163" s="20">
        <v>18473</v>
      </c>
      <c r="W163" s="19">
        <v>0.28370000000000001</v>
      </c>
      <c r="X163" s="19">
        <v>0.46700000000000008</v>
      </c>
      <c r="Z163" s="18">
        <v>3092</v>
      </c>
    </row>
    <row r="164" spans="1:26" ht="15.75" customHeight="1" x14ac:dyDescent="0.2">
      <c r="A164" s="36" t="str">
        <f>HYPERLINK("https://www.presby.edu", "Presbyterian College")</f>
        <v>Presbyterian College</v>
      </c>
      <c r="B164" s="18" t="s">
        <v>32</v>
      </c>
      <c r="C164" s="18" t="s">
        <v>208</v>
      </c>
      <c r="D164" s="18" t="s">
        <v>118</v>
      </c>
      <c r="E164" s="18">
        <v>1159</v>
      </c>
      <c r="F164" s="18" t="s">
        <v>115</v>
      </c>
      <c r="J164" s="19">
        <v>0.68520000000000003</v>
      </c>
      <c r="K164" s="19">
        <v>0.56521739100000001</v>
      </c>
      <c r="L164" s="19">
        <v>0.71619999999999995</v>
      </c>
      <c r="M164" s="19">
        <v>0.56759999999999999</v>
      </c>
      <c r="N164" s="19">
        <v>0.16669999999999999</v>
      </c>
      <c r="O164" s="19">
        <v>0.5</v>
      </c>
      <c r="P164" s="20">
        <v>51910</v>
      </c>
      <c r="Q164" s="21" t="str">
        <f>HYPERLINK("https://tcc.noellevitz.com/Presbyterian%20College/Freshman-Students", "$13334")</f>
        <v>$13334</v>
      </c>
      <c r="R164" s="20">
        <v>16718</v>
      </c>
      <c r="S164" s="20">
        <v>21453</v>
      </c>
      <c r="T164" s="20">
        <v>3770</v>
      </c>
      <c r="U164" s="20">
        <v>9564</v>
      </c>
      <c r="W164" s="19">
        <v>0.26429999999999998</v>
      </c>
      <c r="X164" s="19">
        <v>0.25340000000000001</v>
      </c>
      <c r="Z164" s="18">
        <v>947</v>
      </c>
    </row>
    <row r="165" spans="1:26" ht="15.75" customHeight="1" x14ac:dyDescent="0.2">
      <c r="A165" s="36" t="str">
        <f>HYPERLINK("https://www.queens.edu", "Queens University of Charlotte")</f>
        <v>Queens University of Charlotte</v>
      </c>
      <c r="B165" s="18" t="s">
        <v>32</v>
      </c>
      <c r="C165" s="18" t="s">
        <v>103</v>
      </c>
      <c r="D165" s="18" t="s">
        <v>447</v>
      </c>
      <c r="E165" s="18">
        <v>1132</v>
      </c>
      <c r="F165" s="18" t="s">
        <v>35</v>
      </c>
      <c r="J165" s="19">
        <v>0.54490000000000005</v>
      </c>
      <c r="K165" s="19">
        <v>0.50627615100000001</v>
      </c>
      <c r="L165" s="19">
        <v>0.60440000000000005</v>
      </c>
      <c r="M165" s="19">
        <v>0.45610000000000001</v>
      </c>
      <c r="N165" s="19">
        <v>0.33329999999999999</v>
      </c>
      <c r="O165" s="19">
        <v>0.5</v>
      </c>
      <c r="P165" s="20">
        <v>48776</v>
      </c>
      <c r="Q165" s="21" t="str">
        <f>HYPERLINK("https://tcc.ruffalonl.com/Queens%20University%20of%20Charlotte/Freshman%20Students", "$18397")</f>
        <v>$18397</v>
      </c>
      <c r="R165" s="20">
        <v>20073</v>
      </c>
      <c r="S165" s="20">
        <v>23065</v>
      </c>
      <c r="T165" s="20">
        <v>3400</v>
      </c>
      <c r="U165" s="20">
        <v>14997</v>
      </c>
      <c r="W165" s="19">
        <v>0.24490000000000001</v>
      </c>
      <c r="X165" s="19">
        <v>0.42449999999999999</v>
      </c>
      <c r="Z165" s="18">
        <v>1602</v>
      </c>
    </row>
    <row r="166" spans="1:26" ht="15.75" customHeight="1" x14ac:dyDescent="0.2">
      <c r="A166" s="36" t="str">
        <f>HYPERLINK("https://www.qu.edu", "Quinnipiac University")</f>
        <v>Quinnipiac University</v>
      </c>
      <c r="B166" s="18" t="s">
        <v>32</v>
      </c>
      <c r="C166" s="18" t="s">
        <v>94</v>
      </c>
      <c r="D166" s="18" t="s">
        <v>448</v>
      </c>
      <c r="E166" s="18">
        <v>1184</v>
      </c>
      <c r="F166" s="18" t="s">
        <v>35</v>
      </c>
      <c r="J166" s="19">
        <v>0.74780000000000002</v>
      </c>
      <c r="K166" s="19">
        <v>0.62420382200000002</v>
      </c>
      <c r="L166" s="19">
        <v>0.76180000000000003</v>
      </c>
      <c r="M166" s="19">
        <v>0.70589999999999997</v>
      </c>
      <c r="N166" s="19">
        <v>0.73909999999999998</v>
      </c>
      <c r="O166" s="19">
        <v>0.60529999999999995</v>
      </c>
      <c r="P166" s="20">
        <v>63770</v>
      </c>
      <c r="Q166" s="21" t="str">
        <f>HYPERLINK("https://quinnipiac.studentaidcalculator.com/welcome.aspx", "$32637")</f>
        <v>$32637</v>
      </c>
      <c r="R166" s="20">
        <v>35143</v>
      </c>
      <c r="S166" s="20">
        <v>37640</v>
      </c>
      <c r="T166" s="20">
        <v>2800</v>
      </c>
      <c r="U166" s="20">
        <v>29837</v>
      </c>
      <c r="W166" s="19">
        <v>0.15260000000000001</v>
      </c>
      <c r="X166" s="19">
        <v>0.23780000000000001</v>
      </c>
      <c r="Z166" s="18">
        <v>7249</v>
      </c>
    </row>
    <row r="167" spans="1:26" ht="15.75" customHeight="1" x14ac:dyDescent="0.2">
      <c r="A167" s="36" t="str">
        <f>HYPERLINK("https://www.randolphcollege.edu", "Randolph College")</f>
        <v>Randolph College</v>
      </c>
      <c r="B167" s="18" t="s">
        <v>32</v>
      </c>
      <c r="C167" s="18" t="s">
        <v>83</v>
      </c>
      <c r="D167" s="18" t="s">
        <v>449</v>
      </c>
      <c r="E167" s="18">
        <v>1079</v>
      </c>
      <c r="F167" s="18" t="s">
        <v>35</v>
      </c>
      <c r="J167" s="19">
        <v>0.58760000000000001</v>
      </c>
      <c r="K167" s="19">
        <v>0.48148148200000002</v>
      </c>
      <c r="L167" s="19">
        <v>0.5403</v>
      </c>
      <c r="M167" s="19">
        <v>0.58330000000000004</v>
      </c>
      <c r="N167" s="19">
        <v>0.4</v>
      </c>
      <c r="O167" s="19">
        <v>1</v>
      </c>
      <c r="P167" s="20">
        <v>54225</v>
      </c>
      <c r="Q167" s="21" t="str">
        <f>HYPERLINK("https://www.randolphcollege.edu/financialaid/net-price-calculator/", "$23198")</f>
        <v>$23198</v>
      </c>
      <c r="R167" s="20">
        <v>25898</v>
      </c>
      <c r="S167" s="20">
        <v>26466</v>
      </c>
      <c r="T167" s="20">
        <v>3000</v>
      </c>
      <c r="U167" s="20">
        <v>20198</v>
      </c>
      <c r="W167" s="19">
        <v>0.31069999999999998</v>
      </c>
      <c r="X167" s="19">
        <v>0.34720000000000001</v>
      </c>
      <c r="Z167" s="18">
        <v>651</v>
      </c>
    </row>
    <row r="168" spans="1:26" ht="15.75" customHeight="1" x14ac:dyDescent="0.2">
      <c r="A168" s="36" t="str">
        <f>HYPERLINK("https://www.rivier.edu", "Rivier University")</f>
        <v>Rivier University</v>
      </c>
      <c r="B168" s="18" t="s">
        <v>32</v>
      </c>
      <c r="C168" s="18" t="s">
        <v>101</v>
      </c>
      <c r="D168" s="18" t="s">
        <v>450</v>
      </c>
      <c r="E168" s="18" t="s">
        <v>36</v>
      </c>
      <c r="F168" s="18" t="s">
        <v>90</v>
      </c>
      <c r="J168" s="19">
        <v>0.54079999999999995</v>
      </c>
      <c r="K168" s="19">
        <v>0.59405940600000007</v>
      </c>
      <c r="L168" s="19">
        <v>0.53569999999999995</v>
      </c>
      <c r="M168" s="19">
        <v>0.5</v>
      </c>
      <c r="N168" s="19">
        <v>0.30769999999999997</v>
      </c>
      <c r="O168" s="19">
        <v>0.3</v>
      </c>
      <c r="P168" s="20">
        <v>48158</v>
      </c>
      <c r="Q168" s="21" t="str">
        <f>HYPERLINK("https://rivier.studentaidcalculator.com/survey.aspx", "$22134")</f>
        <v>$22134</v>
      </c>
      <c r="R168" s="20">
        <v>23228</v>
      </c>
      <c r="S168" s="20">
        <v>24910</v>
      </c>
      <c r="T168" s="20">
        <v>4300</v>
      </c>
      <c r="U168" s="20">
        <v>17834</v>
      </c>
      <c r="W168" s="19">
        <v>0.2681</v>
      </c>
      <c r="X168" s="19">
        <v>0.22869999999999999</v>
      </c>
      <c r="Z168" s="18">
        <v>1408</v>
      </c>
    </row>
    <row r="169" spans="1:26" ht="15.75" customHeight="1" x14ac:dyDescent="0.2">
      <c r="A169" s="36" t="str">
        <f>HYPERLINK("https://www.rit.edu/", "Rochester Institute of Technology")</f>
        <v>Rochester Institute of Technology</v>
      </c>
      <c r="B169" s="18" t="s">
        <v>32</v>
      </c>
      <c r="C169" s="18" t="s">
        <v>38</v>
      </c>
      <c r="D169" s="18" t="s">
        <v>170</v>
      </c>
      <c r="E169" s="18">
        <v>1315</v>
      </c>
      <c r="F169" s="18" t="s">
        <v>35</v>
      </c>
      <c r="G169" s="18" t="s">
        <v>40</v>
      </c>
      <c r="H169" s="18" t="s">
        <v>451</v>
      </c>
      <c r="I169" s="18" t="s">
        <v>452</v>
      </c>
      <c r="J169" s="19">
        <v>0.67299999999999993</v>
      </c>
      <c r="K169" s="19">
        <v>0.52020860499999999</v>
      </c>
      <c r="L169" s="19">
        <v>0.70299999999999996</v>
      </c>
      <c r="M169" s="19">
        <v>0.53249999999999997</v>
      </c>
      <c r="N169" s="19">
        <v>0.59009999999999996</v>
      </c>
      <c r="O169" s="19">
        <v>0.66669999999999996</v>
      </c>
      <c r="P169" s="20">
        <v>54714</v>
      </c>
      <c r="Q169" s="21" t="str">
        <f>HYPERLINK("https://npc.collegeboard.org/student/app/rit", "$25634")</f>
        <v>$25634</v>
      </c>
      <c r="R169" s="20">
        <v>26856</v>
      </c>
      <c r="S169" s="20">
        <v>28946</v>
      </c>
      <c r="T169" s="20">
        <v>1980</v>
      </c>
      <c r="U169" s="20">
        <v>23654</v>
      </c>
      <c r="W169" s="19">
        <v>0.28939999999999999</v>
      </c>
      <c r="X169" s="19">
        <v>0.33560000000000001</v>
      </c>
      <c r="Z169" s="18">
        <v>12858</v>
      </c>
    </row>
    <row r="170" spans="1:26" ht="15.75" customHeight="1" x14ac:dyDescent="0.2">
      <c r="A170" s="36" t="str">
        <f>HYPERLINK("https://www.rwu.edu", "Roger Williams University")</f>
        <v>Roger Williams University</v>
      </c>
      <c r="B170" s="18" t="s">
        <v>32</v>
      </c>
      <c r="C170" s="18" t="s">
        <v>63</v>
      </c>
      <c r="D170" s="18" t="s">
        <v>390</v>
      </c>
      <c r="E170" s="18" t="s">
        <v>36</v>
      </c>
      <c r="F170" s="18" t="s">
        <v>45</v>
      </c>
      <c r="J170" s="19">
        <v>0.6472</v>
      </c>
      <c r="K170" s="19">
        <v>0.67132867099999993</v>
      </c>
      <c r="L170" s="19">
        <v>0.6512</v>
      </c>
      <c r="M170" s="19">
        <v>0.3</v>
      </c>
      <c r="N170" s="19">
        <v>0.57140000000000002</v>
      </c>
      <c r="O170" s="19">
        <v>0.5333</v>
      </c>
      <c r="P170" s="20">
        <v>52700</v>
      </c>
      <c r="Q170" s="21" t="str">
        <f>HYPERLINK("https://rwu.studentaidcalculator.com/survey.aspx", "$30331")</f>
        <v>$30331</v>
      </c>
      <c r="R170" s="20">
        <v>33510</v>
      </c>
      <c r="S170" s="20">
        <v>35010</v>
      </c>
      <c r="T170" s="20">
        <v>3800</v>
      </c>
      <c r="U170" s="20">
        <v>26531</v>
      </c>
      <c r="W170" s="19">
        <v>0.121</v>
      </c>
      <c r="X170" s="19">
        <v>0.23240000000000011</v>
      </c>
      <c r="Z170" s="18">
        <v>4476</v>
      </c>
    </row>
    <row r="171" spans="1:26" ht="15.75" customHeight="1" x14ac:dyDescent="0.2">
      <c r="A171" s="36" t="str">
        <f>HYPERLINK("https://www.roosevelt.edu", "Roosevelt University")</f>
        <v>Roosevelt University</v>
      </c>
      <c r="B171" s="18" t="s">
        <v>32</v>
      </c>
      <c r="C171" s="18" t="s">
        <v>137</v>
      </c>
      <c r="D171" s="18" t="s">
        <v>161</v>
      </c>
      <c r="E171" s="18">
        <v>1119</v>
      </c>
      <c r="F171" s="18" t="s">
        <v>35</v>
      </c>
      <c r="J171" s="19">
        <v>0.39860000000000001</v>
      </c>
      <c r="K171" s="19">
        <v>0.36432926799999998</v>
      </c>
      <c r="L171" s="19">
        <v>0.4793</v>
      </c>
      <c r="M171" s="19">
        <v>0.19769999999999999</v>
      </c>
      <c r="N171" s="19">
        <v>0.3649</v>
      </c>
      <c r="O171" s="19">
        <v>0.4783</v>
      </c>
      <c r="P171" s="20">
        <v>47490</v>
      </c>
      <c r="Q171" s="21" t="str">
        <f>HYPERLINK("https://roosevelt.studentaidcalculator.com/survey.aspx", "$21721")</f>
        <v>$21721</v>
      </c>
      <c r="R171" s="20">
        <v>24518</v>
      </c>
      <c r="S171" s="20">
        <v>28074</v>
      </c>
      <c r="T171" s="20">
        <v>5600</v>
      </c>
      <c r="U171" s="20">
        <v>16121</v>
      </c>
      <c r="W171" s="19">
        <v>0.4264</v>
      </c>
      <c r="X171" s="19">
        <v>0.56259999999999999</v>
      </c>
      <c r="Z171" s="18">
        <v>2485</v>
      </c>
    </row>
    <row r="172" spans="1:26" ht="15.75" customHeight="1" x14ac:dyDescent="0.2">
      <c r="A172" s="36" t="str">
        <f>HYPERLINK("https://www.rowan.edu", "Rowan University")</f>
        <v>Rowan University</v>
      </c>
      <c r="B172" s="18" t="s">
        <v>49</v>
      </c>
      <c r="C172" s="18" t="s">
        <v>141</v>
      </c>
      <c r="D172" s="18" t="s">
        <v>453</v>
      </c>
      <c r="E172" s="18">
        <v>1164</v>
      </c>
      <c r="F172" s="18" t="s">
        <v>35</v>
      </c>
      <c r="J172" s="19">
        <v>0.68940000000000001</v>
      </c>
      <c r="K172" s="19">
        <v>0.52590266899999993</v>
      </c>
      <c r="L172" s="19">
        <v>0.71819999999999995</v>
      </c>
      <c r="M172" s="19">
        <v>0.54369999999999996</v>
      </c>
      <c r="N172" s="19">
        <v>0.55279999999999996</v>
      </c>
      <c r="O172" s="19">
        <v>0.74009999999999998</v>
      </c>
      <c r="P172" s="20">
        <v>39526</v>
      </c>
      <c r="Q172" s="21" t="str">
        <f>HYPERLINK("https://rowan.studentaidcalculator.com/survey.aspx", "$26396")</f>
        <v>$26396</v>
      </c>
      <c r="R172" s="20">
        <v>34334</v>
      </c>
      <c r="S172" s="20">
        <v>38785</v>
      </c>
      <c r="T172" s="20">
        <v>5400</v>
      </c>
      <c r="U172" s="20">
        <v>20996.423076923082</v>
      </c>
      <c r="W172" s="19">
        <v>0.31619999999999998</v>
      </c>
      <c r="X172" s="19">
        <v>0.33810000000000001</v>
      </c>
      <c r="Z172" s="18">
        <v>15089</v>
      </c>
    </row>
    <row r="173" spans="1:26" ht="15.75" customHeight="1" x14ac:dyDescent="0.2">
      <c r="A173" s="36" t="str">
        <f>HYPERLINK("https://www.brockport.edu", "SUNY College at Brockport")</f>
        <v>SUNY College at Brockport</v>
      </c>
      <c r="B173" s="18" t="s">
        <v>49</v>
      </c>
      <c r="C173" s="18" t="s">
        <v>38</v>
      </c>
      <c r="D173" s="18" t="s">
        <v>454</v>
      </c>
      <c r="E173" s="18">
        <v>1099</v>
      </c>
      <c r="F173" s="18" t="s">
        <v>35</v>
      </c>
      <c r="G173" s="18" t="s">
        <v>51</v>
      </c>
      <c r="H173" s="18" t="s">
        <v>455</v>
      </c>
      <c r="I173" s="18" t="s">
        <v>456</v>
      </c>
      <c r="J173" s="19">
        <v>0.65900000000000003</v>
      </c>
      <c r="K173" s="19">
        <v>0.3125</v>
      </c>
      <c r="L173" s="19">
        <v>0.68</v>
      </c>
      <c r="M173" s="19">
        <v>0.54169999999999996</v>
      </c>
      <c r="N173" s="19">
        <v>0.5</v>
      </c>
      <c r="O173" s="19">
        <v>0.81820000000000004</v>
      </c>
      <c r="P173" s="20">
        <v>24126</v>
      </c>
      <c r="Q173" s="21" t="str">
        <f>HYPERLINK("https://www.brockport.edu/finaid/calculator.htm", "$11014")</f>
        <v>$11014</v>
      </c>
      <c r="R173" s="20">
        <v>17746</v>
      </c>
      <c r="S173" s="20">
        <v>20245</v>
      </c>
      <c r="T173" s="20">
        <v>3068</v>
      </c>
      <c r="U173" s="20">
        <v>7946</v>
      </c>
      <c r="W173" s="19">
        <v>0.41270000000000001</v>
      </c>
      <c r="X173" s="19">
        <v>0.2974</v>
      </c>
      <c r="Z173" s="18">
        <v>7134</v>
      </c>
    </row>
    <row r="174" spans="1:26" ht="15.75" customHeight="1" x14ac:dyDescent="0.2">
      <c r="A174" s="36" t="str">
        <f>HYPERLINK("https://www.geneseo.edu/", "SUNY College at Geneseo")</f>
        <v>SUNY College at Geneseo</v>
      </c>
      <c r="B174" s="18" t="s">
        <v>49</v>
      </c>
      <c r="C174" s="18" t="s">
        <v>38</v>
      </c>
      <c r="D174" s="18" t="s">
        <v>457</v>
      </c>
      <c r="E174" s="18">
        <v>1229</v>
      </c>
      <c r="F174" s="18" t="s">
        <v>35</v>
      </c>
      <c r="G174" s="18" t="s">
        <v>51</v>
      </c>
      <c r="H174" s="18" t="s">
        <v>458</v>
      </c>
      <c r="I174" s="18" t="s">
        <v>456</v>
      </c>
      <c r="J174" s="19">
        <v>0.77359999999999995</v>
      </c>
      <c r="K174" s="19">
        <v>0.52403846200000004</v>
      </c>
      <c r="L174" s="19">
        <v>0.81540000000000001</v>
      </c>
      <c r="M174" s="19">
        <v>0.60609999999999997</v>
      </c>
      <c r="N174" s="19">
        <v>0.71830000000000005</v>
      </c>
      <c r="O174" s="19">
        <v>0.65790000000000004</v>
      </c>
      <c r="P174" s="20">
        <v>25122</v>
      </c>
      <c r="Q174" s="21" t="str">
        <f>HYPERLINK("https://suny.edu/howmuch/netpricecalculator.xhtml?embed=n&amp;id=11&amp;headerUrl=https://www.geneseo.edu/images/geneseo-header.jpg&amp;titleColor=b9cce3", "$11890")</f>
        <v>$11890</v>
      </c>
      <c r="R174" s="20">
        <v>19135</v>
      </c>
      <c r="S174" s="20">
        <v>21618</v>
      </c>
      <c r="T174" s="20">
        <v>3500</v>
      </c>
      <c r="U174" s="20">
        <v>8390</v>
      </c>
      <c r="W174" s="19">
        <v>0.25240000000000001</v>
      </c>
      <c r="X174" s="19">
        <v>0.24339999999999989</v>
      </c>
      <c r="Z174" s="18">
        <v>5522</v>
      </c>
    </row>
    <row r="175" spans="1:26" ht="15.75" customHeight="1" x14ac:dyDescent="0.2">
      <c r="A175" s="36" t="str">
        <f>HYPERLINK("https://www.potsdam.edu", "SUNY College at Potsdam")</f>
        <v>SUNY College at Potsdam</v>
      </c>
      <c r="B175" s="18" t="s">
        <v>49</v>
      </c>
      <c r="C175" s="18" t="s">
        <v>38</v>
      </c>
      <c r="D175" s="18" t="s">
        <v>330</v>
      </c>
      <c r="E175" s="18" t="s">
        <v>36</v>
      </c>
      <c r="F175" s="18" t="s">
        <v>45</v>
      </c>
      <c r="G175" s="18" t="s">
        <v>51</v>
      </c>
      <c r="H175" s="18" t="s">
        <v>459</v>
      </c>
      <c r="I175" s="18" t="s">
        <v>460</v>
      </c>
      <c r="J175" s="19">
        <v>0.52510000000000001</v>
      </c>
      <c r="K175" s="19">
        <v>0.473520249</v>
      </c>
      <c r="L175" s="19">
        <v>0.53639999999999999</v>
      </c>
      <c r="M175" s="19">
        <v>0.43859999999999999</v>
      </c>
      <c r="N175" s="19">
        <v>0.53949999999999998</v>
      </c>
      <c r="O175" s="19">
        <v>0.3846</v>
      </c>
      <c r="P175" s="20">
        <v>24113</v>
      </c>
      <c r="Q175" s="21" t="str">
        <f>HYPERLINK("https://www.potsdam.edu/admissions/financial/npc.cfm", "$10448")</f>
        <v>$10448</v>
      </c>
      <c r="R175" s="20">
        <v>16651</v>
      </c>
      <c r="S175" s="20">
        <v>19810</v>
      </c>
      <c r="T175" s="20">
        <v>3062</v>
      </c>
      <c r="U175" s="20">
        <v>7386</v>
      </c>
      <c r="W175" s="19">
        <v>0.50119999999999998</v>
      </c>
      <c r="X175" s="19">
        <v>0.3871</v>
      </c>
      <c r="Z175" s="18">
        <v>3296</v>
      </c>
    </row>
    <row r="176" spans="1:26" ht="15.75" customHeight="1" x14ac:dyDescent="0.2">
      <c r="A176" s="36" t="str">
        <f>HYPERLINK("https://www2.cortland.edu", "SUNY College at Cortland")</f>
        <v>SUNY College at Cortland</v>
      </c>
      <c r="B176" s="18" t="s">
        <v>49</v>
      </c>
      <c r="C176" s="18" t="s">
        <v>38</v>
      </c>
      <c r="D176" s="18" t="s">
        <v>461</v>
      </c>
      <c r="E176" s="18">
        <v>1137</v>
      </c>
      <c r="F176" s="18" t="s">
        <v>115</v>
      </c>
      <c r="G176" s="18" t="s">
        <v>51</v>
      </c>
      <c r="H176" s="18" t="s">
        <v>462</v>
      </c>
      <c r="I176" s="18" t="s">
        <v>456</v>
      </c>
      <c r="J176" s="19">
        <v>0.71020000000000005</v>
      </c>
      <c r="K176" s="19">
        <v>0.58641975299999993</v>
      </c>
      <c r="L176" s="19">
        <v>0.7389</v>
      </c>
      <c r="M176" s="19">
        <v>0.61360000000000003</v>
      </c>
      <c r="N176" s="19">
        <v>0.60899999999999999</v>
      </c>
      <c r="O176" s="19">
        <v>0.48149999999999998</v>
      </c>
      <c r="P176" s="20">
        <v>24879</v>
      </c>
      <c r="Q176" s="21" t="str">
        <f>HYPERLINK("https://www2.cortland.edu/cost-aid/financial-aid/net-price-calculator.dot", "$12849")</f>
        <v>$12849</v>
      </c>
      <c r="R176" s="20">
        <v>19308</v>
      </c>
      <c r="S176" s="20">
        <v>22257</v>
      </c>
      <c r="T176" s="20">
        <v>3769</v>
      </c>
      <c r="U176" s="20">
        <v>9080</v>
      </c>
      <c r="W176" s="19">
        <v>0.2944</v>
      </c>
      <c r="X176" s="19">
        <v>0.27239999999999998</v>
      </c>
      <c r="Z176" s="18">
        <v>6333</v>
      </c>
    </row>
    <row r="177" spans="1:26" ht="15.75" customHeight="1" x14ac:dyDescent="0.2">
      <c r="A177" s="36" t="str">
        <f>HYPERLINK("https://www.sunypoly.edu", "SUNY Polytechnic Institute")</f>
        <v>SUNY Polytechnic Institute</v>
      </c>
      <c r="B177" s="18" t="s">
        <v>49</v>
      </c>
      <c r="C177" s="18" t="s">
        <v>38</v>
      </c>
      <c r="D177" s="18" t="s">
        <v>463</v>
      </c>
      <c r="E177" s="18">
        <v>1150</v>
      </c>
      <c r="F177" s="18" t="s">
        <v>35</v>
      </c>
      <c r="G177" s="18" t="s">
        <v>51</v>
      </c>
      <c r="H177" s="18" t="s">
        <v>464</v>
      </c>
      <c r="I177" s="18" t="s">
        <v>465</v>
      </c>
      <c r="J177" s="19">
        <v>0.51519999999999999</v>
      </c>
      <c r="K177" s="19">
        <v>0.37743190700000001</v>
      </c>
      <c r="L177" s="19">
        <v>0.55169999999999997</v>
      </c>
      <c r="M177" s="19">
        <v>0.66669999999999996</v>
      </c>
      <c r="N177" s="19">
        <v>0.25</v>
      </c>
      <c r="O177" s="19">
        <v>0.4</v>
      </c>
      <c r="P177" s="20">
        <v>23838</v>
      </c>
      <c r="Q177" s="21" t="str">
        <f>HYPERLINK("https://sunypoly.edu/calculator.html", "$9828")</f>
        <v>$9828</v>
      </c>
      <c r="R177" s="20">
        <v>16985</v>
      </c>
      <c r="S177" s="20">
        <v>17232</v>
      </c>
      <c r="T177" s="20">
        <v>3400</v>
      </c>
      <c r="U177" s="20">
        <v>6428</v>
      </c>
      <c r="V177" s="18" t="s">
        <v>37</v>
      </c>
      <c r="W177" s="19">
        <v>0.37440000000000001</v>
      </c>
      <c r="X177" s="19">
        <v>0.26800000000000002</v>
      </c>
      <c r="Z177" s="18">
        <v>2052</v>
      </c>
    </row>
    <row r="178" spans="1:26" ht="15.75" customHeight="1" x14ac:dyDescent="0.2">
      <c r="A178" s="36" t="str">
        <f>HYPERLINK("https://www.anselm.edu", "Saint Anselm College")</f>
        <v>Saint Anselm College</v>
      </c>
      <c r="B178" s="18" t="s">
        <v>32</v>
      </c>
      <c r="C178" s="18" t="s">
        <v>101</v>
      </c>
      <c r="D178" s="18" t="s">
        <v>466</v>
      </c>
      <c r="E178" s="18">
        <v>1227</v>
      </c>
      <c r="F178" s="18" t="s">
        <v>115</v>
      </c>
      <c r="J178" s="19">
        <v>0.79930000000000001</v>
      </c>
      <c r="K178" s="19">
        <v>0.51785714299999996</v>
      </c>
      <c r="L178" s="19">
        <v>0.82389999999999997</v>
      </c>
      <c r="M178" s="19">
        <v>0.33329999999999999</v>
      </c>
      <c r="N178" s="19">
        <v>0.75</v>
      </c>
      <c r="O178" s="19">
        <v>0.25</v>
      </c>
      <c r="P178" s="20">
        <v>56846</v>
      </c>
      <c r="Q178" s="21" t="str">
        <f>HYPERLINK("https://anselm.studentaidcalculator.com/survey.aspx", "$20538")</f>
        <v>$20538</v>
      </c>
      <c r="R178" s="20">
        <v>23678</v>
      </c>
      <c r="S178" s="20">
        <v>29163</v>
      </c>
      <c r="T178" s="20">
        <v>2500</v>
      </c>
      <c r="U178" s="20">
        <v>18038</v>
      </c>
      <c r="W178" s="19">
        <v>0.13420000000000001</v>
      </c>
      <c r="X178" s="19">
        <v>0.1191</v>
      </c>
      <c r="Z178" s="18">
        <v>1956</v>
      </c>
    </row>
    <row r="179" spans="1:26" ht="15.75" customHeight="1" x14ac:dyDescent="0.2">
      <c r="A179" s="36" t="str">
        <f>HYPERLINK("https://www.stedwards.edu", "Saint Edward's University")</f>
        <v>Saint Edward's University</v>
      </c>
      <c r="B179" s="18" t="s">
        <v>32</v>
      </c>
      <c r="C179" s="18" t="s">
        <v>146</v>
      </c>
      <c r="D179" s="18" t="s">
        <v>264</v>
      </c>
      <c r="E179" s="18">
        <v>1186</v>
      </c>
      <c r="F179" s="18" t="s">
        <v>35</v>
      </c>
      <c r="J179" s="19">
        <v>0.63590000000000002</v>
      </c>
      <c r="K179" s="19">
        <v>0.59171597600000003</v>
      </c>
      <c r="L179" s="19">
        <v>0.65680000000000005</v>
      </c>
      <c r="M179" s="19">
        <v>0.5806</v>
      </c>
      <c r="N179" s="19">
        <v>0.6159</v>
      </c>
      <c r="O179" s="19">
        <v>0.57889999999999997</v>
      </c>
      <c r="P179" s="20">
        <v>58700</v>
      </c>
      <c r="Q179" s="21" t="str">
        <f>HYPERLINK("https://www.stedwards.edu/admission-financial-aid/undergraduate/new-freshmen/financial-aid", "$16878")</f>
        <v>$16878</v>
      </c>
      <c r="R179" s="20">
        <v>20611</v>
      </c>
      <c r="S179" s="20">
        <v>26495</v>
      </c>
      <c r="T179" s="20">
        <v>3500</v>
      </c>
      <c r="U179" s="20">
        <v>13378</v>
      </c>
      <c r="W179" s="19">
        <v>0.35499999999999998</v>
      </c>
      <c r="X179" s="19">
        <v>0.63769999999999993</v>
      </c>
      <c r="Z179" s="18">
        <v>3930</v>
      </c>
    </row>
    <row r="180" spans="1:26" ht="15.75" customHeight="1" x14ac:dyDescent="0.2">
      <c r="A180" s="36" t="str">
        <f>HYPERLINK("https://www.sju.edu", "Saint Joseph's University")</f>
        <v>Saint Joseph's University</v>
      </c>
      <c r="B180" s="18" t="s">
        <v>32</v>
      </c>
      <c r="C180" s="18" t="s">
        <v>65</v>
      </c>
      <c r="D180" s="18" t="s">
        <v>168</v>
      </c>
      <c r="E180" s="18">
        <v>1209</v>
      </c>
      <c r="F180" s="18" t="s">
        <v>115</v>
      </c>
      <c r="J180" s="19">
        <v>0.8196</v>
      </c>
      <c r="K180" s="19">
        <v>0.56209150299999999</v>
      </c>
      <c r="L180" s="19">
        <v>0.83209999999999995</v>
      </c>
      <c r="M180" s="19">
        <v>0.55559999999999998</v>
      </c>
      <c r="N180" s="19">
        <v>0.78129999999999999</v>
      </c>
      <c r="O180" s="19">
        <v>0.75760000000000005</v>
      </c>
      <c r="P180" s="20">
        <v>60854</v>
      </c>
      <c r="Q180" s="21" t="str">
        <f>HYPERLINK("https://www.collegecostcalculator.org/sju", "$25818")</f>
        <v>$25818</v>
      </c>
      <c r="R180" s="20">
        <v>28710</v>
      </c>
      <c r="S180" s="20">
        <v>32026</v>
      </c>
      <c r="T180" s="20">
        <v>2134</v>
      </c>
      <c r="U180" s="20">
        <v>23684</v>
      </c>
      <c r="W180" s="19">
        <v>0.12479999999999999</v>
      </c>
      <c r="X180" s="19">
        <v>0.21809999999999999</v>
      </c>
      <c r="Z180" s="18">
        <v>5040</v>
      </c>
    </row>
    <row r="181" spans="1:26" ht="15.75" customHeight="1" x14ac:dyDescent="0.2">
      <c r="A181" s="36" t="str">
        <f>HYPERLINK("https://www.slu.edu", "Saint Louis University")</f>
        <v>Saint Louis University</v>
      </c>
      <c r="B181" s="18" t="s">
        <v>32</v>
      </c>
      <c r="C181" s="18" t="s">
        <v>164</v>
      </c>
      <c r="D181" s="18" t="s">
        <v>179</v>
      </c>
      <c r="E181" s="18">
        <v>1319</v>
      </c>
      <c r="F181" s="18" t="s">
        <v>35</v>
      </c>
      <c r="J181" s="19">
        <v>0.77329999999999999</v>
      </c>
      <c r="K181" s="19">
        <v>0.43969849300000002</v>
      </c>
      <c r="L181" s="19">
        <v>0.79590000000000005</v>
      </c>
      <c r="M181" s="19">
        <v>0.58140000000000003</v>
      </c>
      <c r="N181" s="19">
        <v>0.69840000000000002</v>
      </c>
      <c r="O181" s="19">
        <v>0.84709999999999996</v>
      </c>
      <c r="P181" s="20">
        <v>57214</v>
      </c>
      <c r="Q181" s="21" t="str">
        <f>HYPERLINK("https://www.slu.edu/financial-aid/tuition-and-costs/calculator.php", "$18924")</f>
        <v>$18924</v>
      </c>
      <c r="R181" s="20">
        <v>23180</v>
      </c>
      <c r="S181" s="20">
        <v>27305</v>
      </c>
      <c r="T181" s="20">
        <v>4052</v>
      </c>
      <c r="U181" s="20">
        <v>14872</v>
      </c>
      <c r="W181" s="19">
        <v>0.12189999999999999</v>
      </c>
      <c r="X181" s="19">
        <v>0.30630000000000002</v>
      </c>
      <c r="Z181" s="18">
        <v>7209</v>
      </c>
    </row>
    <row r="182" spans="1:26" ht="15.75" customHeight="1" x14ac:dyDescent="0.2">
      <c r="A182" s="36" t="str">
        <f>HYPERLINK("https://www.saintmarys.edu", "Saint Mary's College")</f>
        <v>Saint Mary's College</v>
      </c>
      <c r="B182" s="18" t="s">
        <v>32</v>
      </c>
      <c r="C182" s="18" t="s">
        <v>148</v>
      </c>
      <c r="D182" s="18" t="s">
        <v>167</v>
      </c>
      <c r="E182" s="18">
        <v>1201</v>
      </c>
      <c r="F182" s="18" t="s">
        <v>35</v>
      </c>
      <c r="J182" s="19">
        <v>0.79079999999999995</v>
      </c>
      <c r="K182" s="19" t="s">
        <v>36</v>
      </c>
      <c r="L182" s="19">
        <v>0.80820000000000003</v>
      </c>
      <c r="M182" s="19">
        <v>0.6</v>
      </c>
      <c r="N182" s="19">
        <v>0.73529999999999995</v>
      </c>
      <c r="O182" s="19">
        <v>1</v>
      </c>
      <c r="P182" s="20">
        <v>55200</v>
      </c>
      <c r="Q182" s="21" t="str">
        <f>HYPERLINK("https://www.saintmarys.edu/financial-aid/tools/net-price-calculator", "$13505")</f>
        <v>$13505</v>
      </c>
      <c r="R182" s="20">
        <v>15434</v>
      </c>
      <c r="S182" s="20">
        <v>22330</v>
      </c>
      <c r="T182" s="20">
        <v>2300</v>
      </c>
      <c r="U182" s="20">
        <v>11205</v>
      </c>
      <c r="W182" s="19">
        <v>0.2172</v>
      </c>
      <c r="X182" s="19">
        <v>0.22359999999999999</v>
      </c>
      <c r="Y182" s="18" t="s">
        <v>37</v>
      </c>
      <c r="Z182" s="18">
        <v>1489</v>
      </c>
    </row>
    <row r="183" spans="1:26" ht="15.75" customHeight="1" x14ac:dyDescent="0.2">
      <c r="A183" s="36" t="str">
        <f>HYPERLINK("https://www.smcvt.edu", "Saint Michael's College")</f>
        <v>Saint Michael's College</v>
      </c>
      <c r="B183" s="18" t="s">
        <v>32</v>
      </c>
      <c r="C183" s="18" t="s">
        <v>47</v>
      </c>
      <c r="D183" s="18" t="s">
        <v>467</v>
      </c>
      <c r="E183" s="18" t="s">
        <v>36</v>
      </c>
      <c r="F183" s="18" t="s">
        <v>90</v>
      </c>
      <c r="J183" s="19">
        <v>0.78410000000000002</v>
      </c>
      <c r="K183" s="19">
        <v>0.69491525400000009</v>
      </c>
      <c r="L183" s="19">
        <v>0.79569999999999996</v>
      </c>
      <c r="M183" s="19">
        <v>0.7</v>
      </c>
      <c r="N183" s="19">
        <v>0.68969999999999998</v>
      </c>
      <c r="O183" s="19">
        <v>0.8</v>
      </c>
      <c r="P183" s="20">
        <v>57560</v>
      </c>
      <c r="Q183" s="21" t="str">
        <f>HYPERLINK("https://www.smcvt.edu/admissions/financial-aid-and-tuition/tuition-resources.aspx", "$21405")</f>
        <v>$21405</v>
      </c>
      <c r="R183" s="20">
        <v>28116</v>
      </c>
      <c r="S183" s="20">
        <v>28340</v>
      </c>
      <c r="T183" s="20">
        <v>2170</v>
      </c>
      <c r="U183" s="20">
        <v>19235</v>
      </c>
      <c r="W183" s="19">
        <v>0.1404</v>
      </c>
      <c r="X183" s="19">
        <v>0.1671</v>
      </c>
      <c r="Z183" s="18">
        <v>1759</v>
      </c>
    </row>
    <row r="184" spans="1:26" ht="15.75" customHeight="1" x14ac:dyDescent="0.2">
      <c r="A184" s="36" t="str">
        <f>HYPERLINK("https://www.snc.edu", "Saint Norbert College")</f>
        <v>Saint Norbert College</v>
      </c>
      <c r="B184" s="18" t="s">
        <v>32</v>
      </c>
      <c r="C184" s="18" t="s">
        <v>196</v>
      </c>
      <c r="D184" s="18" t="s">
        <v>468</v>
      </c>
      <c r="E184" s="18">
        <v>1199</v>
      </c>
      <c r="F184" s="18" t="s">
        <v>35</v>
      </c>
      <c r="J184" s="19">
        <v>0.73650000000000004</v>
      </c>
      <c r="K184" s="19">
        <v>0.13924050599999999</v>
      </c>
      <c r="L184" s="19">
        <v>0.7571</v>
      </c>
      <c r="M184" s="19">
        <v>0.625</v>
      </c>
      <c r="N184" s="19">
        <v>0.4118</v>
      </c>
      <c r="O184" s="19">
        <v>0.8</v>
      </c>
      <c r="P184" s="20">
        <v>48110</v>
      </c>
      <c r="Q184" s="21" t="str">
        <f>HYPERLINK("https://www.snc.edu/financialaid/incomingstudents/secure/netpricecalculator.html", "$18568")</f>
        <v>$18568</v>
      </c>
      <c r="R184" s="20">
        <v>20877</v>
      </c>
      <c r="S184" s="20">
        <v>24145</v>
      </c>
      <c r="T184" s="20">
        <v>2050</v>
      </c>
      <c r="U184" s="20">
        <v>16518</v>
      </c>
      <c r="W184" s="19">
        <v>0.20649999999999999</v>
      </c>
      <c r="X184" s="19">
        <v>0.12839999999999999</v>
      </c>
      <c r="Z184" s="18">
        <v>2041</v>
      </c>
    </row>
    <row r="185" spans="1:26" ht="15.75" customHeight="1" x14ac:dyDescent="0.2">
      <c r="A185" s="36" t="str">
        <f>HYPERLINK("https://www.salem.edu/", "Salem College")</f>
        <v>Salem College</v>
      </c>
      <c r="B185" s="18" t="s">
        <v>32</v>
      </c>
      <c r="C185" s="18" t="s">
        <v>103</v>
      </c>
      <c r="D185" s="18" t="s">
        <v>178</v>
      </c>
      <c r="E185" s="18">
        <v>1211</v>
      </c>
      <c r="F185" s="18" t="s">
        <v>35</v>
      </c>
      <c r="J185" s="19">
        <v>0.56910000000000005</v>
      </c>
      <c r="K185" s="19">
        <v>0.54430379799999995</v>
      </c>
      <c r="L185" s="19">
        <v>0.52529999999999999</v>
      </c>
      <c r="M185" s="19">
        <v>0.63329999999999997</v>
      </c>
      <c r="N185" s="19">
        <v>0.75</v>
      </c>
      <c r="O185" s="19">
        <v>1</v>
      </c>
      <c r="P185" s="20">
        <v>46080</v>
      </c>
      <c r="Q185" s="21" t="str">
        <f>HYPERLINK("https://netprice.salem.edu/", "$14159")</f>
        <v>$14159</v>
      </c>
      <c r="R185" s="20">
        <v>19138</v>
      </c>
      <c r="S185" s="20">
        <v>22899</v>
      </c>
      <c r="T185" s="20">
        <v>5874</v>
      </c>
      <c r="U185" s="20">
        <v>8285</v>
      </c>
      <c r="V185" s="18" t="s">
        <v>37</v>
      </c>
      <c r="W185" s="19">
        <v>0.52849999999999997</v>
      </c>
      <c r="X185" s="19">
        <v>0.45019999999999999</v>
      </c>
      <c r="Z185" s="18">
        <v>813</v>
      </c>
    </row>
    <row r="186" spans="1:26" ht="15.75" customHeight="1" x14ac:dyDescent="0.2">
      <c r="A186" s="36" t="str">
        <f>HYPERLINK("https://www.salisbury.edu", "Salisbury University")</f>
        <v>Salisbury University</v>
      </c>
      <c r="B186" s="18" t="s">
        <v>49</v>
      </c>
      <c r="C186" s="18" t="s">
        <v>124</v>
      </c>
      <c r="D186" s="18" t="s">
        <v>469</v>
      </c>
      <c r="E186" s="18" t="s">
        <v>36</v>
      </c>
      <c r="F186" s="18" t="s">
        <v>90</v>
      </c>
      <c r="J186" s="19">
        <v>0.70950000000000002</v>
      </c>
      <c r="K186" s="19">
        <v>0.60880829000000003</v>
      </c>
      <c r="L186" s="19">
        <v>0.73509999999999998</v>
      </c>
      <c r="M186" s="19">
        <v>0.64839999999999998</v>
      </c>
      <c r="N186" s="19">
        <v>0.61639999999999995</v>
      </c>
      <c r="O186" s="19">
        <v>0.56100000000000005</v>
      </c>
      <c r="P186" s="20">
        <v>34102</v>
      </c>
      <c r="Q186" s="21" t="str">
        <f>HYPERLINK("https://tcc.noellevitz.com/%28S%28uvadf5cgvl0om13fktvxprrm%29%29/Salisbury%20University/Freshman%20Students", "$23084")</f>
        <v>$23084</v>
      </c>
      <c r="R186" s="20">
        <v>28159</v>
      </c>
      <c r="S186" s="20">
        <v>31410</v>
      </c>
      <c r="T186" s="20">
        <v>4000</v>
      </c>
      <c r="U186" s="20">
        <v>19084.166666666661</v>
      </c>
      <c r="W186" s="19">
        <v>0.25309999999999999</v>
      </c>
      <c r="X186" s="19">
        <v>0.29360000000000003</v>
      </c>
      <c r="Z186" s="18">
        <v>7552</v>
      </c>
    </row>
    <row r="187" spans="1:26" ht="15.75" customHeight="1" x14ac:dyDescent="0.2">
      <c r="A187" s="36" t="str">
        <f>HYPERLINK("https://www.salve.edu", "Salve Regina University")</f>
        <v>Salve Regina University</v>
      </c>
      <c r="B187" s="18" t="s">
        <v>32</v>
      </c>
      <c r="C187" s="18" t="s">
        <v>63</v>
      </c>
      <c r="D187" s="18" t="s">
        <v>470</v>
      </c>
      <c r="E187" s="18" t="s">
        <v>36</v>
      </c>
      <c r="F187" s="18" t="s">
        <v>90</v>
      </c>
      <c r="J187" s="19">
        <v>0.70900000000000007</v>
      </c>
      <c r="K187" s="19">
        <v>0.71084337400000008</v>
      </c>
      <c r="L187" s="19">
        <v>0.71120000000000005</v>
      </c>
      <c r="M187" s="19">
        <v>0.64290000000000003</v>
      </c>
      <c r="N187" s="19">
        <v>0.76919999999999999</v>
      </c>
      <c r="O187" s="19">
        <v>0.75</v>
      </c>
      <c r="P187" s="20">
        <v>56746</v>
      </c>
      <c r="Q187" s="21" t="str">
        <f>HYPERLINK("https://www.salve.edu/net-price-calculator", "$22929")</f>
        <v>$22929</v>
      </c>
      <c r="R187" s="20">
        <v>23913</v>
      </c>
      <c r="S187" s="20">
        <v>27938</v>
      </c>
      <c r="T187" s="20">
        <v>3700</v>
      </c>
      <c r="U187" s="20">
        <v>19229</v>
      </c>
      <c r="W187" s="19">
        <v>0.2175</v>
      </c>
      <c r="X187" s="19">
        <v>0.1852</v>
      </c>
      <c r="Z187" s="18">
        <v>2160</v>
      </c>
    </row>
    <row r="188" spans="1:26" ht="15.75" customHeight="1" x14ac:dyDescent="0.2">
      <c r="A188" s="36" t="str">
        <f>HYPERLINK("https://www.samford.edu", "Samford University")</f>
        <v>Samford University</v>
      </c>
      <c r="B188" s="18" t="s">
        <v>32</v>
      </c>
      <c r="C188" s="18" t="s">
        <v>300</v>
      </c>
      <c r="D188" s="18" t="s">
        <v>311</v>
      </c>
      <c r="E188" s="18">
        <v>1230</v>
      </c>
      <c r="F188" s="18" t="s">
        <v>35</v>
      </c>
      <c r="J188" s="19">
        <v>0.7581</v>
      </c>
      <c r="K188" s="19">
        <v>0.52941176499999998</v>
      </c>
      <c r="L188" s="19">
        <v>0.77229999999999999</v>
      </c>
      <c r="M188" s="19">
        <v>0.625</v>
      </c>
      <c r="N188" s="19">
        <v>0.64290000000000003</v>
      </c>
      <c r="O188" s="19" t="s">
        <v>36</v>
      </c>
      <c r="P188" s="20">
        <v>46474</v>
      </c>
      <c r="Q188" s="21" t="str">
        <f>HYPERLINK("https://samford.studentaidcalculator.com/survey.aspx", "$23157")</f>
        <v>$23157</v>
      </c>
      <c r="R188" s="20">
        <v>27927</v>
      </c>
      <c r="S188" s="20">
        <v>30035</v>
      </c>
      <c r="T188" s="20">
        <v>5704</v>
      </c>
      <c r="U188" s="20">
        <v>17453</v>
      </c>
      <c r="W188" s="19">
        <v>0.114</v>
      </c>
      <c r="X188" s="19">
        <v>0.15609999999999999</v>
      </c>
      <c r="Z188" s="18">
        <v>3364</v>
      </c>
    </row>
    <row r="189" spans="1:26" ht="15.75" customHeight="1" x14ac:dyDescent="0.2">
      <c r="A189" s="36" t="str">
        <f>HYPERLINK("https://www.sdsu.edu", "San Diego State University")</f>
        <v>San Diego State University</v>
      </c>
      <c r="B189" s="18" t="s">
        <v>49</v>
      </c>
      <c r="C189" s="18" t="s">
        <v>68</v>
      </c>
      <c r="D189" s="18" t="s">
        <v>288</v>
      </c>
      <c r="E189" s="18">
        <v>1206</v>
      </c>
      <c r="F189" s="18" t="s">
        <v>35</v>
      </c>
      <c r="J189" s="19">
        <v>0.74239999999999995</v>
      </c>
      <c r="K189" s="19">
        <v>0.59036658100000006</v>
      </c>
      <c r="L189" s="19">
        <v>0.76990000000000003</v>
      </c>
      <c r="M189" s="19">
        <v>0.71030000000000004</v>
      </c>
      <c r="N189" s="19">
        <v>0.72689999999999999</v>
      </c>
      <c r="O189" s="19">
        <v>0.76459999999999995</v>
      </c>
      <c r="P189" s="20">
        <v>40104</v>
      </c>
      <c r="Q189" s="21" t="str">
        <f>HYPERLINK("https://www2.calstate.edu/attend/paying-for-college/pages/csu-costs.aspx", "$27946")</f>
        <v>$27946</v>
      </c>
      <c r="R189" s="20">
        <v>33364</v>
      </c>
      <c r="S189" s="20">
        <v>37315</v>
      </c>
      <c r="T189" s="20">
        <v>4798</v>
      </c>
      <c r="U189" s="20">
        <v>23148.617755856969</v>
      </c>
      <c r="W189" s="19">
        <v>0.34439999999999998</v>
      </c>
      <c r="X189" s="19">
        <v>0.66280000000000006</v>
      </c>
      <c r="Z189" s="18">
        <v>29781</v>
      </c>
    </row>
    <row r="190" spans="1:26" ht="15.75" customHeight="1" x14ac:dyDescent="0.2">
      <c r="A190" s="36" t="str">
        <f>HYPERLINK("https://www.ivcampus.sdsu.edu", "San Diego State University-Imperial Valley Campus")</f>
        <v>San Diego State University-Imperial Valley Campus</v>
      </c>
      <c r="B190" s="18" t="s">
        <v>49</v>
      </c>
      <c r="C190" s="18" t="s">
        <v>68</v>
      </c>
      <c r="D190" s="18" t="s">
        <v>471</v>
      </c>
      <c r="E190" s="18" t="s">
        <v>36</v>
      </c>
      <c r="F190" s="18" t="s">
        <v>36</v>
      </c>
      <c r="J190" s="19" t="s">
        <v>36</v>
      </c>
      <c r="K190" s="19">
        <v>0.59036658100000006</v>
      </c>
      <c r="L190" s="19" t="s">
        <v>36</v>
      </c>
      <c r="M190" s="19" t="s">
        <v>36</v>
      </c>
      <c r="N190" s="19" t="s">
        <v>36</v>
      </c>
      <c r="O190" s="19" t="s">
        <v>36</v>
      </c>
      <c r="P190" s="20" t="s">
        <v>36</v>
      </c>
      <c r="Q190" s="35" t="s">
        <v>36</v>
      </c>
      <c r="R190" s="20" t="s">
        <v>36</v>
      </c>
      <c r="S190" s="20" t="s">
        <v>36</v>
      </c>
      <c r="T190" s="20" t="s">
        <v>36</v>
      </c>
      <c r="U190" s="20" t="s">
        <v>36</v>
      </c>
      <c r="W190" s="19" t="s">
        <v>36</v>
      </c>
      <c r="X190" s="19" t="s">
        <v>36</v>
      </c>
      <c r="Z190" s="18" t="s">
        <v>36</v>
      </c>
    </row>
    <row r="191" spans="1:26" ht="15.75" customHeight="1" x14ac:dyDescent="0.2">
      <c r="A191" s="36" t="str">
        <f>HYPERLINK("https://www.spu.edu", "Seattle Pacific University")</f>
        <v>Seattle Pacific University</v>
      </c>
      <c r="B191" s="18" t="s">
        <v>32</v>
      </c>
      <c r="C191" s="18" t="s">
        <v>184</v>
      </c>
      <c r="D191" s="18" t="s">
        <v>472</v>
      </c>
      <c r="E191" s="18">
        <v>1173</v>
      </c>
      <c r="F191" s="18" t="s">
        <v>35</v>
      </c>
      <c r="J191" s="19">
        <v>0.68679999999999997</v>
      </c>
      <c r="K191" s="19">
        <v>0.42920353999999999</v>
      </c>
      <c r="L191" s="19">
        <v>0.70479999999999998</v>
      </c>
      <c r="M191" s="19">
        <v>0.60870000000000002</v>
      </c>
      <c r="N191" s="19">
        <v>0.63929999999999998</v>
      </c>
      <c r="O191" s="19">
        <v>0.67469999999999997</v>
      </c>
      <c r="P191" s="20">
        <v>56485</v>
      </c>
      <c r="Q191" s="21" t="str">
        <f>HYPERLINK("https://spu.studentaidcalculator.com/survey.aspx", "$25473")</f>
        <v>$25473</v>
      </c>
      <c r="R191" s="20">
        <v>28298</v>
      </c>
      <c r="S191" s="20">
        <v>30221</v>
      </c>
      <c r="T191" s="20">
        <v>4360</v>
      </c>
      <c r="U191" s="20">
        <v>21113</v>
      </c>
      <c r="W191" s="19">
        <v>0.27210000000000001</v>
      </c>
      <c r="X191" s="19">
        <v>0.44619999999999999</v>
      </c>
      <c r="Z191" s="18">
        <v>2900</v>
      </c>
    </row>
    <row r="192" spans="1:26" ht="15.75" customHeight="1" x14ac:dyDescent="0.2">
      <c r="A192" s="36" t="str">
        <f>HYPERLINK("https://www.seattleu.edu", "Seattle University")</f>
        <v>Seattle University</v>
      </c>
      <c r="B192" s="18" t="s">
        <v>32</v>
      </c>
      <c r="C192" s="18" t="s">
        <v>184</v>
      </c>
      <c r="D192" s="18" t="s">
        <v>472</v>
      </c>
      <c r="E192" s="18">
        <v>1250</v>
      </c>
      <c r="F192" s="18" t="s">
        <v>35</v>
      </c>
      <c r="J192" s="19">
        <v>0.74829999999999997</v>
      </c>
      <c r="K192" s="19">
        <v>0.77227722799999998</v>
      </c>
      <c r="L192" s="19">
        <v>0.75460000000000005</v>
      </c>
      <c r="M192" s="19">
        <v>0.47620000000000001</v>
      </c>
      <c r="N192" s="19">
        <v>0.6522</v>
      </c>
      <c r="O192" s="19">
        <v>0.79349999999999998</v>
      </c>
      <c r="P192" s="20">
        <v>59607</v>
      </c>
      <c r="Q192" s="21" t="str">
        <f>HYPERLINK("https://www.seattleu.edu/undergraduate-admissions/finances/calculator/", "$27686")</f>
        <v>$27686</v>
      </c>
      <c r="R192" s="20">
        <v>32228</v>
      </c>
      <c r="S192" s="20">
        <v>35203</v>
      </c>
      <c r="T192" s="20">
        <v>4650</v>
      </c>
      <c r="U192" s="20">
        <v>23036</v>
      </c>
      <c r="W192" s="19">
        <v>0.18179999999999999</v>
      </c>
      <c r="X192" s="19">
        <v>0.56099999999999994</v>
      </c>
      <c r="Z192" s="18">
        <v>4547</v>
      </c>
    </row>
    <row r="193" spans="1:26" ht="15.75" customHeight="1" x14ac:dyDescent="0.2">
      <c r="A193" s="36" t="str">
        <f>HYPERLINK("https://www.siena.edu", "Siena College")</f>
        <v>Siena College</v>
      </c>
      <c r="B193" s="18" t="s">
        <v>32</v>
      </c>
      <c r="C193" s="18" t="s">
        <v>38</v>
      </c>
      <c r="D193" s="18" t="s">
        <v>473</v>
      </c>
      <c r="E193" s="18" t="s">
        <v>36</v>
      </c>
      <c r="F193" s="18" t="s">
        <v>90</v>
      </c>
      <c r="G193" s="18" t="s">
        <v>40</v>
      </c>
      <c r="H193" s="18" t="s">
        <v>474</v>
      </c>
      <c r="I193" s="18" t="s">
        <v>475</v>
      </c>
      <c r="J193" s="19">
        <v>0.78159999999999996</v>
      </c>
      <c r="K193" s="19">
        <v>0.63157894700000006</v>
      </c>
      <c r="L193" s="19">
        <v>0.78080000000000005</v>
      </c>
      <c r="M193" s="19">
        <v>0.66669999999999996</v>
      </c>
      <c r="N193" s="19">
        <v>0.80389999999999995</v>
      </c>
      <c r="O193" s="19">
        <v>0.81820000000000004</v>
      </c>
      <c r="P193" s="20">
        <v>53855</v>
      </c>
      <c r="Q193" s="21" t="str">
        <f>HYPERLINK("https://www.siena.edu/afford/net-price-calculator/", "$20470")</f>
        <v>$20470</v>
      </c>
      <c r="R193" s="20">
        <v>26042</v>
      </c>
      <c r="S193" s="20">
        <v>27749</v>
      </c>
      <c r="T193" s="20">
        <v>3570</v>
      </c>
      <c r="U193" s="20">
        <v>16900</v>
      </c>
      <c r="W193" s="19">
        <v>0.2571</v>
      </c>
      <c r="X193" s="19">
        <v>0.20979999999999999</v>
      </c>
      <c r="Z193" s="18">
        <v>3132</v>
      </c>
    </row>
    <row r="194" spans="1:26" ht="15.75" customHeight="1" x14ac:dyDescent="0.2">
      <c r="A194" s="36" t="str">
        <f>HYPERLINK("https://www.sierranevada.edu", "Sierra Nevada College")</f>
        <v>Sierra Nevada College</v>
      </c>
      <c r="B194" s="18" t="s">
        <v>32</v>
      </c>
      <c r="C194" s="18" t="s">
        <v>476</v>
      </c>
      <c r="D194" s="18" t="s">
        <v>477</v>
      </c>
      <c r="E194" s="18">
        <v>1048</v>
      </c>
      <c r="F194" s="18" t="s">
        <v>35</v>
      </c>
      <c r="J194" s="19">
        <v>0.44119999999999998</v>
      </c>
      <c r="K194" s="19">
        <v>0.41935483899999998</v>
      </c>
      <c r="L194" s="19">
        <v>0.4884</v>
      </c>
      <c r="M194" s="19">
        <v>0</v>
      </c>
      <c r="N194" s="19">
        <v>0.4</v>
      </c>
      <c r="O194" s="19">
        <v>0</v>
      </c>
      <c r="P194" s="20">
        <v>49003</v>
      </c>
      <c r="Q194" s="21" t="str">
        <f>HYPERLINK("https://npc.collegeboard.org/student/app/sierranevada", "$36394")</f>
        <v>$36394</v>
      </c>
      <c r="R194" s="20">
        <v>40299</v>
      </c>
      <c r="S194" s="20">
        <v>38840</v>
      </c>
      <c r="T194" s="20">
        <v>3600</v>
      </c>
      <c r="U194" s="20">
        <v>32794</v>
      </c>
      <c r="W194" s="19">
        <v>0.37869999999999998</v>
      </c>
      <c r="X194" s="19">
        <v>0.22170000000000001</v>
      </c>
      <c r="Z194" s="18">
        <v>433</v>
      </c>
    </row>
    <row r="195" spans="1:26" ht="15.75" customHeight="1" x14ac:dyDescent="0.2">
      <c r="A195" s="36" t="str">
        <f>HYPERLINK("https://www.simmons.edu", "Simmons College")</f>
        <v>Simmons College</v>
      </c>
      <c r="B195" s="18" t="s">
        <v>32</v>
      </c>
      <c r="C195" s="18" t="s">
        <v>33</v>
      </c>
      <c r="D195" s="18" t="s">
        <v>136</v>
      </c>
      <c r="E195" s="18">
        <v>1227</v>
      </c>
      <c r="F195" s="18" t="s">
        <v>35</v>
      </c>
      <c r="J195" s="19">
        <v>0.73260000000000003</v>
      </c>
      <c r="K195" s="19">
        <v>0.74842767300000002</v>
      </c>
      <c r="L195" s="19">
        <v>0.7409</v>
      </c>
      <c r="M195" s="19">
        <v>0.54549999999999998</v>
      </c>
      <c r="N195" s="19">
        <v>0.71430000000000005</v>
      </c>
      <c r="O195" s="19">
        <v>0.8</v>
      </c>
      <c r="P195" s="20">
        <v>58230</v>
      </c>
      <c r="Q195" s="21" t="str">
        <f>HYPERLINK("https://npc.collegeboard.org/student/app/simmons", "$22249")</f>
        <v>$22249</v>
      </c>
      <c r="R195" s="20">
        <v>25367</v>
      </c>
      <c r="S195" s="20">
        <v>27856</v>
      </c>
      <c r="T195" s="20">
        <v>3830</v>
      </c>
      <c r="U195" s="20">
        <v>18419</v>
      </c>
      <c r="W195" s="19">
        <v>0.25659999999999999</v>
      </c>
      <c r="X195" s="19">
        <v>0.35129999999999989</v>
      </c>
      <c r="Z195" s="18">
        <v>1708</v>
      </c>
    </row>
    <row r="196" spans="1:26" ht="15.75" customHeight="1" x14ac:dyDescent="0.2">
      <c r="A196" s="36" t="str">
        <f>HYPERLINK("https://www.simpson.edu", "Simpson College")</f>
        <v>Simpson College</v>
      </c>
      <c r="B196" s="18" t="s">
        <v>32</v>
      </c>
      <c r="C196" s="18" t="s">
        <v>211</v>
      </c>
      <c r="D196" s="18" t="s">
        <v>478</v>
      </c>
      <c r="E196" s="18">
        <v>1178</v>
      </c>
      <c r="F196" s="18" t="s">
        <v>35</v>
      </c>
      <c r="J196" s="19">
        <v>0.68279999999999996</v>
      </c>
      <c r="K196" s="19">
        <v>0.52380952400000003</v>
      </c>
      <c r="L196" s="19">
        <v>0.70409999999999995</v>
      </c>
      <c r="M196" s="19">
        <v>0.44440000000000002</v>
      </c>
      <c r="N196" s="19">
        <v>0.5</v>
      </c>
      <c r="O196" s="19">
        <v>1</v>
      </c>
      <c r="P196" s="20">
        <v>50180</v>
      </c>
      <c r="Q196" s="21" t="str">
        <f>HYPERLINK("https://simpson.edu/financial-aid/net-price-calculator/", "$17509")</f>
        <v>$17509</v>
      </c>
      <c r="R196" s="20">
        <v>20886</v>
      </c>
      <c r="S196" s="20">
        <v>23644</v>
      </c>
      <c r="T196" s="20">
        <v>4554</v>
      </c>
      <c r="U196" s="20">
        <v>12955</v>
      </c>
      <c r="W196" s="19">
        <v>0.27410000000000001</v>
      </c>
      <c r="X196" s="19">
        <v>0.16070000000000001</v>
      </c>
      <c r="Z196" s="18">
        <v>1406</v>
      </c>
    </row>
    <row r="197" spans="1:26" ht="15.75" customHeight="1" x14ac:dyDescent="0.2">
      <c r="A197" s="36" t="str">
        <f>HYPERLINK("https://www.soka.edu", "Soka University of America")</f>
        <v>Soka University of America</v>
      </c>
      <c r="B197" s="18" t="s">
        <v>32</v>
      </c>
      <c r="C197" s="18" t="s">
        <v>68</v>
      </c>
      <c r="D197" s="18" t="s">
        <v>479</v>
      </c>
      <c r="E197" s="18">
        <v>1318</v>
      </c>
      <c r="F197" s="18" t="s">
        <v>35</v>
      </c>
      <c r="J197" s="19">
        <v>0.93640000000000001</v>
      </c>
      <c r="K197" s="19" t="s">
        <v>36</v>
      </c>
      <c r="L197" s="19">
        <v>0.83330000000000004</v>
      </c>
      <c r="M197" s="19">
        <v>0.88890000000000002</v>
      </c>
      <c r="N197" s="19">
        <v>1</v>
      </c>
      <c r="O197" s="19">
        <v>0.96</v>
      </c>
      <c r="P197" s="20">
        <v>47368</v>
      </c>
      <c r="Q197" s="21" t="str">
        <f>HYPERLINK("https://www.soka.edu/admission_aid/Financial_Aid/net-price-calculator.aspx", "$9323")</f>
        <v>$9323</v>
      </c>
      <c r="R197" s="20">
        <v>7103</v>
      </c>
      <c r="S197" s="20">
        <v>12049</v>
      </c>
      <c r="T197" s="20">
        <v>3426</v>
      </c>
      <c r="U197" s="20">
        <v>5897</v>
      </c>
      <c r="V197" s="18" t="s">
        <v>37</v>
      </c>
      <c r="W197" s="19">
        <v>0.25419999999999998</v>
      </c>
      <c r="X197" s="19">
        <v>0.79610000000000003</v>
      </c>
      <c r="Z197" s="18">
        <v>412</v>
      </c>
    </row>
    <row r="198" spans="1:26" ht="15.75" customHeight="1" x14ac:dyDescent="0.2">
      <c r="A198" s="36" t="str">
        <f>HYPERLINK("https://www.sdsmt.edu", "South Dakota School of Mines and Technology")</f>
        <v>South Dakota School of Mines and Technology</v>
      </c>
      <c r="B198" s="18" t="s">
        <v>49</v>
      </c>
      <c r="C198" s="18" t="s">
        <v>302</v>
      </c>
      <c r="D198" s="18" t="s">
        <v>480</v>
      </c>
      <c r="E198" s="18">
        <v>1267</v>
      </c>
      <c r="F198" s="18" t="s">
        <v>35</v>
      </c>
      <c r="J198" s="19">
        <v>0.50739999999999996</v>
      </c>
      <c r="K198" s="19">
        <v>0.38095238100000001</v>
      </c>
      <c r="L198" s="19">
        <v>0.52969999999999995</v>
      </c>
      <c r="M198" s="19">
        <v>0.4</v>
      </c>
      <c r="N198" s="19">
        <v>0.33329999999999999</v>
      </c>
      <c r="O198" s="19">
        <v>0</v>
      </c>
      <c r="P198" s="20">
        <v>28770</v>
      </c>
      <c r="Q198" s="21" t="str">
        <f>HYPERLINK("https://interact.sdsmt.edu/NetPriceCalculator/npcalc.htm", "$21316")</f>
        <v>$21316</v>
      </c>
      <c r="R198" s="20">
        <v>23798</v>
      </c>
      <c r="S198" s="20">
        <v>26577</v>
      </c>
      <c r="T198" s="20">
        <v>6020</v>
      </c>
      <c r="U198" s="20">
        <v>15296.777777777779</v>
      </c>
      <c r="W198" s="19">
        <v>0.2205</v>
      </c>
      <c r="X198" s="19">
        <v>0.16689999999999999</v>
      </c>
      <c r="Z198" s="18">
        <v>2295</v>
      </c>
    </row>
    <row r="199" spans="1:26" ht="15.75" customHeight="1" x14ac:dyDescent="0.2">
      <c r="A199" s="36" t="str">
        <f>HYPERLINK("https://www.southwestern.edu", "Southwestern University")</f>
        <v>Southwestern University</v>
      </c>
      <c r="B199" s="18" t="s">
        <v>32</v>
      </c>
      <c r="C199" s="18" t="s">
        <v>146</v>
      </c>
      <c r="D199" s="18" t="s">
        <v>481</v>
      </c>
      <c r="E199" s="18">
        <v>1230</v>
      </c>
      <c r="F199" s="18" t="s">
        <v>35</v>
      </c>
      <c r="J199" s="19">
        <v>0.73839999999999995</v>
      </c>
      <c r="K199" s="19">
        <v>0.609375</v>
      </c>
      <c r="L199" s="19">
        <v>0.755</v>
      </c>
      <c r="M199" s="19">
        <v>0.84619999999999995</v>
      </c>
      <c r="N199" s="19">
        <v>0.69089999999999996</v>
      </c>
      <c r="O199" s="19">
        <v>0.58819999999999995</v>
      </c>
      <c r="P199" s="20">
        <v>54330</v>
      </c>
      <c r="Q199" s="21" t="str">
        <f>HYPERLINK("https://www.southwestern.edu/scholarships-financial-aid/grants-loans/net-price-calculator/", "$19323")</f>
        <v>$19323</v>
      </c>
      <c r="R199" s="20">
        <v>21124</v>
      </c>
      <c r="S199" s="20">
        <v>25217</v>
      </c>
      <c r="T199" s="20">
        <v>2600</v>
      </c>
      <c r="U199" s="20">
        <v>16723</v>
      </c>
      <c r="W199" s="19">
        <v>0.25390000000000001</v>
      </c>
      <c r="X199" s="19">
        <v>0.39650000000000002</v>
      </c>
      <c r="Z199" s="18">
        <v>1387</v>
      </c>
    </row>
    <row r="200" spans="1:26" ht="15.75" customHeight="1" x14ac:dyDescent="0.2">
      <c r="A200" s="36" t="str">
        <f>HYPERLINK("https://www.spelman.edu", "Spelman College")</f>
        <v>Spelman College</v>
      </c>
      <c r="B200" s="18" t="s">
        <v>32</v>
      </c>
      <c r="C200" s="18" t="s">
        <v>107</v>
      </c>
      <c r="D200" s="18" t="s">
        <v>108</v>
      </c>
      <c r="E200" s="18">
        <v>1163</v>
      </c>
      <c r="F200" s="18" t="s">
        <v>35</v>
      </c>
      <c r="J200" s="19">
        <v>0.7429</v>
      </c>
      <c r="K200" s="19">
        <v>0.65048543700000006</v>
      </c>
      <c r="L200" s="19" t="s">
        <v>36</v>
      </c>
      <c r="M200" s="19">
        <v>0.74270000000000003</v>
      </c>
      <c r="N200" s="19">
        <v>0</v>
      </c>
      <c r="O200" s="19">
        <v>1</v>
      </c>
      <c r="P200" s="20">
        <v>51642</v>
      </c>
      <c r="Q200" s="21" t="str">
        <f>HYPERLINK("https://spelman.studentaidcalculator.com/welcome.aspx", "$33062")</f>
        <v>$33062</v>
      </c>
      <c r="R200" s="20">
        <v>35708</v>
      </c>
      <c r="S200" s="20">
        <v>41213</v>
      </c>
      <c r="T200" s="20">
        <v>10000</v>
      </c>
      <c r="U200" s="20">
        <v>23062</v>
      </c>
      <c r="W200" s="19">
        <v>0.48559999999999998</v>
      </c>
      <c r="X200" s="19">
        <v>0.99909999999999999</v>
      </c>
      <c r="Z200" s="18">
        <v>2134</v>
      </c>
    </row>
    <row r="201" spans="1:26" ht="15.75" customHeight="1" x14ac:dyDescent="0.2">
      <c r="A201" s="36" t="str">
        <f>HYPERLINK("https://www.stephens.edu", "Stephens College")</f>
        <v>Stephens College</v>
      </c>
      <c r="B201" s="18" t="s">
        <v>32</v>
      </c>
      <c r="C201" s="18" t="s">
        <v>164</v>
      </c>
      <c r="D201" s="18" t="s">
        <v>165</v>
      </c>
      <c r="E201" s="18">
        <v>1099</v>
      </c>
      <c r="F201" s="18" t="s">
        <v>35</v>
      </c>
      <c r="J201" s="19">
        <v>0.60870000000000002</v>
      </c>
      <c r="K201" s="19">
        <v>0.47916666699999999</v>
      </c>
      <c r="L201" s="19">
        <v>0.6552</v>
      </c>
      <c r="M201" s="19">
        <v>0.375</v>
      </c>
      <c r="N201" s="19">
        <v>0.66669999999999996</v>
      </c>
      <c r="O201" s="19" t="s">
        <v>36</v>
      </c>
      <c r="P201" s="20">
        <v>45148</v>
      </c>
      <c r="Q201" s="21" t="str">
        <f>HYPERLINK("https://www.stephens.edu/admissions-and-aid/financial-aid/net-price-calculator/", "$19804")</f>
        <v>$19804</v>
      </c>
      <c r="R201" s="20">
        <v>22799</v>
      </c>
      <c r="S201" s="20">
        <v>27117</v>
      </c>
      <c r="T201" s="20">
        <v>4380</v>
      </c>
      <c r="U201" s="20">
        <v>15424</v>
      </c>
      <c r="W201" s="19">
        <v>0.46229999999999999</v>
      </c>
      <c r="X201" s="19">
        <v>0.34620000000000001</v>
      </c>
      <c r="Z201" s="18">
        <v>647</v>
      </c>
    </row>
    <row r="202" spans="1:26" ht="15.75" customHeight="1" x14ac:dyDescent="0.2">
      <c r="A202" s="36" t="str">
        <f>HYPERLINK("https://www.stetson.edu", "Stetson University")</f>
        <v>Stetson University</v>
      </c>
      <c r="B202" s="18" t="s">
        <v>32</v>
      </c>
      <c r="C202" s="18" t="s">
        <v>162</v>
      </c>
      <c r="D202" s="18" t="s">
        <v>482</v>
      </c>
      <c r="E202" s="18" t="s">
        <v>36</v>
      </c>
      <c r="F202" s="18" t="s">
        <v>90</v>
      </c>
      <c r="J202" s="19">
        <v>0.62319999999999998</v>
      </c>
      <c r="K202" s="19">
        <v>0.54444444400000003</v>
      </c>
      <c r="L202" s="19">
        <v>0.63519999999999999</v>
      </c>
      <c r="M202" s="19">
        <v>0.55930000000000002</v>
      </c>
      <c r="N202" s="19">
        <v>0.58330000000000004</v>
      </c>
      <c r="O202" s="19">
        <v>0.77780000000000005</v>
      </c>
      <c r="P202" s="20">
        <v>61374</v>
      </c>
      <c r="Q202" s="21" t="str">
        <f>HYPERLINK("https://stetson.studentaidcalculator.com/survey.aspx", "$23672")</f>
        <v>$23672</v>
      </c>
      <c r="R202" s="20">
        <v>27883</v>
      </c>
      <c r="S202" s="20">
        <v>29145</v>
      </c>
      <c r="T202" s="20">
        <v>4200</v>
      </c>
      <c r="U202" s="20">
        <v>19472</v>
      </c>
      <c r="W202" s="19">
        <v>0.31919999999999998</v>
      </c>
      <c r="X202" s="19">
        <v>0.38469999999999999</v>
      </c>
      <c r="Z202" s="18">
        <v>3031</v>
      </c>
    </row>
    <row r="203" spans="1:26" ht="15.75" customHeight="1" x14ac:dyDescent="0.2">
      <c r="A203" s="36" t="str">
        <f>HYPERLINK("https://www.stockton.edu", "Stockton University")</f>
        <v>Stockton University</v>
      </c>
      <c r="B203" s="18" t="s">
        <v>49</v>
      </c>
      <c r="C203" s="18" t="s">
        <v>141</v>
      </c>
      <c r="D203" s="18" t="s">
        <v>483</v>
      </c>
      <c r="E203" s="18">
        <v>1105</v>
      </c>
      <c r="F203" s="18" t="s">
        <v>35</v>
      </c>
      <c r="J203" s="19">
        <v>0.72840000000000005</v>
      </c>
      <c r="K203" s="19">
        <v>0.63204225400000003</v>
      </c>
      <c r="L203" s="19">
        <v>0.75309999999999999</v>
      </c>
      <c r="M203" s="19">
        <v>0.61219999999999997</v>
      </c>
      <c r="N203" s="19">
        <v>0.56000000000000005</v>
      </c>
      <c r="O203" s="19">
        <v>0.71879999999999999</v>
      </c>
      <c r="P203" s="20">
        <v>37234</v>
      </c>
      <c r="Q203" s="21" t="str">
        <f>HYPERLINK("https://intraweb.stockton.edu/eyos/page.cfm?siteID=91&amp;pageID=76", "$24317")</f>
        <v>$24317</v>
      </c>
      <c r="R203" s="20">
        <v>28557</v>
      </c>
      <c r="S203" s="20">
        <v>32651</v>
      </c>
      <c r="T203" s="20">
        <v>4757</v>
      </c>
      <c r="U203" s="20">
        <v>19560.352941176468</v>
      </c>
      <c r="W203" s="19">
        <v>0.3997</v>
      </c>
      <c r="X203" s="19">
        <v>0.31559999999999999</v>
      </c>
      <c r="Z203" s="18">
        <v>8242</v>
      </c>
    </row>
    <row r="204" spans="1:26" ht="15.75" customHeight="1" x14ac:dyDescent="0.2">
      <c r="A204" s="36" t="str">
        <f>HYPERLINK("https://www.stonehill.edu", "Stonehill College")</f>
        <v>Stonehill College</v>
      </c>
      <c r="B204" s="18" t="s">
        <v>32</v>
      </c>
      <c r="C204" s="18" t="s">
        <v>33</v>
      </c>
      <c r="D204" s="18" t="s">
        <v>128</v>
      </c>
      <c r="E204" s="18" t="s">
        <v>36</v>
      </c>
      <c r="F204" s="18" t="s">
        <v>45</v>
      </c>
      <c r="J204" s="19">
        <v>0.80069999999999997</v>
      </c>
      <c r="K204" s="19">
        <v>0.74137931000000001</v>
      </c>
      <c r="L204" s="19">
        <v>0.81689999999999996</v>
      </c>
      <c r="M204" s="19">
        <v>0.55559999999999998</v>
      </c>
      <c r="N204" s="19">
        <v>0.66669999999999996</v>
      </c>
      <c r="O204" s="19">
        <v>0.91669999999999996</v>
      </c>
      <c r="P204" s="20">
        <v>59560</v>
      </c>
      <c r="Q204" s="21" t="str">
        <f>HYPERLINK("https://www.stonehill.edu/financial-aid/cost-of-attendance/net-price-calculator/", "$21088")</f>
        <v>$21088</v>
      </c>
      <c r="R204" s="20">
        <v>27061</v>
      </c>
      <c r="S204" s="20">
        <v>32005</v>
      </c>
      <c r="T204" s="20">
        <v>2500</v>
      </c>
      <c r="U204" s="20">
        <v>18588</v>
      </c>
      <c r="W204" s="19">
        <v>0.1673</v>
      </c>
      <c r="X204" s="19">
        <v>0.15240000000000001</v>
      </c>
      <c r="Z204" s="18">
        <v>2494</v>
      </c>
    </row>
    <row r="205" spans="1:26" ht="15.75" customHeight="1" x14ac:dyDescent="0.2">
      <c r="A205" s="36" t="str">
        <f>HYPERLINK("https://www.susqu.edu", "Susquehanna University")</f>
        <v>Susquehanna University</v>
      </c>
      <c r="B205" s="18" t="s">
        <v>32</v>
      </c>
      <c r="C205" s="18" t="s">
        <v>65</v>
      </c>
      <c r="D205" s="18" t="s">
        <v>484</v>
      </c>
      <c r="E205" s="18" t="s">
        <v>36</v>
      </c>
      <c r="F205" s="18" t="s">
        <v>90</v>
      </c>
      <c r="J205" s="19">
        <v>0.70620000000000005</v>
      </c>
      <c r="K205" s="19">
        <v>0.61038961000000003</v>
      </c>
      <c r="L205" s="19">
        <v>0.72270000000000001</v>
      </c>
      <c r="M205" s="19">
        <v>0.55169999999999997</v>
      </c>
      <c r="N205" s="19">
        <v>0.6552</v>
      </c>
      <c r="O205" s="19">
        <v>0.33329999999999999</v>
      </c>
      <c r="P205" s="20">
        <v>59780</v>
      </c>
      <c r="Q205" s="21" t="str">
        <f>HYPERLINK("https://www.susqu.edu/admission-and-aid/tuition-and-financial-aid/net-price-calculator", "$17860")</f>
        <v>$17860</v>
      </c>
      <c r="R205" s="20">
        <v>22917</v>
      </c>
      <c r="S205" s="20">
        <v>25964</v>
      </c>
      <c r="T205" s="20">
        <v>2220</v>
      </c>
      <c r="U205" s="20">
        <v>15640</v>
      </c>
      <c r="W205" s="19">
        <v>0.25690000000000002</v>
      </c>
      <c r="X205" s="19">
        <v>0.2006</v>
      </c>
      <c r="Z205" s="18">
        <v>2283</v>
      </c>
    </row>
    <row r="206" spans="1:26" ht="15.75" customHeight="1" x14ac:dyDescent="0.2">
      <c r="A206" s="36" t="str">
        <f>HYPERLINK("https://www.taylor.edu", "Taylor University")</f>
        <v>Taylor University</v>
      </c>
      <c r="B206" s="18" t="s">
        <v>32</v>
      </c>
      <c r="C206" s="18" t="s">
        <v>148</v>
      </c>
      <c r="D206" s="18" t="s">
        <v>485</v>
      </c>
      <c r="E206" s="18">
        <v>1204</v>
      </c>
      <c r="F206" s="18" t="s">
        <v>35</v>
      </c>
      <c r="J206" s="19">
        <v>0.78520000000000001</v>
      </c>
      <c r="K206" s="19">
        <v>0.59420289900000001</v>
      </c>
      <c r="L206" s="19">
        <v>0.8034</v>
      </c>
      <c r="M206" s="19">
        <v>0.6</v>
      </c>
      <c r="N206" s="19">
        <v>0.75</v>
      </c>
      <c r="O206" s="19">
        <v>0.57140000000000002</v>
      </c>
      <c r="P206" s="20">
        <v>45330</v>
      </c>
      <c r="Q206" s="21" t="str">
        <f>HYPERLINK("https://www.taylor.edu/tuition-and-funding/net-price-calculator", "$18045")</f>
        <v>$18045</v>
      </c>
      <c r="R206" s="20">
        <v>22446</v>
      </c>
      <c r="S206" s="20">
        <v>25098</v>
      </c>
      <c r="T206" s="20">
        <v>3200</v>
      </c>
      <c r="U206" s="20">
        <v>14845</v>
      </c>
      <c r="W206" s="19">
        <v>0.1661</v>
      </c>
      <c r="X206" s="19">
        <v>0.16850000000000001</v>
      </c>
      <c r="Z206" s="18">
        <v>1858</v>
      </c>
    </row>
    <row r="207" spans="1:26" ht="15.75" customHeight="1" x14ac:dyDescent="0.2">
      <c r="A207" s="36" t="str">
        <f>HYPERLINK("https://www.temple.edu", "Temple University")</f>
        <v>Temple University</v>
      </c>
      <c r="B207" s="18" t="s">
        <v>49</v>
      </c>
      <c r="C207" s="18" t="s">
        <v>65</v>
      </c>
      <c r="D207" s="18" t="s">
        <v>168</v>
      </c>
      <c r="E207" s="18" t="s">
        <v>36</v>
      </c>
      <c r="F207" s="18" t="s">
        <v>45</v>
      </c>
      <c r="J207" s="19">
        <v>0.71020000000000005</v>
      </c>
      <c r="K207" s="19">
        <v>0.68181818199999999</v>
      </c>
      <c r="L207" s="19">
        <v>0.73780000000000001</v>
      </c>
      <c r="M207" s="19">
        <v>0.66210000000000002</v>
      </c>
      <c r="N207" s="19">
        <v>0.64019999999999999</v>
      </c>
      <c r="O207" s="19">
        <v>0.66749999999999998</v>
      </c>
      <c r="P207" s="20">
        <v>44190</v>
      </c>
      <c r="Q207" s="21" t="str">
        <f>HYPERLINK("https://npc.collegeboard.org/student/app/temple", "$31479")</f>
        <v>$31479</v>
      </c>
      <c r="R207" s="20">
        <v>34828</v>
      </c>
      <c r="S207" s="20">
        <v>37175</v>
      </c>
      <c r="T207" s="20">
        <v>4076</v>
      </c>
      <c r="U207" s="20">
        <v>27403.389743589749</v>
      </c>
      <c r="W207" s="19">
        <v>0.31630000000000003</v>
      </c>
      <c r="X207" s="19">
        <v>0.44030000000000002</v>
      </c>
      <c r="Z207" s="18">
        <v>29037</v>
      </c>
    </row>
    <row r="208" spans="1:26" ht="15.75" customHeight="1" x14ac:dyDescent="0.2">
      <c r="A208" s="36" t="str">
        <f>HYPERLINK("https://www.collegeofidaho.edu", "The College of Idaho")</f>
        <v>The College of Idaho</v>
      </c>
      <c r="B208" s="18" t="s">
        <v>32</v>
      </c>
      <c r="C208" s="18" t="s">
        <v>486</v>
      </c>
      <c r="D208" s="18" t="s">
        <v>487</v>
      </c>
      <c r="E208" s="18" t="s">
        <v>36</v>
      </c>
      <c r="F208" s="18" t="s">
        <v>45</v>
      </c>
      <c r="J208" s="19">
        <v>0.66669999999999996</v>
      </c>
      <c r="K208" s="19">
        <v>0.59154929600000006</v>
      </c>
      <c r="L208" s="19">
        <v>0.67610000000000003</v>
      </c>
      <c r="M208" s="19">
        <v>0.5</v>
      </c>
      <c r="N208" s="19">
        <v>0.6341</v>
      </c>
      <c r="O208" s="19">
        <v>0.75</v>
      </c>
      <c r="P208" s="20">
        <v>41347</v>
      </c>
      <c r="Q208" s="21" t="str">
        <f>HYPERLINK("https://www.collegeofidaho.edu/admission-aid/cost/net-price-calculator", "$18236")</f>
        <v>$18236</v>
      </c>
      <c r="R208" s="20">
        <v>22464</v>
      </c>
      <c r="S208" s="20">
        <v>21877</v>
      </c>
      <c r="T208" s="20">
        <v>3400</v>
      </c>
      <c r="U208" s="20">
        <v>14836</v>
      </c>
      <c r="W208" s="19">
        <v>0.29649999999999999</v>
      </c>
      <c r="X208" s="19">
        <v>0.3590000000000001</v>
      </c>
      <c r="Z208" s="18">
        <v>936</v>
      </c>
    </row>
    <row r="209" spans="1:26" ht="15.75" customHeight="1" x14ac:dyDescent="0.2">
      <c r="A209" s="36" t="str">
        <f>HYPERLINK("https://www.wooster.edu", "The College of Wooster")</f>
        <v>The College of Wooster</v>
      </c>
      <c r="B209" s="18" t="s">
        <v>32</v>
      </c>
      <c r="C209" s="18" t="s">
        <v>75</v>
      </c>
      <c r="D209" s="18" t="s">
        <v>488</v>
      </c>
      <c r="E209" s="18">
        <v>1280</v>
      </c>
      <c r="F209" s="18" t="s">
        <v>35</v>
      </c>
      <c r="J209" s="19">
        <v>0.7671</v>
      </c>
      <c r="K209" s="19">
        <v>0.77192982499999996</v>
      </c>
      <c r="L209" s="19">
        <v>0.77669999999999995</v>
      </c>
      <c r="M209" s="19">
        <v>0.67920000000000003</v>
      </c>
      <c r="N209" s="19">
        <v>0.79169999999999996</v>
      </c>
      <c r="O209" s="19">
        <v>0.84209999999999996</v>
      </c>
      <c r="P209" s="20">
        <v>61900</v>
      </c>
      <c r="Q209" s="21" t="str">
        <f>HYPERLINK("https://www.wooster.edu/admissions/aid/calc/calc/", "$14352")</f>
        <v>$14352</v>
      </c>
      <c r="R209" s="20">
        <v>19183</v>
      </c>
      <c r="S209" s="20">
        <v>24704</v>
      </c>
      <c r="T209" s="20">
        <v>1900</v>
      </c>
      <c r="U209" s="20">
        <v>12452</v>
      </c>
      <c r="W209" s="19">
        <v>0.1608</v>
      </c>
      <c r="X209" s="19">
        <v>0.34110000000000001</v>
      </c>
      <c r="Z209" s="18">
        <v>1970</v>
      </c>
    </row>
    <row r="210" spans="1:26" ht="15.75" customHeight="1" x14ac:dyDescent="0.2">
      <c r="A210" s="36" t="str">
        <f>HYPERLINK("https://www.newschool.edu/", "The New School")</f>
        <v>The New School</v>
      </c>
      <c r="B210" s="18" t="s">
        <v>32</v>
      </c>
      <c r="C210" s="18" t="s">
        <v>38</v>
      </c>
      <c r="D210" s="18" t="s">
        <v>39</v>
      </c>
      <c r="E210" s="18">
        <v>1223</v>
      </c>
      <c r="F210" s="18" t="s">
        <v>115</v>
      </c>
      <c r="G210" s="18" t="s">
        <v>489</v>
      </c>
      <c r="H210" s="18" t="s">
        <v>490</v>
      </c>
      <c r="I210" s="18" t="s">
        <v>491</v>
      </c>
      <c r="J210" s="19">
        <v>0.67330000000000001</v>
      </c>
      <c r="K210" s="19">
        <v>0.54911433200000004</v>
      </c>
      <c r="L210" s="19">
        <v>0.60919999999999996</v>
      </c>
      <c r="M210" s="19">
        <v>0.64290000000000003</v>
      </c>
      <c r="N210" s="19">
        <v>0.55559999999999998</v>
      </c>
      <c r="O210" s="19">
        <v>0.80299999999999994</v>
      </c>
      <c r="P210" s="20">
        <v>69475</v>
      </c>
      <c r="Q210" s="21" t="str">
        <f>HYPERLINK("https://app.enrollmentfacts.com/npcNewSchool/npcNewSchool.aspx?title=0&amp;id=31&amp;state=NY&amp;theme=newschool&amp;literature=1&amp;loans=1", "$36112")</f>
        <v>$36112</v>
      </c>
      <c r="R210" s="20">
        <v>40204</v>
      </c>
      <c r="S210" s="20">
        <v>41714</v>
      </c>
      <c r="T210" s="20">
        <v>3599</v>
      </c>
      <c r="U210" s="20">
        <v>32513</v>
      </c>
      <c r="W210" s="19">
        <v>0.2074</v>
      </c>
      <c r="X210" s="19">
        <v>0.67490000000000006</v>
      </c>
      <c r="Z210" s="18">
        <v>6982</v>
      </c>
    </row>
    <row r="211" spans="1:26" ht="15.75" customHeight="1" x14ac:dyDescent="0.2">
      <c r="A211" s="36" t="str">
        <f>HYPERLINK("https://www.utk.edu", "The University of Tennessee-Knoxville")</f>
        <v>The University of Tennessee-Knoxville</v>
      </c>
      <c r="B211" s="18" t="s">
        <v>49</v>
      </c>
      <c r="C211" s="18" t="s">
        <v>174</v>
      </c>
      <c r="D211" s="18" t="s">
        <v>492</v>
      </c>
      <c r="E211" s="18">
        <v>1280</v>
      </c>
      <c r="F211" s="18" t="s">
        <v>35</v>
      </c>
      <c r="J211" s="19">
        <v>0.70230000000000004</v>
      </c>
      <c r="K211" s="19">
        <v>0.60680907900000003</v>
      </c>
      <c r="L211" s="19">
        <v>0.71989999999999998</v>
      </c>
      <c r="M211" s="19">
        <v>0.58489999999999998</v>
      </c>
      <c r="N211" s="19">
        <v>0.66099999999999992</v>
      </c>
      <c r="O211" s="19">
        <v>0.76070000000000004</v>
      </c>
      <c r="P211" s="20">
        <v>49350</v>
      </c>
      <c r="Q211" s="21" t="str">
        <f>HYPERLINK("https://onestop.utk.edu/your-money/cost-estimators/net-price-calculator/", "$31938")</f>
        <v>$31938</v>
      </c>
      <c r="R211" s="20">
        <v>41715</v>
      </c>
      <c r="S211" s="20">
        <v>43382</v>
      </c>
      <c r="T211" s="20">
        <v>7264</v>
      </c>
      <c r="U211" s="20">
        <v>24674.151260504201</v>
      </c>
      <c r="W211" s="19">
        <v>0.2712</v>
      </c>
      <c r="X211" s="19">
        <v>0.21619999999999989</v>
      </c>
      <c r="Z211" s="18">
        <v>22151</v>
      </c>
    </row>
    <row r="212" spans="1:26" ht="15.75" customHeight="1" x14ac:dyDescent="0.2">
      <c r="A212" s="36" t="str">
        <f>HYPERLINK("https://www.towson.edu", "Towson University")</f>
        <v>Towson University</v>
      </c>
      <c r="B212" s="18" t="s">
        <v>49</v>
      </c>
      <c r="C212" s="18" t="s">
        <v>124</v>
      </c>
      <c r="D212" s="18" t="s">
        <v>493</v>
      </c>
      <c r="E212" s="18">
        <v>1136</v>
      </c>
      <c r="F212" s="18" t="s">
        <v>35</v>
      </c>
      <c r="J212" s="19">
        <v>0.71719999999999995</v>
      </c>
      <c r="K212" s="19">
        <v>0.625</v>
      </c>
      <c r="L212" s="19">
        <v>0.71809999999999996</v>
      </c>
      <c r="M212" s="19">
        <v>0.74390000000000001</v>
      </c>
      <c r="N212" s="19">
        <v>0.70830000000000004</v>
      </c>
      <c r="O212" s="19">
        <v>0.70640000000000003</v>
      </c>
      <c r="P212" s="20">
        <v>38754</v>
      </c>
      <c r="Q212" s="21" t="str">
        <f>HYPERLINK("https://www.towson.edu/admissions/tuition/calculator.html", "$25091")</f>
        <v>$25091</v>
      </c>
      <c r="R212" s="20">
        <v>31782</v>
      </c>
      <c r="S212" s="20">
        <v>36943</v>
      </c>
      <c r="T212" s="20">
        <v>4430</v>
      </c>
      <c r="U212" s="20">
        <v>20661.45454545454</v>
      </c>
      <c r="W212" s="19">
        <v>0.2757</v>
      </c>
      <c r="X212" s="19">
        <v>0.43369999999999997</v>
      </c>
      <c r="Z212" s="18">
        <v>19367</v>
      </c>
    </row>
    <row r="213" spans="1:26" ht="15.75" customHeight="1" x14ac:dyDescent="0.2">
      <c r="A213" s="36" t="str">
        <f>HYPERLINK("https://www.transy.edu", "Transylvania University")</f>
        <v>Transylvania University</v>
      </c>
      <c r="B213" s="18" t="s">
        <v>32</v>
      </c>
      <c r="C213" s="18" t="s">
        <v>205</v>
      </c>
      <c r="D213" s="18" t="s">
        <v>180</v>
      </c>
      <c r="E213" s="18" t="s">
        <v>36</v>
      </c>
      <c r="F213" s="18" t="s">
        <v>90</v>
      </c>
      <c r="J213" s="19">
        <v>0.75519999999999998</v>
      </c>
      <c r="K213" s="19">
        <v>0.47222222200000002</v>
      </c>
      <c r="L213" s="19">
        <v>0.77780000000000005</v>
      </c>
      <c r="M213" s="19">
        <v>0.66669999999999996</v>
      </c>
      <c r="N213" s="19">
        <v>0.66669999999999996</v>
      </c>
      <c r="O213" s="19">
        <v>1</v>
      </c>
      <c r="P213" s="20">
        <v>50550</v>
      </c>
      <c r="Q213" s="21" t="str">
        <f>HYPERLINK("https://www.transy.edu/admission/net-price-calculator", "$20750")</f>
        <v>$20750</v>
      </c>
      <c r="R213" s="20">
        <v>20226</v>
      </c>
      <c r="S213" s="20">
        <v>25986</v>
      </c>
      <c r="T213" s="20">
        <v>3100</v>
      </c>
      <c r="U213" s="20">
        <v>17650</v>
      </c>
      <c r="W213" s="19">
        <v>0.2054</v>
      </c>
      <c r="X213" s="19">
        <v>0.20409999999999989</v>
      </c>
      <c r="Z213" s="18">
        <v>965</v>
      </c>
    </row>
    <row r="214" spans="1:26" ht="15.75" customHeight="1" x14ac:dyDescent="0.2">
      <c r="A214" s="36" t="str">
        <f>HYPERLINK("https://www.trine.edu", "Trine University")</f>
        <v>Trine University</v>
      </c>
      <c r="B214" s="18" t="s">
        <v>32</v>
      </c>
      <c r="C214" s="18" t="s">
        <v>148</v>
      </c>
      <c r="D214" s="18" t="s">
        <v>494</v>
      </c>
      <c r="E214" s="18">
        <v>1128</v>
      </c>
      <c r="F214" s="18" t="s">
        <v>35</v>
      </c>
      <c r="J214" s="19">
        <v>0.54500000000000004</v>
      </c>
      <c r="K214" s="19">
        <v>0.46511627900000002</v>
      </c>
      <c r="L214" s="19">
        <v>0.55379999999999996</v>
      </c>
      <c r="M214" s="19">
        <v>0.1176</v>
      </c>
      <c r="N214" s="19">
        <v>1</v>
      </c>
      <c r="O214" s="19">
        <v>0</v>
      </c>
      <c r="P214" s="20">
        <v>49010</v>
      </c>
      <c r="Q214" s="21" t="str">
        <f>HYPERLINK("https://www.indianacollegecosts.org/calculate-your-college-costs", "$21661")</f>
        <v>$21661</v>
      </c>
      <c r="R214" s="20">
        <v>23096</v>
      </c>
      <c r="S214" s="20">
        <v>27004</v>
      </c>
      <c r="T214" s="20">
        <v>6900</v>
      </c>
      <c r="U214" s="20">
        <v>14761</v>
      </c>
      <c r="W214" s="19">
        <v>0.15379999999999999</v>
      </c>
      <c r="X214" s="19">
        <v>0.1893</v>
      </c>
      <c r="Z214" s="18">
        <v>1939</v>
      </c>
    </row>
    <row r="215" spans="1:26" ht="15.75" customHeight="1" x14ac:dyDescent="0.2">
      <c r="A215" s="36" t="str">
        <f>HYPERLINK("https://www.uu.edu", "Union University")</f>
        <v>Union University</v>
      </c>
      <c r="B215" s="18" t="s">
        <v>32</v>
      </c>
      <c r="C215" s="18" t="s">
        <v>174</v>
      </c>
      <c r="D215" s="18" t="s">
        <v>419</v>
      </c>
      <c r="E215" s="18">
        <v>1243</v>
      </c>
      <c r="F215" s="18" t="s">
        <v>35</v>
      </c>
      <c r="J215" s="19">
        <v>0.68440000000000001</v>
      </c>
      <c r="K215" s="19">
        <v>0.54672897200000004</v>
      </c>
      <c r="L215" s="19">
        <v>0.70150000000000001</v>
      </c>
      <c r="M215" s="19">
        <v>0.37930000000000003</v>
      </c>
      <c r="N215" s="19">
        <v>0.76919999999999999</v>
      </c>
      <c r="O215" s="19">
        <v>0.72729999999999995</v>
      </c>
      <c r="P215" s="20">
        <v>51790</v>
      </c>
      <c r="Q215" s="21" t="str">
        <f>HYPERLINK("https://www.uu.edu/financialaid/undergraduate/npc/", "$19534")</f>
        <v>$19534</v>
      </c>
      <c r="R215" s="20">
        <v>20779</v>
      </c>
      <c r="S215" s="20">
        <v>24659</v>
      </c>
      <c r="T215" s="20">
        <v>9880</v>
      </c>
      <c r="U215" s="20">
        <v>9654</v>
      </c>
      <c r="W215" s="19">
        <v>0.2918</v>
      </c>
      <c r="X215" s="19">
        <v>0.26819999999999999</v>
      </c>
      <c r="Z215" s="18">
        <v>2099</v>
      </c>
    </row>
    <row r="216" spans="1:26" ht="15.75" customHeight="1" x14ac:dyDescent="0.2">
      <c r="A216" s="36" t="str">
        <f>HYPERLINK("https://www.buffalo.edu", "SUNY University at Buffalo")</f>
        <v>SUNY University at Buffalo</v>
      </c>
      <c r="B216" s="18" t="s">
        <v>49</v>
      </c>
      <c r="C216" s="18" t="s">
        <v>38</v>
      </c>
      <c r="D216" s="18" t="s">
        <v>322</v>
      </c>
      <c r="E216" s="18">
        <v>1197</v>
      </c>
      <c r="F216" s="18" t="s">
        <v>35</v>
      </c>
      <c r="G216" s="18" t="s">
        <v>51</v>
      </c>
      <c r="H216" s="18" t="s">
        <v>495</v>
      </c>
      <c r="I216" s="18" t="s">
        <v>496</v>
      </c>
      <c r="J216" s="19">
        <v>0.75280000000000002</v>
      </c>
      <c r="K216" s="19">
        <v>0.60295323999999995</v>
      </c>
      <c r="L216" s="19">
        <v>0.74939999999999996</v>
      </c>
      <c r="M216" s="19">
        <v>0.58330000000000004</v>
      </c>
      <c r="N216" s="19">
        <v>0.65580000000000005</v>
      </c>
      <c r="O216" s="19">
        <v>0.81710000000000005</v>
      </c>
      <c r="P216" s="20">
        <v>26158</v>
      </c>
      <c r="Q216" s="21" t="str">
        <f>HYPERLINK("https://financialaid.buffalo.edu/net-price-calculator/", "$12053")</f>
        <v>$12053</v>
      </c>
      <c r="R216" s="20">
        <v>18956</v>
      </c>
      <c r="S216" s="20">
        <v>22147</v>
      </c>
      <c r="T216" s="20">
        <v>3853</v>
      </c>
      <c r="U216" s="20">
        <v>8200</v>
      </c>
      <c r="W216" s="19">
        <v>0.313</v>
      </c>
      <c r="X216" s="19">
        <v>0.52429999999999999</v>
      </c>
      <c r="Z216" s="18">
        <v>20735</v>
      </c>
    </row>
    <row r="217" spans="1:26" ht="15.75" customHeight="1" x14ac:dyDescent="0.2">
      <c r="A217" s="36" t="str">
        <f>HYPERLINK("https://www.uah.edu", "University of Alabama in Huntsville")</f>
        <v>University of Alabama in Huntsville</v>
      </c>
      <c r="B217" s="18" t="s">
        <v>49</v>
      </c>
      <c r="C217" s="18" t="s">
        <v>300</v>
      </c>
      <c r="D217" s="18" t="s">
        <v>497</v>
      </c>
      <c r="E217" s="18">
        <v>1322</v>
      </c>
      <c r="F217" s="18" t="s">
        <v>35</v>
      </c>
      <c r="J217" s="19">
        <v>0.48620000000000002</v>
      </c>
      <c r="K217" s="19">
        <v>0.438003221</v>
      </c>
      <c r="L217" s="19">
        <v>0.51649999999999996</v>
      </c>
      <c r="M217" s="19">
        <v>0.29070000000000001</v>
      </c>
      <c r="N217" s="19">
        <v>0.3846</v>
      </c>
      <c r="O217" s="19">
        <v>0.59260000000000002</v>
      </c>
      <c r="P217" s="20">
        <v>36881</v>
      </c>
      <c r="Q217" s="21" t="str">
        <f>HYPERLINK("https://finaid.uah.edu/", "$31376")</f>
        <v>$31376</v>
      </c>
      <c r="R217" s="20">
        <v>35548</v>
      </c>
      <c r="S217" s="20">
        <v>36665</v>
      </c>
      <c r="T217" s="20">
        <v>5653</v>
      </c>
      <c r="U217" s="20">
        <v>25723.670807453422</v>
      </c>
      <c r="W217" s="19">
        <v>0.27650000000000002</v>
      </c>
      <c r="X217" s="19">
        <v>0.25850000000000001</v>
      </c>
      <c r="Z217" s="18">
        <v>6917</v>
      </c>
    </row>
    <row r="218" spans="1:26" ht="15.75" customHeight="1" x14ac:dyDescent="0.2">
      <c r="A218" s="36" t="str">
        <f>HYPERLINK("https://www.uark.edu", "University of Arkansas")</f>
        <v>University of Arkansas</v>
      </c>
      <c r="B218" s="18" t="s">
        <v>49</v>
      </c>
      <c r="C218" s="18" t="s">
        <v>371</v>
      </c>
      <c r="D218" s="18" t="s">
        <v>498</v>
      </c>
      <c r="E218" s="18">
        <v>1239</v>
      </c>
      <c r="F218" s="18" t="s">
        <v>35</v>
      </c>
      <c r="J218" s="19">
        <v>0.61519999999999997</v>
      </c>
      <c r="K218" s="19">
        <v>0.483214649</v>
      </c>
      <c r="L218" s="19">
        <v>0.63390000000000002</v>
      </c>
      <c r="M218" s="19">
        <v>0.43719999999999998</v>
      </c>
      <c r="N218" s="19">
        <v>0.52500000000000002</v>
      </c>
      <c r="O218" s="19">
        <v>0.65690000000000004</v>
      </c>
      <c r="P218" s="20">
        <v>40162</v>
      </c>
      <c r="Q218" s="21" t="str">
        <f>HYPERLINK("https://finaid.uark.edu/aid-calculator.php", "$30801")</f>
        <v>$30801</v>
      </c>
      <c r="R218" s="20">
        <v>34750</v>
      </c>
      <c r="S218" s="20">
        <v>36490</v>
      </c>
      <c r="T218" s="20">
        <v>5150</v>
      </c>
      <c r="U218" s="20">
        <v>25651.288135593219</v>
      </c>
      <c r="W218" s="19">
        <v>0.20430000000000001</v>
      </c>
      <c r="X218" s="19">
        <v>0.23810000000000001</v>
      </c>
      <c r="Z218" s="18">
        <v>22763</v>
      </c>
    </row>
    <row r="219" spans="1:26" ht="15.75" customHeight="1" x14ac:dyDescent="0.2">
      <c r="A219" s="36" t="str">
        <f>HYPERLINK("https://www.uci.edu/", "University of California-Irvine")</f>
        <v>University of California-Irvine</v>
      </c>
      <c r="B219" s="18" t="s">
        <v>49</v>
      </c>
      <c r="C219" s="18" t="s">
        <v>68</v>
      </c>
      <c r="D219" s="18" t="s">
        <v>340</v>
      </c>
      <c r="E219" s="18">
        <v>1291</v>
      </c>
      <c r="F219" s="18" t="s">
        <v>35</v>
      </c>
      <c r="J219" s="19">
        <v>0.8488</v>
      </c>
      <c r="K219" s="19">
        <v>0.74766977400000001</v>
      </c>
      <c r="L219" s="19">
        <v>0.85660000000000003</v>
      </c>
      <c r="M219" s="19">
        <v>0.78</v>
      </c>
      <c r="N219" s="19">
        <v>0.77390000000000003</v>
      </c>
      <c r="O219" s="19">
        <v>0.89729999999999999</v>
      </c>
      <c r="P219" s="20">
        <v>61872</v>
      </c>
      <c r="Q219" s="21" t="str">
        <f>HYPERLINK("https://www.ofas.uci.edu/content/Calculator.aspx", "$38999")</f>
        <v>$38999</v>
      </c>
      <c r="R219" s="20">
        <v>43078</v>
      </c>
      <c r="S219" s="20">
        <v>50619</v>
      </c>
      <c r="T219" s="20">
        <v>5259</v>
      </c>
      <c r="U219" s="20">
        <v>33740.696704428417</v>
      </c>
      <c r="W219" s="19">
        <v>0.4234</v>
      </c>
      <c r="X219" s="19">
        <v>0.86040000000000005</v>
      </c>
      <c r="Z219" s="18">
        <v>29295</v>
      </c>
    </row>
    <row r="220" spans="1:26" ht="15.75" customHeight="1" x14ac:dyDescent="0.2">
      <c r="A220" s="36" t="str">
        <f>HYPERLINK("https://www.ucsd.edu", "University of California-San Diego")</f>
        <v>University of California-San Diego</v>
      </c>
      <c r="B220" s="18" t="s">
        <v>49</v>
      </c>
      <c r="C220" s="18" t="s">
        <v>68</v>
      </c>
      <c r="D220" s="18" t="s">
        <v>499</v>
      </c>
      <c r="E220" s="18">
        <v>1343</v>
      </c>
      <c r="F220" s="18" t="s">
        <v>35</v>
      </c>
      <c r="J220" s="19">
        <v>0.84519999999999995</v>
      </c>
      <c r="K220" s="19">
        <v>0.71948181400000011</v>
      </c>
      <c r="L220" s="19">
        <v>0.85299999999999998</v>
      </c>
      <c r="M220" s="19">
        <v>0.69350000000000001</v>
      </c>
      <c r="N220" s="19">
        <v>0.76370000000000005</v>
      </c>
      <c r="O220" s="19">
        <v>0.90580000000000005</v>
      </c>
      <c r="P220" s="20">
        <v>60177</v>
      </c>
      <c r="Q220" s="21" t="str">
        <f>HYPERLINK("https://students.ucsd.edu/finances/financial-aid/forms/calculator.html", "$37618")</f>
        <v>$37618</v>
      </c>
      <c r="R220" s="20">
        <v>42343</v>
      </c>
      <c r="S220" s="20">
        <v>49573</v>
      </c>
      <c r="T220" s="20">
        <v>5030</v>
      </c>
      <c r="U220" s="20">
        <v>32588.64606328182</v>
      </c>
      <c r="W220" s="19">
        <v>0.3427</v>
      </c>
      <c r="X220" s="19">
        <v>0.80610000000000004</v>
      </c>
      <c r="Z220" s="18">
        <v>28577</v>
      </c>
    </row>
    <row r="221" spans="1:26" ht="15.75" customHeight="1" x14ac:dyDescent="0.2">
      <c r="A221" s="36" t="str">
        <f>HYPERLINK("https://www.ucsc.edu/", "University of California-Santa Cruz")</f>
        <v>University of California-Santa Cruz</v>
      </c>
      <c r="B221" s="18" t="s">
        <v>49</v>
      </c>
      <c r="C221" s="18" t="s">
        <v>68</v>
      </c>
      <c r="D221" s="18" t="s">
        <v>500</v>
      </c>
      <c r="E221" s="18">
        <v>1287</v>
      </c>
      <c r="F221" s="18" t="s">
        <v>35</v>
      </c>
      <c r="J221" s="19">
        <v>0.77210000000000001</v>
      </c>
      <c r="K221" s="19">
        <v>0.66969146999999996</v>
      </c>
      <c r="L221" s="19">
        <v>0.79190000000000005</v>
      </c>
      <c r="M221" s="19">
        <v>0.77780000000000005</v>
      </c>
      <c r="N221" s="19">
        <v>0.73470000000000002</v>
      </c>
      <c r="O221" s="19">
        <v>0.78649999999999998</v>
      </c>
      <c r="P221" s="20">
        <v>64054</v>
      </c>
      <c r="Q221" s="21" t="str">
        <f>HYPERLINK("https://www2.ucsc.edu/finaidcalc/", "$39849")</f>
        <v>$39849</v>
      </c>
      <c r="R221" s="20">
        <v>43951</v>
      </c>
      <c r="S221" s="20">
        <v>52440</v>
      </c>
      <c r="T221" s="20">
        <v>5965</v>
      </c>
      <c r="U221" s="20">
        <v>33884.611428571428</v>
      </c>
      <c r="W221" s="19">
        <v>0.39350000000000002</v>
      </c>
      <c r="X221" s="19">
        <v>0.68569999999999998</v>
      </c>
      <c r="Z221" s="18">
        <v>17577</v>
      </c>
    </row>
    <row r="222" spans="1:26" ht="15.75" customHeight="1" x14ac:dyDescent="0.2">
      <c r="A222" s="36" t="str">
        <f>HYPERLINK("https://www.uca.edu", "University of Central Arkansas")</f>
        <v>University of Central Arkansas</v>
      </c>
      <c r="B222" s="18" t="s">
        <v>49</v>
      </c>
      <c r="C222" s="18" t="s">
        <v>371</v>
      </c>
      <c r="D222" s="18" t="s">
        <v>372</v>
      </c>
      <c r="E222" s="18">
        <v>1175</v>
      </c>
      <c r="F222" s="18" t="s">
        <v>35</v>
      </c>
      <c r="J222" s="19">
        <v>0.41239999999999999</v>
      </c>
      <c r="K222" s="19">
        <v>0.35268817200000002</v>
      </c>
      <c r="L222" s="19">
        <v>0.45050000000000001</v>
      </c>
      <c r="M222" s="19">
        <v>0.26719999999999999</v>
      </c>
      <c r="N222" s="19">
        <v>0.36109999999999998</v>
      </c>
      <c r="O222" s="19">
        <v>0.54549999999999998</v>
      </c>
      <c r="P222" s="20">
        <v>28377</v>
      </c>
      <c r="Q222" s="21" t="str">
        <f>HYPERLINK("https://uca.edu/financialaid/financial-aid-net-price-calculator/", "$20157")</f>
        <v>$20157</v>
      </c>
      <c r="R222" s="20">
        <v>22113</v>
      </c>
      <c r="S222" s="20">
        <v>24754</v>
      </c>
      <c r="T222" s="20">
        <v>6812</v>
      </c>
      <c r="U222" s="20">
        <v>13345.461247637049</v>
      </c>
      <c r="W222" s="19">
        <v>0.39700000000000002</v>
      </c>
      <c r="X222" s="19">
        <v>0.34219999999999989</v>
      </c>
      <c r="Z222" s="18">
        <v>9034</v>
      </c>
    </row>
    <row r="223" spans="1:26" ht="15.75" customHeight="1" x14ac:dyDescent="0.2">
      <c r="A223" s="36" t="str">
        <f>HYPERLINK("https://www.ucf.edu/", "University of Central Florida")</f>
        <v>University of Central Florida</v>
      </c>
      <c r="B223" s="18" t="s">
        <v>49</v>
      </c>
      <c r="C223" s="18" t="s">
        <v>162</v>
      </c>
      <c r="D223" s="18" t="s">
        <v>501</v>
      </c>
      <c r="E223" s="18">
        <v>1249</v>
      </c>
      <c r="F223" s="18" t="s">
        <v>35</v>
      </c>
      <c r="J223" s="19">
        <v>0.70009999999999994</v>
      </c>
      <c r="K223" s="19">
        <v>0.60965180200000002</v>
      </c>
      <c r="L223" s="19">
        <v>0.71099999999999997</v>
      </c>
      <c r="M223" s="19">
        <v>0.69379999999999997</v>
      </c>
      <c r="N223" s="19">
        <v>0.68</v>
      </c>
      <c r="O223" s="19">
        <v>0.70720000000000005</v>
      </c>
      <c r="P223" s="20">
        <v>38353</v>
      </c>
      <c r="Q223" s="21" t="str">
        <f>HYPERLINK("https://finaid.ucf.edu/net-price-calculator/", "$29892")</f>
        <v>$29892</v>
      </c>
      <c r="R223" s="20">
        <v>33267</v>
      </c>
      <c r="S223" s="20">
        <v>36079</v>
      </c>
      <c r="T223" s="20">
        <v>6122</v>
      </c>
      <c r="U223" s="20">
        <v>23770.445767195772</v>
      </c>
      <c r="W223" s="19">
        <v>0.38090000000000002</v>
      </c>
      <c r="X223" s="19">
        <v>0.5071</v>
      </c>
      <c r="Z223" s="18">
        <v>56366</v>
      </c>
    </row>
    <row r="224" spans="1:26" ht="15.75" customHeight="1" x14ac:dyDescent="0.2">
      <c r="A224" s="36" t="str">
        <f>HYPERLINK("https://www.uc.edu", "University of Cincinnati-Main Campus")</f>
        <v>University of Cincinnati-Main Campus</v>
      </c>
      <c r="B224" s="18" t="s">
        <v>49</v>
      </c>
      <c r="C224" s="18" t="s">
        <v>75</v>
      </c>
      <c r="D224" s="18" t="s">
        <v>502</v>
      </c>
      <c r="E224" s="18">
        <v>1230</v>
      </c>
      <c r="F224" s="18" t="s">
        <v>35</v>
      </c>
      <c r="J224" s="19">
        <v>0.68859999999999999</v>
      </c>
      <c r="K224" s="19">
        <v>0.31038062300000002</v>
      </c>
      <c r="L224" s="19">
        <v>0.69879999999999998</v>
      </c>
      <c r="M224" s="19">
        <v>0.57330000000000003</v>
      </c>
      <c r="N224" s="19">
        <v>0.66669999999999996</v>
      </c>
      <c r="O224" s="19">
        <v>0.7419</v>
      </c>
      <c r="P224" s="20">
        <v>44490</v>
      </c>
      <c r="Q224" s="21" t="str">
        <f>HYPERLINK("https://npc.collegeboard.org/student/app/uc", "$34679")</f>
        <v>$34679</v>
      </c>
      <c r="R224" s="20">
        <v>39648</v>
      </c>
      <c r="S224" s="20">
        <v>42418</v>
      </c>
      <c r="T224" s="20">
        <v>6038</v>
      </c>
      <c r="U224" s="20">
        <v>28641.555932203391</v>
      </c>
      <c r="W224" s="19">
        <v>0.21590000000000001</v>
      </c>
      <c r="X224" s="19">
        <v>0.25850000000000001</v>
      </c>
      <c r="Z224" s="18">
        <v>25523</v>
      </c>
    </row>
    <row r="225" spans="1:26" ht="15.75" customHeight="1" x14ac:dyDescent="0.2">
      <c r="A225" s="36" t="str">
        <f>HYPERLINK("https://www.colorado.edu", "University of Colorado Boulder")</f>
        <v>University of Colorado Boulder</v>
      </c>
      <c r="B225" s="18" t="s">
        <v>49</v>
      </c>
      <c r="C225" s="18" t="s">
        <v>87</v>
      </c>
      <c r="D225" s="18" t="s">
        <v>503</v>
      </c>
      <c r="E225" s="18">
        <v>1293</v>
      </c>
      <c r="F225" s="18" t="s">
        <v>35</v>
      </c>
      <c r="J225" s="19">
        <v>0.68810000000000004</v>
      </c>
      <c r="K225" s="19">
        <v>0.55394990399999999</v>
      </c>
      <c r="L225" s="19">
        <v>0.70520000000000005</v>
      </c>
      <c r="M225" s="19">
        <v>0.48680000000000001</v>
      </c>
      <c r="N225" s="19">
        <v>0.61850000000000005</v>
      </c>
      <c r="O225" s="19">
        <v>0.69920000000000004</v>
      </c>
      <c r="P225" s="20">
        <v>54312</v>
      </c>
      <c r="Q225" s="21" t="str">
        <f>HYPERLINK("https://ofa.colorado.edu/NetPriceCalculator/", "$37934")</f>
        <v>$37934</v>
      </c>
      <c r="R225" s="20">
        <v>43622</v>
      </c>
      <c r="S225" s="20">
        <v>49431</v>
      </c>
      <c r="T225" s="20">
        <v>4094</v>
      </c>
      <c r="U225" s="20">
        <v>33840.396917148362</v>
      </c>
      <c r="W225" s="19">
        <v>0.159</v>
      </c>
      <c r="X225" s="19">
        <v>0.32550000000000001</v>
      </c>
      <c r="Z225" s="18">
        <v>28565</v>
      </c>
    </row>
    <row r="226" spans="1:26" ht="15.75" customHeight="1" x14ac:dyDescent="0.2">
      <c r="A226" s="36" t="str">
        <f>HYPERLINK("https://www.uccs.edu", "University of Colorado Colorado Springs")</f>
        <v>University of Colorado Colorado Springs</v>
      </c>
      <c r="B226" s="18" t="s">
        <v>49</v>
      </c>
      <c r="C226" s="18" t="s">
        <v>87</v>
      </c>
      <c r="D226" s="18" t="s">
        <v>88</v>
      </c>
      <c r="E226" s="18">
        <v>1162</v>
      </c>
      <c r="F226" s="18" t="s">
        <v>35</v>
      </c>
      <c r="J226" s="19">
        <v>0.43290000000000001</v>
      </c>
      <c r="K226" s="19">
        <v>0.45068493199999998</v>
      </c>
      <c r="L226" s="19">
        <v>0.43490000000000001</v>
      </c>
      <c r="M226" s="19">
        <v>0.30430000000000001</v>
      </c>
      <c r="N226" s="19">
        <v>0.44640000000000002</v>
      </c>
      <c r="O226" s="19">
        <v>0.55169999999999997</v>
      </c>
      <c r="P226" s="20">
        <v>36298</v>
      </c>
      <c r="Q226" s="21" t="str">
        <f>HYPERLINK("https://www.uccs.edu/ir/standard-reports/net-price-calculators.html", "$27819")</f>
        <v>$27819</v>
      </c>
      <c r="R226" s="20">
        <v>31198</v>
      </c>
      <c r="S226" s="20">
        <v>34359</v>
      </c>
      <c r="T226" s="20">
        <v>6400</v>
      </c>
      <c r="U226" s="20">
        <v>21419.840686274511</v>
      </c>
      <c r="W226" s="19">
        <v>0.30959999999999999</v>
      </c>
      <c r="X226" s="19">
        <v>0.35659999999999997</v>
      </c>
      <c r="Z226" s="18">
        <v>10344</v>
      </c>
    </row>
    <row r="227" spans="1:26" ht="15.75" customHeight="1" x14ac:dyDescent="0.2">
      <c r="A227" s="36" t="str">
        <f>HYPERLINK("https://uconn.edu/", "University of Connecticut-Avery Point")</f>
        <v>University of Connecticut-Avery Point</v>
      </c>
      <c r="B227" s="18" t="s">
        <v>49</v>
      </c>
      <c r="C227" s="18" t="s">
        <v>94</v>
      </c>
      <c r="D227" s="18" t="s">
        <v>504</v>
      </c>
      <c r="E227" s="18">
        <v>1111</v>
      </c>
      <c r="F227" s="18" t="s">
        <v>35</v>
      </c>
      <c r="J227" s="19">
        <v>0.5837</v>
      </c>
      <c r="K227" s="19">
        <v>0.63967136200000008</v>
      </c>
      <c r="L227" s="19">
        <v>0.58040000000000003</v>
      </c>
      <c r="M227" s="19">
        <v>0.57140000000000002</v>
      </c>
      <c r="N227" s="19">
        <v>0.6</v>
      </c>
      <c r="O227" s="19">
        <v>0.57889999999999997</v>
      </c>
      <c r="P227" s="20">
        <v>51070</v>
      </c>
      <c r="Q227" s="21" t="str">
        <f>HYPERLINK("https://financialaid.uconn.edu/pricecalc/", "$39719")</f>
        <v>$39719</v>
      </c>
      <c r="R227" s="20">
        <v>43176</v>
      </c>
      <c r="S227" s="20">
        <v>49312</v>
      </c>
      <c r="T227" s="20">
        <v>3650</v>
      </c>
      <c r="U227" s="20">
        <v>36069.327272727271</v>
      </c>
      <c r="W227" s="19">
        <v>0.26319999999999999</v>
      </c>
      <c r="X227" s="19">
        <v>0.32150000000000001</v>
      </c>
      <c r="Z227" s="18">
        <v>619</v>
      </c>
    </row>
    <row r="228" spans="1:26" ht="15.75" customHeight="1" x14ac:dyDescent="0.2">
      <c r="A228" s="36" t="str">
        <f>HYPERLINK("https://www.udallas.edu", "University of Dallas")</f>
        <v>University of Dallas</v>
      </c>
      <c r="B228" s="18" t="s">
        <v>32</v>
      </c>
      <c r="C228" s="18" t="s">
        <v>146</v>
      </c>
      <c r="D228" s="18" t="s">
        <v>505</v>
      </c>
      <c r="E228" s="18">
        <v>1278</v>
      </c>
      <c r="F228" s="18" t="s">
        <v>35</v>
      </c>
      <c r="J228" s="19">
        <v>0.68189999999999995</v>
      </c>
      <c r="K228" s="19">
        <v>0.44444444399999999</v>
      </c>
      <c r="L228" s="19">
        <v>0.69379999999999997</v>
      </c>
      <c r="M228" s="19">
        <v>0.4</v>
      </c>
      <c r="N228" s="19">
        <v>0.625</v>
      </c>
      <c r="O228" s="19">
        <v>1</v>
      </c>
      <c r="P228" s="20">
        <v>54876</v>
      </c>
      <c r="Q228" s="21" t="str">
        <f>HYPERLINK("https://www.udallas.edu/admissions/calculator/index.php", "$18387")</f>
        <v>$18387</v>
      </c>
      <c r="R228" s="20">
        <v>20505</v>
      </c>
      <c r="S228" s="20">
        <v>21356</v>
      </c>
      <c r="T228" s="20">
        <v>4200</v>
      </c>
      <c r="U228" s="20">
        <v>14187</v>
      </c>
      <c r="W228" s="19">
        <v>0.22739999999999999</v>
      </c>
      <c r="X228" s="19">
        <v>0.38540000000000002</v>
      </c>
      <c r="Z228" s="18">
        <v>1440</v>
      </c>
    </row>
    <row r="229" spans="1:26" ht="15.75" customHeight="1" x14ac:dyDescent="0.2">
      <c r="A229" s="36" t="str">
        <f>HYPERLINK("https://www.udayton.edu", "University of Dayton")</f>
        <v>University of Dayton</v>
      </c>
      <c r="B229" s="18" t="s">
        <v>32</v>
      </c>
      <c r="C229" s="18" t="s">
        <v>75</v>
      </c>
      <c r="D229" s="18" t="s">
        <v>506</v>
      </c>
      <c r="E229" s="18">
        <v>1254</v>
      </c>
      <c r="F229" s="18" t="s">
        <v>35</v>
      </c>
      <c r="J229" s="19">
        <v>0.78680000000000005</v>
      </c>
      <c r="K229" s="19">
        <v>0.56756756799999997</v>
      </c>
      <c r="L229" s="19">
        <v>0.80049999999999999</v>
      </c>
      <c r="M229" s="19">
        <v>0.70689999999999997</v>
      </c>
      <c r="N229" s="19">
        <v>0.66200000000000003</v>
      </c>
      <c r="O229" s="19">
        <v>0.80769999999999997</v>
      </c>
      <c r="P229" s="20">
        <v>57680</v>
      </c>
      <c r="Q229" s="21" t="str">
        <f>HYPERLINK("https://udayton.edu/netprice/index.php", "$27732")</f>
        <v>$27732</v>
      </c>
      <c r="R229" s="20">
        <v>28171</v>
      </c>
      <c r="S229" s="20">
        <v>31021</v>
      </c>
      <c r="T229" s="20">
        <v>2750</v>
      </c>
      <c r="U229" s="20">
        <v>24982</v>
      </c>
      <c r="W229" s="19">
        <v>0.1071</v>
      </c>
      <c r="X229" s="19">
        <v>0.2074</v>
      </c>
      <c r="Z229" s="18">
        <v>8422</v>
      </c>
    </row>
    <row r="230" spans="1:26" ht="15.75" customHeight="1" x14ac:dyDescent="0.2">
      <c r="A230" s="36" t="str">
        <f>HYPERLINK("https://www.udel.edu/", "University of Delaware")</f>
        <v>University of Delaware</v>
      </c>
      <c r="B230" s="18" t="s">
        <v>49</v>
      </c>
      <c r="C230" s="18" t="s">
        <v>507</v>
      </c>
      <c r="D230" s="18" t="s">
        <v>425</v>
      </c>
      <c r="E230" s="18">
        <v>1250</v>
      </c>
      <c r="F230" s="18" t="s">
        <v>35</v>
      </c>
      <c r="J230" s="19">
        <v>0.82350000000000001</v>
      </c>
      <c r="K230" s="19">
        <v>0.59763313600000001</v>
      </c>
      <c r="L230" s="19">
        <v>0.8347</v>
      </c>
      <c r="M230" s="19">
        <v>0.75970000000000004</v>
      </c>
      <c r="N230" s="19">
        <v>0.77810000000000001</v>
      </c>
      <c r="O230" s="19">
        <v>0.81330000000000002</v>
      </c>
      <c r="P230" s="20">
        <v>47782</v>
      </c>
      <c r="Q230" s="21" t="str">
        <f>HYPERLINK("https://www1.udel.edu/npc/", "$34496")</f>
        <v>$34496</v>
      </c>
      <c r="R230" s="20">
        <v>36742</v>
      </c>
      <c r="S230" s="20">
        <v>40503</v>
      </c>
      <c r="T230" s="20">
        <v>2300</v>
      </c>
      <c r="U230" s="20">
        <v>32196.633663366341</v>
      </c>
      <c r="W230" s="19">
        <v>0.1389</v>
      </c>
      <c r="X230" s="19">
        <v>0.28199999999999997</v>
      </c>
      <c r="Z230" s="18">
        <v>18948</v>
      </c>
    </row>
    <row r="231" spans="1:26" ht="15.75" customHeight="1" x14ac:dyDescent="0.2">
      <c r="A231" s="36" t="str">
        <f>HYPERLINK("https://www.du.edu", "University of Denver")</f>
        <v>University of Denver</v>
      </c>
      <c r="B231" s="18" t="s">
        <v>32</v>
      </c>
      <c r="C231" s="18" t="s">
        <v>87</v>
      </c>
      <c r="D231" s="18" t="s">
        <v>508</v>
      </c>
      <c r="E231" s="18">
        <v>1294</v>
      </c>
      <c r="F231" s="18" t="s">
        <v>35</v>
      </c>
      <c r="J231" s="19">
        <v>0.75119999999999998</v>
      </c>
      <c r="K231" s="19">
        <v>0.63358778599999999</v>
      </c>
      <c r="L231" s="19">
        <v>0.78049999999999997</v>
      </c>
      <c r="M231" s="19">
        <v>0.70589999999999997</v>
      </c>
      <c r="N231" s="19">
        <v>0.67469999999999997</v>
      </c>
      <c r="O231" s="19">
        <v>0.6522</v>
      </c>
      <c r="P231" s="20">
        <v>65376</v>
      </c>
      <c r="Q231" s="21" t="str">
        <f>HYPERLINK("https://www.du.edu/financialaid/undergraduate/calculator/", "$21335")</f>
        <v>$21335</v>
      </c>
      <c r="R231" s="20">
        <v>28934</v>
      </c>
      <c r="S231" s="20">
        <v>29315</v>
      </c>
      <c r="T231" s="20">
        <v>4095</v>
      </c>
      <c r="U231" s="20">
        <v>17240</v>
      </c>
      <c r="W231" s="19">
        <v>0.15379999999999999</v>
      </c>
      <c r="X231" s="19">
        <v>0.31309999999999999</v>
      </c>
      <c r="Z231" s="18">
        <v>5753</v>
      </c>
    </row>
    <row r="232" spans="1:26" ht="15.75" customHeight="1" x14ac:dyDescent="0.2">
      <c r="A232" s="36" t="str">
        <f>HYPERLINK("https://www.evansville.edu/", "University of Evansville")</f>
        <v>University of Evansville</v>
      </c>
      <c r="B232" s="18" t="s">
        <v>32</v>
      </c>
      <c r="C232" s="18" t="s">
        <v>148</v>
      </c>
      <c r="D232" s="18" t="s">
        <v>509</v>
      </c>
      <c r="E232" s="18">
        <v>1187</v>
      </c>
      <c r="F232" s="18" t="s">
        <v>115</v>
      </c>
      <c r="J232" s="19">
        <v>0.71700000000000008</v>
      </c>
      <c r="K232" s="19">
        <v>0.52571428600000003</v>
      </c>
      <c r="L232" s="19">
        <v>0.72489999999999999</v>
      </c>
      <c r="M232" s="19">
        <v>0.38890000000000002</v>
      </c>
      <c r="N232" s="19">
        <v>0.52629999999999999</v>
      </c>
      <c r="O232" s="19">
        <v>1</v>
      </c>
      <c r="P232" s="20">
        <v>50868</v>
      </c>
      <c r="Q232" s="21" t="str">
        <f>HYPERLINK("https://www.evansville.edu/tuitionandaid/calculator.cfm", "$14495")</f>
        <v>$14495</v>
      </c>
      <c r="R232" s="20">
        <v>20211</v>
      </c>
      <c r="S232" s="20">
        <v>25251</v>
      </c>
      <c r="T232" s="20">
        <v>3314</v>
      </c>
      <c r="U232" s="20">
        <v>11181</v>
      </c>
      <c r="W232" s="19">
        <v>0.22570000000000001</v>
      </c>
      <c r="X232" s="19">
        <v>0.27229999999999999</v>
      </c>
      <c r="Z232" s="18">
        <v>2049</v>
      </c>
    </row>
    <row r="233" spans="1:26" ht="15.75" customHeight="1" x14ac:dyDescent="0.2">
      <c r="A233" s="36" t="str">
        <f>HYPERLINK("https://manoa.hawaii.edu", "University of Hawaii at Manoa")</f>
        <v>University of Hawaii at Manoa</v>
      </c>
      <c r="B233" s="18" t="s">
        <v>49</v>
      </c>
      <c r="C233" s="18" t="s">
        <v>313</v>
      </c>
      <c r="D233" s="18" t="s">
        <v>510</v>
      </c>
      <c r="E233" s="18">
        <v>1154</v>
      </c>
      <c r="F233" s="18" t="s">
        <v>35</v>
      </c>
      <c r="J233" s="19">
        <v>0.59950000000000003</v>
      </c>
      <c r="K233" s="19">
        <v>0.54419410800000001</v>
      </c>
      <c r="L233" s="19">
        <v>0.44030000000000002</v>
      </c>
      <c r="M233" s="19">
        <v>0.28000000000000003</v>
      </c>
      <c r="N233" s="19">
        <v>0.51080000000000003</v>
      </c>
      <c r="O233" s="19">
        <v>0.72640000000000005</v>
      </c>
      <c r="P233" s="20">
        <v>51550</v>
      </c>
      <c r="Q233" s="21" t="str">
        <f>HYPERLINK("https://www.hawaii.edu/fas/basics/calculator.php", "$40595")</f>
        <v>$40595</v>
      </c>
      <c r="R233" s="20">
        <v>44615</v>
      </c>
      <c r="S233" s="20">
        <v>46684</v>
      </c>
      <c r="T233" s="20">
        <v>4091</v>
      </c>
      <c r="U233" s="20">
        <v>36504.29</v>
      </c>
      <c r="W233" s="19">
        <v>0.29749999999999999</v>
      </c>
      <c r="X233" s="19">
        <v>0.82979999999999998</v>
      </c>
      <c r="Z233" s="18">
        <v>12583</v>
      </c>
    </row>
    <row r="234" spans="1:26" ht="15.75" customHeight="1" x14ac:dyDescent="0.2">
      <c r="A234" s="36" t="str">
        <f>HYPERLINK("https://www.uh.edu/", "University of Houston")</f>
        <v>University of Houston</v>
      </c>
      <c r="B234" s="18" t="s">
        <v>49</v>
      </c>
      <c r="C234" s="18" t="s">
        <v>146</v>
      </c>
      <c r="D234" s="18" t="s">
        <v>147</v>
      </c>
      <c r="E234" s="18">
        <v>1202</v>
      </c>
      <c r="F234" s="18" t="s">
        <v>35</v>
      </c>
      <c r="J234" s="19">
        <v>0.53680000000000005</v>
      </c>
      <c r="K234" s="19">
        <v>0.50900763399999993</v>
      </c>
      <c r="L234" s="19">
        <v>0.50729999999999997</v>
      </c>
      <c r="M234" s="19">
        <v>0.45879999999999999</v>
      </c>
      <c r="N234" s="19">
        <v>0.51070000000000004</v>
      </c>
      <c r="O234" s="19">
        <v>0.64359999999999995</v>
      </c>
      <c r="P234" s="20">
        <v>37306</v>
      </c>
      <c r="Q234" s="21" t="str">
        <f>HYPERLINK("https://www.uh.edu/financial/net-price-calculator/", "$25849")</f>
        <v>$25849</v>
      </c>
      <c r="R234" s="20">
        <v>28449</v>
      </c>
      <c r="S234" s="20">
        <v>33439</v>
      </c>
      <c r="T234" s="20">
        <v>5256</v>
      </c>
      <c r="U234" s="20">
        <v>20593.790281329919</v>
      </c>
      <c r="W234" s="19">
        <v>0.37440000000000001</v>
      </c>
      <c r="X234" s="19">
        <v>0.76329999999999998</v>
      </c>
      <c r="Z234" s="18">
        <v>35985</v>
      </c>
    </row>
    <row r="235" spans="1:26" ht="15.75" customHeight="1" x14ac:dyDescent="0.2">
      <c r="A235" s="36" t="str">
        <f>HYPERLINK("https://www.uic.edu", "University of Illinois at Chicago")</f>
        <v>University of Illinois at Chicago</v>
      </c>
      <c r="B235" s="18" t="s">
        <v>49</v>
      </c>
      <c r="C235" s="18" t="s">
        <v>137</v>
      </c>
      <c r="D235" s="18" t="s">
        <v>161</v>
      </c>
      <c r="E235" s="18">
        <v>1150</v>
      </c>
      <c r="F235" s="18" t="s">
        <v>35</v>
      </c>
      <c r="J235" s="19">
        <v>0.56569999999999998</v>
      </c>
      <c r="K235" s="19">
        <v>0.60787671200000004</v>
      </c>
      <c r="L235" s="19">
        <v>0.5958</v>
      </c>
      <c r="M235" s="19">
        <v>0.43769999999999998</v>
      </c>
      <c r="N235" s="19">
        <v>0.4945</v>
      </c>
      <c r="O235" s="19">
        <v>0.64939999999999998</v>
      </c>
      <c r="P235" s="20">
        <v>43518</v>
      </c>
      <c r="Q235" s="21" t="str">
        <f>HYPERLINK("https://www.financialaid.uic.edu/npcalc.shtml", "$28613")</f>
        <v>$28613</v>
      </c>
      <c r="R235" s="20">
        <v>32947</v>
      </c>
      <c r="S235" s="20">
        <v>40341</v>
      </c>
      <c r="T235" s="20">
        <v>5028</v>
      </c>
      <c r="U235" s="20">
        <v>23585.175999999999</v>
      </c>
      <c r="W235" s="19">
        <v>0.52059999999999995</v>
      </c>
      <c r="X235" s="19">
        <v>0.69920000000000004</v>
      </c>
      <c r="Z235" s="18">
        <v>19106</v>
      </c>
    </row>
    <row r="236" spans="1:26" ht="15.75" customHeight="1" x14ac:dyDescent="0.2">
      <c r="A236" s="36" t="str">
        <f>HYPERLINK("https://www.uis.edu", "University of Illinois at Springfield")</f>
        <v>University of Illinois at Springfield</v>
      </c>
      <c r="B236" s="18" t="s">
        <v>49</v>
      </c>
      <c r="C236" s="18" t="s">
        <v>137</v>
      </c>
      <c r="D236" s="18" t="s">
        <v>349</v>
      </c>
      <c r="E236" s="18">
        <v>1159</v>
      </c>
      <c r="F236" s="18" t="s">
        <v>35</v>
      </c>
      <c r="J236" s="19">
        <v>0.50209999999999999</v>
      </c>
      <c r="K236" s="19">
        <v>0.47341772199999999</v>
      </c>
      <c r="L236" s="19">
        <v>0.50970000000000004</v>
      </c>
      <c r="M236" s="19">
        <v>0.58819999999999995</v>
      </c>
      <c r="N236" s="19">
        <v>0.35289999999999999</v>
      </c>
      <c r="O236" s="19">
        <v>0.4</v>
      </c>
      <c r="P236" s="20">
        <v>34598</v>
      </c>
      <c r="Q236" s="21" t="str">
        <f>HYPERLINK("https://www.uis.edu/financialaid/cost/index.html", "$19889")</f>
        <v>$19889</v>
      </c>
      <c r="R236" s="20">
        <v>24449</v>
      </c>
      <c r="S236" s="20">
        <v>27057</v>
      </c>
      <c r="T236" s="20">
        <v>3900</v>
      </c>
      <c r="U236" s="20">
        <v>15989.45652173913</v>
      </c>
      <c r="W236" s="19">
        <v>0.34939999999999999</v>
      </c>
      <c r="X236" s="19">
        <v>0.34420000000000001</v>
      </c>
      <c r="Z236" s="18">
        <v>2833</v>
      </c>
    </row>
    <row r="237" spans="1:26" ht="15.75" customHeight="1" x14ac:dyDescent="0.2">
      <c r="A237" s="36" t="str">
        <f>HYPERLINK("https://www.uiowa.edu", "University of Iowa")</f>
        <v>University of Iowa</v>
      </c>
      <c r="B237" s="18" t="s">
        <v>49</v>
      </c>
      <c r="C237" s="18" t="s">
        <v>211</v>
      </c>
      <c r="D237" s="18" t="s">
        <v>511</v>
      </c>
      <c r="E237" s="18">
        <v>1232</v>
      </c>
      <c r="F237" s="18" t="s">
        <v>35</v>
      </c>
      <c r="J237" s="19">
        <v>0.73540000000000005</v>
      </c>
      <c r="K237" s="19">
        <v>0.62644281200000007</v>
      </c>
      <c r="L237" s="19">
        <v>0.74880000000000002</v>
      </c>
      <c r="M237" s="19">
        <v>0.58620000000000005</v>
      </c>
      <c r="N237" s="19">
        <v>0.66339999999999999</v>
      </c>
      <c r="O237" s="19">
        <v>0.70830000000000004</v>
      </c>
      <c r="P237" s="20">
        <v>44251</v>
      </c>
      <c r="Q237" s="21" t="str">
        <f>HYPERLINK("https://npc.collegeboard.org/student/app/uiowa", "$32461")</f>
        <v>$32461</v>
      </c>
      <c r="R237" s="20">
        <v>36596</v>
      </c>
      <c r="S237" s="20">
        <v>39795</v>
      </c>
      <c r="T237" s="20">
        <v>3192</v>
      </c>
      <c r="U237" s="20">
        <v>29269.94758909853</v>
      </c>
      <c r="W237" s="19">
        <v>0.1857</v>
      </c>
      <c r="X237" s="19">
        <v>0.28670000000000001</v>
      </c>
      <c r="Z237" s="18">
        <v>23349</v>
      </c>
    </row>
    <row r="238" spans="1:26" ht="15.75" customHeight="1" x14ac:dyDescent="0.2">
      <c r="A238" s="36" t="str">
        <f>HYPERLINK("https://www.louisville.edu", "University of Louisville")</f>
        <v>University of Louisville</v>
      </c>
      <c r="B238" s="18" t="s">
        <v>49</v>
      </c>
      <c r="C238" s="18" t="s">
        <v>205</v>
      </c>
      <c r="D238" s="18" t="s">
        <v>306</v>
      </c>
      <c r="E238" s="18">
        <v>1211</v>
      </c>
      <c r="F238" s="18" t="s">
        <v>35</v>
      </c>
      <c r="J238" s="19">
        <v>0.54410000000000003</v>
      </c>
      <c r="K238" s="19">
        <v>0.42915309499999998</v>
      </c>
      <c r="L238" s="19">
        <v>0.55489999999999995</v>
      </c>
      <c r="M238" s="19">
        <v>0.4965</v>
      </c>
      <c r="N238" s="19">
        <v>0.42109999999999997</v>
      </c>
      <c r="O238" s="19">
        <v>0.63639999999999997</v>
      </c>
      <c r="P238" s="20">
        <v>41472</v>
      </c>
      <c r="Q238" s="21" t="str">
        <f>HYPERLINK("https://louisville.studentaidcalculator.com/survey.aspx", "$28366")</f>
        <v>$28366</v>
      </c>
      <c r="R238" s="20">
        <v>32811</v>
      </c>
      <c r="S238" s="20">
        <v>36220</v>
      </c>
      <c r="T238" s="20">
        <v>6812</v>
      </c>
      <c r="U238" s="20">
        <v>21554.592013888891</v>
      </c>
      <c r="W238" s="19">
        <v>0.26989999999999997</v>
      </c>
      <c r="X238" s="19">
        <v>0.26859999999999989</v>
      </c>
      <c r="Z238" s="18">
        <v>14550</v>
      </c>
    </row>
    <row r="239" spans="1:26" ht="15.75" customHeight="1" x14ac:dyDescent="0.2">
      <c r="A239" s="36" t="str">
        <f>HYPERLINK("https://www.umw.edu", "University of Mary Washington")</f>
        <v>University of Mary Washington</v>
      </c>
      <c r="B239" s="18" t="s">
        <v>49</v>
      </c>
      <c r="C239" s="18" t="s">
        <v>83</v>
      </c>
      <c r="D239" s="18" t="s">
        <v>512</v>
      </c>
      <c r="E239" s="18">
        <v>1178</v>
      </c>
      <c r="F239" s="18" t="s">
        <v>35</v>
      </c>
      <c r="J239" s="19">
        <v>0.70650000000000002</v>
      </c>
      <c r="K239" s="19">
        <v>0.67073170700000007</v>
      </c>
      <c r="L239" s="19">
        <v>0.71740000000000004</v>
      </c>
      <c r="M239" s="19">
        <v>0.69769999999999999</v>
      </c>
      <c r="N239" s="19">
        <v>0.625</v>
      </c>
      <c r="O239" s="19">
        <v>0.8</v>
      </c>
      <c r="P239" s="20">
        <v>42716</v>
      </c>
      <c r="Q239" s="21" t="str">
        <f>HYPERLINK("https://adminfinance.umw.edu/umwstatic/financialaid/NetPriceCalculator/npcalc.htm", "$30377")</f>
        <v>$30377</v>
      </c>
      <c r="R239" s="20">
        <v>37756</v>
      </c>
      <c r="S239" s="20">
        <v>42330</v>
      </c>
      <c r="T239" s="20">
        <v>4431</v>
      </c>
      <c r="U239" s="20">
        <v>25946.391304347821</v>
      </c>
      <c r="W239" s="19">
        <v>0.18729999999999999</v>
      </c>
      <c r="X239" s="19">
        <v>0.30599999999999988</v>
      </c>
      <c r="Z239" s="18">
        <v>4366</v>
      </c>
    </row>
    <row r="240" spans="1:26" ht="15.75" customHeight="1" x14ac:dyDescent="0.2">
      <c r="A240" s="36" t="str">
        <f>HYPERLINK("https://www.umaryland.edu", "University of Maryland  Baltimore")</f>
        <v>University of Maryland  Baltimore</v>
      </c>
      <c r="B240" s="18" t="s">
        <v>49</v>
      </c>
      <c r="C240" s="18" t="s">
        <v>124</v>
      </c>
      <c r="D240" s="18" t="s">
        <v>125</v>
      </c>
      <c r="E240" s="18" t="s">
        <v>36</v>
      </c>
      <c r="F240" s="18" t="s">
        <v>36</v>
      </c>
      <c r="J240" s="19" t="s">
        <v>36</v>
      </c>
      <c r="K240" s="19">
        <v>0.92338709699999999</v>
      </c>
      <c r="L240" s="19" t="s">
        <v>36</v>
      </c>
      <c r="M240" s="19" t="s">
        <v>36</v>
      </c>
      <c r="N240" s="19" t="s">
        <v>36</v>
      </c>
      <c r="O240" s="19" t="s">
        <v>36</v>
      </c>
      <c r="P240" s="20" t="s">
        <v>36</v>
      </c>
      <c r="Q240" s="21" t="str">
        <f>HYPERLINK("https://www.umaryland.edu/oac/student-right-to-know/", "Not reported")</f>
        <v>Not reported</v>
      </c>
      <c r="R240" s="20" t="s">
        <v>36</v>
      </c>
      <c r="S240" s="20" t="s">
        <v>36</v>
      </c>
      <c r="T240" s="20" t="s">
        <v>36</v>
      </c>
      <c r="U240" s="20" t="s">
        <v>36</v>
      </c>
      <c r="W240" s="19">
        <v>0.19339999999999999</v>
      </c>
      <c r="X240" s="19">
        <v>0.5131</v>
      </c>
      <c r="Z240" s="18">
        <v>918</v>
      </c>
    </row>
    <row r="241" spans="1:26" ht="15.75" customHeight="1" x14ac:dyDescent="0.2">
      <c r="A241" s="36" t="str">
        <f>HYPERLINK("https://umbc.edu", "University of Maryland-Baltimore County")</f>
        <v>University of Maryland-Baltimore County</v>
      </c>
      <c r="B241" s="18" t="s">
        <v>49</v>
      </c>
      <c r="C241" s="18" t="s">
        <v>124</v>
      </c>
      <c r="D241" s="18" t="s">
        <v>125</v>
      </c>
      <c r="E241" s="18">
        <v>1255</v>
      </c>
      <c r="F241" s="18" t="s">
        <v>35</v>
      </c>
      <c r="J241" s="19">
        <v>0.63419999999999999</v>
      </c>
      <c r="K241" s="19">
        <v>0.48340548300000002</v>
      </c>
      <c r="L241" s="19">
        <v>0.65629999999999999</v>
      </c>
      <c r="M241" s="19">
        <v>0.62360000000000004</v>
      </c>
      <c r="N241" s="19">
        <v>0.57450000000000001</v>
      </c>
      <c r="O241" s="19">
        <v>0.65700000000000003</v>
      </c>
      <c r="P241" s="20">
        <v>41674</v>
      </c>
      <c r="Q241" s="21" t="str">
        <f>HYPERLINK("https://ofas.umbc.edu/netprice/", "$30815")</f>
        <v>$30815</v>
      </c>
      <c r="R241" s="20">
        <v>37892</v>
      </c>
      <c r="S241" s="20">
        <v>41103</v>
      </c>
      <c r="T241" s="20">
        <v>4184</v>
      </c>
      <c r="U241" s="20">
        <v>26631.76497695853</v>
      </c>
      <c r="W241" s="19">
        <v>0.28470000000000001</v>
      </c>
      <c r="X241" s="19">
        <v>0.58909999999999996</v>
      </c>
      <c r="Z241" s="18">
        <v>11130</v>
      </c>
    </row>
    <row r="242" spans="1:26" ht="15.75" customHeight="1" x14ac:dyDescent="0.2">
      <c r="A242" s="36" t="str">
        <f>HYPERLINK("https://www.umass.edu", "University of Massachusetts-Amherst")</f>
        <v>University of Massachusetts-Amherst</v>
      </c>
      <c r="B242" s="18" t="s">
        <v>49</v>
      </c>
      <c r="C242" s="18" t="s">
        <v>33</v>
      </c>
      <c r="D242" s="18" t="s">
        <v>34</v>
      </c>
      <c r="E242" s="18">
        <v>1288</v>
      </c>
      <c r="F242" s="18" t="s">
        <v>35</v>
      </c>
      <c r="J242" s="19">
        <v>0.77180000000000004</v>
      </c>
      <c r="K242" s="19">
        <v>0.66358595200000003</v>
      </c>
      <c r="L242" s="19">
        <v>0.77659999999999996</v>
      </c>
      <c r="M242" s="19">
        <v>0.71220000000000006</v>
      </c>
      <c r="N242" s="19">
        <v>0.67810000000000004</v>
      </c>
      <c r="O242" s="19">
        <v>0.79669999999999996</v>
      </c>
      <c r="P242" s="20">
        <v>48135</v>
      </c>
      <c r="Q242" s="21" t="str">
        <f>HYPERLINK("https://www.umass.edu/umfa/sites/default/files/netprice/npcalc.htm", "$31101")</f>
        <v>$31101</v>
      </c>
      <c r="R242" s="20">
        <v>35893</v>
      </c>
      <c r="S242" s="20">
        <v>42094</v>
      </c>
      <c r="T242" s="20">
        <v>2400</v>
      </c>
      <c r="U242" s="20">
        <v>28701.611510791368</v>
      </c>
      <c r="W242" s="19">
        <v>0.22500000000000001</v>
      </c>
      <c r="X242" s="19">
        <v>0.35580000000000001</v>
      </c>
      <c r="Z242" s="18">
        <v>23010</v>
      </c>
    </row>
    <row r="243" spans="1:26" ht="15.75" customHeight="1" x14ac:dyDescent="0.2">
      <c r="A243" s="36" t="str">
        <f>HYPERLINK("https://umdearborn.edu/", "University of Michigan-Dearborn")</f>
        <v>University of Michigan-Dearborn</v>
      </c>
      <c r="B243" s="18" t="s">
        <v>49</v>
      </c>
      <c r="C243" s="18" t="s">
        <v>226</v>
      </c>
      <c r="D243" s="18" t="s">
        <v>513</v>
      </c>
      <c r="E243" s="18">
        <v>1187</v>
      </c>
      <c r="F243" s="18" t="s">
        <v>35</v>
      </c>
      <c r="J243" s="19">
        <v>0.5444</v>
      </c>
      <c r="K243" s="19">
        <v>0.47279792799999998</v>
      </c>
      <c r="L243" s="19">
        <v>0.55830000000000002</v>
      </c>
      <c r="M243" s="19">
        <v>0.49020000000000002</v>
      </c>
      <c r="N243" s="19">
        <v>0.44640000000000002</v>
      </c>
      <c r="O243" s="19">
        <v>0.57350000000000001</v>
      </c>
      <c r="P243" s="20">
        <v>37470</v>
      </c>
      <c r="Q243" s="21" t="str">
        <f>HYPERLINK("https://umdearborn.edu/students/financial-aid/calculators/net-price-calculator", "$25934")</f>
        <v>$25934</v>
      </c>
      <c r="R243" s="20">
        <v>29594</v>
      </c>
      <c r="S243" s="20">
        <v>30724</v>
      </c>
      <c r="T243" s="20">
        <v>4492</v>
      </c>
      <c r="U243" s="20">
        <v>21442.641160949868</v>
      </c>
      <c r="W243" s="19">
        <v>0.41670000000000001</v>
      </c>
      <c r="X243" s="19">
        <v>0.30790000000000001</v>
      </c>
      <c r="Z243" s="18">
        <v>6961</v>
      </c>
    </row>
    <row r="244" spans="1:26" ht="15.75" customHeight="1" x14ac:dyDescent="0.2">
      <c r="A244" s="36" t="str">
        <f>HYPERLINK("https://www4.morris.umn.edu/", "University of Minnesota-Morris")</f>
        <v>University of Minnesota-Morris</v>
      </c>
      <c r="B244" s="18" t="s">
        <v>49</v>
      </c>
      <c r="C244" s="18" t="s">
        <v>72</v>
      </c>
      <c r="D244" s="18" t="s">
        <v>514</v>
      </c>
      <c r="E244" s="18">
        <v>1219</v>
      </c>
      <c r="F244" s="18" t="s">
        <v>35</v>
      </c>
      <c r="J244" s="19">
        <v>0.58660000000000001</v>
      </c>
      <c r="K244" s="19">
        <v>0.404255319</v>
      </c>
      <c r="L244" s="19">
        <v>0.63190000000000002</v>
      </c>
      <c r="M244" s="19">
        <v>0.4</v>
      </c>
      <c r="N244" s="19">
        <v>0.25</v>
      </c>
      <c r="O244" s="19">
        <v>0.375</v>
      </c>
      <c r="P244" s="20">
        <v>25942</v>
      </c>
      <c r="Q244" s="21" t="str">
        <f>HYPERLINK("https://npc.collegeboard.org/student/app/dumn?iframe=true", "$5484")</f>
        <v>$5484</v>
      </c>
      <c r="R244" s="20">
        <v>10530</v>
      </c>
      <c r="S244" s="20">
        <v>16946</v>
      </c>
      <c r="T244" s="20">
        <v>2700</v>
      </c>
      <c r="U244" s="20">
        <v>2784.9166666666679</v>
      </c>
      <c r="W244" s="19">
        <v>0.30099999999999999</v>
      </c>
      <c r="X244" s="19">
        <v>0.42080000000000001</v>
      </c>
      <c r="Z244" s="18">
        <v>1554</v>
      </c>
    </row>
    <row r="245" spans="1:26" ht="15.75" customHeight="1" x14ac:dyDescent="0.2">
      <c r="A245" s="36" t="str">
        <f>HYPERLINK("https://www.umkc.edu/", "University of Missouri-Kansas City")</f>
        <v>University of Missouri-Kansas City</v>
      </c>
      <c r="B245" s="18" t="s">
        <v>49</v>
      </c>
      <c r="C245" s="18" t="s">
        <v>164</v>
      </c>
      <c r="D245" s="18" t="s">
        <v>515</v>
      </c>
      <c r="E245" s="18">
        <v>1197</v>
      </c>
      <c r="F245" s="18" t="s">
        <v>35</v>
      </c>
      <c r="J245" s="19">
        <v>0.48470000000000002</v>
      </c>
      <c r="K245" s="19">
        <v>0.44882629099999999</v>
      </c>
      <c r="L245" s="19">
        <v>0.51990000000000003</v>
      </c>
      <c r="M245" s="19">
        <v>0.2833</v>
      </c>
      <c r="N245" s="19">
        <v>0.57889999999999997</v>
      </c>
      <c r="O245" s="19">
        <v>0.65710000000000002</v>
      </c>
      <c r="P245" s="20">
        <v>35311</v>
      </c>
      <c r="Q245" s="21" t="str">
        <f>HYPERLINK("https://finaid.umkc.edu/cost/net-price-calculator/", "$26713")</f>
        <v>$26713</v>
      </c>
      <c r="R245" s="20">
        <v>29377</v>
      </c>
      <c r="S245" s="20">
        <v>31825</v>
      </c>
      <c r="T245" s="20">
        <v>4492</v>
      </c>
      <c r="U245" s="20">
        <v>22221.09523809524</v>
      </c>
      <c r="W245" s="19">
        <v>0.24379999999999999</v>
      </c>
      <c r="X245" s="19">
        <v>0.43440000000000001</v>
      </c>
      <c r="Z245" s="18">
        <v>7854</v>
      </c>
    </row>
    <row r="246" spans="1:26" ht="15.75" customHeight="1" x14ac:dyDescent="0.2">
      <c r="A246" s="36" t="str">
        <f>HYPERLINK("https://www.umsl.edu/", "University of Missouri-St Louis")</f>
        <v>University of Missouri-St Louis</v>
      </c>
      <c r="B246" s="18" t="s">
        <v>49</v>
      </c>
      <c r="C246" s="18" t="s">
        <v>164</v>
      </c>
      <c r="D246" s="18" t="s">
        <v>179</v>
      </c>
      <c r="E246" s="18">
        <v>1197</v>
      </c>
      <c r="F246" s="18" t="s">
        <v>35</v>
      </c>
      <c r="J246" s="19">
        <v>0.55649999999999999</v>
      </c>
      <c r="K246" s="19">
        <v>0.45519429</v>
      </c>
      <c r="L246" s="19">
        <v>0.58660000000000001</v>
      </c>
      <c r="M246" s="19">
        <v>0.4632</v>
      </c>
      <c r="N246" s="19">
        <v>0.3846</v>
      </c>
      <c r="O246" s="19">
        <v>0.58620000000000005</v>
      </c>
      <c r="P246" s="20">
        <v>40607</v>
      </c>
      <c r="Q246" s="21" t="str">
        <f>HYPERLINK("https://www.umsl.edu/services/finaid/npc/index.html", "$26493")</f>
        <v>$26493</v>
      </c>
      <c r="R246" s="20">
        <v>29975</v>
      </c>
      <c r="S246" s="20">
        <v>33305</v>
      </c>
      <c r="T246" s="20">
        <v>4962</v>
      </c>
      <c r="U246" s="20">
        <v>21531.54545454546</v>
      </c>
      <c r="W246" s="19">
        <v>0.2354</v>
      </c>
      <c r="X246" s="19">
        <v>0.36380000000000001</v>
      </c>
      <c r="Z246" s="18">
        <v>7362</v>
      </c>
    </row>
    <row r="247" spans="1:26" ht="15.75" customHeight="1" x14ac:dyDescent="0.2">
      <c r="A247" s="36" t="str">
        <f>HYPERLINK("https://www.unl.edu/", "University of Nebraska-Lincoln")</f>
        <v>University of Nebraska-Lincoln</v>
      </c>
      <c r="B247" s="18" t="s">
        <v>49</v>
      </c>
      <c r="C247" s="18" t="s">
        <v>341</v>
      </c>
      <c r="D247" s="18" t="s">
        <v>516</v>
      </c>
      <c r="E247" s="18">
        <v>1235</v>
      </c>
      <c r="F247" s="18" t="s">
        <v>35</v>
      </c>
      <c r="J247" s="19">
        <v>0.67949999999999999</v>
      </c>
      <c r="K247" s="19">
        <v>0.52961672500000001</v>
      </c>
      <c r="L247" s="19">
        <v>0.69700000000000006</v>
      </c>
      <c r="M247" s="19">
        <v>0.51519999999999999</v>
      </c>
      <c r="N247" s="19">
        <v>0.5766</v>
      </c>
      <c r="O247" s="19">
        <v>0.6905</v>
      </c>
      <c r="P247" s="20">
        <v>40182</v>
      </c>
      <c r="Q247" s="21" t="str">
        <f>HYPERLINK("https://wam.unl.edu/cost/calculator.jsp", "$30167")</f>
        <v>$30167</v>
      </c>
      <c r="R247" s="20">
        <v>33172</v>
      </c>
      <c r="S247" s="20">
        <v>37149</v>
      </c>
      <c r="T247" s="20">
        <v>5040</v>
      </c>
      <c r="U247" s="20">
        <v>25127.007800312011</v>
      </c>
      <c r="W247" s="19">
        <v>0.21529999999999999</v>
      </c>
      <c r="X247" s="19">
        <v>0.25249999999999989</v>
      </c>
      <c r="Z247" s="18">
        <v>20954</v>
      </c>
    </row>
    <row r="248" spans="1:26" ht="15.75" customHeight="1" x14ac:dyDescent="0.2">
      <c r="A248" s="36" t="str">
        <f>HYPERLINK("https://manchester.unh.edu", "University of New Hampshire at Manchester")</f>
        <v>University of New Hampshire at Manchester</v>
      </c>
      <c r="B248" s="18" t="s">
        <v>49</v>
      </c>
      <c r="C248" s="18" t="s">
        <v>101</v>
      </c>
      <c r="D248" s="18" t="s">
        <v>466</v>
      </c>
      <c r="E248" s="18">
        <v>1135</v>
      </c>
      <c r="F248" s="18" t="s">
        <v>35</v>
      </c>
      <c r="J248" s="19">
        <v>0.4</v>
      </c>
      <c r="K248" s="19">
        <v>0.66</v>
      </c>
      <c r="L248" s="19">
        <v>0.44</v>
      </c>
      <c r="M248" s="19">
        <v>0</v>
      </c>
      <c r="N248" s="19">
        <v>0</v>
      </c>
      <c r="O248" s="19">
        <v>0</v>
      </c>
      <c r="P248" s="20">
        <v>48559</v>
      </c>
      <c r="Q248" s="21" t="str">
        <f>HYPERLINK("https://npc.collegeboard.org/student/app/unh", "$41011")</f>
        <v>$41011</v>
      </c>
      <c r="R248" s="20">
        <v>45146</v>
      </c>
      <c r="S248" s="20">
        <v>48559</v>
      </c>
      <c r="T248" s="20">
        <v>8251</v>
      </c>
      <c r="U248" s="20">
        <v>32760.76923076923</v>
      </c>
      <c r="W248" s="19">
        <v>0.25659999999999999</v>
      </c>
      <c r="X248" s="19">
        <v>0.26019999999999999</v>
      </c>
      <c r="Z248" s="18">
        <v>711</v>
      </c>
    </row>
    <row r="249" spans="1:26" ht="15.75" customHeight="1" x14ac:dyDescent="0.2">
      <c r="A249" s="36" t="str">
        <f>HYPERLINK("https://www.unh.edu", "University of New Hampshire-Main Campus")</f>
        <v>University of New Hampshire-Main Campus</v>
      </c>
      <c r="B249" s="18" t="s">
        <v>49</v>
      </c>
      <c r="C249" s="18" t="s">
        <v>101</v>
      </c>
      <c r="D249" s="18" t="s">
        <v>106</v>
      </c>
      <c r="E249" s="18">
        <v>1177</v>
      </c>
      <c r="F249" s="18" t="s">
        <v>35</v>
      </c>
      <c r="J249" s="19">
        <v>0.77769999999999995</v>
      </c>
      <c r="K249" s="19">
        <v>0.66</v>
      </c>
      <c r="L249" s="19">
        <v>0.78979999999999995</v>
      </c>
      <c r="M249" s="19">
        <v>0.67569999999999997</v>
      </c>
      <c r="N249" s="19">
        <v>0.72150000000000003</v>
      </c>
      <c r="O249" s="19">
        <v>0.77029999999999998</v>
      </c>
      <c r="P249" s="20">
        <v>47570</v>
      </c>
      <c r="Q249" s="21" t="str">
        <f>HYPERLINK("https://npc.collegeboard.org/student/app/unh", "$32218")</f>
        <v>$32218</v>
      </c>
      <c r="R249" s="20">
        <v>37624</v>
      </c>
      <c r="S249" s="20">
        <v>42458</v>
      </c>
      <c r="T249" s="20">
        <v>3667</v>
      </c>
      <c r="U249" s="20">
        <v>28551.127753303961</v>
      </c>
      <c r="W249" s="19">
        <v>0.2026</v>
      </c>
      <c r="X249" s="19">
        <v>0.17330000000000001</v>
      </c>
      <c r="Z249" s="18">
        <v>12847</v>
      </c>
    </row>
    <row r="250" spans="1:26" ht="15.75" customHeight="1" x14ac:dyDescent="0.2">
      <c r="A250" s="36" t="str">
        <f>HYPERLINK("https://www.uno.edu", "University of New Orleans")</f>
        <v>University of New Orleans</v>
      </c>
      <c r="B250" s="18" t="s">
        <v>49</v>
      </c>
      <c r="C250" s="18" t="s">
        <v>158</v>
      </c>
      <c r="D250" s="18" t="s">
        <v>159</v>
      </c>
      <c r="E250" s="18">
        <v>1126</v>
      </c>
      <c r="F250" s="18" t="s">
        <v>35</v>
      </c>
      <c r="J250" s="19">
        <v>0.32279999999999998</v>
      </c>
      <c r="K250" s="19">
        <v>0.37167199200000001</v>
      </c>
      <c r="L250" s="19">
        <v>0.34110000000000001</v>
      </c>
      <c r="M250" s="19">
        <v>0.26429999999999998</v>
      </c>
      <c r="N250" s="19">
        <v>0.30630000000000002</v>
      </c>
      <c r="O250" s="19">
        <v>0.30769999999999997</v>
      </c>
      <c r="P250" s="20">
        <v>28568</v>
      </c>
      <c r="Q250" s="21" t="str">
        <f>HYPERLINK("https://www.uno.edu/admissions/npcalc.htm", "$19703")</f>
        <v>$19703</v>
      </c>
      <c r="R250" s="20">
        <v>22571</v>
      </c>
      <c r="S250" s="20">
        <v>23797</v>
      </c>
      <c r="T250" s="20">
        <v>4673</v>
      </c>
      <c r="U250" s="20">
        <v>15030.30985915493</v>
      </c>
      <c r="W250" s="19">
        <v>0.36280000000000001</v>
      </c>
      <c r="X250" s="19">
        <v>0.48470000000000002</v>
      </c>
      <c r="Z250" s="18">
        <v>5917</v>
      </c>
    </row>
    <row r="251" spans="1:26" ht="15.75" customHeight="1" x14ac:dyDescent="0.2">
      <c r="A251" s="36" t="str">
        <f>HYPERLINK("https://www.uncw.edu", "University of North Carolina Wilmington")</f>
        <v>University of North Carolina Wilmington</v>
      </c>
      <c r="B251" s="18" t="s">
        <v>49</v>
      </c>
      <c r="C251" s="18" t="s">
        <v>103</v>
      </c>
      <c r="D251" s="18" t="s">
        <v>517</v>
      </c>
      <c r="E251" s="18">
        <v>1225</v>
      </c>
      <c r="F251" s="18" t="s">
        <v>35</v>
      </c>
      <c r="J251" s="19">
        <v>0.7248</v>
      </c>
      <c r="K251" s="19">
        <v>0.59254658399999993</v>
      </c>
      <c r="L251" s="19">
        <v>0.72689999999999999</v>
      </c>
      <c r="M251" s="19">
        <v>0.75260000000000005</v>
      </c>
      <c r="N251" s="19">
        <v>0.71200000000000008</v>
      </c>
      <c r="O251" s="19">
        <v>0.78949999999999998</v>
      </c>
      <c r="P251" s="20">
        <v>38678</v>
      </c>
      <c r="Q251" s="21" t="str">
        <f>HYPERLINK("https://www.uncw.edu/finaid/includes/npcalc_003.html", "$28984")</f>
        <v>$28984</v>
      </c>
      <c r="R251" s="20">
        <v>33844</v>
      </c>
      <c r="S251" s="20">
        <v>37003</v>
      </c>
      <c r="T251" s="20">
        <v>7123</v>
      </c>
      <c r="U251" s="20">
        <v>21861.652777777781</v>
      </c>
      <c r="W251" s="19">
        <v>0.26900000000000002</v>
      </c>
      <c r="X251" s="19">
        <v>0.2167</v>
      </c>
      <c r="Z251" s="18">
        <v>14183</v>
      </c>
    </row>
    <row r="252" spans="1:26" ht="15.75" customHeight="1" x14ac:dyDescent="0.2">
      <c r="A252" s="36" t="str">
        <f>HYPERLINK("https://www.unca.edu", "University of North Carolina at Asheville")</f>
        <v>University of North Carolina at Asheville</v>
      </c>
      <c r="B252" s="18" t="s">
        <v>49</v>
      </c>
      <c r="C252" s="18" t="s">
        <v>103</v>
      </c>
      <c r="D252" s="18" t="s">
        <v>518</v>
      </c>
      <c r="E252" s="18">
        <v>1191</v>
      </c>
      <c r="F252" s="18" t="s">
        <v>35</v>
      </c>
      <c r="J252" s="19">
        <v>0.61639999999999995</v>
      </c>
      <c r="K252" s="19">
        <v>0.56333333299999999</v>
      </c>
      <c r="L252" s="19">
        <v>0.61899999999999999</v>
      </c>
      <c r="M252" s="19">
        <v>0.56520000000000004</v>
      </c>
      <c r="N252" s="19">
        <v>0.64</v>
      </c>
      <c r="O252" s="19">
        <v>0.875</v>
      </c>
      <c r="P252" s="20">
        <v>36638</v>
      </c>
      <c r="Q252" s="21" t="str">
        <f>HYPERLINK("https://www3.unca.edu/npcalc/npcalc.htm", "$26056")</f>
        <v>$26056</v>
      </c>
      <c r="R252" s="20">
        <v>30375</v>
      </c>
      <c r="S252" s="20">
        <v>33807</v>
      </c>
      <c r="T252" s="20">
        <v>3664</v>
      </c>
      <c r="U252" s="20">
        <v>22392.24324324324</v>
      </c>
      <c r="W252" s="19">
        <v>0.32779999999999998</v>
      </c>
      <c r="X252" s="19">
        <v>0.22370000000000001</v>
      </c>
      <c r="Z252" s="18">
        <v>3496</v>
      </c>
    </row>
    <row r="253" spans="1:26" ht="15.75" customHeight="1" x14ac:dyDescent="0.2">
      <c r="A253" s="36" t="str">
        <f>HYPERLINK("https://www.unf.edu", "University of North Florida")</f>
        <v>University of North Florida</v>
      </c>
      <c r="B253" s="18" t="s">
        <v>49</v>
      </c>
      <c r="C253" s="18" t="s">
        <v>162</v>
      </c>
      <c r="D253" s="18" t="s">
        <v>382</v>
      </c>
      <c r="E253" s="18">
        <v>1176</v>
      </c>
      <c r="F253" s="18" t="s">
        <v>35</v>
      </c>
      <c r="J253" s="19">
        <v>0.57279999999999998</v>
      </c>
      <c r="K253" s="19">
        <v>0.55766621399999994</v>
      </c>
      <c r="L253" s="19">
        <v>0.58560000000000001</v>
      </c>
      <c r="M253" s="19">
        <v>0.52429999999999999</v>
      </c>
      <c r="N253" s="19">
        <v>0.48549999999999999</v>
      </c>
      <c r="O253" s="19">
        <v>0.66149999999999998</v>
      </c>
      <c r="P253" s="20">
        <v>35614</v>
      </c>
      <c r="Q253" s="21" t="str">
        <f>HYPERLINK("https://www.unf.edu/info/calculator/index.htm", "$24297")</f>
        <v>$24297</v>
      </c>
      <c r="R253" s="20">
        <v>28276</v>
      </c>
      <c r="S253" s="20">
        <v>32134</v>
      </c>
      <c r="T253" s="20">
        <v>5044</v>
      </c>
      <c r="U253" s="20">
        <v>19253.15890410959</v>
      </c>
      <c r="W253" s="19">
        <v>0.28999999999999998</v>
      </c>
      <c r="X253" s="19">
        <v>0.32950000000000002</v>
      </c>
      <c r="Z253" s="18">
        <v>13962</v>
      </c>
    </row>
    <row r="254" spans="1:26" ht="15.75" customHeight="1" x14ac:dyDescent="0.2">
      <c r="A254" s="36" t="str">
        <f>HYPERLINK("https://ouhsc.edu", "University of Oklahoma-Health Sciences Center")</f>
        <v>University of Oklahoma-Health Sciences Center</v>
      </c>
      <c r="B254" s="18" t="s">
        <v>49</v>
      </c>
      <c r="C254" s="18" t="s">
        <v>290</v>
      </c>
      <c r="D254" s="18" t="s">
        <v>438</v>
      </c>
      <c r="E254" s="18" t="s">
        <v>36</v>
      </c>
      <c r="F254" s="18" t="s">
        <v>36</v>
      </c>
      <c r="J254" s="19" t="s">
        <v>36</v>
      </c>
      <c r="K254" s="19">
        <v>0.51782111600000003</v>
      </c>
      <c r="L254" s="19" t="s">
        <v>36</v>
      </c>
      <c r="M254" s="19" t="s">
        <v>36</v>
      </c>
      <c r="N254" s="19" t="s">
        <v>36</v>
      </c>
      <c r="O254" s="19" t="s">
        <v>36</v>
      </c>
      <c r="P254" s="20" t="s">
        <v>36</v>
      </c>
      <c r="Q254" s="21" t="str">
        <f>HYPERLINK("https://ouhsc.edu/financialservices/SFA/OUHSCCosts.asp", "Not reported")</f>
        <v>Not reported</v>
      </c>
      <c r="R254" s="20" t="s">
        <v>36</v>
      </c>
      <c r="S254" s="20" t="s">
        <v>36</v>
      </c>
      <c r="T254" s="20" t="s">
        <v>36</v>
      </c>
      <c r="U254" s="20" t="s">
        <v>36</v>
      </c>
      <c r="W254" s="19">
        <v>0</v>
      </c>
      <c r="X254" s="19">
        <v>0.32700000000000012</v>
      </c>
      <c r="Z254" s="18">
        <v>786</v>
      </c>
    </row>
    <row r="255" spans="1:26" ht="15.75" customHeight="1" x14ac:dyDescent="0.2">
      <c r="A255" s="36" t="str">
        <f>HYPERLINK("https://www.ou.edu", "University of Oklahoma-Norman Campus")</f>
        <v>University of Oklahoma-Norman Campus</v>
      </c>
      <c r="B255" s="18" t="s">
        <v>49</v>
      </c>
      <c r="C255" s="18" t="s">
        <v>290</v>
      </c>
      <c r="D255" s="18" t="s">
        <v>519</v>
      </c>
      <c r="E255" s="18">
        <v>1254</v>
      </c>
      <c r="F255" s="18" t="s">
        <v>35</v>
      </c>
      <c r="J255" s="19">
        <v>0.67269999999999996</v>
      </c>
      <c r="K255" s="19">
        <v>0.51782111600000003</v>
      </c>
      <c r="L255" s="19">
        <v>0.68959999999999999</v>
      </c>
      <c r="M255" s="19">
        <v>0.58860000000000001</v>
      </c>
      <c r="N255" s="19">
        <v>0.61219999999999997</v>
      </c>
      <c r="O255" s="19">
        <v>0.7107</v>
      </c>
      <c r="P255" s="20">
        <v>43764</v>
      </c>
      <c r="Q255" s="21" t="str">
        <f>HYPERLINK("https://netprice.ou.edu/", "$31784")</f>
        <v>$31784</v>
      </c>
      <c r="R255" s="20">
        <v>35863</v>
      </c>
      <c r="S255" s="20">
        <v>39756</v>
      </c>
      <c r="T255" s="20">
        <v>6257</v>
      </c>
      <c r="U255" s="20">
        <v>25527.719202898548</v>
      </c>
      <c r="W255" s="19">
        <v>0.2172</v>
      </c>
      <c r="X255" s="19">
        <v>0.39119999999999999</v>
      </c>
      <c r="Z255" s="18">
        <v>21536</v>
      </c>
    </row>
    <row r="256" spans="1:26" ht="15.75" customHeight="1" x14ac:dyDescent="0.2">
      <c r="A256" s="36" t="str">
        <f>HYPERLINK("https://www.uoregon.edu", "University of Oregon")</f>
        <v>University of Oregon</v>
      </c>
      <c r="B256" s="18" t="s">
        <v>49</v>
      </c>
      <c r="C256" s="18" t="s">
        <v>143</v>
      </c>
      <c r="D256" s="18" t="s">
        <v>520</v>
      </c>
      <c r="E256" s="18">
        <v>1193</v>
      </c>
      <c r="F256" s="18" t="s">
        <v>35</v>
      </c>
      <c r="J256" s="19">
        <v>0.72</v>
      </c>
      <c r="K256" s="19">
        <v>0.66476345799999992</v>
      </c>
      <c r="L256" s="19">
        <v>0.7268</v>
      </c>
      <c r="M256" s="19">
        <v>0.60440000000000005</v>
      </c>
      <c r="N256" s="19">
        <v>0.65980000000000005</v>
      </c>
      <c r="O256" s="19">
        <v>0.79820000000000002</v>
      </c>
      <c r="P256" s="20">
        <v>49542</v>
      </c>
      <c r="Q256" s="21" t="str">
        <f>HYPERLINK("https://financialaid.uoregon.edu/net_price_calculator", "$37122")</f>
        <v>$37122</v>
      </c>
      <c r="R256" s="20">
        <v>39736</v>
      </c>
      <c r="S256" s="20">
        <v>44873</v>
      </c>
      <c r="T256" s="20">
        <v>3481</v>
      </c>
      <c r="U256" s="20">
        <v>33641.789674952197</v>
      </c>
      <c r="W256" s="19">
        <v>0.24579999999999999</v>
      </c>
      <c r="X256" s="19">
        <v>0.41760000000000003</v>
      </c>
      <c r="Z256" s="18">
        <v>19163</v>
      </c>
    </row>
    <row r="257" spans="1:26" ht="15.75" customHeight="1" x14ac:dyDescent="0.2">
      <c r="A257" s="36" t="str">
        <f>HYPERLINK("https://www.up.edu", "University of Portland")</f>
        <v>University of Portland</v>
      </c>
      <c r="B257" s="18" t="s">
        <v>32</v>
      </c>
      <c r="C257" s="18" t="s">
        <v>143</v>
      </c>
      <c r="D257" s="18" t="s">
        <v>144</v>
      </c>
      <c r="E257" s="18">
        <v>1239</v>
      </c>
      <c r="F257" s="18" t="s">
        <v>35</v>
      </c>
      <c r="J257" s="19">
        <v>0.81530000000000002</v>
      </c>
      <c r="K257" s="19">
        <v>0.78125</v>
      </c>
      <c r="L257" s="19">
        <v>0.83009999999999995</v>
      </c>
      <c r="M257" s="19">
        <v>1</v>
      </c>
      <c r="N257" s="19">
        <v>0.82609999999999995</v>
      </c>
      <c r="O257" s="19">
        <v>0.81130000000000002</v>
      </c>
      <c r="P257" s="20">
        <v>59236</v>
      </c>
      <c r="Q257" s="21" t="str">
        <f>HYPERLINK("https://www.up.edu/finaid/costs/net-price-calculator.html", "$28075")</f>
        <v>$28075</v>
      </c>
      <c r="R257" s="20">
        <v>30641</v>
      </c>
      <c r="S257" s="20">
        <v>36291</v>
      </c>
      <c r="T257" s="20">
        <v>2552</v>
      </c>
      <c r="U257" s="20">
        <v>25523</v>
      </c>
      <c r="W257" s="19">
        <v>0.16350000000000001</v>
      </c>
      <c r="X257" s="19">
        <v>0.42459999999999998</v>
      </c>
      <c r="Z257" s="18">
        <v>3851</v>
      </c>
    </row>
    <row r="258" spans="1:26" ht="15.75" customHeight="1" x14ac:dyDescent="0.2">
      <c r="A258" s="36" t="str">
        <f>HYPERLINK("https://www.redlands.edu", "University of Redlands")</f>
        <v>University of Redlands</v>
      </c>
      <c r="B258" s="18" t="s">
        <v>32</v>
      </c>
      <c r="C258" s="18" t="s">
        <v>68</v>
      </c>
      <c r="D258" s="18" t="s">
        <v>521</v>
      </c>
      <c r="E258" s="18">
        <v>1182</v>
      </c>
      <c r="F258" s="18" t="s">
        <v>35</v>
      </c>
      <c r="J258" s="19">
        <v>0.77029999999999998</v>
      </c>
      <c r="K258" s="19">
        <v>0.51291512900000003</v>
      </c>
      <c r="L258" s="19">
        <v>0.7994</v>
      </c>
      <c r="M258" s="19">
        <v>0.625</v>
      </c>
      <c r="N258" s="19">
        <v>0.75</v>
      </c>
      <c r="O258" s="19">
        <v>0.68179999999999996</v>
      </c>
      <c r="P258" s="20">
        <v>67024</v>
      </c>
      <c r="Q258" s="21" t="str">
        <f>HYPERLINK("https://www.redlands.edu/npc", "$23291")</f>
        <v>$23291</v>
      </c>
      <c r="R258" s="20">
        <v>25929</v>
      </c>
      <c r="S258" s="20">
        <v>31969</v>
      </c>
      <c r="T258" s="20">
        <v>5090</v>
      </c>
      <c r="U258" s="20">
        <v>18201</v>
      </c>
      <c r="W258" s="19">
        <v>0.27800000000000002</v>
      </c>
      <c r="X258" s="19">
        <v>0.5615</v>
      </c>
      <c r="Z258" s="18">
        <v>3042</v>
      </c>
    </row>
    <row r="259" spans="1:26" ht="15.75" customHeight="1" x14ac:dyDescent="0.2">
      <c r="A259" s="36" t="str">
        <f>HYPERLINK("https://www.usfca.edu", "University of San Francisco")</f>
        <v>University of San Francisco</v>
      </c>
      <c r="B259" s="18" t="s">
        <v>32</v>
      </c>
      <c r="C259" s="18" t="s">
        <v>68</v>
      </c>
      <c r="D259" s="18" t="s">
        <v>522</v>
      </c>
      <c r="E259" s="18">
        <v>1203</v>
      </c>
      <c r="F259" s="18" t="s">
        <v>35</v>
      </c>
      <c r="J259" s="19">
        <v>0.77229999999999999</v>
      </c>
      <c r="K259" s="19">
        <v>0.41573033700000001</v>
      </c>
      <c r="L259" s="19">
        <v>0.73780000000000001</v>
      </c>
      <c r="M259" s="19">
        <v>0.71879999999999999</v>
      </c>
      <c r="N259" s="19">
        <v>0.83120000000000005</v>
      </c>
      <c r="O259" s="19">
        <v>0.85370000000000001</v>
      </c>
      <c r="P259" s="20">
        <v>65980</v>
      </c>
      <c r="Q259" s="21" t="str">
        <f>HYPERLINK("https://www.usfca.edu/admission/financial-aid/net-price-calculator", "$21261")</f>
        <v>$21261</v>
      </c>
      <c r="R259" s="20">
        <v>26530</v>
      </c>
      <c r="S259" s="20">
        <v>33598</v>
      </c>
      <c r="T259" s="20">
        <v>5400</v>
      </c>
      <c r="U259" s="20">
        <v>15861</v>
      </c>
      <c r="W259" s="19">
        <v>0.24390000000000001</v>
      </c>
      <c r="X259" s="19">
        <v>0.74340000000000006</v>
      </c>
      <c r="Z259" s="18">
        <v>6796</v>
      </c>
    </row>
    <row r="260" spans="1:26" ht="15.75" customHeight="1" x14ac:dyDescent="0.2">
      <c r="A260" s="36" t="str">
        <f>HYPERLINK("https://www.usao.edu", "University of Science and Arts of Oklahoma")</f>
        <v>University of Science and Arts of Oklahoma</v>
      </c>
      <c r="B260" s="18" t="s">
        <v>49</v>
      </c>
      <c r="C260" s="18" t="s">
        <v>290</v>
      </c>
      <c r="D260" s="18" t="s">
        <v>523</v>
      </c>
      <c r="E260" s="18">
        <v>1063</v>
      </c>
      <c r="F260" s="18" t="s">
        <v>115</v>
      </c>
      <c r="J260" s="19">
        <v>0.31409999999999999</v>
      </c>
      <c r="K260" s="19">
        <v>0.31012658199999998</v>
      </c>
      <c r="L260" s="19">
        <v>0.34089999999999998</v>
      </c>
      <c r="M260" s="19">
        <v>0.2</v>
      </c>
      <c r="N260" s="19">
        <v>0.18179999999999999</v>
      </c>
      <c r="O260" s="19">
        <v>0</v>
      </c>
      <c r="P260" s="20">
        <v>28710</v>
      </c>
      <c r="Q260" s="21" t="str">
        <f>HYPERLINK("https://usao.studentaidcalculator.com/survey.aspx", "$16350")</f>
        <v>$16350</v>
      </c>
      <c r="R260" s="20">
        <v>18916</v>
      </c>
      <c r="S260" s="20">
        <v>22906</v>
      </c>
      <c r="T260" s="20">
        <v>5130</v>
      </c>
      <c r="U260" s="20">
        <v>11220.49230769231</v>
      </c>
      <c r="W260" s="19">
        <v>0.42649999999999999</v>
      </c>
      <c r="X260" s="19">
        <v>0.41549999999999998</v>
      </c>
      <c r="Z260" s="18">
        <v>852</v>
      </c>
    </row>
    <row r="261" spans="1:26" ht="15.75" customHeight="1" x14ac:dyDescent="0.2">
      <c r="A261" s="36" t="str">
        <f>HYPERLINK("https://www.scranton.edu", "University of Scranton")</f>
        <v>University of Scranton</v>
      </c>
      <c r="B261" s="18" t="s">
        <v>32</v>
      </c>
      <c r="C261" s="18" t="s">
        <v>65</v>
      </c>
      <c r="D261" s="18" t="s">
        <v>524</v>
      </c>
      <c r="E261" s="18">
        <v>1198</v>
      </c>
      <c r="F261" s="18" t="s">
        <v>35</v>
      </c>
      <c r="J261" s="19">
        <v>0.76859999999999995</v>
      </c>
      <c r="K261" s="19">
        <v>0.65217391299999994</v>
      </c>
      <c r="L261" s="19">
        <v>0.78599999999999992</v>
      </c>
      <c r="M261" s="19">
        <v>0.5</v>
      </c>
      <c r="N261" s="19">
        <v>0.6744</v>
      </c>
      <c r="O261" s="19">
        <v>0.76919999999999999</v>
      </c>
      <c r="P261" s="20">
        <v>61096</v>
      </c>
      <c r="Q261" s="21" t="str">
        <f>HYPERLINK("https://www.aidcalc.com/scranton/", "$25427")</f>
        <v>$25427</v>
      </c>
      <c r="R261" s="20">
        <v>29836</v>
      </c>
      <c r="S261" s="20">
        <v>34824</v>
      </c>
      <c r="T261" s="20">
        <v>3168</v>
      </c>
      <c r="U261" s="20">
        <v>22259</v>
      </c>
      <c r="W261" s="19">
        <v>0.18049999999999999</v>
      </c>
      <c r="X261" s="19">
        <v>0.2</v>
      </c>
      <c r="Z261" s="18">
        <v>3695</v>
      </c>
    </row>
    <row r="262" spans="1:26" ht="15.75" customHeight="1" x14ac:dyDescent="0.2">
      <c r="A262" s="36" t="str">
        <f>HYPERLINK("https://www.sc.edu/", "University of South Carolina-Columbia")</f>
        <v>University of South Carolina-Columbia</v>
      </c>
      <c r="B262" s="18" t="s">
        <v>49</v>
      </c>
      <c r="C262" s="18" t="s">
        <v>208</v>
      </c>
      <c r="D262" s="18" t="s">
        <v>165</v>
      </c>
      <c r="E262" s="18">
        <v>1282</v>
      </c>
      <c r="F262" s="18" t="s">
        <v>35</v>
      </c>
      <c r="J262" s="19">
        <v>0.75019999999999998</v>
      </c>
      <c r="K262" s="19">
        <v>0.61219512200000004</v>
      </c>
      <c r="L262" s="19">
        <v>0.75370000000000004</v>
      </c>
      <c r="M262" s="19">
        <v>0.73350000000000004</v>
      </c>
      <c r="N262" s="19">
        <v>0.75149999999999995</v>
      </c>
      <c r="O262" s="19">
        <v>0.80169999999999997</v>
      </c>
      <c r="P262" s="20">
        <v>47162</v>
      </c>
      <c r="Q262" s="21" t="str">
        <f>HYPERLINK("https://npc.collegeboard.org/student/app/sc", "$34828")</f>
        <v>$34828</v>
      </c>
      <c r="R262" s="20">
        <v>40675</v>
      </c>
      <c r="S262" s="20">
        <v>41819</v>
      </c>
      <c r="T262" s="20">
        <v>5192</v>
      </c>
      <c r="U262" s="20">
        <v>29636.206504065041</v>
      </c>
      <c r="W262" s="19">
        <v>0.20100000000000001</v>
      </c>
      <c r="X262" s="19">
        <v>0.2366</v>
      </c>
      <c r="Z262" s="18">
        <v>25550</v>
      </c>
    </row>
    <row r="263" spans="1:26" ht="15.75" customHeight="1" x14ac:dyDescent="0.2">
      <c r="A263" s="36" t="str">
        <f>HYPERLINK("https://www.stthomas.edu", "University of St Thomas")</f>
        <v>University of St Thomas</v>
      </c>
      <c r="B263" s="18" t="s">
        <v>32</v>
      </c>
      <c r="C263" s="18" t="s">
        <v>72</v>
      </c>
      <c r="D263" s="18" t="s">
        <v>131</v>
      </c>
      <c r="E263" s="18">
        <v>1267</v>
      </c>
      <c r="F263" s="18" t="s">
        <v>35</v>
      </c>
      <c r="J263" s="19">
        <v>0.76849999999999996</v>
      </c>
      <c r="K263" s="19">
        <v>0.68859649099999998</v>
      </c>
      <c r="L263" s="19">
        <v>0.78490000000000004</v>
      </c>
      <c r="M263" s="19">
        <v>0.66669999999999996</v>
      </c>
      <c r="N263" s="19">
        <v>0.78790000000000004</v>
      </c>
      <c r="O263" s="19">
        <v>0.61699999999999999</v>
      </c>
      <c r="P263" s="20">
        <v>54647</v>
      </c>
      <c r="Q263" s="21" t="str">
        <f>HYPERLINK("https://www.stthomas.edu/financialaid/undergraduate/resources/netpricecalculator/", "$23271")</f>
        <v>$23271</v>
      </c>
      <c r="R263" s="20">
        <v>26266</v>
      </c>
      <c r="S263" s="20">
        <v>30731</v>
      </c>
      <c r="T263" s="20">
        <v>3460</v>
      </c>
      <c r="U263" s="20">
        <v>19811</v>
      </c>
      <c r="W263" s="19">
        <v>0.17199999999999999</v>
      </c>
      <c r="X263" s="19">
        <v>0.1993</v>
      </c>
      <c r="Z263" s="18">
        <v>6085</v>
      </c>
    </row>
    <row r="264" spans="1:26" ht="15.75" customHeight="1" x14ac:dyDescent="0.2">
      <c r="A264" s="36" t="str">
        <f>HYPERLINK("https://www.stthom.edu", "University of St Thomas")</f>
        <v>University of St Thomas</v>
      </c>
      <c r="B264" s="18" t="s">
        <v>32</v>
      </c>
      <c r="C264" s="18" t="s">
        <v>146</v>
      </c>
      <c r="D264" s="18" t="s">
        <v>147</v>
      </c>
      <c r="E264" s="18">
        <v>1160</v>
      </c>
      <c r="F264" s="18" t="s">
        <v>35</v>
      </c>
      <c r="J264" s="19">
        <v>0.5726</v>
      </c>
      <c r="K264" s="19">
        <v>0.56390977399999997</v>
      </c>
      <c r="L264" s="19">
        <v>0.62319999999999998</v>
      </c>
      <c r="M264" s="19">
        <v>0.2</v>
      </c>
      <c r="N264" s="19">
        <v>0.60229999999999995</v>
      </c>
      <c r="O264" s="19">
        <v>0.59379999999999999</v>
      </c>
      <c r="P264" s="20">
        <v>46506</v>
      </c>
      <c r="Q264" s="21" t="str">
        <f>HYPERLINK("https://tcc.noellevitz.com/universityofstthomas/transferstudents", "$15818")</f>
        <v>$15818</v>
      </c>
      <c r="R264" s="20">
        <v>15734</v>
      </c>
      <c r="S264" s="20">
        <v>19709</v>
      </c>
      <c r="T264" s="20">
        <v>4996</v>
      </c>
      <c r="U264" s="20">
        <v>10822</v>
      </c>
      <c r="W264" s="19">
        <v>0.3538</v>
      </c>
      <c r="X264" s="19">
        <v>0.77049999999999996</v>
      </c>
      <c r="Z264" s="18">
        <v>1765</v>
      </c>
    </row>
    <row r="265" spans="1:26" ht="15.75" customHeight="1" x14ac:dyDescent="0.2">
      <c r="A265" s="36" t="str">
        <f>HYPERLINK("https://www.utah.edu", "University of Utah")</f>
        <v>University of Utah</v>
      </c>
      <c r="B265" s="18" t="s">
        <v>49</v>
      </c>
      <c r="C265" s="18" t="s">
        <v>199</v>
      </c>
      <c r="D265" s="18" t="s">
        <v>525</v>
      </c>
      <c r="E265" s="18">
        <v>1234</v>
      </c>
      <c r="F265" s="18" t="s">
        <v>35</v>
      </c>
      <c r="J265" s="19">
        <v>0.67400000000000004</v>
      </c>
      <c r="K265" s="19">
        <v>0.54927234899999999</v>
      </c>
      <c r="L265" s="19">
        <v>0.68099999999999994</v>
      </c>
      <c r="M265" s="19">
        <v>0.39290000000000003</v>
      </c>
      <c r="N265" s="19">
        <v>0.62350000000000005</v>
      </c>
      <c r="O265" s="19">
        <v>0.77080000000000004</v>
      </c>
      <c r="P265" s="20">
        <v>42916</v>
      </c>
      <c r="Q265" s="21" t="str">
        <f>HYPERLINK("https://financialaid.utah.edu/tuition-and-fees/cost-calculator.php", "$34581")</f>
        <v>$34581</v>
      </c>
      <c r="R265" s="20">
        <v>37585</v>
      </c>
      <c r="S265" s="20">
        <v>40427</v>
      </c>
      <c r="T265" s="20">
        <v>4922</v>
      </c>
      <c r="U265" s="20">
        <v>29659.772925764191</v>
      </c>
      <c r="W265" s="19">
        <v>0.27250000000000002</v>
      </c>
      <c r="X265" s="19">
        <v>0.31430000000000002</v>
      </c>
      <c r="Z265" s="18">
        <v>23402</v>
      </c>
    </row>
    <row r="266" spans="1:26" ht="15.75" customHeight="1" x14ac:dyDescent="0.2">
      <c r="A266" s="36" t="str">
        <f>HYPERLINK("https://www.uvm.edu", "University of Vermont")</f>
        <v>University of Vermont</v>
      </c>
      <c r="B266" s="18" t="s">
        <v>49</v>
      </c>
      <c r="C266" s="18" t="s">
        <v>47</v>
      </c>
      <c r="D266" s="18" t="s">
        <v>327</v>
      </c>
      <c r="E266" s="18">
        <v>1280</v>
      </c>
      <c r="F266" s="18" t="s">
        <v>35</v>
      </c>
      <c r="J266" s="19">
        <v>0.74950000000000006</v>
      </c>
      <c r="K266" s="19">
        <v>0.69539078200000004</v>
      </c>
      <c r="L266" s="19">
        <v>0.75949999999999995</v>
      </c>
      <c r="M266" s="19">
        <v>0.59089999999999998</v>
      </c>
      <c r="N266" s="19">
        <v>0.62109999999999999</v>
      </c>
      <c r="O266" s="19">
        <v>0.7419</v>
      </c>
      <c r="P266" s="20">
        <v>56890</v>
      </c>
      <c r="Q266" s="21" t="str">
        <f>HYPERLINK("https://www.uvm.edu/studentfinancialservices/net_price_calculator", "$38158")</f>
        <v>$38158</v>
      </c>
      <c r="R266" s="20">
        <v>40363</v>
      </c>
      <c r="S266" s="20">
        <v>46713</v>
      </c>
      <c r="T266" s="20">
        <v>3512</v>
      </c>
      <c r="U266" s="20">
        <v>34646.302752293574</v>
      </c>
      <c r="W266" s="19">
        <v>0.15079999999999999</v>
      </c>
      <c r="X266" s="19">
        <v>0.1913</v>
      </c>
      <c r="Z266" s="18">
        <v>10513</v>
      </c>
    </row>
    <row r="267" spans="1:26" ht="15.75" customHeight="1" x14ac:dyDescent="0.2">
      <c r="A267" s="36" t="str">
        <f>HYPERLINK("https://www.washington.edu", "University of Washington-Seattle Campus")</f>
        <v>University of Washington-Seattle Campus</v>
      </c>
      <c r="B267" s="18" t="s">
        <v>49</v>
      </c>
      <c r="C267" s="18" t="s">
        <v>184</v>
      </c>
      <c r="D267" s="18" t="s">
        <v>472</v>
      </c>
      <c r="E267" s="18">
        <v>1331</v>
      </c>
      <c r="F267" s="18" t="s">
        <v>35</v>
      </c>
      <c r="J267" s="19">
        <v>0.84389999999999998</v>
      </c>
      <c r="K267" s="19">
        <v>0.74704761900000005</v>
      </c>
      <c r="L267" s="19">
        <v>0.84789999999999999</v>
      </c>
      <c r="M267" s="19">
        <v>0.70089999999999997</v>
      </c>
      <c r="N267" s="19">
        <v>0.77599999999999991</v>
      </c>
      <c r="O267" s="19">
        <v>0.87609999999999999</v>
      </c>
      <c r="P267" s="20">
        <v>51159</v>
      </c>
      <c r="Q267" s="21" t="str">
        <f>HYPERLINK("https://www.washington.edu/students/osfa/prospectiveug/aid.est.1.html", "$33295")</f>
        <v>$33295</v>
      </c>
      <c r="R267" s="20">
        <v>34816</v>
      </c>
      <c r="S267" s="20">
        <v>43706</v>
      </c>
      <c r="T267" s="20">
        <v>3504</v>
      </c>
      <c r="U267" s="20">
        <v>29791.71812080537</v>
      </c>
      <c r="W267" s="19">
        <v>0.21310000000000001</v>
      </c>
      <c r="X267" s="19">
        <v>0.59519999999999995</v>
      </c>
      <c r="Z267" s="18">
        <v>30295</v>
      </c>
    </row>
    <row r="268" spans="1:26" ht="15.75" customHeight="1" x14ac:dyDescent="0.2">
      <c r="A268" s="36" t="str">
        <f>HYPERLINK("https://www.uwec.edu", "University of Wisconsin-Eau Claire")</f>
        <v>University of Wisconsin-Eau Claire</v>
      </c>
      <c r="B268" s="18" t="s">
        <v>49</v>
      </c>
      <c r="C268" s="18" t="s">
        <v>196</v>
      </c>
      <c r="D268" s="18" t="s">
        <v>526</v>
      </c>
      <c r="E268" s="18">
        <v>1165</v>
      </c>
      <c r="F268" s="18" t="s">
        <v>35</v>
      </c>
      <c r="J268" s="19">
        <v>0.66559999999999997</v>
      </c>
      <c r="K268" s="19">
        <v>0.59210526299999999</v>
      </c>
      <c r="L268" s="19">
        <v>0.68</v>
      </c>
      <c r="M268" s="19">
        <v>0.31580000000000003</v>
      </c>
      <c r="N268" s="19">
        <v>0.68420000000000003</v>
      </c>
      <c r="O268" s="19">
        <v>0.55420000000000003</v>
      </c>
      <c r="P268" s="20">
        <v>27990</v>
      </c>
      <c r="Q268" s="21" t="str">
        <f>HYPERLINK("https://www.uwec.edu/tuition-financial-aid", "$18726")</f>
        <v>$18726</v>
      </c>
      <c r="R268" s="20">
        <v>23318</v>
      </c>
      <c r="S268" s="20">
        <v>26607</v>
      </c>
      <c r="T268" s="20">
        <v>3748</v>
      </c>
      <c r="U268" s="20">
        <v>14978.6974789916</v>
      </c>
      <c r="W268" s="19">
        <v>0.22900000000000001</v>
      </c>
      <c r="X268" s="19">
        <v>0.1188</v>
      </c>
      <c r="Z268" s="18">
        <v>10070</v>
      </c>
    </row>
    <row r="269" spans="1:26" ht="15.75" customHeight="1" x14ac:dyDescent="0.2">
      <c r="A269" s="36" t="str">
        <f>HYPERLINK("https://www.uwlax.edu", "University of Wisconsin-La Crosse")</f>
        <v>University of Wisconsin-La Crosse</v>
      </c>
      <c r="B269" s="18" t="s">
        <v>49</v>
      </c>
      <c r="C269" s="18" t="s">
        <v>196</v>
      </c>
      <c r="D269" s="18" t="s">
        <v>527</v>
      </c>
      <c r="E269" s="18">
        <v>1185</v>
      </c>
      <c r="F269" s="18" t="s">
        <v>35</v>
      </c>
      <c r="J269" s="19">
        <v>0.70550000000000002</v>
      </c>
      <c r="K269" s="19">
        <v>0.55789473700000003</v>
      </c>
      <c r="L269" s="19">
        <v>0.71940000000000004</v>
      </c>
      <c r="M269" s="19">
        <v>0.42859999999999998</v>
      </c>
      <c r="N269" s="19">
        <v>0.58540000000000003</v>
      </c>
      <c r="O269" s="19">
        <v>0.48149999999999998</v>
      </c>
      <c r="P269" s="20">
        <v>26055</v>
      </c>
      <c r="Q269" s="21" t="str">
        <f>HYPERLINK("https://www.uwlax.edu/finaid/resources/net-price-calculator/", "$17785")</f>
        <v>$17785</v>
      </c>
      <c r="R269" s="20">
        <v>22183</v>
      </c>
      <c r="S269" s="20">
        <v>24748</v>
      </c>
      <c r="T269" s="20">
        <v>2084</v>
      </c>
      <c r="U269" s="20">
        <v>15701.8</v>
      </c>
      <c r="W269" s="19">
        <v>0.20169999999999999</v>
      </c>
      <c r="X269" s="19">
        <v>0.1017</v>
      </c>
      <c r="Z269" s="18">
        <v>9436</v>
      </c>
    </row>
    <row r="270" spans="1:26" ht="15.75" customHeight="1" x14ac:dyDescent="0.2">
      <c r="A270" s="36" t="str">
        <f>HYPERLINK("https://www.pacific.edu", "University of the Pacific")</f>
        <v>University of the Pacific</v>
      </c>
      <c r="B270" s="18" t="s">
        <v>32</v>
      </c>
      <c r="C270" s="18" t="s">
        <v>68</v>
      </c>
      <c r="D270" s="18" t="s">
        <v>528</v>
      </c>
      <c r="E270" s="18">
        <v>1220</v>
      </c>
      <c r="F270" s="18" t="s">
        <v>35</v>
      </c>
      <c r="J270" s="19">
        <v>0.70450000000000002</v>
      </c>
      <c r="K270" s="19">
        <v>0.53873239399999995</v>
      </c>
      <c r="L270" s="19">
        <v>0.69650000000000001</v>
      </c>
      <c r="M270" s="19">
        <v>0.55000000000000004</v>
      </c>
      <c r="N270" s="19">
        <v>0.6774</v>
      </c>
      <c r="O270" s="19">
        <v>0.79679999999999995</v>
      </c>
      <c r="P270" s="20">
        <v>64796</v>
      </c>
      <c r="Q270" s="21" t="str">
        <f>HYPERLINK("https://pacific.studentaidcalculator.com/survey.aspx", "$22465")</f>
        <v>$22465</v>
      </c>
      <c r="R270" s="20">
        <v>27755</v>
      </c>
      <c r="S270" s="20">
        <v>31258</v>
      </c>
      <c r="T270" s="20">
        <v>5094</v>
      </c>
      <c r="U270" s="20">
        <v>17371</v>
      </c>
      <c r="W270" s="19">
        <v>0.3569</v>
      </c>
      <c r="X270" s="19">
        <v>0.7671</v>
      </c>
      <c r="Z270" s="18">
        <v>3542</v>
      </c>
    </row>
    <row r="271" spans="1:26" ht="15.75" customHeight="1" x14ac:dyDescent="0.2">
      <c r="A271" s="36" t="str">
        <f>HYPERLINK("https://www.usciences.edu", "University of the Sciences")</f>
        <v>University of the Sciences</v>
      </c>
      <c r="B271" s="18" t="s">
        <v>32</v>
      </c>
      <c r="C271" s="18" t="s">
        <v>65</v>
      </c>
      <c r="D271" s="18" t="s">
        <v>168</v>
      </c>
      <c r="E271" s="18">
        <v>1227</v>
      </c>
      <c r="F271" s="18" t="s">
        <v>35</v>
      </c>
      <c r="J271" s="19">
        <v>0.72670000000000001</v>
      </c>
      <c r="K271" s="19">
        <v>0.57303370799999997</v>
      </c>
      <c r="L271" s="19">
        <v>0.70350000000000001</v>
      </c>
      <c r="M271" s="19">
        <v>0.6774</v>
      </c>
      <c r="N271" s="19">
        <v>0.42109999999999997</v>
      </c>
      <c r="O271" s="19">
        <v>0.77439999999999998</v>
      </c>
      <c r="P271" s="20">
        <v>60082</v>
      </c>
      <c r="Q271" s="21" t="str">
        <f>HYPERLINK("https://tcc.noellevitz.com/UniversityOfTheSciencesInPhiladelphia/FreshmanStudents", "$26948")</f>
        <v>$26948</v>
      </c>
      <c r="R271" s="20">
        <v>28614</v>
      </c>
      <c r="S271" s="20">
        <v>32404</v>
      </c>
      <c r="T271" s="20">
        <v>4350</v>
      </c>
      <c r="U271" s="20">
        <v>22598</v>
      </c>
      <c r="W271" s="19">
        <v>0.28129999999999999</v>
      </c>
      <c r="X271" s="19">
        <v>0.57569999999999999</v>
      </c>
      <c r="Z271" s="18">
        <v>1268</v>
      </c>
    </row>
    <row r="272" spans="1:26" ht="15.75" customHeight="1" x14ac:dyDescent="0.2">
      <c r="A272" s="36" t="str">
        <f>HYPERLINK("https://www.ursinus.edu", "Ursinus College")</f>
        <v>Ursinus College</v>
      </c>
      <c r="B272" s="18" t="s">
        <v>32</v>
      </c>
      <c r="C272" s="18" t="s">
        <v>65</v>
      </c>
      <c r="D272" s="18" t="s">
        <v>529</v>
      </c>
      <c r="E272" s="18">
        <v>1234</v>
      </c>
      <c r="F272" s="18" t="s">
        <v>115</v>
      </c>
      <c r="J272" s="19">
        <v>0.7681</v>
      </c>
      <c r="K272" s="19">
        <v>0.70370370400000004</v>
      </c>
      <c r="L272" s="19">
        <v>0.78700000000000003</v>
      </c>
      <c r="M272" s="19">
        <v>0.69440000000000002</v>
      </c>
      <c r="N272" s="19">
        <v>0.73680000000000001</v>
      </c>
      <c r="O272" s="19">
        <v>0.81820000000000004</v>
      </c>
      <c r="P272" s="20">
        <v>66242</v>
      </c>
      <c r="Q272" s="21" t="str">
        <f>HYPERLINK("https://www.ursinus.edu/offices/scholarships-and-financial-aid/tuition-and-cost/net-price-calculator/", "$24466")</f>
        <v>$24466</v>
      </c>
      <c r="R272" s="20">
        <v>25853</v>
      </c>
      <c r="S272" s="20">
        <v>28094</v>
      </c>
      <c r="T272" s="20">
        <v>3322</v>
      </c>
      <c r="U272" s="20">
        <v>21144</v>
      </c>
      <c r="W272" s="19">
        <v>0.1915</v>
      </c>
      <c r="X272" s="19">
        <v>0.25790000000000002</v>
      </c>
      <c r="Z272" s="18">
        <v>1485</v>
      </c>
    </row>
    <row r="273" spans="1:26" ht="15.75" customHeight="1" x14ac:dyDescent="0.2">
      <c r="A273" s="36" t="str">
        <f>HYPERLINK("https://www.valpo.edu", "Valparaiso University")</f>
        <v>Valparaiso University</v>
      </c>
      <c r="B273" s="18" t="s">
        <v>32</v>
      </c>
      <c r="C273" s="18" t="s">
        <v>148</v>
      </c>
      <c r="D273" s="18" t="s">
        <v>530</v>
      </c>
      <c r="E273" s="18">
        <v>1216</v>
      </c>
      <c r="F273" s="18" t="s">
        <v>35</v>
      </c>
      <c r="J273" s="19">
        <v>0.72209999999999996</v>
      </c>
      <c r="K273" s="19">
        <v>0.58490565999999999</v>
      </c>
      <c r="L273" s="19">
        <v>0.76039999999999996</v>
      </c>
      <c r="M273" s="19">
        <v>0.43240000000000001</v>
      </c>
      <c r="N273" s="19">
        <v>0.66669999999999996</v>
      </c>
      <c r="O273" s="19">
        <v>0.625</v>
      </c>
      <c r="P273" s="20">
        <v>52980</v>
      </c>
      <c r="Q273" s="21" t="str">
        <f>HYPERLINK("https://valpo.collegecosts.com/Estimator/Agreement", "$17402")</f>
        <v>$17402</v>
      </c>
      <c r="R273" s="20">
        <v>20346</v>
      </c>
      <c r="S273" s="20">
        <v>23008</v>
      </c>
      <c r="T273" s="20">
        <v>2820</v>
      </c>
      <c r="U273" s="20">
        <v>14582</v>
      </c>
      <c r="W273" s="19">
        <v>0.27379999999999999</v>
      </c>
      <c r="X273" s="19">
        <v>0.28560000000000002</v>
      </c>
      <c r="Z273" s="18">
        <v>3186</v>
      </c>
    </row>
    <row r="274" spans="1:26" ht="15.75" customHeight="1" x14ac:dyDescent="0.2">
      <c r="A274" s="36" t="str">
        <f>HYPERLINK("https://www.vanguard.edu", "Vanguard University of Southern California")</f>
        <v>Vanguard University of Southern California</v>
      </c>
      <c r="B274" s="18" t="s">
        <v>32</v>
      </c>
      <c r="C274" s="18" t="s">
        <v>68</v>
      </c>
      <c r="D274" s="18" t="s">
        <v>531</v>
      </c>
      <c r="E274" s="18">
        <v>1037</v>
      </c>
      <c r="F274" s="18" t="s">
        <v>35</v>
      </c>
      <c r="J274" s="19">
        <v>0.60960000000000003</v>
      </c>
      <c r="K274" s="19">
        <v>0.43352601200000002</v>
      </c>
      <c r="L274" s="19">
        <v>0.61399999999999999</v>
      </c>
      <c r="M274" s="19">
        <v>0.69230000000000003</v>
      </c>
      <c r="N274" s="19">
        <v>0.56559999999999999</v>
      </c>
      <c r="O274" s="19">
        <v>0.78569999999999995</v>
      </c>
      <c r="P274" s="20">
        <v>46770</v>
      </c>
      <c r="Q274" s="21" t="str">
        <f>HYPERLINK("https://www.vanguard.edu/admissions/net-price-calculator", "$18259")</f>
        <v>$18259</v>
      </c>
      <c r="R274" s="20">
        <v>20250</v>
      </c>
      <c r="S274" s="20">
        <v>22434</v>
      </c>
      <c r="T274" s="20">
        <v>4650</v>
      </c>
      <c r="U274" s="20">
        <v>13609</v>
      </c>
      <c r="W274" s="19">
        <v>0.45</v>
      </c>
      <c r="X274" s="19">
        <v>0.59650000000000003</v>
      </c>
      <c r="Z274" s="18">
        <v>1824</v>
      </c>
    </row>
    <row r="275" spans="1:26" ht="15.75" customHeight="1" x14ac:dyDescent="0.2">
      <c r="A275" s="36" t="str">
        <f>HYPERLINK("https://www.wabash.edu", "Wabash College")</f>
        <v>Wabash College</v>
      </c>
      <c r="B275" s="18" t="s">
        <v>32</v>
      </c>
      <c r="C275" s="18" t="s">
        <v>148</v>
      </c>
      <c r="D275" s="18" t="s">
        <v>532</v>
      </c>
      <c r="E275" s="18">
        <v>1199</v>
      </c>
      <c r="F275" s="18" t="s">
        <v>35</v>
      </c>
      <c r="J275" s="19">
        <v>0.76790000000000003</v>
      </c>
      <c r="K275" s="19">
        <v>0.59375</v>
      </c>
      <c r="L275" s="19">
        <v>0.82609999999999995</v>
      </c>
      <c r="M275" s="19">
        <v>0.70589999999999997</v>
      </c>
      <c r="N275" s="19">
        <v>0.5</v>
      </c>
      <c r="O275" s="19">
        <v>0.66669999999999996</v>
      </c>
      <c r="P275" s="20">
        <v>54600</v>
      </c>
      <c r="Q275" s="21" t="str">
        <f>HYPERLINK("https://www.wabash.edu/admissions/finances/npc", "$15372")</f>
        <v>$15372</v>
      </c>
      <c r="R275" s="20">
        <v>16763</v>
      </c>
      <c r="S275" s="20">
        <v>22597</v>
      </c>
      <c r="T275" s="20">
        <v>2500</v>
      </c>
      <c r="U275" s="20">
        <v>12872</v>
      </c>
      <c r="W275" s="19">
        <v>0.247</v>
      </c>
      <c r="X275" s="19">
        <v>0.27029999999999998</v>
      </c>
      <c r="Z275" s="18">
        <v>862</v>
      </c>
    </row>
    <row r="276" spans="1:26" ht="15.75" customHeight="1" x14ac:dyDescent="0.2">
      <c r="A276" s="36" t="str">
        <f>HYPERLINK("https://www.wagner.edu", "Wagner College")</f>
        <v>Wagner College</v>
      </c>
      <c r="B276" s="18" t="s">
        <v>32</v>
      </c>
      <c r="C276" s="18" t="s">
        <v>38</v>
      </c>
      <c r="D276" s="18" t="s">
        <v>533</v>
      </c>
      <c r="E276" s="18" t="s">
        <v>36</v>
      </c>
      <c r="F276" s="18" t="s">
        <v>90</v>
      </c>
      <c r="J276" s="19">
        <v>0.70209999999999995</v>
      </c>
      <c r="K276" s="19">
        <v>0.65079365099999997</v>
      </c>
      <c r="L276" s="19">
        <v>0.73580000000000001</v>
      </c>
      <c r="M276" s="19">
        <v>0.54049999999999998</v>
      </c>
      <c r="N276" s="19">
        <v>0.62790000000000001</v>
      </c>
      <c r="O276" s="19">
        <v>0.5</v>
      </c>
      <c r="P276" s="20">
        <v>62203</v>
      </c>
      <c r="Q276" s="21" t="str">
        <f>HYPERLINK("https://www.wagner.edu/financial_aid/", "$22886")</f>
        <v>$22886</v>
      </c>
      <c r="R276" s="20">
        <v>29151</v>
      </c>
      <c r="S276" s="20">
        <v>31238</v>
      </c>
      <c r="T276" s="20">
        <v>3173</v>
      </c>
      <c r="U276" s="20">
        <v>19713</v>
      </c>
      <c r="W276" s="19">
        <v>0.21310000000000001</v>
      </c>
      <c r="X276" s="19">
        <v>0.35110000000000002</v>
      </c>
      <c r="Z276" s="18">
        <v>1763</v>
      </c>
    </row>
    <row r="277" spans="1:26" ht="15.75" customHeight="1" x14ac:dyDescent="0.2">
      <c r="A277" s="36" t="str">
        <f>HYPERLINK("https://www.warren-wilson.edu/", "Warren Wilson College")</f>
        <v>Warren Wilson College</v>
      </c>
      <c r="B277" s="18" t="s">
        <v>32</v>
      </c>
      <c r="C277" s="18" t="s">
        <v>103</v>
      </c>
      <c r="D277" s="18" t="s">
        <v>534</v>
      </c>
      <c r="E277" s="18">
        <v>1275</v>
      </c>
      <c r="F277" s="18" t="s">
        <v>115</v>
      </c>
      <c r="J277" s="19">
        <v>0.53299999999999992</v>
      </c>
      <c r="K277" s="19">
        <v>0.5</v>
      </c>
      <c r="L277" s="19">
        <v>0.52529999999999999</v>
      </c>
      <c r="M277" s="19">
        <v>0.5</v>
      </c>
      <c r="N277" s="19">
        <v>0.42859999999999998</v>
      </c>
      <c r="O277" s="19">
        <v>1</v>
      </c>
      <c r="P277" s="20">
        <v>49744</v>
      </c>
      <c r="Q277" s="21" t="str">
        <f>HYPERLINK("https://tcc.noellevitz.com/Warren-Wilson-College/Freshman Students", "$18762")</f>
        <v>$18762</v>
      </c>
      <c r="R277" s="20">
        <v>26383</v>
      </c>
      <c r="S277" s="20">
        <v>28882</v>
      </c>
      <c r="T277" s="20">
        <v>3840</v>
      </c>
      <c r="U277" s="20">
        <v>14922</v>
      </c>
      <c r="W277" s="19">
        <v>0.38150000000000001</v>
      </c>
      <c r="X277" s="19">
        <v>0.22339999999999999</v>
      </c>
      <c r="Z277" s="18">
        <v>582</v>
      </c>
    </row>
    <row r="278" spans="1:26" ht="15.75" customHeight="1" x14ac:dyDescent="0.2">
      <c r="A278" s="36" t="str">
        <f>HYPERLINK("https://www.wartburg.edu", "Wartburg College")</f>
        <v>Wartburg College</v>
      </c>
      <c r="B278" s="18" t="s">
        <v>32</v>
      </c>
      <c r="C278" s="18" t="s">
        <v>211</v>
      </c>
      <c r="D278" s="18" t="s">
        <v>535</v>
      </c>
      <c r="E278" s="18">
        <v>1170</v>
      </c>
      <c r="F278" s="18" t="s">
        <v>35</v>
      </c>
      <c r="J278" s="19">
        <v>0.65490000000000004</v>
      </c>
      <c r="K278" s="19">
        <v>0.57471264399999999</v>
      </c>
      <c r="L278" s="19">
        <v>0.70299999999999996</v>
      </c>
      <c r="M278" s="19">
        <v>0.26829999999999998</v>
      </c>
      <c r="N278" s="19">
        <v>0.85709999999999997</v>
      </c>
      <c r="O278" s="19">
        <v>0.57140000000000002</v>
      </c>
      <c r="P278" s="20">
        <v>51878</v>
      </c>
      <c r="Q278" s="21" t="str">
        <f>HYPERLINK("https://www.wartburg.edu/crunch-your-numbers", "$18067")</f>
        <v>$18067</v>
      </c>
      <c r="R278" s="20">
        <v>19352</v>
      </c>
      <c r="S278" s="20">
        <v>24720</v>
      </c>
      <c r="T278" s="20">
        <v>2400</v>
      </c>
      <c r="U278" s="20">
        <v>15667</v>
      </c>
      <c r="W278" s="19">
        <v>0.21859999999999999</v>
      </c>
      <c r="X278" s="19">
        <v>0.24249999999999999</v>
      </c>
      <c r="Z278" s="18">
        <v>1493</v>
      </c>
    </row>
    <row r="279" spans="1:26" ht="15.75" customHeight="1" x14ac:dyDescent="0.2">
      <c r="A279" s="36" t="str">
        <f>HYPERLINK("https://www.washjeff.edu", "Washington &amp; Jefferson College")</f>
        <v>Washington &amp; Jefferson College</v>
      </c>
      <c r="B279" s="18" t="s">
        <v>32</v>
      </c>
      <c r="C279" s="18" t="s">
        <v>65</v>
      </c>
      <c r="D279" s="18" t="s">
        <v>114</v>
      </c>
      <c r="E279" s="18" t="s">
        <v>36</v>
      </c>
      <c r="F279" s="18" t="s">
        <v>90</v>
      </c>
      <c r="J279" s="19">
        <v>0.70030000000000003</v>
      </c>
      <c r="K279" s="19">
        <v>0.73809523799999999</v>
      </c>
      <c r="L279" s="19">
        <v>0.7157</v>
      </c>
      <c r="M279" s="19">
        <v>0.58330000000000004</v>
      </c>
      <c r="N279" s="19">
        <v>0.64290000000000003</v>
      </c>
      <c r="O279" s="19">
        <v>0.6</v>
      </c>
      <c r="P279" s="20">
        <v>60134</v>
      </c>
      <c r="Q279" s="21" t="str">
        <f>HYPERLINK("https://www.washjeff.edu/net-price-calculator-1", "$21195")</f>
        <v>$21195</v>
      </c>
      <c r="R279" s="20">
        <v>23169</v>
      </c>
      <c r="S279" s="20">
        <v>28286</v>
      </c>
      <c r="T279" s="20">
        <v>1700</v>
      </c>
      <c r="U279" s="20">
        <v>19495</v>
      </c>
      <c r="W279" s="19">
        <v>0.27010000000000001</v>
      </c>
      <c r="X279" s="19">
        <v>0.246</v>
      </c>
      <c r="Z279" s="18">
        <v>1378</v>
      </c>
    </row>
    <row r="280" spans="1:26" ht="15.75" customHeight="1" x14ac:dyDescent="0.2">
      <c r="A280" s="36" t="str">
        <f>HYPERLINK("https://www.washcoll.edu", "Washington College")</f>
        <v>Washington College</v>
      </c>
      <c r="B280" s="18" t="s">
        <v>32</v>
      </c>
      <c r="C280" s="18" t="s">
        <v>124</v>
      </c>
      <c r="D280" s="18" t="s">
        <v>536</v>
      </c>
      <c r="E280" s="18" t="s">
        <v>36</v>
      </c>
      <c r="F280" s="18" t="s">
        <v>90</v>
      </c>
      <c r="J280" s="19">
        <v>0.76439999999999997</v>
      </c>
      <c r="K280" s="19">
        <v>0.72972972999999997</v>
      </c>
      <c r="L280" s="19">
        <v>0.79079999999999995</v>
      </c>
      <c r="M280" s="19">
        <v>0.5333</v>
      </c>
      <c r="N280" s="19">
        <v>0.64290000000000003</v>
      </c>
      <c r="O280" s="19">
        <v>0.8</v>
      </c>
      <c r="P280" s="20">
        <v>61010</v>
      </c>
      <c r="Q280" s="21" t="str">
        <f>HYPERLINK("https://washcoll.studentaidcalculator.com/survey.aspx", "$19043")</f>
        <v>$19043</v>
      </c>
      <c r="R280" s="20">
        <v>25334</v>
      </c>
      <c r="S280" s="20">
        <v>29851</v>
      </c>
      <c r="T280" s="20">
        <v>5150</v>
      </c>
      <c r="U280" s="20">
        <v>13893</v>
      </c>
      <c r="W280" s="19">
        <v>0.18190000000000001</v>
      </c>
      <c r="X280" s="19">
        <v>0.30919999999999997</v>
      </c>
      <c r="Z280" s="18">
        <v>1449</v>
      </c>
    </row>
    <row r="281" spans="1:26" ht="15.75" customHeight="1" x14ac:dyDescent="0.2">
      <c r="A281" s="36" t="str">
        <f>HYPERLINK("https://www.wells.edu", "Wells College")</f>
        <v>Wells College</v>
      </c>
      <c r="B281" s="18" t="s">
        <v>32</v>
      </c>
      <c r="C281" s="18" t="s">
        <v>38</v>
      </c>
      <c r="D281" s="18" t="s">
        <v>537</v>
      </c>
      <c r="E281" s="18" t="s">
        <v>36</v>
      </c>
      <c r="F281" s="18" t="s">
        <v>90</v>
      </c>
      <c r="J281" s="19">
        <v>0.4672</v>
      </c>
      <c r="K281" s="19">
        <v>0.39534883700000001</v>
      </c>
      <c r="L281" s="19">
        <v>0.48809999999999998</v>
      </c>
      <c r="M281" s="19">
        <v>0.43480000000000002</v>
      </c>
      <c r="N281" s="19">
        <v>0.22220000000000001</v>
      </c>
      <c r="O281" s="19">
        <v>0</v>
      </c>
      <c r="P281" s="20">
        <v>55180</v>
      </c>
      <c r="Q281" s="21" t="str">
        <f>HYPERLINK("https://www.wells.edu/financial-aid/net-price-calculator", "$18005")</f>
        <v>$18005</v>
      </c>
      <c r="R281" s="20">
        <v>20888</v>
      </c>
      <c r="S281" s="20">
        <v>24321</v>
      </c>
      <c r="T281" s="20">
        <v>1850</v>
      </c>
      <c r="U281" s="20">
        <v>16155</v>
      </c>
      <c r="W281" s="19">
        <v>0.48039999999999999</v>
      </c>
      <c r="X281" s="19">
        <v>0.38800000000000001</v>
      </c>
      <c r="Z281" s="18">
        <v>482</v>
      </c>
    </row>
    <row r="282" spans="1:26" ht="15.75" customHeight="1" x14ac:dyDescent="0.2">
      <c r="A282" s="36" t="str">
        <f>HYPERLINK("https://www.wwu.edu", "Western Washington University")</f>
        <v>Western Washington University</v>
      </c>
      <c r="B282" s="18" t="s">
        <v>49</v>
      </c>
      <c r="C282" s="18" t="s">
        <v>184</v>
      </c>
      <c r="D282" s="18" t="s">
        <v>538</v>
      </c>
      <c r="E282" s="18">
        <v>1190</v>
      </c>
      <c r="F282" s="18" t="s">
        <v>35</v>
      </c>
      <c r="J282" s="19">
        <v>0.69040000000000001</v>
      </c>
      <c r="K282" s="19">
        <v>0.62041884800000002</v>
      </c>
      <c r="L282" s="19">
        <v>0.69550000000000001</v>
      </c>
      <c r="M282" s="19">
        <v>0.62070000000000003</v>
      </c>
      <c r="N282" s="19">
        <v>0.66849999999999998</v>
      </c>
      <c r="O282" s="19">
        <v>0.72040000000000004</v>
      </c>
      <c r="P282" s="20">
        <v>38067</v>
      </c>
      <c r="Q282" s="21" t="str">
        <f>HYPERLINK("https://admissions.wwu.edu/financial-aid/net-price-calculator", "$25607")</f>
        <v>$25607</v>
      </c>
      <c r="R282" s="20">
        <v>31035</v>
      </c>
      <c r="S282" s="20">
        <v>36186</v>
      </c>
      <c r="T282" s="20">
        <v>4401</v>
      </c>
      <c r="U282" s="20">
        <v>21206.968523002419</v>
      </c>
      <c r="W282" s="19">
        <v>0.25230000000000002</v>
      </c>
      <c r="X282" s="19">
        <v>0.28460000000000002</v>
      </c>
      <c r="Z282" s="18">
        <v>14876</v>
      </c>
    </row>
    <row r="283" spans="1:26" ht="15.75" customHeight="1" x14ac:dyDescent="0.2">
      <c r="A283" s="36" t="str">
        <f>HYPERLINK("https://www.wcmo.edu", "Westminster College")</f>
        <v>Westminster College</v>
      </c>
      <c r="B283" s="18" t="s">
        <v>32</v>
      </c>
      <c r="C283" s="18" t="s">
        <v>164</v>
      </c>
      <c r="D283" s="18" t="s">
        <v>539</v>
      </c>
      <c r="E283" s="18">
        <v>1162</v>
      </c>
      <c r="F283" s="18" t="s">
        <v>35</v>
      </c>
      <c r="J283" s="19">
        <v>0.65080000000000005</v>
      </c>
      <c r="K283" s="19">
        <v>0.40506329099999999</v>
      </c>
      <c r="L283" s="19">
        <v>0.60370000000000001</v>
      </c>
      <c r="M283" s="19">
        <v>0.66669999999999996</v>
      </c>
      <c r="N283" s="19">
        <v>0.45450000000000002</v>
      </c>
      <c r="O283" s="19">
        <v>1</v>
      </c>
      <c r="P283" s="20">
        <v>40510</v>
      </c>
      <c r="Q283" s="21" t="str">
        <f>HYPERLINK("https://www.westminster-mo.edu/admissions/finaid/NetPriceCalculator.html", "$18412")</f>
        <v>$18412</v>
      </c>
      <c r="R283" s="20">
        <v>19935</v>
      </c>
      <c r="S283" s="20">
        <v>19932</v>
      </c>
      <c r="T283" s="20">
        <v>4760</v>
      </c>
      <c r="U283" s="20">
        <v>13652</v>
      </c>
      <c r="W283" s="19">
        <v>0.29570000000000002</v>
      </c>
      <c r="X283" s="19">
        <v>0.30499999999999999</v>
      </c>
      <c r="Z283" s="18">
        <v>764</v>
      </c>
    </row>
    <row r="284" spans="1:26" ht="15.75" customHeight="1" x14ac:dyDescent="0.2">
      <c r="A284" s="36" t="str">
        <f>HYPERLINK("https://www.westminstercollege.edu", "Westminster College")</f>
        <v>Westminster College</v>
      </c>
      <c r="B284" s="18" t="s">
        <v>32</v>
      </c>
      <c r="C284" s="18" t="s">
        <v>199</v>
      </c>
      <c r="D284" s="18" t="s">
        <v>525</v>
      </c>
      <c r="E284" s="18">
        <v>1187</v>
      </c>
      <c r="F284" s="18" t="s">
        <v>35</v>
      </c>
      <c r="J284" s="19">
        <v>0.61850000000000005</v>
      </c>
      <c r="K284" s="19">
        <v>0.57692307700000001</v>
      </c>
      <c r="L284" s="19">
        <v>0.62460000000000004</v>
      </c>
      <c r="M284" s="19">
        <v>0.5</v>
      </c>
      <c r="N284" s="19">
        <v>0.61360000000000003</v>
      </c>
      <c r="O284" s="19">
        <v>0.52629999999999999</v>
      </c>
      <c r="P284" s="20">
        <v>47784</v>
      </c>
      <c r="Q284" s="21" t="str">
        <f>HYPERLINK("https://www.westminstercollege.edu/financial_aid_undergraduate/index.cfm?parent=4210&amp;detail=11942", "$16796")</f>
        <v>$16796</v>
      </c>
      <c r="R284" s="20">
        <v>20310</v>
      </c>
      <c r="S284" s="20">
        <v>23047</v>
      </c>
      <c r="T284" s="20">
        <v>4680</v>
      </c>
      <c r="U284" s="20">
        <v>12116</v>
      </c>
      <c r="W284" s="19">
        <v>0.23599999999999999</v>
      </c>
      <c r="X284" s="19">
        <v>0.28820000000000001</v>
      </c>
      <c r="Z284" s="18">
        <v>2002</v>
      </c>
    </row>
    <row r="285" spans="1:26" ht="15.75" customHeight="1" x14ac:dyDescent="0.2">
      <c r="A285" s="36" t="str">
        <f>HYPERLINK("https://www.wheatoncollege.edu", "Wheaton College")</f>
        <v>Wheaton College</v>
      </c>
      <c r="B285" s="18" t="s">
        <v>32</v>
      </c>
      <c r="C285" s="18" t="s">
        <v>33</v>
      </c>
      <c r="D285" s="18" t="s">
        <v>540</v>
      </c>
      <c r="E285" s="18">
        <v>1270</v>
      </c>
      <c r="F285" s="18" t="s">
        <v>115</v>
      </c>
      <c r="J285" s="19">
        <v>0.78029999999999999</v>
      </c>
      <c r="K285" s="19">
        <v>0.73076923099999991</v>
      </c>
      <c r="L285" s="19">
        <v>0.80200000000000005</v>
      </c>
      <c r="M285" s="19">
        <v>0.6522</v>
      </c>
      <c r="N285" s="19">
        <v>0.71050000000000002</v>
      </c>
      <c r="O285" s="19">
        <v>0.78569999999999995</v>
      </c>
      <c r="P285" s="20">
        <v>65818</v>
      </c>
      <c r="Q285" s="21" t="str">
        <f>HYPERLINK("https://npc.collegeboard.org/student/app/wheatoncollege", "$21715")</f>
        <v>$21715</v>
      </c>
      <c r="R285" s="20">
        <v>23413</v>
      </c>
      <c r="S285" s="20">
        <v>24461</v>
      </c>
      <c r="T285" s="20">
        <v>2000</v>
      </c>
      <c r="U285" s="20">
        <v>19715</v>
      </c>
      <c r="W285" s="19">
        <v>0.1923</v>
      </c>
      <c r="X285" s="19">
        <v>0.3468</v>
      </c>
      <c r="Z285" s="18">
        <v>1678</v>
      </c>
    </row>
    <row r="286" spans="1:26" ht="15.75" customHeight="1" x14ac:dyDescent="0.2">
      <c r="A286" s="36" t="str">
        <f>HYPERLINK("https://www.willamette.edu", "Willamette University")</f>
        <v>Willamette University</v>
      </c>
      <c r="B286" s="18" t="s">
        <v>32</v>
      </c>
      <c r="C286" s="18" t="s">
        <v>143</v>
      </c>
      <c r="D286" s="18" t="s">
        <v>343</v>
      </c>
      <c r="E286" s="18" t="s">
        <v>36</v>
      </c>
      <c r="F286" s="18" t="s">
        <v>90</v>
      </c>
      <c r="J286" s="19">
        <v>0.73099999999999998</v>
      </c>
      <c r="K286" s="19">
        <v>0.75294117700000007</v>
      </c>
      <c r="L286" s="19">
        <v>0.72889999999999999</v>
      </c>
      <c r="M286" s="19">
        <v>0.6</v>
      </c>
      <c r="N286" s="19">
        <v>0.76739999999999997</v>
      </c>
      <c r="O286" s="19">
        <v>0.72219999999999995</v>
      </c>
      <c r="P286" s="20">
        <v>62262</v>
      </c>
      <c r="Q286" s="21" t="str">
        <f>HYPERLINK("https://willamette.edu/offices/finaid/undergraduate-students/net-price-calculator/index.html", "$21077")</f>
        <v>$21077</v>
      </c>
      <c r="R286" s="20">
        <v>23759</v>
      </c>
      <c r="S286" s="20">
        <v>29836</v>
      </c>
      <c r="T286" s="20">
        <v>2224</v>
      </c>
      <c r="U286" s="20">
        <v>18853</v>
      </c>
      <c r="W286" s="19">
        <v>0.21729999999999999</v>
      </c>
      <c r="X286" s="19">
        <v>0.38600000000000001</v>
      </c>
      <c r="Z286" s="18">
        <v>1772</v>
      </c>
    </row>
    <row r="287" spans="1:26" ht="15.75" customHeight="1" x14ac:dyDescent="0.2">
      <c r="A287" s="36" t="str">
        <f>HYPERLINK("https://www.jewell.edu", "William Jewell College")</f>
        <v>William Jewell College</v>
      </c>
      <c r="B287" s="18" t="s">
        <v>32</v>
      </c>
      <c r="C287" s="18" t="s">
        <v>164</v>
      </c>
      <c r="D287" s="18" t="s">
        <v>541</v>
      </c>
      <c r="E287" s="18">
        <v>1226</v>
      </c>
      <c r="F287" s="18" t="s">
        <v>35</v>
      </c>
      <c r="J287" s="19">
        <v>0.59260000000000002</v>
      </c>
      <c r="K287" s="19">
        <v>0.515151515</v>
      </c>
      <c r="L287" s="19">
        <v>0.61950000000000005</v>
      </c>
      <c r="M287" s="19">
        <v>0.66669999999999996</v>
      </c>
      <c r="N287" s="19">
        <v>0.21429999999999999</v>
      </c>
      <c r="O287" s="19">
        <v>0.33329999999999999</v>
      </c>
      <c r="P287" s="20">
        <v>47928</v>
      </c>
      <c r="Q287" s="21" t="str">
        <f>HYPERLINK("https://www.www.jewell.edu/afford/tuition-and-fees/netprice-calculator", "$15268")</f>
        <v>$15268</v>
      </c>
      <c r="R287" s="20">
        <v>19438</v>
      </c>
      <c r="S287" s="20">
        <v>22589</v>
      </c>
      <c r="T287" s="20">
        <v>4668</v>
      </c>
      <c r="U287" s="20">
        <v>10600</v>
      </c>
      <c r="W287" s="19">
        <v>0.2379</v>
      </c>
      <c r="X287" s="19">
        <v>0.20910000000000001</v>
      </c>
      <c r="Z287" s="18">
        <v>928</v>
      </c>
    </row>
    <row r="288" spans="1:26" ht="15.75" customHeight="1" x14ac:dyDescent="0.2">
      <c r="A288" s="36" t="str">
        <f>HYPERLINK("https://wlc.edu", "Wisconsin Lutheran College")</f>
        <v>Wisconsin Lutheran College</v>
      </c>
      <c r="B288" s="18" t="s">
        <v>32</v>
      </c>
      <c r="C288" s="18" t="s">
        <v>196</v>
      </c>
      <c r="D288" s="18" t="s">
        <v>410</v>
      </c>
      <c r="E288" s="18">
        <v>1145</v>
      </c>
      <c r="F288" s="18" t="s">
        <v>35</v>
      </c>
      <c r="J288" s="19">
        <v>0.66539999999999999</v>
      </c>
      <c r="K288" s="19">
        <v>0.365853659</v>
      </c>
      <c r="L288" s="19">
        <v>0.69640000000000002</v>
      </c>
      <c r="M288" s="19">
        <v>0.23080000000000001</v>
      </c>
      <c r="N288" s="19">
        <v>0.5</v>
      </c>
      <c r="O288" s="19">
        <v>0.66669999999999996</v>
      </c>
      <c r="P288" s="20">
        <v>41996</v>
      </c>
      <c r="Q288" s="21" t="str">
        <f>HYPERLINK("https://wlc.edu/Net-Price-Calculator/", "$15183")</f>
        <v>$15183</v>
      </c>
      <c r="R288" s="20">
        <v>16226</v>
      </c>
      <c r="S288" s="20">
        <v>20509</v>
      </c>
      <c r="T288" s="20">
        <v>2946</v>
      </c>
      <c r="U288" s="20">
        <v>12237</v>
      </c>
      <c r="W288" s="19">
        <v>0.28499999999999998</v>
      </c>
      <c r="X288" s="19">
        <v>0.1792</v>
      </c>
      <c r="Z288" s="18">
        <v>982</v>
      </c>
    </row>
    <row r="289" spans="1:26" ht="15.75" customHeight="1" x14ac:dyDescent="0.2">
      <c r="A289" s="36" t="str">
        <f>HYPERLINK("https://www.wittenberg.edu", "Wittenberg University")</f>
        <v>Wittenberg University</v>
      </c>
      <c r="B289" s="18" t="s">
        <v>32</v>
      </c>
      <c r="C289" s="18" t="s">
        <v>75</v>
      </c>
      <c r="D289" s="18" t="s">
        <v>349</v>
      </c>
      <c r="E289" s="18" t="s">
        <v>36</v>
      </c>
      <c r="F289" s="18" t="s">
        <v>45</v>
      </c>
      <c r="J289" s="19">
        <v>0.66539999999999999</v>
      </c>
      <c r="K289" s="19">
        <v>0.39805825200000011</v>
      </c>
      <c r="L289" s="19">
        <v>0.68889999999999996</v>
      </c>
      <c r="M289" s="19">
        <v>0.4118</v>
      </c>
      <c r="N289" s="19">
        <v>0.6</v>
      </c>
      <c r="O289" s="19">
        <v>0.5</v>
      </c>
      <c r="P289" s="20">
        <v>52056</v>
      </c>
      <c r="Q289" s="21" t="str">
        <f>HYPERLINK("https://www.wittenberg.edu/admission/facalc", "$19304")</f>
        <v>$19304</v>
      </c>
      <c r="R289" s="20">
        <v>24150</v>
      </c>
      <c r="S289" s="20">
        <v>27052</v>
      </c>
      <c r="T289" s="20">
        <v>3200</v>
      </c>
      <c r="U289" s="20">
        <v>16104</v>
      </c>
      <c r="W289" s="19">
        <v>0.31169999999999998</v>
      </c>
      <c r="X289" s="19">
        <v>0.23649999999999999</v>
      </c>
      <c r="Z289" s="18">
        <v>1780</v>
      </c>
    </row>
    <row r="290" spans="1:26" ht="15.75" customHeight="1" x14ac:dyDescent="0.2">
      <c r="A290" s="17" t="str">
        <f>HYPERLINK("https://www.wofford.edu", "Wofford College")</f>
        <v>Wofford College</v>
      </c>
      <c r="B290" s="18" t="s">
        <v>32</v>
      </c>
      <c r="C290" s="18" t="s">
        <v>208</v>
      </c>
      <c r="D290" s="18" t="s">
        <v>542</v>
      </c>
      <c r="E290" s="18">
        <v>1312</v>
      </c>
      <c r="F290" s="18" t="s">
        <v>115</v>
      </c>
      <c r="J290" s="19">
        <v>0.80669999999999997</v>
      </c>
      <c r="K290" s="19">
        <v>0.74468085099999992</v>
      </c>
      <c r="L290" s="19">
        <v>0.8</v>
      </c>
      <c r="M290" s="19">
        <v>0.84379999999999999</v>
      </c>
      <c r="N290" s="19">
        <v>0.78569999999999995</v>
      </c>
      <c r="O290" s="19">
        <v>0.90910000000000002</v>
      </c>
      <c r="P290" s="20">
        <v>57749</v>
      </c>
      <c r="Q290" s="33" t="str">
        <f>HYPERLINK("https://wofford.studentaidcalculator.com", "$15903")</f>
        <v>$15903</v>
      </c>
      <c r="R290" s="20">
        <v>20635</v>
      </c>
      <c r="S290" s="20">
        <v>26015</v>
      </c>
      <c r="T290" s="20">
        <v>3654</v>
      </c>
      <c r="U290" s="20">
        <v>12249</v>
      </c>
      <c r="W290" s="19">
        <v>0.1628</v>
      </c>
      <c r="X290" s="19">
        <v>0.20419999999999999</v>
      </c>
      <c r="Z290" s="18">
        <v>1675</v>
      </c>
    </row>
    <row r="291" spans="1:26" ht="15.75" customHeight="1" x14ac:dyDescent="0.2">
      <c r="A291" s="17" t="str">
        <f>HYPERLINK("https://www.xavier.edu", "Xavier University")</f>
        <v>Xavier University</v>
      </c>
      <c r="B291" s="18" t="s">
        <v>32</v>
      </c>
      <c r="C291" s="18" t="s">
        <v>75</v>
      </c>
      <c r="D291" s="18" t="s">
        <v>502</v>
      </c>
      <c r="E291" s="18">
        <v>1195</v>
      </c>
      <c r="F291" s="18" t="s">
        <v>35</v>
      </c>
      <c r="J291" s="19">
        <v>0.69240000000000002</v>
      </c>
      <c r="K291" s="19">
        <v>0.50476190499999996</v>
      </c>
      <c r="L291" s="19">
        <v>0.7248</v>
      </c>
      <c r="M291" s="19">
        <v>0.5</v>
      </c>
      <c r="N291" s="19">
        <v>0.71700000000000008</v>
      </c>
      <c r="O291" s="19">
        <v>0.57889999999999997</v>
      </c>
      <c r="P291" s="20">
        <v>52380</v>
      </c>
      <c r="Q291" s="33" t="str">
        <f>HYPERLINK("https://www.xavier.edu/undergraduate-admission/net-price-calculator", "$25468")</f>
        <v>$25468</v>
      </c>
      <c r="R291" s="20">
        <v>29287</v>
      </c>
      <c r="S291" s="20">
        <v>30310</v>
      </c>
      <c r="T291" s="20">
        <v>3000</v>
      </c>
      <c r="U291" s="20">
        <v>22468</v>
      </c>
      <c r="W291" s="19">
        <v>0.1628</v>
      </c>
      <c r="X291" s="19">
        <v>0.25030000000000002</v>
      </c>
      <c r="Z291" s="18">
        <v>4571</v>
      </c>
    </row>
    <row r="292" spans="1:26" ht="15.75" customHeight="1" x14ac:dyDescent="0.2">
      <c r="A292" s="17" t="str">
        <f>HYPERLINK("https://www.yu.edu", "Yeshiva University")</f>
        <v>Yeshiva University</v>
      </c>
      <c r="B292" s="18" t="s">
        <v>32</v>
      </c>
      <c r="C292" s="18" t="s">
        <v>38</v>
      </c>
      <c r="D292" s="18" t="s">
        <v>39</v>
      </c>
      <c r="E292" s="18">
        <v>1272</v>
      </c>
      <c r="F292" s="18" t="s">
        <v>35</v>
      </c>
      <c r="J292" s="19">
        <v>0.81630000000000003</v>
      </c>
      <c r="K292" s="19">
        <v>0.47311828</v>
      </c>
      <c r="L292" s="19">
        <v>0.81020000000000003</v>
      </c>
      <c r="M292" s="19" t="s">
        <v>36</v>
      </c>
      <c r="N292" s="19">
        <v>1</v>
      </c>
      <c r="O292" s="19" t="s">
        <v>36</v>
      </c>
      <c r="P292" s="20">
        <v>60525</v>
      </c>
      <c r="Q292" s="33" t="str">
        <f>HYPERLINK("https://yu.studentaidcalculator.com/survey.aspx", "$22936")</f>
        <v>$22936</v>
      </c>
      <c r="R292" s="20">
        <v>26200</v>
      </c>
      <c r="S292" s="20">
        <v>35608</v>
      </c>
      <c r="T292" s="20">
        <v>6575</v>
      </c>
      <c r="U292" s="20">
        <v>16361</v>
      </c>
      <c r="W292" s="19">
        <v>0.16389999999999999</v>
      </c>
      <c r="X292" s="19">
        <v>6.0699999999999983E-2</v>
      </c>
      <c r="Z292" s="18">
        <v>2703</v>
      </c>
    </row>
    <row r="293" spans="1:26" ht="15.75" customHeight="1" x14ac:dyDescent="0.2">
      <c r="A293" s="17" t="str">
        <f>HYPERLINK("https://www.ivcampus.sdsu.edu", "San Diego State University-Imperial Valley Campus")</f>
        <v>San Diego State University-Imperial Valley Campus</v>
      </c>
      <c r="B293" s="18" t="s">
        <v>49</v>
      </c>
      <c r="C293" s="18" t="s">
        <v>68</v>
      </c>
      <c r="D293" s="18" t="s">
        <v>471</v>
      </c>
      <c r="E293" s="18" t="s">
        <v>36</v>
      </c>
      <c r="F293" s="18" t="s">
        <v>36</v>
      </c>
      <c r="G293" s="19"/>
      <c r="H293" s="19"/>
      <c r="I293" s="19"/>
      <c r="J293" s="19" t="s">
        <v>36</v>
      </c>
      <c r="K293" s="19">
        <v>0.59036658100000006</v>
      </c>
      <c r="L293" s="19" t="s">
        <v>36</v>
      </c>
      <c r="M293" s="19" t="s">
        <v>36</v>
      </c>
      <c r="N293" s="19" t="s">
        <v>36</v>
      </c>
      <c r="O293" s="19" t="s">
        <v>36</v>
      </c>
      <c r="P293" s="20" t="s">
        <v>36</v>
      </c>
      <c r="Q293" s="37" t="s">
        <v>36</v>
      </c>
      <c r="R293" s="20" t="s">
        <v>36</v>
      </c>
      <c r="S293" s="20" t="s">
        <v>36</v>
      </c>
      <c r="T293" s="20" t="s">
        <v>36</v>
      </c>
      <c r="U293" s="20" t="s">
        <v>36</v>
      </c>
      <c r="V293" s="20"/>
      <c r="W293" s="19" t="s">
        <v>36</v>
      </c>
      <c r="X293" s="19" t="s">
        <v>36</v>
      </c>
      <c r="Y293" s="19"/>
      <c r="Z293" s="18" t="s">
        <v>36</v>
      </c>
    </row>
    <row r="294" spans="1:26" ht="15.75" customHeight="1" x14ac:dyDescent="0.2">
      <c r="A294" s="34"/>
      <c r="B294" s="34"/>
      <c r="C294" s="34"/>
      <c r="D294" s="34"/>
      <c r="E294" s="19"/>
      <c r="F294" s="19"/>
      <c r="G294" s="19"/>
      <c r="H294" s="19"/>
      <c r="I294" s="19"/>
      <c r="J294" s="19"/>
      <c r="K294" s="19"/>
      <c r="L294" s="19"/>
      <c r="M294" s="19"/>
      <c r="N294" s="19"/>
      <c r="O294" s="19"/>
      <c r="P294" s="20"/>
      <c r="Q294" s="20"/>
      <c r="R294" s="22"/>
      <c r="S294" s="22"/>
      <c r="T294" s="20"/>
      <c r="U294" s="20"/>
      <c r="V294" s="20"/>
      <c r="W294" s="19"/>
      <c r="X294" s="19"/>
      <c r="Y294" s="19"/>
      <c r="Z294" s="23"/>
    </row>
    <row r="295" spans="1:26" ht="15.75" customHeight="1" x14ac:dyDescent="0.2">
      <c r="A295" s="34"/>
      <c r="B295" s="34"/>
      <c r="C295" s="34"/>
      <c r="D295" s="34"/>
      <c r="E295" s="19"/>
      <c r="F295" s="19"/>
      <c r="G295" s="19"/>
      <c r="H295" s="19"/>
      <c r="I295" s="19"/>
      <c r="J295" s="19"/>
      <c r="K295" s="19"/>
      <c r="L295" s="19"/>
      <c r="M295" s="19"/>
      <c r="N295" s="19"/>
      <c r="O295" s="19"/>
      <c r="P295" s="20"/>
      <c r="Q295" s="20"/>
      <c r="R295" s="22"/>
      <c r="S295" s="22"/>
      <c r="T295" s="20"/>
      <c r="U295" s="20"/>
      <c r="V295" s="20"/>
      <c r="W295" s="19"/>
      <c r="X295" s="19"/>
      <c r="Y295" s="19"/>
      <c r="Z295" s="23"/>
    </row>
    <row r="296" spans="1:26" ht="15.75" customHeight="1" x14ac:dyDescent="0.2">
      <c r="A296" s="34"/>
      <c r="B296" s="34"/>
      <c r="C296" s="34"/>
      <c r="D296" s="34"/>
      <c r="E296" s="19"/>
      <c r="F296" s="19"/>
      <c r="G296" s="19"/>
      <c r="H296" s="19"/>
      <c r="I296" s="19"/>
      <c r="J296" s="19"/>
      <c r="K296" s="19"/>
      <c r="L296" s="19"/>
      <c r="M296" s="19"/>
      <c r="N296" s="19"/>
      <c r="O296" s="19"/>
      <c r="P296" s="20"/>
      <c r="Q296" s="20"/>
      <c r="R296" s="22"/>
      <c r="S296" s="22"/>
      <c r="T296" s="20"/>
      <c r="U296" s="20"/>
      <c r="V296" s="20"/>
      <c r="W296" s="19"/>
      <c r="X296" s="19"/>
      <c r="Y296" s="19"/>
      <c r="Z296" s="23"/>
    </row>
    <row r="297" spans="1:26" ht="15.75" customHeight="1" x14ac:dyDescent="0.2">
      <c r="A297" s="34"/>
      <c r="B297" s="34"/>
      <c r="C297" s="34"/>
      <c r="D297" s="34"/>
      <c r="E297" s="19"/>
      <c r="F297" s="19"/>
      <c r="G297" s="19"/>
      <c r="H297" s="19"/>
      <c r="I297" s="19"/>
      <c r="J297" s="19"/>
      <c r="K297" s="19"/>
      <c r="L297" s="19"/>
      <c r="M297" s="19"/>
      <c r="N297" s="19"/>
      <c r="O297" s="19"/>
      <c r="P297" s="20"/>
      <c r="Q297" s="20"/>
      <c r="R297" s="22"/>
      <c r="S297" s="22"/>
      <c r="T297" s="20"/>
      <c r="U297" s="20"/>
      <c r="V297" s="20"/>
      <c r="W297" s="19"/>
      <c r="X297" s="19"/>
      <c r="Y297" s="19"/>
      <c r="Z297" s="23"/>
    </row>
    <row r="298" spans="1:26" ht="15.75" customHeight="1" x14ac:dyDescent="0.2">
      <c r="A298" s="34"/>
      <c r="B298" s="34"/>
      <c r="C298" s="34"/>
      <c r="D298" s="34"/>
      <c r="E298" s="19"/>
      <c r="F298" s="19"/>
      <c r="G298" s="19"/>
      <c r="H298" s="19"/>
      <c r="I298" s="19"/>
      <c r="J298" s="19"/>
      <c r="K298" s="19"/>
      <c r="L298" s="19"/>
      <c r="M298" s="19"/>
      <c r="N298" s="19"/>
      <c r="O298" s="19"/>
      <c r="P298" s="20"/>
      <c r="Q298" s="20"/>
      <c r="R298" s="22"/>
      <c r="S298" s="22"/>
      <c r="T298" s="20"/>
      <c r="U298" s="20"/>
      <c r="V298" s="20"/>
      <c r="W298" s="19"/>
      <c r="X298" s="19"/>
      <c r="Y298" s="19"/>
      <c r="Z298" s="23"/>
    </row>
    <row r="299" spans="1:26" ht="15.75" customHeight="1" x14ac:dyDescent="0.2">
      <c r="A299" s="34"/>
      <c r="B299" s="34"/>
      <c r="C299" s="34"/>
      <c r="D299" s="34"/>
      <c r="E299" s="19"/>
      <c r="F299" s="19"/>
      <c r="G299" s="19"/>
      <c r="H299" s="19"/>
      <c r="I299" s="19"/>
      <c r="J299" s="19"/>
      <c r="K299" s="19"/>
      <c r="L299" s="19"/>
      <c r="M299" s="19"/>
      <c r="N299" s="19"/>
      <c r="O299" s="19"/>
      <c r="P299" s="20"/>
      <c r="Q299" s="20"/>
      <c r="R299" s="22"/>
      <c r="S299" s="22"/>
      <c r="T299" s="20"/>
      <c r="U299" s="20"/>
      <c r="V299" s="20"/>
      <c r="W299" s="19"/>
      <c r="X299" s="19"/>
      <c r="Y299" s="19"/>
      <c r="Z299" s="23"/>
    </row>
    <row r="300" spans="1:26" ht="15.75" customHeight="1" x14ac:dyDescent="0.2">
      <c r="A300" s="34"/>
      <c r="B300" s="34"/>
      <c r="C300" s="34"/>
      <c r="D300" s="34"/>
      <c r="E300" s="19"/>
      <c r="F300" s="19"/>
      <c r="G300" s="19"/>
      <c r="H300" s="19"/>
      <c r="I300" s="19"/>
      <c r="J300" s="19"/>
      <c r="K300" s="19"/>
      <c r="L300" s="19"/>
      <c r="M300" s="19"/>
      <c r="N300" s="19"/>
      <c r="O300" s="19"/>
      <c r="P300" s="20"/>
      <c r="Q300" s="20"/>
      <c r="R300" s="22"/>
      <c r="S300" s="22"/>
      <c r="T300" s="20"/>
      <c r="U300" s="20"/>
      <c r="V300" s="20"/>
      <c r="W300" s="19"/>
      <c r="X300" s="19"/>
      <c r="Y300" s="19"/>
      <c r="Z300" s="23"/>
    </row>
    <row r="301" spans="1:26" ht="15.75" customHeight="1" x14ac:dyDescent="0.2">
      <c r="A301" s="34"/>
      <c r="B301" s="34"/>
      <c r="C301" s="34"/>
      <c r="D301" s="34"/>
      <c r="E301" s="19"/>
      <c r="F301" s="19"/>
      <c r="G301" s="19"/>
      <c r="H301" s="19"/>
      <c r="I301" s="19"/>
      <c r="J301" s="19"/>
      <c r="K301" s="19"/>
      <c r="L301" s="19"/>
      <c r="M301" s="19"/>
      <c r="N301" s="19"/>
      <c r="O301" s="19"/>
      <c r="P301" s="20"/>
      <c r="Q301" s="20"/>
      <c r="R301" s="22"/>
      <c r="S301" s="22"/>
      <c r="T301" s="20"/>
      <c r="U301" s="20"/>
      <c r="V301" s="20"/>
      <c r="W301" s="19"/>
      <c r="X301" s="19"/>
      <c r="Y301" s="19"/>
      <c r="Z301" s="23"/>
    </row>
    <row r="302" spans="1:26" ht="15.75" customHeight="1" x14ac:dyDescent="0.2">
      <c r="A302" s="34"/>
      <c r="B302" s="34"/>
      <c r="C302" s="34"/>
      <c r="D302" s="34"/>
      <c r="E302" s="19"/>
      <c r="F302" s="19"/>
      <c r="G302" s="19"/>
      <c r="H302" s="19"/>
      <c r="I302" s="19"/>
      <c r="J302" s="19"/>
      <c r="K302" s="19"/>
      <c r="L302" s="19"/>
      <c r="M302" s="19"/>
      <c r="N302" s="19"/>
      <c r="O302" s="19"/>
      <c r="P302" s="20"/>
      <c r="Q302" s="20"/>
      <c r="R302" s="22"/>
      <c r="S302" s="22"/>
      <c r="T302" s="20"/>
      <c r="U302" s="20"/>
      <c r="V302" s="20"/>
      <c r="W302" s="19"/>
      <c r="X302" s="19"/>
      <c r="Y302" s="19"/>
      <c r="Z302" s="23"/>
    </row>
    <row r="303" spans="1:26" ht="15.75" customHeight="1" x14ac:dyDescent="0.2">
      <c r="A303" s="34"/>
      <c r="B303" s="34"/>
      <c r="C303" s="34"/>
      <c r="D303" s="34"/>
      <c r="E303" s="19"/>
      <c r="F303" s="19"/>
      <c r="G303" s="19"/>
      <c r="H303" s="19"/>
      <c r="I303" s="19"/>
      <c r="J303" s="19"/>
      <c r="K303" s="19"/>
      <c r="L303" s="19"/>
      <c r="M303" s="19"/>
      <c r="N303" s="19"/>
      <c r="O303" s="19"/>
      <c r="P303" s="20"/>
      <c r="Q303" s="20"/>
      <c r="R303" s="22"/>
      <c r="S303" s="22"/>
      <c r="T303" s="20"/>
      <c r="U303" s="20"/>
      <c r="V303" s="20"/>
      <c r="W303" s="19"/>
      <c r="X303" s="19"/>
      <c r="Y303" s="19"/>
      <c r="Z303" s="23"/>
    </row>
    <row r="304" spans="1:26" ht="15.75" customHeight="1" x14ac:dyDescent="0.2">
      <c r="A304" s="34"/>
      <c r="B304" s="34"/>
      <c r="C304" s="34"/>
      <c r="D304" s="34"/>
      <c r="E304" s="19"/>
      <c r="F304" s="19"/>
      <c r="G304" s="19"/>
      <c r="H304" s="19"/>
      <c r="I304" s="19"/>
      <c r="J304" s="19"/>
      <c r="K304" s="19"/>
      <c r="L304" s="19"/>
      <c r="M304" s="19"/>
      <c r="N304" s="19"/>
      <c r="O304" s="19"/>
      <c r="P304" s="20"/>
      <c r="Q304" s="20"/>
      <c r="R304" s="22"/>
      <c r="S304" s="22"/>
      <c r="T304" s="20"/>
      <c r="U304" s="20"/>
      <c r="V304" s="20"/>
      <c r="W304" s="19"/>
      <c r="X304" s="19"/>
      <c r="Y304" s="19"/>
      <c r="Z304" s="23"/>
    </row>
    <row r="305" spans="1:26" ht="15.75" customHeight="1" x14ac:dyDescent="0.2">
      <c r="A305" s="34"/>
      <c r="B305" s="34"/>
      <c r="C305" s="34"/>
      <c r="D305" s="34"/>
      <c r="E305" s="19"/>
      <c r="F305" s="19"/>
      <c r="G305" s="19"/>
      <c r="H305" s="19"/>
      <c r="I305" s="19"/>
      <c r="J305" s="19"/>
      <c r="K305" s="19"/>
      <c r="L305" s="19"/>
      <c r="M305" s="19"/>
      <c r="N305" s="19"/>
      <c r="O305" s="19"/>
      <c r="P305" s="20"/>
      <c r="Q305" s="20"/>
      <c r="R305" s="22"/>
      <c r="S305" s="22"/>
      <c r="T305" s="20"/>
      <c r="U305" s="20"/>
      <c r="V305" s="20"/>
      <c r="W305" s="19"/>
      <c r="X305" s="19"/>
      <c r="Y305" s="19"/>
      <c r="Z305" s="23"/>
    </row>
    <row r="306" spans="1:26" ht="15.75" customHeight="1" x14ac:dyDescent="0.2">
      <c r="A306" s="34"/>
      <c r="B306" s="34"/>
      <c r="C306" s="34"/>
      <c r="D306" s="34"/>
      <c r="E306" s="19"/>
      <c r="F306" s="19"/>
      <c r="G306" s="19"/>
      <c r="H306" s="19"/>
      <c r="I306" s="19"/>
      <c r="J306" s="19"/>
      <c r="K306" s="19"/>
      <c r="L306" s="19"/>
      <c r="M306" s="19"/>
      <c r="N306" s="19"/>
      <c r="O306" s="19"/>
      <c r="P306" s="20"/>
      <c r="Q306" s="20"/>
      <c r="R306" s="22"/>
      <c r="S306" s="22"/>
      <c r="T306" s="20"/>
      <c r="U306" s="20"/>
      <c r="V306" s="20"/>
      <c r="W306" s="19"/>
      <c r="X306" s="19"/>
      <c r="Y306" s="19"/>
      <c r="Z306" s="23"/>
    </row>
    <row r="307" spans="1:26" ht="15.75" customHeight="1" x14ac:dyDescent="0.2">
      <c r="A307" s="34"/>
      <c r="B307" s="34"/>
      <c r="C307" s="34"/>
      <c r="D307" s="34"/>
      <c r="E307" s="19"/>
      <c r="F307" s="19"/>
      <c r="G307" s="19"/>
      <c r="H307" s="19"/>
      <c r="I307" s="19"/>
      <c r="J307" s="19"/>
      <c r="K307" s="19"/>
      <c r="L307" s="19"/>
      <c r="M307" s="19"/>
      <c r="N307" s="19"/>
      <c r="O307" s="19"/>
      <c r="P307" s="20"/>
      <c r="Q307" s="20"/>
      <c r="R307" s="22"/>
      <c r="S307" s="22"/>
      <c r="T307" s="20"/>
      <c r="U307" s="20"/>
      <c r="V307" s="20"/>
      <c r="W307" s="19"/>
      <c r="X307" s="19"/>
      <c r="Y307" s="19"/>
      <c r="Z307" s="23"/>
    </row>
    <row r="308" spans="1:26" ht="15.75" customHeight="1" x14ac:dyDescent="0.2">
      <c r="A308" s="34"/>
      <c r="B308" s="34"/>
      <c r="C308" s="34"/>
      <c r="D308" s="34"/>
      <c r="E308" s="19"/>
      <c r="F308" s="19"/>
      <c r="G308" s="19"/>
      <c r="H308" s="19"/>
      <c r="I308" s="19"/>
      <c r="J308" s="19"/>
      <c r="K308" s="19"/>
      <c r="L308" s="19"/>
      <c r="M308" s="19"/>
      <c r="N308" s="19"/>
      <c r="O308" s="19"/>
      <c r="P308" s="20"/>
      <c r="Q308" s="20"/>
      <c r="R308" s="22"/>
      <c r="S308" s="22"/>
      <c r="T308" s="20"/>
      <c r="U308" s="20"/>
      <c r="V308" s="20"/>
      <c r="W308" s="19"/>
      <c r="X308" s="19"/>
      <c r="Y308" s="19"/>
      <c r="Z308" s="23"/>
    </row>
    <row r="309" spans="1:26" ht="15.75" customHeight="1" x14ac:dyDescent="0.2">
      <c r="A309" s="34"/>
      <c r="B309" s="34"/>
      <c r="C309" s="34"/>
      <c r="D309" s="34"/>
      <c r="E309" s="19"/>
      <c r="F309" s="19"/>
      <c r="G309" s="19"/>
      <c r="H309" s="19"/>
      <c r="I309" s="19"/>
      <c r="J309" s="19"/>
      <c r="K309" s="19"/>
      <c r="L309" s="19"/>
      <c r="M309" s="19"/>
      <c r="N309" s="19"/>
      <c r="O309" s="19"/>
      <c r="P309" s="20"/>
      <c r="Q309" s="20"/>
      <c r="R309" s="22"/>
      <c r="S309" s="22"/>
      <c r="T309" s="20"/>
      <c r="U309" s="20"/>
      <c r="V309" s="20"/>
      <c r="W309" s="19"/>
      <c r="X309" s="19"/>
      <c r="Y309" s="19"/>
      <c r="Z309" s="23"/>
    </row>
    <row r="310" spans="1:26" ht="15.75" customHeight="1" x14ac:dyDescent="0.2">
      <c r="A310" s="34"/>
      <c r="B310" s="34"/>
      <c r="C310" s="34"/>
      <c r="D310" s="34"/>
      <c r="E310" s="19"/>
      <c r="F310" s="19"/>
      <c r="G310" s="19"/>
      <c r="H310" s="19"/>
      <c r="I310" s="19"/>
      <c r="J310" s="19"/>
      <c r="K310" s="19"/>
      <c r="L310" s="19"/>
      <c r="M310" s="19"/>
      <c r="N310" s="19"/>
      <c r="O310" s="19"/>
      <c r="P310" s="20"/>
      <c r="Q310" s="20"/>
      <c r="R310" s="22"/>
      <c r="S310" s="22"/>
      <c r="T310" s="20"/>
      <c r="U310" s="20"/>
      <c r="V310" s="20"/>
      <c r="W310" s="19"/>
      <c r="X310" s="19"/>
      <c r="Y310" s="19"/>
      <c r="Z310" s="23"/>
    </row>
    <row r="311" spans="1:26" ht="15.75" customHeight="1" x14ac:dyDescent="0.2">
      <c r="A311" s="34"/>
      <c r="B311" s="34"/>
      <c r="C311" s="34"/>
      <c r="D311" s="34"/>
      <c r="E311" s="19"/>
      <c r="F311" s="19"/>
      <c r="G311" s="19"/>
      <c r="H311" s="19"/>
      <c r="I311" s="19"/>
      <c r="J311" s="19"/>
      <c r="K311" s="19"/>
      <c r="L311" s="19"/>
      <c r="M311" s="19"/>
      <c r="N311" s="19"/>
      <c r="O311" s="19"/>
      <c r="P311" s="20"/>
      <c r="Q311" s="20"/>
      <c r="R311" s="22"/>
      <c r="S311" s="22"/>
      <c r="T311" s="20"/>
      <c r="U311" s="20"/>
      <c r="V311" s="20"/>
      <c r="W311" s="19"/>
      <c r="X311" s="19"/>
      <c r="Y311" s="19"/>
      <c r="Z311" s="23"/>
    </row>
    <row r="312" spans="1:26" ht="15.75" customHeight="1" x14ac:dyDescent="0.2">
      <c r="A312" s="34"/>
      <c r="B312" s="34"/>
      <c r="C312" s="34"/>
      <c r="D312" s="34"/>
      <c r="E312" s="19"/>
      <c r="F312" s="19"/>
      <c r="G312" s="19"/>
      <c r="H312" s="19"/>
      <c r="I312" s="19"/>
      <c r="J312" s="19"/>
      <c r="K312" s="19"/>
      <c r="L312" s="19"/>
      <c r="M312" s="19"/>
      <c r="N312" s="19"/>
      <c r="O312" s="19"/>
      <c r="P312" s="20"/>
      <c r="Q312" s="20"/>
      <c r="R312" s="22"/>
      <c r="S312" s="22"/>
      <c r="T312" s="20"/>
      <c r="U312" s="20"/>
      <c r="V312" s="20"/>
      <c r="W312" s="19"/>
      <c r="X312" s="19"/>
      <c r="Y312" s="19"/>
      <c r="Z312" s="23"/>
    </row>
    <row r="313" spans="1:26" ht="15.75" customHeight="1" x14ac:dyDescent="0.2">
      <c r="A313" s="34"/>
      <c r="B313" s="34"/>
      <c r="C313" s="34"/>
      <c r="D313" s="34"/>
      <c r="E313" s="19"/>
      <c r="F313" s="19"/>
      <c r="G313" s="19"/>
      <c r="H313" s="19"/>
      <c r="I313" s="19"/>
      <c r="J313" s="19"/>
      <c r="K313" s="19"/>
      <c r="L313" s="19"/>
      <c r="M313" s="19"/>
      <c r="N313" s="19"/>
      <c r="O313" s="19"/>
      <c r="P313" s="20"/>
      <c r="Q313" s="20"/>
      <c r="R313" s="22"/>
      <c r="S313" s="22"/>
      <c r="T313" s="20"/>
      <c r="U313" s="20"/>
      <c r="V313" s="20"/>
      <c r="W313" s="19"/>
      <c r="X313" s="19"/>
      <c r="Y313" s="19"/>
      <c r="Z313" s="23"/>
    </row>
    <row r="314" spans="1:26" ht="15.75" customHeight="1" x14ac:dyDescent="0.2">
      <c r="A314" s="34"/>
      <c r="B314" s="34"/>
      <c r="C314" s="34"/>
      <c r="D314" s="34"/>
      <c r="E314" s="19"/>
      <c r="F314" s="19"/>
      <c r="G314" s="19"/>
      <c r="H314" s="19"/>
      <c r="I314" s="19"/>
      <c r="J314" s="19"/>
      <c r="K314" s="19"/>
      <c r="L314" s="19"/>
      <c r="M314" s="19"/>
      <c r="N314" s="19"/>
      <c r="O314" s="19"/>
      <c r="P314" s="20"/>
      <c r="Q314" s="20"/>
      <c r="R314" s="22"/>
      <c r="S314" s="22"/>
      <c r="T314" s="20"/>
      <c r="U314" s="20"/>
      <c r="V314" s="20"/>
      <c r="W314" s="19"/>
      <c r="X314" s="19"/>
      <c r="Y314" s="19"/>
      <c r="Z314" s="23"/>
    </row>
    <row r="315" spans="1:26" ht="15.75" customHeight="1" x14ac:dyDescent="0.2">
      <c r="A315" s="34"/>
      <c r="B315" s="34"/>
      <c r="C315" s="34"/>
      <c r="D315" s="34"/>
      <c r="E315" s="19"/>
      <c r="F315" s="19"/>
      <c r="G315" s="19"/>
      <c r="H315" s="19"/>
      <c r="I315" s="19"/>
      <c r="J315" s="19"/>
      <c r="K315" s="19"/>
      <c r="L315" s="19"/>
      <c r="M315" s="19"/>
      <c r="N315" s="19"/>
      <c r="O315" s="19"/>
      <c r="P315" s="20"/>
      <c r="Q315" s="20"/>
      <c r="R315" s="22"/>
      <c r="S315" s="22"/>
      <c r="T315" s="20"/>
      <c r="U315" s="20"/>
      <c r="V315" s="20"/>
      <c r="W315" s="19"/>
      <c r="X315" s="19"/>
      <c r="Y315" s="19"/>
      <c r="Z315" s="23"/>
    </row>
    <row r="316" spans="1:26" ht="15.75" customHeight="1" x14ac:dyDescent="0.2">
      <c r="A316" s="34"/>
      <c r="B316" s="34"/>
      <c r="C316" s="34"/>
      <c r="D316" s="34"/>
      <c r="E316" s="19"/>
      <c r="F316" s="19"/>
      <c r="G316" s="19"/>
      <c r="H316" s="19"/>
      <c r="I316" s="19"/>
      <c r="J316" s="19"/>
      <c r="K316" s="19"/>
      <c r="L316" s="19"/>
      <c r="M316" s="19"/>
      <c r="N316" s="19"/>
      <c r="O316" s="19"/>
      <c r="P316" s="20"/>
      <c r="Q316" s="20"/>
      <c r="R316" s="22"/>
      <c r="S316" s="22"/>
      <c r="T316" s="20"/>
      <c r="U316" s="20"/>
      <c r="V316" s="20"/>
      <c r="W316" s="19"/>
      <c r="X316" s="19"/>
      <c r="Y316" s="19"/>
      <c r="Z316" s="23"/>
    </row>
    <row r="317" spans="1:26" ht="15.75" customHeight="1" x14ac:dyDescent="0.2">
      <c r="A317" s="34"/>
      <c r="B317" s="34"/>
      <c r="C317" s="34"/>
      <c r="D317" s="34"/>
      <c r="E317" s="19"/>
      <c r="F317" s="19"/>
      <c r="G317" s="19"/>
      <c r="H317" s="19"/>
      <c r="I317" s="19"/>
      <c r="J317" s="19"/>
      <c r="K317" s="19"/>
      <c r="L317" s="19"/>
      <c r="M317" s="19"/>
      <c r="N317" s="19"/>
      <c r="O317" s="19"/>
      <c r="P317" s="20"/>
      <c r="Q317" s="20"/>
      <c r="R317" s="22"/>
      <c r="S317" s="22"/>
      <c r="T317" s="20"/>
      <c r="U317" s="20"/>
      <c r="V317" s="20"/>
      <c r="W317" s="19"/>
      <c r="X317" s="19"/>
      <c r="Y317" s="19"/>
      <c r="Z317" s="23"/>
    </row>
    <row r="318" spans="1:26" ht="15.75" customHeight="1" x14ac:dyDescent="0.2">
      <c r="A318" s="34"/>
      <c r="B318" s="34"/>
      <c r="C318" s="34"/>
      <c r="D318" s="34"/>
      <c r="E318" s="19"/>
      <c r="F318" s="19"/>
      <c r="G318" s="19"/>
      <c r="H318" s="19"/>
      <c r="I318" s="19"/>
      <c r="J318" s="19"/>
      <c r="K318" s="19"/>
      <c r="L318" s="19"/>
      <c r="M318" s="19"/>
      <c r="N318" s="19"/>
      <c r="O318" s="19"/>
      <c r="P318" s="20"/>
      <c r="Q318" s="20"/>
      <c r="R318" s="22"/>
      <c r="S318" s="22"/>
      <c r="T318" s="20"/>
      <c r="U318" s="20"/>
      <c r="V318" s="20"/>
      <c r="W318" s="19"/>
      <c r="X318" s="19"/>
      <c r="Y318" s="19"/>
      <c r="Z318" s="23"/>
    </row>
    <row r="319" spans="1:26" ht="15.75" customHeight="1" x14ac:dyDescent="0.2">
      <c r="A319" s="34"/>
      <c r="B319" s="34"/>
      <c r="C319" s="34"/>
      <c r="D319" s="34"/>
      <c r="E319" s="19"/>
      <c r="F319" s="19"/>
      <c r="G319" s="19"/>
      <c r="H319" s="19"/>
      <c r="I319" s="19"/>
      <c r="J319" s="19"/>
      <c r="K319" s="19"/>
      <c r="L319" s="19"/>
      <c r="M319" s="19"/>
      <c r="N319" s="19"/>
      <c r="O319" s="19"/>
      <c r="P319" s="20"/>
      <c r="Q319" s="20"/>
      <c r="R319" s="22"/>
      <c r="S319" s="22"/>
      <c r="T319" s="20"/>
      <c r="U319" s="20"/>
      <c r="V319" s="20"/>
      <c r="W319" s="19"/>
      <c r="X319" s="19"/>
      <c r="Y319" s="19"/>
      <c r="Z319" s="23"/>
    </row>
    <row r="320" spans="1:26" ht="15.75" customHeight="1" x14ac:dyDescent="0.2">
      <c r="A320" s="34"/>
      <c r="B320" s="34"/>
      <c r="C320" s="34"/>
      <c r="D320" s="34"/>
      <c r="E320" s="19"/>
      <c r="F320" s="19"/>
      <c r="G320" s="19"/>
      <c r="H320" s="19"/>
      <c r="I320" s="19"/>
      <c r="J320" s="19"/>
      <c r="K320" s="19"/>
      <c r="L320" s="19"/>
      <c r="M320" s="19"/>
      <c r="N320" s="19"/>
      <c r="O320" s="19"/>
      <c r="P320" s="20"/>
      <c r="Q320" s="20"/>
      <c r="R320" s="22"/>
      <c r="S320" s="22"/>
      <c r="T320" s="20"/>
      <c r="U320" s="20"/>
      <c r="V320" s="20"/>
      <c r="W320" s="19"/>
      <c r="X320" s="19"/>
      <c r="Y320" s="19"/>
      <c r="Z320" s="23"/>
    </row>
    <row r="321" spans="1:26" ht="15.75" customHeight="1" x14ac:dyDescent="0.2">
      <c r="A321" s="34"/>
      <c r="B321" s="34"/>
      <c r="C321" s="34"/>
      <c r="D321" s="34"/>
      <c r="E321" s="19"/>
      <c r="F321" s="19"/>
      <c r="G321" s="19"/>
      <c r="H321" s="19"/>
      <c r="I321" s="19"/>
      <c r="J321" s="19"/>
      <c r="K321" s="19"/>
      <c r="L321" s="19"/>
      <c r="M321" s="19"/>
      <c r="N321" s="19"/>
      <c r="O321" s="19"/>
      <c r="P321" s="20"/>
      <c r="Q321" s="20"/>
      <c r="R321" s="22"/>
      <c r="S321" s="22"/>
      <c r="T321" s="20"/>
      <c r="U321" s="20"/>
      <c r="V321" s="20"/>
      <c r="W321" s="19"/>
      <c r="X321" s="19"/>
      <c r="Y321" s="19"/>
      <c r="Z321" s="23"/>
    </row>
    <row r="322" spans="1:26" ht="15.75" customHeight="1" x14ac:dyDescent="0.2">
      <c r="A322" s="34"/>
      <c r="B322" s="34"/>
      <c r="C322" s="34"/>
      <c r="D322" s="34"/>
      <c r="E322" s="19"/>
      <c r="F322" s="19"/>
      <c r="G322" s="19"/>
      <c r="H322" s="19"/>
      <c r="I322" s="19"/>
      <c r="J322" s="19"/>
      <c r="K322" s="19"/>
      <c r="L322" s="19"/>
      <c r="M322" s="19"/>
      <c r="N322" s="19"/>
      <c r="O322" s="19"/>
      <c r="P322" s="20"/>
      <c r="Q322" s="20"/>
      <c r="R322" s="22"/>
      <c r="S322" s="22"/>
      <c r="T322" s="20"/>
      <c r="U322" s="20"/>
      <c r="V322" s="20"/>
      <c r="W322" s="19"/>
      <c r="X322" s="19"/>
      <c r="Y322" s="19"/>
      <c r="Z322" s="23"/>
    </row>
    <row r="323" spans="1:26" ht="15.75" customHeight="1" x14ac:dyDescent="0.2">
      <c r="A323" s="34"/>
      <c r="B323" s="34"/>
      <c r="C323" s="34"/>
      <c r="D323" s="34"/>
      <c r="E323" s="19"/>
      <c r="F323" s="19"/>
      <c r="G323" s="19"/>
      <c r="H323" s="19"/>
      <c r="I323" s="19"/>
      <c r="J323" s="19"/>
      <c r="K323" s="19"/>
      <c r="L323" s="19"/>
      <c r="M323" s="19"/>
      <c r="N323" s="19"/>
      <c r="O323" s="19"/>
      <c r="P323" s="20"/>
      <c r="Q323" s="20"/>
      <c r="R323" s="22"/>
      <c r="S323" s="22"/>
      <c r="T323" s="20"/>
      <c r="U323" s="20"/>
      <c r="V323" s="20"/>
      <c r="W323" s="19"/>
      <c r="X323" s="19"/>
      <c r="Y323" s="19"/>
      <c r="Z323" s="23"/>
    </row>
    <row r="324" spans="1:26" ht="15.75" customHeight="1" x14ac:dyDescent="0.2">
      <c r="A324" s="34"/>
      <c r="B324" s="34"/>
      <c r="C324" s="34"/>
      <c r="D324" s="34"/>
      <c r="E324" s="19"/>
      <c r="F324" s="19"/>
      <c r="G324" s="19"/>
      <c r="H324" s="19"/>
      <c r="I324" s="19"/>
      <c r="J324" s="19"/>
      <c r="K324" s="19"/>
      <c r="L324" s="19"/>
      <c r="M324" s="19"/>
      <c r="N324" s="19"/>
      <c r="O324" s="19"/>
      <c r="P324" s="20"/>
      <c r="Q324" s="20"/>
      <c r="R324" s="22"/>
      <c r="S324" s="22"/>
      <c r="T324" s="20"/>
      <c r="U324" s="20"/>
      <c r="V324" s="20"/>
      <c r="W324" s="19"/>
      <c r="X324" s="19"/>
      <c r="Y324" s="19"/>
      <c r="Z324" s="23"/>
    </row>
    <row r="325" spans="1:26" ht="15.75" customHeight="1" x14ac:dyDescent="0.2">
      <c r="A325" s="34"/>
      <c r="B325" s="34"/>
      <c r="C325" s="34"/>
      <c r="D325" s="34"/>
      <c r="E325" s="19"/>
      <c r="F325" s="19"/>
      <c r="G325" s="19"/>
      <c r="H325" s="19"/>
      <c r="I325" s="19"/>
      <c r="J325" s="19"/>
      <c r="K325" s="19"/>
      <c r="L325" s="19"/>
      <c r="M325" s="19"/>
      <c r="N325" s="19"/>
      <c r="O325" s="19"/>
      <c r="P325" s="20"/>
      <c r="Q325" s="20"/>
      <c r="R325" s="22"/>
      <c r="S325" s="22"/>
      <c r="T325" s="20"/>
      <c r="U325" s="20"/>
      <c r="V325" s="20"/>
      <c r="W325" s="19"/>
      <c r="X325" s="19"/>
      <c r="Y325" s="19"/>
      <c r="Z325" s="23"/>
    </row>
    <row r="326" spans="1:26" ht="15.75" customHeight="1" x14ac:dyDescent="0.2">
      <c r="A326" s="34"/>
      <c r="B326" s="34"/>
      <c r="C326" s="34"/>
      <c r="D326" s="34"/>
      <c r="E326" s="19"/>
      <c r="F326" s="19"/>
      <c r="G326" s="19"/>
      <c r="H326" s="19"/>
      <c r="I326" s="19"/>
      <c r="J326" s="19"/>
      <c r="K326" s="19"/>
      <c r="L326" s="19"/>
      <c r="M326" s="19"/>
      <c r="N326" s="19"/>
      <c r="O326" s="19"/>
      <c r="P326" s="20"/>
      <c r="Q326" s="20"/>
      <c r="R326" s="22"/>
      <c r="S326" s="22"/>
      <c r="T326" s="20"/>
      <c r="U326" s="20"/>
      <c r="V326" s="20"/>
      <c r="W326" s="19"/>
      <c r="X326" s="19"/>
      <c r="Y326" s="19"/>
      <c r="Z326" s="23"/>
    </row>
    <row r="327" spans="1:26" ht="15.75" customHeight="1" x14ac:dyDescent="0.2">
      <c r="A327" s="34"/>
      <c r="B327" s="34"/>
      <c r="C327" s="34"/>
      <c r="D327" s="34"/>
      <c r="E327" s="19"/>
      <c r="F327" s="19"/>
      <c r="G327" s="19"/>
      <c r="H327" s="19"/>
      <c r="I327" s="19"/>
      <c r="J327" s="19"/>
      <c r="K327" s="19"/>
      <c r="L327" s="19"/>
      <c r="M327" s="19"/>
      <c r="N327" s="19"/>
      <c r="O327" s="19"/>
      <c r="P327" s="20"/>
      <c r="Q327" s="20"/>
      <c r="R327" s="22"/>
      <c r="S327" s="22"/>
      <c r="T327" s="20"/>
      <c r="U327" s="20"/>
      <c r="V327" s="20"/>
      <c r="W327" s="19"/>
      <c r="X327" s="19"/>
      <c r="Y327" s="19"/>
      <c r="Z327" s="23"/>
    </row>
    <row r="328" spans="1:26" ht="15.75" customHeight="1" x14ac:dyDescent="0.2">
      <c r="A328" s="34"/>
      <c r="B328" s="34"/>
      <c r="C328" s="34"/>
      <c r="D328" s="34"/>
      <c r="E328" s="19"/>
      <c r="F328" s="19"/>
      <c r="G328" s="19"/>
      <c r="H328" s="19"/>
      <c r="I328" s="19"/>
      <c r="J328" s="19"/>
      <c r="K328" s="19"/>
      <c r="L328" s="19"/>
      <c r="M328" s="19"/>
      <c r="N328" s="19"/>
      <c r="O328" s="19"/>
      <c r="P328" s="20"/>
      <c r="Q328" s="20"/>
      <c r="R328" s="22"/>
      <c r="S328" s="22"/>
      <c r="T328" s="20"/>
      <c r="U328" s="20"/>
      <c r="V328" s="20"/>
      <c r="W328" s="19"/>
      <c r="X328" s="19"/>
      <c r="Y328" s="19"/>
      <c r="Z328" s="23"/>
    </row>
    <row r="329" spans="1:26" ht="15.75" customHeight="1" x14ac:dyDescent="0.2">
      <c r="A329" s="34"/>
      <c r="B329" s="34"/>
      <c r="C329" s="34"/>
      <c r="D329" s="34"/>
      <c r="E329" s="19"/>
      <c r="F329" s="19"/>
      <c r="G329" s="19"/>
      <c r="H329" s="19"/>
      <c r="I329" s="19"/>
      <c r="J329" s="19"/>
      <c r="K329" s="19"/>
      <c r="L329" s="19"/>
      <c r="M329" s="19"/>
      <c r="N329" s="19"/>
      <c r="O329" s="19"/>
      <c r="P329" s="20"/>
      <c r="Q329" s="20"/>
      <c r="R329" s="22"/>
      <c r="S329" s="22"/>
      <c r="T329" s="20"/>
      <c r="U329" s="20"/>
      <c r="V329" s="20"/>
      <c r="W329" s="19"/>
      <c r="X329" s="19"/>
      <c r="Y329" s="19"/>
      <c r="Z329" s="23"/>
    </row>
    <row r="330" spans="1:26" ht="15.75" customHeight="1" x14ac:dyDescent="0.2">
      <c r="A330" s="34"/>
      <c r="B330" s="34"/>
      <c r="C330" s="34"/>
      <c r="D330" s="34"/>
      <c r="E330" s="19"/>
      <c r="F330" s="19"/>
      <c r="G330" s="19"/>
      <c r="H330" s="19"/>
      <c r="I330" s="19"/>
      <c r="J330" s="19"/>
      <c r="K330" s="19"/>
      <c r="L330" s="19"/>
      <c r="M330" s="19"/>
      <c r="N330" s="19"/>
      <c r="O330" s="19"/>
      <c r="P330" s="20"/>
      <c r="Q330" s="20"/>
      <c r="R330" s="22"/>
      <c r="S330" s="22"/>
      <c r="T330" s="20"/>
      <c r="U330" s="20"/>
      <c r="V330" s="20"/>
      <c r="W330" s="19"/>
      <c r="X330" s="19"/>
      <c r="Y330" s="19"/>
      <c r="Z330" s="23"/>
    </row>
    <row r="331" spans="1:26" ht="15.75" customHeight="1" x14ac:dyDescent="0.2">
      <c r="A331" s="34"/>
      <c r="B331" s="34"/>
      <c r="C331" s="34"/>
      <c r="D331" s="34"/>
      <c r="E331" s="19"/>
      <c r="F331" s="19"/>
      <c r="G331" s="19"/>
      <c r="H331" s="19"/>
      <c r="I331" s="19"/>
      <c r="J331" s="19"/>
      <c r="K331" s="19"/>
      <c r="L331" s="19"/>
      <c r="M331" s="19"/>
      <c r="N331" s="19"/>
      <c r="O331" s="19"/>
      <c r="P331" s="20"/>
      <c r="Q331" s="20"/>
      <c r="R331" s="22"/>
      <c r="S331" s="22"/>
      <c r="T331" s="20"/>
      <c r="U331" s="20"/>
      <c r="V331" s="20"/>
      <c r="W331" s="19"/>
      <c r="X331" s="19"/>
      <c r="Y331" s="19"/>
      <c r="Z331" s="23"/>
    </row>
    <row r="332" spans="1:26" ht="15.75" customHeight="1" x14ac:dyDescent="0.2">
      <c r="A332" s="34"/>
      <c r="B332" s="34"/>
      <c r="C332" s="34"/>
      <c r="D332" s="34"/>
      <c r="E332" s="19"/>
      <c r="F332" s="19"/>
      <c r="G332" s="19"/>
      <c r="H332" s="19"/>
      <c r="I332" s="19"/>
      <c r="J332" s="19"/>
      <c r="K332" s="19"/>
      <c r="L332" s="19"/>
      <c r="M332" s="19"/>
      <c r="N332" s="19"/>
      <c r="O332" s="19"/>
      <c r="P332" s="20"/>
      <c r="Q332" s="20"/>
      <c r="R332" s="22"/>
      <c r="S332" s="22"/>
      <c r="T332" s="20"/>
      <c r="U332" s="20"/>
      <c r="V332" s="20"/>
      <c r="W332" s="19"/>
      <c r="X332" s="19"/>
      <c r="Y332" s="19"/>
      <c r="Z332" s="23"/>
    </row>
    <row r="333" spans="1:26" ht="15.75" customHeight="1" x14ac:dyDescent="0.2">
      <c r="A333" s="34"/>
      <c r="B333" s="34"/>
      <c r="C333" s="34"/>
      <c r="D333" s="34"/>
      <c r="E333" s="19"/>
      <c r="F333" s="19"/>
      <c r="G333" s="19"/>
      <c r="H333" s="19"/>
      <c r="I333" s="19"/>
      <c r="J333" s="19"/>
      <c r="K333" s="19"/>
      <c r="L333" s="19"/>
      <c r="M333" s="19"/>
      <c r="N333" s="19"/>
      <c r="O333" s="19"/>
      <c r="P333" s="20"/>
      <c r="Q333" s="20"/>
      <c r="R333" s="22"/>
      <c r="S333" s="22"/>
      <c r="T333" s="20"/>
      <c r="U333" s="20"/>
      <c r="V333" s="20"/>
      <c r="W333" s="19"/>
      <c r="X333" s="19"/>
      <c r="Y333" s="19"/>
      <c r="Z333" s="23"/>
    </row>
    <row r="334" spans="1:26" ht="15.75" customHeight="1" x14ac:dyDescent="0.2">
      <c r="A334" s="34"/>
      <c r="B334" s="34"/>
      <c r="C334" s="34"/>
      <c r="D334" s="34"/>
      <c r="E334" s="19"/>
      <c r="F334" s="19"/>
      <c r="G334" s="19"/>
      <c r="H334" s="19"/>
      <c r="I334" s="19"/>
      <c r="J334" s="19"/>
      <c r="K334" s="19"/>
      <c r="L334" s="19"/>
      <c r="M334" s="19"/>
      <c r="N334" s="19"/>
      <c r="O334" s="19"/>
      <c r="P334" s="20"/>
      <c r="Q334" s="20"/>
      <c r="R334" s="22"/>
      <c r="S334" s="22"/>
      <c r="T334" s="20"/>
      <c r="U334" s="20"/>
      <c r="V334" s="20"/>
      <c r="W334" s="19"/>
      <c r="X334" s="19"/>
      <c r="Y334" s="19"/>
      <c r="Z334" s="23"/>
    </row>
    <row r="335" spans="1:26" ht="15.75" customHeight="1" x14ac:dyDescent="0.2">
      <c r="A335" s="34"/>
      <c r="B335" s="34"/>
      <c r="C335" s="34"/>
      <c r="D335" s="34"/>
      <c r="E335" s="19"/>
      <c r="F335" s="19"/>
      <c r="G335" s="19"/>
      <c r="H335" s="19"/>
      <c r="I335" s="19"/>
      <c r="J335" s="19"/>
      <c r="K335" s="19"/>
      <c r="L335" s="19"/>
      <c r="M335" s="19"/>
      <c r="N335" s="19"/>
      <c r="O335" s="19"/>
      <c r="P335" s="20"/>
      <c r="Q335" s="20"/>
      <c r="R335" s="22"/>
      <c r="S335" s="22"/>
      <c r="T335" s="20"/>
      <c r="U335" s="20"/>
      <c r="V335" s="20"/>
      <c r="W335" s="19"/>
      <c r="X335" s="19"/>
      <c r="Y335" s="19"/>
      <c r="Z335" s="23"/>
    </row>
    <row r="336" spans="1:26" ht="15.75" customHeight="1" x14ac:dyDescent="0.2">
      <c r="A336" s="34"/>
      <c r="B336" s="34"/>
      <c r="C336" s="34"/>
      <c r="D336" s="34"/>
      <c r="E336" s="19"/>
      <c r="F336" s="19"/>
      <c r="G336" s="19"/>
      <c r="H336" s="19"/>
      <c r="I336" s="19"/>
      <c r="J336" s="19"/>
      <c r="K336" s="19"/>
      <c r="L336" s="19"/>
      <c r="M336" s="19"/>
      <c r="N336" s="19"/>
      <c r="O336" s="19"/>
      <c r="P336" s="20"/>
      <c r="Q336" s="20"/>
      <c r="R336" s="22"/>
      <c r="S336" s="22"/>
      <c r="T336" s="20"/>
      <c r="U336" s="20"/>
      <c r="V336" s="20"/>
      <c r="W336" s="19"/>
      <c r="X336" s="19"/>
      <c r="Y336" s="19"/>
      <c r="Z336" s="23"/>
    </row>
    <row r="337" spans="1:26" ht="15.75" customHeight="1" x14ac:dyDescent="0.2">
      <c r="A337" s="34"/>
      <c r="B337" s="34"/>
      <c r="C337" s="34"/>
      <c r="D337" s="34"/>
      <c r="E337" s="19"/>
      <c r="F337" s="19"/>
      <c r="G337" s="19"/>
      <c r="H337" s="19"/>
      <c r="I337" s="19"/>
      <c r="J337" s="19"/>
      <c r="K337" s="19"/>
      <c r="L337" s="19"/>
      <c r="M337" s="19"/>
      <c r="N337" s="19"/>
      <c r="O337" s="19"/>
      <c r="P337" s="20"/>
      <c r="Q337" s="20"/>
      <c r="R337" s="22"/>
      <c r="S337" s="22"/>
      <c r="T337" s="20"/>
      <c r="U337" s="20"/>
      <c r="V337" s="20"/>
      <c r="W337" s="19"/>
      <c r="X337" s="19"/>
      <c r="Y337" s="19"/>
      <c r="Z337" s="23"/>
    </row>
    <row r="338" spans="1:26" ht="15.75" customHeight="1" x14ac:dyDescent="0.2">
      <c r="A338" s="34"/>
      <c r="B338" s="34"/>
      <c r="C338" s="34"/>
      <c r="D338" s="34"/>
      <c r="E338" s="19"/>
      <c r="F338" s="19"/>
      <c r="G338" s="19"/>
      <c r="H338" s="19"/>
      <c r="I338" s="19"/>
      <c r="J338" s="19"/>
      <c r="K338" s="19"/>
      <c r="L338" s="19"/>
      <c r="M338" s="19"/>
      <c r="N338" s="19"/>
      <c r="O338" s="19"/>
      <c r="P338" s="20"/>
      <c r="Q338" s="20"/>
      <c r="R338" s="22"/>
      <c r="S338" s="22"/>
      <c r="T338" s="20"/>
      <c r="U338" s="20"/>
      <c r="V338" s="20"/>
      <c r="W338" s="19"/>
      <c r="X338" s="19"/>
      <c r="Y338" s="19"/>
      <c r="Z338" s="23"/>
    </row>
    <row r="339" spans="1:26" ht="15.75" customHeight="1" x14ac:dyDescent="0.2">
      <c r="A339" s="34"/>
      <c r="B339" s="34"/>
      <c r="C339" s="34"/>
      <c r="D339" s="34"/>
      <c r="E339" s="19"/>
      <c r="F339" s="19"/>
      <c r="G339" s="19"/>
      <c r="H339" s="19"/>
      <c r="I339" s="19"/>
      <c r="J339" s="19"/>
      <c r="K339" s="19"/>
      <c r="L339" s="19"/>
      <c r="M339" s="19"/>
      <c r="N339" s="19"/>
      <c r="O339" s="19"/>
      <c r="P339" s="20"/>
      <c r="Q339" s="20"/>
      <c r="R339" s="22"/>
      <c r="S339" s="22"/>
      <c r="T339" s="20"/>
      <c r="U339" s="20"/>
      <c r="V339" s="20"/>
      <c r="W339" s="19"/>
      <c r="X339" s="19"/>
      <c r="Y339" s="19"/>
      <c r="Z339" s="23"/>
    </row>
    <row r="340" spans="1:26" ht="15.75" customHeight="1" x14ac:dyDescent="0.2">
      <c r="A340" s="34"/>
      <c r="B340" s="34"/>
      <c r="C340" s="34"/>
      <c r="D340" s="34"/>
      <c r="E340" s="19"/>
      <c r="F340" s="19"/>
      <c r="G340" s="19"/>
      <c r="H340" s="19"/>
      <c r="I340" s="19"/>
      <c r="J340" s="19"/>
      <c r="K340" s="19"/>
      <c r="L340" s="19"/>
      <c r="M340" s="19"/>
      <c r="N340" s="19"/>
      <c r="O340" s="19"/>
      <c r="P340" s="20"/>
      <c r="Q340" s="20"/>
      <c r="R340" s="22"/>
      <c r="S340" s="22"/>
      <c r="T340" s="20"/>
      <c r="U340" s="20"/>
      <c r="V340" s="20"/>
      <c r="W340" s="19"/>
      <c r="X340" s="19"/>
      <c r="Y340" s="19"/>
      <c r="Z340" s="23"/>
    </row>
    <row r="341" spans="1:26" ht="15.75" customHeight="1" x14ac:dyDescent="0.2">
      <c r="A341" s="34"/>
      <c r="B341" s="34"/>
      <c r="C341" s="34"/>
      <c r="D341" s="34"/>
      <c r="E341" s="19"/>
      <c r="F341" s="19"/>
      <c r="G341" s="19"/>
      <c r="H341" s="19"/>
      <c r="I341" s="19"/>
      <c r="J341" s="19"/>
      <c r="K341" s="19"/>
      <c r="L341" s="19"/>
      <c r="M341" s="19"/>
      <c r="N341" s="19"/>
      <c r="O341" s="19"/>
      <c r="P341" s="20"/>
      <c r="Q341" s="20"/>
      <c r="R341" s="22"/>
      <c r="S341" s="22"/>
      <c r="T341" s="20"/>
      <c r="U341" s="20"/>
      <c r="V341" s="20"/>
      <c r="W341" s="19"/>
      <c r="X341" s="19"/>
      <c r="Y341" s="19"/>
      <c r="Z341" s="23"/>
    </row>
    <row r="342" spans="1:26" ht="15.75" customHeight="1" x14ac:dyDescent="0.2">
      <c r="A342" s="34"/>
      <c r="B342" s="34"/>
      <c r="C342" s="34"/>
      <c r="D342" s="34"/>
      <c r="E342" s="19"/>
      <c r="F342" s="19"/>
      <c r="G342" s="19"/>
      <c r="H342" s="19"/>
      <c r="I342" s="19"/>
      <c r="J342" s="19"/>
      <c r="K342" s="19"/>
      <c r="L342" s="19"/>
      <c r="M342" s="19"/>
      <c r="N342" s="19"/>
      <c r="O342" s="19"/>
      <c r="P342" s="20"/>
      <c r="Q342" s="20"/>
      <c r="R342" s="22"/>
      <c r="S342" s="22"/>
      <c r="T342" s="20"/>
      <c r="U342" s="20"/>
      <c r="V342" s="20"/>
      <c r="W342" s="19"/>
      <c r="X342" s="19"/>
      <c r="Y342" s="19"/>
      <c r="Z342" s="23"/>
    </row>
    <row r="343" spans="1:26" ht="15.75" customHeight="1" x14ac:dyDescent="0.2">
      <c r="A343" s="34"/>
      <c r="B343" s="34"/>
      <c r="C343" s="34"/>
      <c r="D343" s="34"/>
      <c r="E343" s="19"/>
      <c r="F343" s="19"/>
      <c r="G343" s="19"/>
      <c r="H343" s="19"/>
      <c r="I343" s="19"/>
      <c r="J343" s="19"/>
      <c r="K343" s="19"/>
      <c r="L343" s="19"/>
      <c r="M343" s="19"/>
      <c r="N343" s="19"/>
      <c r="O343" s="19"/>
      <c r="P343" s="20"/>
      <c r="Q343" s="20"/>
      <c r="R343" s="22"/>
      <c r="S343" s="22"/>
      <c r="T343" s="20"/>
      <c r="U343" s="20"/>
      <c r="V343" s="20"/>
      <c r="W343" s="19"/>
      <c r="X343" s="19"/>
      <c r="Y343" s="19"/>
      <c r="Z343" s="23"/>
    </row>
    <row r="344" spans="1:26" ht="15.75" customHeight="1" x14ac:dyDescent="0.2">
      <c r="A344" s="34"/>
      <c r="B344" s="34"/>
      <c r="C344" s="34"/>
      <c r="D344" s="34"/>
      <c r="E344" s="19"/>
      <c r="F344" s="19"/>
      <c r="G344" s="19"/>
      <c r="H344" s="19"/>
      <c r="I344" s="19"/>
      <c r="J344" s="19"/>
      <c r="K344" s="19"/>
      <c r="L344" s="19"/>
      <c r="M344" s="19"/>
      <c r="N344" s="19"/>
      <c r="O344" s="19"/>
      <c r="P344" s="20"/>
      <c r="Q344" s="20"/>
      <c r="R344" s="22"/>
      <c r="S344" s="22"/>
      <c r="T344" s="20"/>
      <c r="U344" s="20"/>
      <c r="V344" s="20"/>
      <c r="W344" s="19"/>
      <c r="X344" s="19"/>
      <c r="Y344" s="19"/>
      <c r="Z344" s="23"/>
    </row>
    <row r="345" spans="1:26" ht="15.75" customHeight="1" x14ac:dyDescent="0.2">
      <c r="A345" s="34"/>
      <c r="B345" s="34"/>
      <c r="C345" s="34"/>
      <c r="D345" s="34"/>
      <c r="E345" s="19"/>
      <c r="F345" s="19"/>
      <c r="G345" s="19"/>
      <c r="H345" s="19"/>
      <c r="I345" s="19"/>
      <c r="J345" s="19"/>
      <c r="K345" s="19"/>
      <c r="L345" s="19"/>
      <c r="M345" s="19"/>
      <c r="N345" s="19"/>
      <c r="O345" s="19"/>
      <c r="P345" s="20"/>
      <c r="Q345" s="20"/>
      <c r="R345" s="22"/>
      <c r="S345" s="22"/>
      <c r="T345" s="20"/>
      <c r="U345" s="20"/>
      <c r="V345" s="20"/>
      <c r="W345" s="19"/>
      <c r="X345" s="19"/>
      <c r="Y345" s="19"/>
      <c r="Z345" s="23"/>
    </row>
    <row r="346" spans="1:26" ht="15.75" customHeight="1" x14ac:dyDescent="0.2">
      <c r="A346" s="34"/>
      <c r="B346" s="34"/>
      <c r="C346" s="34"/>
      <c r="D346" s="34"/>
      <c r="E346" s="19"/>
      <c r="F346" s="19"/>
      <c r="G346" s="19"/>
      <c r="H346" s="19"/>
      <c r="I346" s="19"/>
      <c r="J346" s="19"/>
      <c r="K346" s="19"/>
      <c r="L346" s="19"/>
      <c r="M346" s="19"/>
      <c r="N346" s="19"/>
      <c r="O346" s="19"/>
      <c r="P346" s="20"/>
      <c r="Q346" s="20"/>
      <c r="R346" s="22"/>
      <c r="S346" s="22"/>
      <c r="T346" s="20"/>
      <c r="U346" s="20"/>
      <c r="V346" s="20"/>
      <c r="W346" s="19"/>
      <c r="X346" s="19"/>
      <c r="Y346" s="19"/>
      <c r="Z346" s="23"/>
    </row>
    <row r="347" spans="1:26" ht="15.75" customHeight="1" x14ac:dyDescent="0.2">
      <c r="A347" s="34"/>
      <c r="B347" s="34"/>
      <c r="C347" s="34"/>
      <c r="D347" s="34"/>
      <c r="E347" s="19"/>
      <c r="F347" s="19"/>
      <c r="G347" s="19"/>
      <c r="H347" s="19"/>
      <c r="I347" s="19"/>
      <c r="J347" s="19"/>
      <c r="K347" s="19"/>
      <c r="L347" s="19"/>
      <c r="M347" s="19"/>
      <c r="N347" s="19"/>
      <c r="O347" s="19"/>
      <c r="P347" s="20"/>
      <c r="Q347" s="20"/>
      <c r="R347" s="22"/>
      <c r="S347" s="22"/>
      <c r="T347" s="20"/>
      <c r="U347" s="20"/>
      <c r="V347" s="20"/>
      <c r="W347" s="19"/>
      <c r="X347" s="19"/>
      <c r="Y347" s="19"/>
      <c r="Z347" s="23"/>
    </row>
    <row r="348" spans="1:26" ht="15.75" customHeight="1" x14ac:dyDescent="0.2">
      <c r="A348" s="34"/>
      <c r="B348" s="34"/>
      <c r="C348" s="34"/>
      <c r="D348" s="34"/>
      <c r="E348" s="19"/>
      <c r="F348" s="19"/>
      <c r="G348" s="19"/>
      <c r="H348" s="19"/>
      <c r="I348" s="19"/>
      <c r="J348" s="19"/>
      <c r="K348" s="19"/>
      <c r="L348" s="19"/>
      <c r="M348" s="19"/>
      <c r="N348" s="19"/>
      <c r="O348" s="19"/>
      <c r="P348" s="20"/>
      <c r="Q348" s="20"/>
      <c r="R348" s="22"/>
      <c r="S348" s="22"/>
      <c r="T348" s="20"/>
      <c r="U348" s="20"/>
      <c r="V348" s="20"/>
      <c r="W348" s="19"/>
      <c r="X348" s="19"/>
      <c r="Y348" s="19"/>
      <c r="Z348" s="23"/>
    </row>
    <row r="349" spans="1:26" ht="15.75" customHeight="1" x14ac:dyDescent="0.2">
      <c r="A349" s="34"/>
      <c r="B349" s="34"/>
      <c r="C349" s="34"/>
      <c r="D349" s="34"/>
      <c r="E349" s="19"/>
      <c r="F349" s="19"/>
      <c r="G349" s="19"/>
      <c r="H349" s="19"/>
      <c r="I349" s="19"/>
      <c r="J349" s="19"/>
      <c r="K349" s="19"/>
      <c r="L349" s="19"/>
      <c r="M349" s="19"/>
      <c r="N349" s="19"/>
      <c r="O349" s="19"/>
      <c r="P349" s="20"/>
      <c r="Q349" s="20"/>
      <c r="R349" s="22"/>
      <c r="S349" s="22"/>
      <c r="T349" s="20"/>
      <c r="U349" s="20"/>
      <c r="V349" s="20"/>
      <c r="W349" s="19"/>
      <c r="X349" s="19"/>
      <c r="Y349" s="19"/>
      <c r="Z349" s="23"/>
    </row>
    <row r="350" spans="1:26" ht="15.75" customHeight="1" x14ac:dyDescent="0.2">
      <c r="A350" s="34"/>
      <c r="B350" s="34"/>
      <c r="C350" s="34"/>
      <c r="D350" s="34"/>
      <c r="E350" s="19"/>
      <c r="F350" s="19"/>
      <c r="G350" s="19"/>
      <c r="H350" s="19"/>
      <c r="I350" s="19"/>
      <c r="J350" s="19"/>
      <c r="K350" s="19"/>
      <c r="L350" s="19"/>
      <c r="M350" s="19"/>
      <c r="N350" s="19"/>
      <c r="O350" s="19"/>
      <c r="P350" s="20"/>
      <c r="Q350" s="20"/>
      <c r="R350" s="22"/>
      <c r="S350" s="22"/>
      <c r="T350" s="20"/>
      <c r="U350" s="20"/>
      <c r="V350" s="20"/>
      <c r="W350" s="19"/>
      <c r="X350" s="19"/>
      <c r="Y350" s="19"/>
      <c r="Z350" s="23"/>
    </row>
    <row r="351" spans="1:26" ht="15.75" customHeight="1" x14ac:dyDescent="0.2">
      <c r="A351" s="34"/>
      <c r="B351" s="34"/>
      <c r="C351" s="34"/>
      <c r="D351" s="34"/>
      <c r="E351" s="19"/>
      <c r="F351" s="19"/>
      <c r="G351" s="19"/>
      <c r="H351" s="19"/>
      <c r="I351" s="19"/>
      <c r="J351" s="19"/>
      <c r="K351" s="19"/>
      <c r="L351" s="19"/>
      <c r="M351" s="19"/>
      <c r="N351" s="19"/>
      <c r="O351" s="19"/>
      <c r="P351" s="20"/>
      <c r="Q351" s="20"/>
      <c r="R351" s="22"/>
      <c r="S351" s="22"/>
      <c r="T351" s="20"/>
      <c r="U351" s="20"/>
      <c r="V351" s="20"/>
      <c r="W351" s="19"/>
      <c r="X351" s="19"/>
      <c r="Y351" s="19"/>
      <c r="Z351" s="23"/>
    </row>
    <row r="352" spans="1:26" ht="15.75" customHeight="1" x14ac:dyDescent="0.2">
      <c r="A352" s="34"/>
      <c r="B352" s="34"/>
      <c r="C352" s="34"/>
      <c r="D352" s="34"/>
      <c r="E352" s="19"/>
      <c r="F352" s="19"/>
      <c r="G352" s="19"/>
      <c r="H352" s="19"/>
      <c r="I352" s="19"/>
      <c r="J352" s="19"/>
      <c r="K352" s="19"/>
      <c r="L352" s="19"/>
      <c r="M352" s="19"/>
      <c r="N352" s="19"/>
      <c r="O352" s="19"/>
      <c r="P352" s="20"/>
      <c r="Q352" s="20"/>
      <c r="R352" s="22"/>
      <c r="S352" s="22"/>
      <c r="T352" s="20"/>
      <c r="U352" s="20"/>
      <c r="V352" s="20"/>
      <c r="W352" s="19"/>
      <c r="X352" s="19"/>
      <c r="Y352" s="19"/>
      <c r="Z352" s="23"/>
    </row>
    <row r="353" spans="1:26" ht="15.75" customHeight="1" x14ac:dyDescent="0.2">
      <c r="A353" s="34"/>
      <c r="B353" s="34"/>
      <c r="C353" s="34"/>
      <c r="D353" s="34"/>
      <c r="E353" s="19"/>
      <c r="F353" s="19"/>
      <c r="G353" s="19"/>
      <c r="H353" s="19"/>
      <c r="I353" s="19"/>
      <c r="J353" s="19"/>
      <c r="K353" s="19"/>
      <c r="L353" s="19"/>
      <c r="M353" s="19"/>
      <c r="N353" s="19"/>
      <c r="O353" s="19"/>
      <c r="P353" s="20"/>
      <c r="Q353" s="20"/>
      <c r="R353" s="22"/>
      <c r="S353" s="22"/>
      <c r="T353" s="20"/>
      <c r="U353" s="20"/>
      <c r="V353" s="20"/>
      <c r="W353" s="19"/>
      <c r="X353" s="19"/>
      <c r="Y353" s="19"/>
      <c r="Z353" s="23"/>
    </row>
    <row r="354" spans="1:26" ht="15.75" customHeight="1" x14ac:dyDescent="0.2">
      <c r="A354" s="34"/>
      <c r="B354" s="34"/>
      <c r="C354" s="34"/>
      <c r="D354" s="34"/>
      <c r="E354" s="19"/>
      <c r="F354" s="19"/>
      <c r="G354" s="19"/>
      <c r="H354" s="19"/>
      <c r="I354" s="19"/>
      <c r="J354" s="19"/>
      <c r="K354" s="19"/>
      <c r="L354" s="19"/>
      <c r="M354" s="19"/>
      <c r="N354" s="19"/>
      <c r="O354" s="19"/>
      <c r="P354" s="20"/>
      <c r="Q354" s="20"/>
      <c r="R354" s="22"/>
      <c r="S354" s="22"/>
      <c r="T354" s="20"/>
      <c r="U354" s="20"/>
      <c r="V354" s="20"/>
      <c r="W354" s="19"/>
      <c r="X354" s="19"/>
      <c r="Y354" s="19"/>
      <c r="Z354" s="23"/>
    </row>
    <row r="355" spans="1:26" ht="15.75" customHeight="1" x14ac:dyDescent="0.2">
      <c r="A355" s="34"/>
      <c r="B355" s="34"/>
      <c r="C355" s="34"/>
      <c r="D355" s="34"/>
      <c r="E355" s="19"/>
      <c r="F355" s="19"/>
      <c r="G355" s="19"/>
      <c r="H355" s="19"/>
      <c r="I355" s="19"/>
      <c r="J355" s="19"/>
      <c r="K355" s="19"/>
      <c r="L355" s="19"/>
      <c r="M355" s="19"/>
      <c r="N355" s="19"/>
      <c r="O355" s="19"/>
      <c r="P355" s="20"/>
      <c r="Q355" s="20"/>
      <c r="R355" s="22"/>
      <c r="S355" s="22"/>
      <c r="T355" s="20"/>
      <c r="U355" s="20"/>
      <c r="V355" s="20"/>
      <c r="W355" s="19"/>
      <c r="X355" s="19"/>
      <c r="Y355" s="19"/>
      <c r="Z355" s="23"/>
    </row>
    <row r="356" spans="1:26" ht="15.75" customHeight="1" x14ac:dyDescent="0.2">
      <c r="A356" s="34"/>
      <c r="B356" s="34"/>
      <c r="C356" s="34"/>
      <c r="D356" s="34"/>
      <c r="E356" s="19"/>
      <c r="F356" s="19"/>
      <c r="G356" s="19"/>
      <c r="H356" s="19"/>
      <c r="I356" s="19"/>
      <c r="J356" s="19"/>
      <c r="K356" s="19"/>
      <c r="L356" s="19"/>
      <c r="M356" s="19"/>
      <c r="N356" s="19"/>
      <c r="O356" s="19"/>
      <c r="P356" s="20"/>
      <c r="Q356" s="20"/>
      <c r="R356" s="22"/>
      <c r="S356" s="22"/>
      <c r="T356" s="20"/>
      <c r="U356" s="20"/>
      <c r="V356" s="20"/>
      <c r="W356" s="19"/>
      <c r="X356" s="19"/>
      <c r="Y356" s="19"/>
      <c r="Z356" s="23"/>
    </row>
    <row r="357" spans="1:26" ht="15.75" customHeight="1" x14ac:dyDescent="0.2">
      <c r="A357" s="34"/>
      <c r="B357" s="34"/>
      <c r="C357" s="34"/>
      <c r="D357" s="34"/>
      <c r="E357" s="19"/>
      <c r="F357" s="19"/>
      <c r="G357" s="19"/>
      <c r="H357" s="19"/>
      <c r="I357" s="19"/>
      <c r="J357" s="19"/>
      <c r="K357" s="19"/>
      <c r="L357" s="19"/>
      <c r="M357" s="19"/>
      <c r="N357" s="19"/>
      <c r="O357" s="19"/>
      <c r="P357" s="20"/>
      <c r="Q357" s="20"/>
      <c r="R357" s="22"/>
      <c r="S357" s="22"/>
      <c r="T357" s="20"/>
      <c r="U357" s="20"/>
      <c r="V357" s="20"/>
      <c r="W357" s="19"/>
      <c r="X357" s="19"/>
      <c r="Y357" s="19"/>
      <c r="Z357" s="23"/>
    </row>
    <row r="358" spans="1:26" ht="15.75" customHeight="1" x14ac:dyDescent="0.2">
      <c r="A358" s="34"/>
      <c r="B358" s="34"/>
      <c r="C358" s="34"/>
      <c r="D358" s="34"/>
      <c r="E358" s="19"/>
      <c r="F358" s="19"/>
      <c r="G358" s="19"/>
      <c r="H358" s="19"/>
      <c r="I358" s="19"/>
      <c r="J358" s="19"/>
      <c r="K358" s="19"/>
      <c r="L358" s="19"/>
      <c r="M358" s="19"/>
      <c r="N358" s="19"/>
      <c r="O358" s="19"/>
      <c r="P358" s="20"/>
      <c r="Q358" s="20"/>
      <c r="R358" s="22"/>
      <c r="S358" s="22"/>
      <c r="T358" s="20"/>
      <c r="U358" s="20"/>
      <c r="V358" s="20"/>
      <c r="W358" s="19"/>
      <c r="X358" s="19"/>
      <c r="Y358" s="19"/>
      <c r="Z358" s="23"/>
    </row>
    <row r="359" spans="1:26" ht="15.75" customHeight="1" x14ac:dyDescent="0.2">
      <c r="A359" s="34"/>
      <c r="B359" s="34"/>
      <c r="C359" s="34"/>
      <c r="D359" s="34"/>
      <c r="E359" s="19"/>
      <c r="F359" s="19"/>
      <c r="G359" s="19"/>
      <c r="H359" s="19"/>
      <c r="I359" s="19"/>
      <c r="J359" s="19"/>
      <c r="K359" s="19"/>
      <c r="L359" s="19"/>
      <c r="M359" s="19"/>
      <c r="N359" s="19"/>
      <c r="O359" s="19"/>
      <c r="P359" s="20"/>
      <c r="Q359" s="20"/>
      <c r="R359" s="22"/>
      <c r="S359" s="22"/>
      <c r="T359" s="20"/>
      <c r="U359" s="20"/>
      <c r="V359" s="20"/>
      <c r="W359" s="19"/>
      <c r="X359" s="19"/>
      <c r="Y359" s="19"/>
      <c r="Z359" s="23"/>
    </row>
    <row r="360" spans="1:26" ht="15.75" customHeight="1" x14ac:dyDescent="0.2">
      <c r="A360" s="34"/>
      <c r="B360" s="34"/>
      <c r="C360" s="34"/>
      <c r="D360" s="34"/>
      <c r="E360" s="19"/>
      <c r="F360" s="19"/>
      <c r="G360" s="19"/>
      <c r="H360" s="19"/>
      <c r="I360" s="19"/>
      <c r="J360" s="19"/>
      <c r="K360" s="19"/>
      <c r="L360" s="19"/>
      <c r="M360" s="19"/>
      <c r="N360" s="19"/>
      <c r="O360" s="19"/>
      <c r="P360" s="20"/>
      <c r="Q360" s="20"/>
      <c r="R360" s="22"/>
      <c r="S360" s="22"/>
      <c r="T360" s="20"/>
      <c r="U360" s="20"/>
      <c r="V360" s="20"/>
      <c r="W360" s="19"/>
      <c r="X360" s="19"/>
      <c r="Y360" s="19"/>
      <c r="Z360" s="23"/>
    </row>
    <row r="361" spans="1:26" ht="15.75" customHeight="1" x14ac:dyDescent="0.2">
      <c r="A361" s="34"/>
      <c r="B361" s="34"/>
      <c r="C361" s="34"/>
      <c r="D361" s="34"/>
      <c r="E361" s="19"/>
      <c r="F361" s="19"/>
      <c r="G361" s="19"/>
      <c r="H361" s="19"/>
      <c r="I361" s="19"/>
      <c r="J361" s="19"/>
      <c r="K361" s="19"/>
      <c r="L361" s="19"/>
      <c r="M361" s="19"/>
      <c r="N361" s="19"/>
      <c r="O361" s="19"/>
      <c r="P361" s="20"/>
      <c r="Q361" s="20"/>
      <c r="R361" s="22"/>
      <c r="S361" s="22"/>
      <c r="T361" s="20"/>
      <c r="U361" s="20"/>
      <c r="V361" s="20"/>
      <c r="W361" s="19"/>
      <c r="X361" s="19"/>
      <c r="Y361" s="19"/>
      <c r="Z361" s="23"/>
    </row>
    <row r="362" spans="1:26" ht="15.75" customHeight="1" x14ac:dyDescent="0.2">
      <c r="A362" s="34"/>
      <c r="B362" s="34"/>
      <c r="C362" s="34"/>
      <c r="D362" s="34"/>
      <c r="E362" s="19"/>
      <c r="F362" s="19"/>
      <c r="G362" s="19"/>
      <c r="H362" s="19"/>
      <c r="I362" s="19"/>
      <c r="J362" s="19"/>
      <c r="K362" s="19"/>
      <c r="L362" s="19"/>
      <c r="M362" s="19"/>
      <c r="N362" s="19"/>
      <c r="O362" s="19"/>
      <c r="P362" s="20"/>
      <c r="Q362" s="20"/>
      <c r="R362" s="22"/>
      <c r="S362" s="22"/>
      <c r="T362" s="20"/>
      <c r="U362" s="20"/>
      <c r="V362" s="20"/>
      <c r="W362" s="19"/>
      <c r="X362" s="19"/>
      <c r="Y362" s="19"/>
      <c r="Z362" s="23"/>
    </row>
    <row r="363" spans="1:26" ht="15.75" customHeight="1" x14ac:dyDescent="0.2">
      <c r="A363" s="34"/>
      <c r="B363" s="34"/>
      <c r="C363" s="34"/>
      <c r="D363" s="34"/>
      <c r="E363" s="19"/>
      <c r="F363" s="19"/>
      <c r="G363" s="19"/>
      <c r="H363" s="19"/>
      <c r="I363" s="19"/>
      <c r="J363" s="19"/>
      <c r="K363" s="19"/>
      <c r="L363" s="19"/>
      <c r="M363" s="19"/>
      <c r="N363" s="19"/>
      <c r="O363" s="19"/>
      <c r="P363" s="20"/>
      <c r="Q363" s="20"/>
      <c r="R363" s="22"/>
      <c r="S363" s="22"/>
      <c r="T363" s="20"/>
      <c r="U363" s="20"/>
      <c r="V363" s="20"/>
      <c r="W363" s="19"/>
      <c r="X363" s="19"/>
      <c r="Y363" s="19"/>
      <c r="Z363" s="23"/>
    </row>
    <row r="364" spans="1:26" ht="15.75" customHeight="1" x14ac:dyDescent="0.2">
      <c r="A364" s="34"/>
      <c r="B364" s="34"/>
      <c r="C364" s="34"/>
      <c r="D364" s="34"/>
      <c r="E364" s="19"/>
      <c r="F364" s="19"/>
      <c r="G364" s="19"/>
      <c r="H364" s="19"/>
      <c r="I364" s="19"/>
      <c r="J364" s="19"/>
      <c r="K364" s="19"/>
      <c r="L364" s="19"/>
      <c r="M364" s="19"/>
      <c r="N364" s="19"/>
      <c r="O364" s="19"/>
      <c r="P364" s="20"/>
      <c r="Q364" s="20"/>
      <c r="R364" s="22"/>
      <c r="S364" s="22"/>
      <c r="T364" s="20"/>
      <c r="U364" s="20"/>
      <c r="V364" s="20"/>
      <c r="W364" s="19"/>
      <c r="X364" s="19"/>
      <c r="Y364" s="19"/>
      <c r="Z364" s="23"/>
    </row>
    <row r="365" spans="1:26" ht="15.75" customHeight="1" x14ac:dyDescent="0.2">
      <c r="A365" s="34"/>
      <c r="B365" s="34"/>
      <c r="C365" s="34"/>
      <c r="D365" s="34"/>
      <c r="E365" s="19"/>
      <c r="F365" s="19"/>
      <c r="G365" s="19"/>
      <c r="H365" s="19"/>
      <c r="I365" s="19"/>
      <c r="J365" s="19"/>
      <c r="K365" s="19"/>
      <c r="L365" s="19"/>
      <c r="M365" s="19"/>
      <c r="N365" s="19"/>
      <c r="O365" s="19"/>
      <c r="P365" s="20"/>
      <c r="Q365" s="20"/>
      <c r="R365" s="22"/>
      <c r="S365" s="22"/>
      <c r="T365" s="20"/>
      <c r="U365" s="20"/>
      <c r="V365" s="20"/>
      <c r="W365" s="19"/>
      <c r="X365" s="19"/>
      <c r="Y365" s="19"/>
      <c r="Z365" s="23"/>
    </row>
    <row r="366" spans="1:26" ht="15.75" customHeight="1" x14ac:dyDescent="0.2">
      <c r="A366" s="34"/>
      <c r="B366" s="34"/>
      <c r="C366" s="34"/>
      <c r="D366" s="34"/>
      <c r="E366" s="19"/>
      <c r="F366" s="19"/>
      <c r="G366" s="19"/>
      <c r="H366" s="19"/>
      <c r="I366" s="19"/>
      <c r="J366" s="19"/>
      <c r="K366" s="19"/>
      <c r="L366" s="19"/>
      <c r="M366" s="19"/>
      <c r="N366" s="19"/>
      <c r="O366" s="19"/>
      <c r="P366" s="20"/>
      <c r="Q366" s="20"/>
      <c r="R366" s="22"/>
      <c r="S366" s="22"/>
      <c r="T366" s="20"/>
      <c r="U366" s="20"/>
      <c r="V366" s="20"/>
      <c r="W366" s="19"/>
      <c r="X366" s="19"/>
      <c r="Y366" s="19"/>
      <c r="Z366" s="23"/>
    </row>
    <row r="367" spans="1:26" ht="15.75" customHeight="1" x14ac:dyDescent="0.2">
      <c r="A367" s="34"/>
      <c r="B367" s="34"/>
      <c r="C367" s="34"/>
      <c r="D367" s="34"/>
      <c r="E367" s="19"/>
      <c r="F367" s="19"/>
      <c r="G367" s="19"/>
      <c r="H367" s="19"/>
      <c r="I367" s="19"/>
      <c r="J367" s="19"/>
      <c r="K367" s="19"/>
      <c r="L367" s="19"/>
      <c r="M367" s="19"/>
      <c r="N367" s="19"/>
      <c r="O367" s="19"/>
      <c r="P367" s="20"/>
      <c r="Q367" s="20"/>
      <c r="R367" s="22"/>
      <c r="S367" s="22"/>
      <c r="T367" s="20"/>
      <c r="U367" s="20"/>
      <c r="V367" s="20"/>
      <c r="W367" s="19"/>
      <c r="X367" s="19"/>
      <c r="Y367" s="19"/>
      <c r="Z367" s="23"/>
    </row>
    <row r="368" spans="1:26" ht="15.75" customHeight="1" x14ac:dyDescent="0.2">
      <c r="A368" s="34"/>
      <c r="B368" s="34"/>
      <c r="C368" s="34"/>
      <c r="D368" s="34"/>
      <c r="E368" s="19"/>
      <c r="F368" s="19"/>
      <c r="G368" s="19"/>
      <c r="H368" s="19"/>
      <c r="I368" s="19"/>
      <c r="J368" s="19"/>
      <c r="K368" s="19"/>
      <c r="L368" s="19"/>
      <c r="M368" s="19"/>
      <c r="N368" s="19"/>
      <c r="O368" s="19"/>
      <c r="P368" s="20"/>
      <c r="Q368" s="20"/>
      <c r="R368" s="22"/>
      <c r="S368" s="22"/>
      <c r="T368" s="20"/>
      <c r="U368" s="20"/>
      <c r="V368" s="20"/>
      <c r="W368" s="19"/>
      <c r="X368" s="19"/>
      <c r="Y368" s="19"/>
      <c r="Z368" s="23"/>
    </row>
    <row r="369" spans="1:26" ht="15.75" customHeight="1" x14ac:dyDescent="0.2">
      <c r="A369" s="34"/>
      <c r="B369" s="34"/>
      <c r="C369" s="34"/>
      <c r="D369" s="34"/>
      <c r="E369" s="19"/>
      <c r="F369" s="19"/>
      <c r="G369" s="19"/>
      <c r="H369" s="19"/>
      <c r="I369" s="19"/>
      <c r="J369" s="19"/>
      <c r="K369" s="19"/>
      <c r="L369" s="19"/>
      <c r="M369" s="19"/>
      <c r="N369" s="19"/>
      <c r="O369" s="19"/>
      <c r="P369" s="20"/>
      <c r="Q369" s="20"/>
      <c r="R369" s="22"/>
      <c r="S369" s="22"/>
      <c r="T369" s="20"/>
      <c r="U369" s="20"/>
      <c r="V369" s="20"/>
      <c r="W369" s="19"/>
      <c r="X369" s="19"/>
      <c r="Y369" s="19"/>
      <c r="Z369" s="23"/>
    </row>
    <row r="370" spans="1:26" ht="15.75" customHeight="1" x14ac:dyDescent="0.2">
      <c r="A370" s="34"/>
      <c r="B370" s="34"/>
      <c r="C370" s="34"/>
      <c r="D370" s="34"/>
      <c r="E370" s="19"/>
      <c r="F370" s="19"/>
      <c r="G370" s="19"/>
      <c r="H370" s="19"/>
      <c r="I370" s="19"/>
      <c r="J370" s="19"/>
      <c r="K370" s="19"/>
      <c r="L370" s="19"/>
      <c r="M370" s="19"/>
      <c r="N370" s="19"/>
      <c r="O370" s="19"/>
      <c r="P370" s="20"/>
      <c r="Q370" s="20"/>
      <c r="R370" s="22"/>
      <c r="S370" s="22"/>
      <c r="T370" s="20"/>
      <c r="U370" s="20"/>
      <c r="V370" s="20"/>
      <c r="W370" s="19"/>
      <c r="X370" s="19"/>
      <c r="Y370" s="19"/>
      <c r="Z370" s="23"/>
    </row>
    <row r="371" spans="1:26" ht="15.75" customHeight="1" x14ac:dyDescent="0.2">
      <c r="A371" s="34"/>
      <c r="B371" s="34"/>
      <c r="C371" s="34"/>
      <c r="D371" s="34"/>
      <c r="E371" s="19"/>
      <c r="F371" s="19"/>
      <c r="G371" s="19"/>
      <c r="H371" s="19"/>
      <c r="I371" s="19"/>
      <c r="J371" s="19"/>
      <c r="K371" s="19"/>
      <c r="L371" s="19"/>
      <c r="M371" s="19"/>
      <c r="N371" s="19"/>
      <c r="O371" s="19"/>
      <c r="P371" s="20"/>
      <c r="Q371" s="20"/>
      <c r="R371" s="22"/>
      <c r="S371" s="22"/>
      <c r="T371" s="20"/>
      <c r="U371" s="20"/>
      <c r="V371" s="20"/>
      <c r="W371" s="19"/>
      <c r="X371" s="19"/>
      <c r="Y371" s="19"/>
      <c r="Z371" s="23"/>
    </row>
    <row r="372" spans="1:26" ht="15.75" customHeight="1" x14ac:dyDescent="0.2">
      <c r="A372" s="34"/>
      <c r="B372" s="34"/>
      <c r="C372" s="34"/>
      <c r="D372" s="34"/>
      <c r="E372" s="19"/>
      <c r="F372" s="19"/>
      <c r="G372" s="19"/>
      <c r="H372" s="19"/>
      <c r="I372" s="19"/>
      <c r="J372" s="19"/>
      <c r="K372" s="19"/>
      <c r="L372" s="19"/>
      <c r="M372" s="19"/>
      <c r="N372" s="19"/>
      <c r="O372" s="19"/>
      <c r="P372" s="20"/>
      <c r="Q372" s="20"/>
      <c r="R372" s="22"/>
      <c r="S372" s="22"/>
      <c r="T372" s="20"/>
      <c r="U372" s="20"/>
      <c r="V372" s="20"/>
      <c r="W372" s="19"/>
      <c r="X372" s="19"/>
      <c r="Y372" s="19"/>
      <c r="Z372" s="23"/>
    </row>
    <row r="373" spans="1:26" ht="15.75" customHeight="1" x14ac:dyDescent="0.2">
      <c r="A373" s="34"/>
      <c r="B373" s="34"/>
      <c r="C373" s="34"/>
      <c r="D373" s="34"/>
      <c r="E373" s="19"/>
      <c r="F373" s="19"/>
      <c r="G373" s="19"/>
      <c r="H373" s="19"/>
      <c r="I373" s="19"/>
      <c r="J373" s="19"/>
      <c r="K373" s="19"/>
      <c r="L373" s="19"/>
      <c r="M373" s="19"/>
      <c r="N373" s="19"/>
      <c r="O373" s="19"/>
      <c r="P373" s="20"/>
      <c r="Q373" s="20"/>
      <c r="R373" s="22"/>
      <c r="S373" s="22"/>
      <c r="T373" s="20"/>
      <c r="U373" s="20"/>
      <c r="V373" s="20"/>
      <c r="W373" s="19"/>
      <c r="X373" s="19"/>
      <c r="Y373" s="19"/>
      <c r="Z373" s="23"/>
    </row>
    <row r="374" spans="1:26" ht="15.75" customHeight="1" x14ac:dyDescent="0.2">
      <c r="A374" s="34"/>
      <c r="B374" s="34"/>
      <c r="C374" s="34"/>
      <c r="D374" s="34"/>
      <c r="E374" s="19"/>
      <c r="F374" s="19"/>
      <c r="G374" s="19"/>
      <c r="H374" s="19"/>
      <c r="I374" s="19"/>
      <c r="J374" s="19"/>
      <c r="K374" s="19"/>
      <c r="L374" s="19"/>
      <c r="M374" s="19"/>
      <c r="N374" s="19"/>
      <c r="O374" s="19"/>
      <c r="P374" s="20"/>
      <c r="Q374" s="20"/>
      <c r="R374" s="22"/>
      <c r="S374" s="22"/>
      <c r="T374" s="20"/>
      <c r="U374" s="20"/>
      <c r="V374" s="20"/>
      <c r="W374" s="19"/>
      <c r="X374" s="19"/>
      <c r="Y374" s="19"/>
      <c r="Z374" s="23"/>
    </row>
    <row r="375" spans="1:26" ht="15.75" customHeight="1" x14ac:dyDescent="0.2">
      <c r="A375" s="34"/>
      <c r="B375" s="34"/>
      <c r="C375" s="34"/>
      <c r="D375" s="34"/>
      <c r="E375" s="19"/>
      <c r="F375" s="19"/>
      <c r="G375" s="19"/>
      <c r="H375" s="19"/>
      <c r="I375" s="19"/>
      <c r="J375" s="19"/>
      <c r="K375" s="19"/>
      <c r="L375" s="19"/>
      <c r="M375" s="19"/>
      <c r="N375" s="19"/>
      <c r="O375" s="19"/>
      <c r="P375" s="20"/>
      <c r="Q375" s="20"/>
      <c r="R375" s="22"/>
      <c r="S375" s="22"/>
      <c r="T375" s="20"/>
      <c r="U375" s="20"/>
      <c r="V375" s="20"/>
      <c r="W375" s="19"/>
      <c r="X375" s="19"/>
      <c r="Y375" s="19"/>
      <c r="Z375" s="23"/>
    </row>
    <row r="376" spans="1:26" ht="15.75" customHeight="1" x14ac:dyDescent="0.2">
      <c r="A376" s="34"/>
      <c r="B376" s="34"/>
      <c r="C376" s="34"/>
      <c r="D376" s="34"/>
      <c r="E376" s="19"/>
      <c r="F376" s="19"/>
      <c r="G376" s="19"/>
      <c r="H376" s="19"/>
      <c r="I376" s="19"/>
      <c r="J376" s="19"/>
      <c r="K376" s="19"/>
      <c r="L376" s="19"/>
      <c r="M376" s="19"/>
      <c r="N376" s="19"/>
      <c r="O376" s="19"/>
      <c r="P376" s="20"/>
      <c r="Q376" s="20"/>
      <c r="R376" s="22"/>
      <c r="S376" s="22"/>
      <c r="T376" s="20"/>
      <c r="U376" s="20"/>
      <c r="V376" s="20"/>
      <c r="W376" s="19"/>
      <c r="X376" s="19"/>
      <c r="Y376" s="19"/>
      <c r="Z376" s="23"/>
    </row>
    <row r="377" spans="1:26" ht="15.75" customHeight="1" x14ac:dyDescent="0.2">
      <c r="A377" s="34"/>
      <c r="B377" s="34"/>
      <c r="C377" s="34"/>
      <c r="D377" s="34"/>
      <c r="E377" s="19"/>
      <c r="F377" s="19"/>
      <c r="G377" s="19"/>
      <c r="H377" s="19"/>
      <c r="I377" s="19"/>
      <c r="J377" s="19"/>
      <c r="K377" s="19"/>
      <c r="L377" s="19"/>
      <c r="M377" s="19"/>
      <c r="N377" s="19"/>
      <c r="O377" s="19"/>
      <c r="P377" s="20"/>
      <c r="Q377" s="20"/>
      <c r="R377" s="22"/>
      <c r="S377" s="22"/>
      <c r="T377" s="20"/>
      <c r="U377" s="20"/>
      <c r="V377" s="20"/>
      <c r="W377" s="19"/>
      <c r="X377" s="19"/>
      <c r="Y377" s="19"/>
      <c r="Z377" s="23"/>
    </row>
    <row r="378" spans="1:26" ht="15.75" customHeight="1" x14ac:dyDescent="0.2">
      <c r="A378" s="34"/>
      <c r="B378" s="34"/>
      <c r="C378" s="34"/>
      <c r="D378" s="34"/>
      <c r="E378" s="19"/>
      <c r="F378" s="19"/>
      <c r="G378" s="19"/>
      <c r="H378" s="19"/>
      <c r="I378" s="19"/>
      <c r="J378" s="19"/>
      <c r="K378" s="19"/>
      <c r="L378" s="19"/>
      <c r="M378" s="19"/>
      <c r="N378" s="19"/>
      <c r="O378" s="19"/>
      <c r="P378" s="20"/>
      <c r="Q378" s="20"/>
      <c r="R378" s="22"/>
      <c r="S378" s="22"/>
      <c r="T378" s="20"/>
      <c r="U378" s="20"/>
      <c r="V378" s="20"/>
      <c r="W378" s="19"/>
      <c r="X378" s="19"/>
      <c r="Y378" s="19"/>
      <c r="Z378" s="23"/>
    </row>
    <row r="379" spans="1:26" ht="15.75" customHeight="1" x14ac:dyDescent="0.2">
      <c r="A379" s="34"/>
      <c r="B379" s="34"/>
      <c r="C379" s="34"/>
      <c r="D379" s="34"/>
      <c r="E379" s="19"/>
      <c r="F379" s="19"/>
      <c r="G379" s="19"/>
      <c r="H379" s="19"/>
      <c r="I379" s="19"/>
      <c r="J379" s="19"/>
      <c r="K379" s="19"/>
      <c r="L379" s="19"/>
      <c r="M379" s="19"/>
      <c r="N379" s="19"/>
      <c r="O379" s="19"/>
      <c r="P379" s="20"/>
      <c r="Q379" s="20"/>
      <c r="R379" s="22"/>
      <c r="S379" s="22"/>
      <c r="T379" s="20"/>
      <c r="U379" s="20"/>
      <c r="V379" s="20"/>
      <c r="W379" s="19"/>
      <c r="X379" s="19"/>
      <c r="Y379" s="19"/>
      <c r="Z379" s="23"/>
    </row>
    <row r="380" spans="1:26" ht="15.75" customHeight="1" x14ac:dyDescent="0.2">
      <c r="A380" s="34"/>
      <c r="B380" s="34"/>
      <c r="C380" s="34"/>
      <c r="D380" s="34"/>
      <c r="E380" s="19"/>
      <c r="F380" s="19"/>
      <c r="G380" s="19"/>
      <c r="H380" s="19"/>
      <c r="I380" s="19"/>
      <c r="J380" s="19"/>
      <c r="K380" s="19"/>
      <c r="L380" s="19"/>
      <c r="M380" s="19"/>
      <c r="N380" s="19"/>
      <c r="O380" s="19"/>
      <c r="P380" s="20"/>
      <c r="Q380" s="20"/>
      <c r="R380" s="22"/>
      <c r="S380" s="22"/>
      <c r="T380" s="20"/>
      <c r="U380" s="20"/>
      <c r="V380" s="20"/>
      <c r="W380" s="19"/>
      <c r="X380" s="19"/>
      <c r="Y380" s="19"/>
      <c r="Z380" s="23"/>
    </row>
    <row r="381" spans="1:26" ht="15.75" customHeight="1" x14ac:dyDescent="0.2">
      <c r="A381" s="34"/>
      <c r="B381" s="34"/>
      <c r="C381" s="34"/>
      <c r="D381" s="34"/>
      <c r="E381" s="19"/>
      <c r="F381" s="19"/>
      <c r="G381" s="19"/>
      <c r="H381" s="19"/>
      <c r="I381" s="19"/>
      <c r="J381" s="19"/>
      <c r="K381" s="19"/>
      <c r="L381" s="19"/>
      <c r="M381" s="19"/>
      <c r="N381" s="19"/>
      <c r="O381" s="19"/>
      <c r="P381" s="20"/>
      <c r="Q381" s="20"/>
      <c r="R381" s="22"/>
      <c r="S381" s="22"/>
      <c r="T381" s="20"/>
      <c r="U381" s="20"/>
      <c r="V381" s="20"/>
      <c r="W381" s="19"/>
      <c r="X381" s="19"/>
      <c r="Y381" s="19"/>
      <c r="Z381" s="23"/>
    </row>
    <row r="382" spans="1:26" ht="15.75" customHeight="1" x14ac:dyDescent="0.2">
      <c r="A382" s="34"/>
      <c r="B382" s="34"/>
      <c r="C382" s="34"/>
      <c r="D382" s="34"/>
      <c r="E382" s="19"/>
      <c r="F382" s="19"/>
      <c r="G382" s="19"/>
      <c r="H382" s="19"/>
      <c r="I382" s="19"/>
      <c r="J382" s="19"/>
      <c r="K382" s="19"/>
      <c r="L382" s="19"/>
      <c r="M382" s="19"/>
      <c r="N382" s="19"/>
      <c r="O382" s="19"/>
      <c r="P382" s="20"/>
      <c r="Q382" s="20"/>
      <c r="R382" s="22"/>
      <c r="S382" s="22"/>
      <c r="T382" s="20"/>
      <c r="U382" s="20"/>
      <c r="V382" s="20"/>
      <c r="W382" s="19"/>
      <c r="X382" s="19"/>
      <c r="Y382" s="19"/>
      <c r="Z382" s="23"/>
    </row>
    <row r="383" spans="1:26" ht="15.75" customHeight="1" x14ac:dyDescent="0.2">
      <c r="A383" s="34"/>
      <c r="B383" s="34"/>
      <c r="C383" s="34"/>
      <c r="D383" s="34"/>
      <c r="E383" s="19"/>
      <c r="F383" s="19"/>
      <c r="G383" s="19"/>
      <c r="H383" s="19"/>
      <c r="I383" s="19"/>
      <c r="J383" s="19"/>
      <c r="K383" s="19"/>
      <c r="L383" s="19"/>
      <c r="M383" s="19"/>
      <c r="N383" s="19"/>
      <c r="O383" s="19"/>
      <c r="P383" s="20"/>
      <c r="Q383" s="20"/>
      <c r="R383" s="22"/>
      <c r="S383" s="22"/>
      <c r="T383" s="20"/>
      <c r="U383" s="20"/>
      <c r="V383" s="20"/>
      <c r="W383" s="19"/>
      <c r="X383" s="19"/>
      <c r="Y383" s="19"/>
      <c r="Z383" s="23"/>
    </row>
    <row r="384" spans="1:26" ht="15.75" customHeight="1" x14ac:dyDescent="0.2">
      <c r="A384" s="34"/>
      <c r="B384" s="34"/>
      <c r="C384" s="34"/>
      <c r="D384" s="34"/>
      <c r="E384" s="19"/>
      <c r="F384" s="19"/>
      <c r="G384" s="19"/>
      <c r="H384" s="19"/>
      <c r="I384" s="19"/>
      <c r="J384" s="19"/>
      <c r="K384" s="19"/>
      <c r="L384" s="19"/>
      <c r="M384" s="19"/>
      <c r="N384" s="19"/>
      <c r="O384" s="19"/>
      <c r="P384" s="20"/>
      <c r="Q384" s="20"/>
      <c r="R384" s="22"/>
      <c r="S384" s="22"/>
      <c r="T384" s="20"/>
      <c r="U384" s="20"/>
      <c r="V384" s="20"/>
      <c r="W384" s="19"/>
      <c r="X384" s="19"/>
      <c r="Y384" s="19"/>
      <c r="Z384" s="23"/>
    </row>
    <row r="385" spans="1:26" ht="15.75" customHeight="1" x14ac:dyDescent="0.2">
      <c r="A385" s="34"/>
      <c r="B385" s="34"/>
      <c r="C385" s="34"/>
      <c r="D385" s="34"/>
      <c r="E385" s="19"/>
      <c r="F385" s="19"/>
      <c r="G385" s="19"/>
      <c r="H385" s="19"/>
      <c r="I385" s="19"/>
      <c r="J385" s="19"/>
      <c r="K385" s="19"/>
      <c r="L385" s="19"/>
      <c r="M385" s="19"/>
      <c r="N385" s="19"/>
      <c r="O385" s="19"/>
      <c r="P385" s="20"/>
      <c r="Q385" s="20"/>
      <c r="R385" s="22"/>
      <c r="S385" s="22"/>
      <c r="T385" s="20"/>
      <c r="U385" s="20"/>
      <c r="V385" s="20"/>
      <c r="W385" s="19"/>
      <c r="X385" s="19"/>
      <c r="Y385" s="19"/>
      <c r="Z385" s="23"/>
    </row>
    <row r="386" spans="1:26" ht="15.75" customHeight="1" x14ac:dyDescent="0.2">
      <c r="A386" s="34"/>
      <c r="B386" s="34"/>
      <c r="C386" s="34"/>
      <c r="D386" s="34"/>
      <c r="E386" s="19"/>
      <c r="F386" s="19"/>
      <c r="G386" s="19"/>
      <c r="H386" s="19"/>
      <c r="I386" s="19"/>
      <c r="J386" s="19"/>
      <c r="K386" s="19"/>
      <c r="L386" s="19"/>
      <c r="M386" s="19"/>
      <c r="N386" s="19"/>
      <c r="O386" s="19"/>
      <c r="P386" s="20"/>
      <c r="Q386" s="20"/>
      <c r="R386" s="22"/>
      <c r="S386" s="22"/>
      <c r="T386" s="20"/>
      <c r="U386" s="20"/>
      <c r="V386" s="20"/>
      <c r="W386" s="19"/>
      <c r="X386" s="19"/>
      <c r="Y386" s="19"/>
      <c r="Z386" s="23"/>
    </row>
    <row r="387" spans="1:26" ht="15.75" customHeight="1" x14ac:dyDescent="0.2">
      <c r="A387" s="34"/>
      <c r="B387" s="34"/>
      <c r="C387" s="34"/>
      <c r="D387" s="34"/>
      <c r="E387" s="19"/>
      <c r="F387" s="19"/>
      <c r="G387" s="19"/>
      <c r="H387" s="19"/>
      <c r="I387" s="19"/>
      <c r="J387" s="19"/>
      <c r="K387" s="19"/>
      <c r="L387" s="19"/>
      <c r="M387" s="19"/>
      <c r="N387" s="19"/>
      <c r="O387" s="19"/>
      <c r="P387" s="20"/>
      <c r="Q387" s="20"/>
      <c r="R387" s="22"/>
      <c r="S387" s="22"/>
      <c r="T387" s="20"/>
      <c r="U387" s="20"/>
      <c r="V387" s="20"/>
      <c r="W387" s="19"/>
      <c r="X387" s="19"/>
      <c r="Y387" s="19"/>
      <c r="Z387" s="23"/>
    </row>
    <row r="388" spans="1:26" ht="15.75" customHeight="1" x14ac:dyDescent="0.2">
      <c r="A388" s="34"/>
      <c r="B388" s="34"/>
      <c r="C388" s="34"/>
      <c r="D388" s="34"/>
      <c r="E388" s="19"/>
      <c r="F388" s="19"/>
      <c r="G388" s="19"/>
      <c r="H388" s="19"/>
      <c r="I388" s="19"/>
      <c r="J388" s="19"/>
      <c r="K388" s="19"/>
      <c r="L388" s="19"/>
      <c r="M388" s="19"/>
      <c r="N388" s="19"/>
      <c r="O388" s="19"/>
      <c r="P388" s="20"/>
      <c r="Q388" s="20"/>
      <c r="R388" s="22"/>
      <c r="S388" s="22"/>
      <c r="T388" s="20"/>
      <c r="U388" s="20"/>
      <c r="V388" s="20"/>
      <c r="W388" s="19"/>
      <c r="X388" s="19"/>
      <c r="Y388" s="19"/>
      <c r="Z388" s="23"/>
    </row>
    <row r="389" spans="1:26" ht="15.75" customHeight="1" x14ac:dyDescent="0.2">
      <c r="A389" s="34"/>
      <c r="B389" s="34"/>
      <c r="C389" s="34"/>
      <c r="D389" s="34"/>
      <c r="E389" s="19"/>
      <c r="F389" s="19"/>
      <c r="G389" s="19"/>
      <c r="H389" s="19"/>
      <c r="I389" s="19"/>
      <c r="J389" s="19"/>
      <c r="K389" s="19"/>
      <c r="L389" s="19"/>
      <c r="M389" s="19"/>
      <c r="N389" s="19"/>
      <c r="O389" s="19"/>
      <c r="P389" s="20"/>
      <c r="Q389" s="20"/>
      <c r="R389" s="22"/>
      <c r="S389" s="22"/>
      <c r="T389" s="20"/>
      <c r="U389" s="20"/>
      <c r="V389" s="20"/>
      <c r="W389" s="19"/>
      <c r="X389" s="19"/>
      <c r="Y389" s="19"/>
      <c r="Z389" s="23"/>
    </row>
    <row r="390" spans="1:26" ht="15.75" customHeight="1" x14ac:dyDescent="0.2">
      <c r="A390" s="34"/>
      <c r="B390" s="34"/>
      <c r="C390" s="34"/>
      <c r="D390" s="34"/>
      <c r="E390" s="19"/>
      <c r="F390" s="19"/>
      <c r="G390" s="19"/>
      <c r="H390" s="19"/>
      <c r="I390" s="19"/>
      <c r="J390" s="19"/>
      <c r="K390" s="19"/>
      <c r="L390" s="19"/>
      <c r="M390" s="19"/>
      <c r="N390" s="19"/>
      <c r="O390" s="19"/>
      <c r="P390" s="20"/>
      <c r="Q390" s="20"/>
      <c r="R390" s="22"/>
      <c r="S390" s="22"/>
      <c r="T390" s="20"/>
      <c r="U390" s="20"/>
      <c r="V390" s="20"/>
      <c r="W390" s="19"/>
      <c r="X390" s="19"/>
      <c r="Y390" s="19"/>
      <c r="Z390" s="23"/>
    </row>
    <row r="391" spans="1:26" ht="15.75" customHeight="1" x14ac:dyDescent="0.2">
      <c r="A391" s="34"/>
      <c r="B391" s="34"/>
      <c r="C391" s="34"/>
      <c r="D391" s="34"/>
      <c r="E391" s="19"/>
      <c r="F391" s="19"/>
      <c r="G391" s="19"/>
      <c r="H391" s="19"/>
      <c r="I391" s="19"/>
      <c r="J391" s="19"/>
      <c r="K391" s="19"/>
      <c r="L391" s="19"/>
      <c r="M391" s="19"/>
      <c r="N391" s="19"/>
      <c r="O391" s="19"/>
      <c r="P391" s="20"/>
      <c r="Q391" s="20"/>
      <c r="R391" s="22"/>
      <c r="S391" s="22"/>
      <c r="T391" s="20"/>
      <c r="U391" s="20"/>
      <c r="V391" s="20"/>
      <c r="W391" s="19"/>
      <c r="X391" s="19"/>
      <c r="Y391" s="19"/>
      <c r="Z391" s="23"/>
    </row>
    <row r="392" spans="1:26" ht="15.75" customHeight="1" x14ac:dyDescent="0.2">
      <c r="A392" s="34"/>
      <c r="B392" s="34"/>
      <c r="C392" s="34"/>
      <c r="D392" s="34"/>
      <c r="E392" s="19"/>
      <c r="F392" s="19"/>
      <c r="G392" s="19"/>
      <c r="H392" s="19"/>
      <c r="I392" s="19"/>
      <c r="J392" s="19"/>
      <c r="K392" s="19"/>
      <c r="L392" s="19"/>
      <c r="M392" s="19"/>
      <c r="N392" s="19"/>
      <c r="O392" s="19"/>
      <c r="P392" s="20"/>
      <c r="Q392" s="20"/>
      <c r="R392" s="22"/>
      <c r="S392" s="22"/>
      <c r="T392" s="20"/>
      <c r="U392" s="20"/>
      <c r="V392" s="20"/>
      <c r="W392" s="19"/>
      <c r="X392" s="19"/>
      <c r="Y392" s="19"/>
      <c r="Z392" s="23"/>
    </row>
    <row r="393" spans="1:26" ht="15.75" customHeight="1" x14ac:dyDescent="0.2">
      <c r="A393" s="34"/>
      <c r="B393" s="34"/>
      <c r="C393" s="34"/>
      <c r="D393" s="34"/>
      <c r="E393" s="19"/>
      <c r="F393" s="19"/>
      <c r="G393" s="19"/>
      <c r="H393" s="19"/>
      <c r="I393" s="19"/>
      <c r="J393" s="19"/>
      <c r="K393" s="19"/>
      <c r="L393" s="19"/>
      <c r="M393" s="19"/>
      <c r="N393" s="19"/>
      <c r="O393" s="19"/>
      <c r="P393" s="20"/>
      <c r="Q393" s="20"/>
      <c r="R393" s="22"/>
      <c r="S393" s="22"/>
      <c r="T393" s="20"/>
      <c r="U393" s="20"/>
      <c r="V393" s="20"/>
      <c r="W393" s="19"/>
      <c r="X393" s="19"/>
      <c r="Y393" s="19"/>
      <c r="Z393" s="23"/>
    </row>
    <row r="394" spans="1:26" ht="15.75" customHeight="1" x14ac:dyDescent="0.2">
      <c r="A394" s="34"/>
      <c r="B394" s="34"/>
      <c r="C394" s="34"/>
      <c r="D394" s="34"/>
      <c r="E394" s="19"/>
      <c r="F394" s="19"/>
      <c r="G394" s="19"/>
      <c r="H394" s="19"/>
      <c r="I394" s="19"/>
      <c r="J394" s="19"/>
      <c r="K394" s="19"/>
      <c r="L394" s="19"/>
      <c r="M394" s="19"/>
      <c r="N394" s="19"/>
      <c r="O394" s="19"/>
      <c r="P394" s="20"/>
      <c r="Q394" s="20"/>
      <c r="R394" s="22"/>
      <c r="S394" s="22"/>
      <c r="T394" s="20"/>
      <c r="U394" s="20"/>
      <c r="V394" s="20"/>
      <c r="W394" s="19"/>
      <c r="X394" s="19"/>
      <c r="Y394" s="19"/>
      <c r="Z394" s="23"/>
    </row>
    <row r="395" spans="1:26" ht="15.75" customHeight="1" x14ac:dyDescent="0.2">
      <c r="A395" s="34"/>
      <c r="B395" s="34"/>
      <c r="C395" s="34"/>
      <c r="D395" s="34"/>
      <c r="E395" s="19"/>
      <c r="F395" s="19"/>
      <c r="G395" s="19"/>
      <c r="H395" s="19"/>
      <c r="I395" s="19"/>
      <c r="J395" s="19"/>
      <c r="K395" s="19"/>
      <c r="L395" s="19"/>
      <c r="M395" s="19"/>
      <c r="N395" s="19"/>
      <c r="O395" s="19"/>
      <c r="P395" s="20"/>
      <c r="Q395" s="20"/>
      <c r="R395" s="22"/>
      <c r="S395" s="22"/>
      <c r="T395" s="20"/>
      <c r="U395" s="20"/>
      <c r="V395" s="20"/>
      <c r="W395" s="19"/>
      <c r="X395" s="19"/>
      <c r="Y395" s="19"/>
      <c r="Z395" s="23"/>
    </row>
    <row r="396" spans="1:26" ht="15.75" customHeight="1" x14ac:dyDescent="0.2">
      <c r="A396" s="34"/>
      <c r="B396" s="34"/>
      <c r="C396" s="34"/>
      <c r="D396" s="34"/>
      <c r="E396" s="19"/>
      <c r="F396" s="19"/>
      <c r="G396" s="19"/>
      <c r="H396" s="19"/>
      <c r="I396" s="19"/>
      <c r="J396" s="19"/>
      <c r="K396" s="19"/>
      <c r="L396" s="19"/>
      <c r="M396" s="19"/>
      <c r="N396" s="19"/>
      <c r="O396" s="19"/>
      <c r="P396" s="20"/>
      <c r="Q396" s="20"/>
      <c r="R396" s="22"/>
      <c r="S396" s="22"/>
      <c r="T396" s="20"/>
      <c r="U396" s="20"/>
      <c r="V396" s="20"/>
      <c r="W396" s="19"/>
      <c r="X396" s="19"/>
      <c r="Y396" s="19"/>
      <c r="Z396" s="23"/>
    </row>
    <row r="397" spans="1:26" ht="15.75" customHeight="1" x14ac:dyDescent="0.2">
      <c r="A397" s="34"/>
      <c r="B397" s="34"/>
      <c r="C397" s="34"/>
      <c r="D397" s="34"/>
      <c r="E397" s="19"/>
      <c r="F397" s="19"/>
      <c r="G397" s="19"/>
      <c r="H397" s="19"/>
      <c r="I397" s="19"/>
      <c r="J397" s="19"/>
      <c r="K397" s="19"/>
      <c r="L397" s="19"/>
      <c r="M397" s="19"/>
      <c r="N397" s="19"/>
      <c r="O397" s="19"/>
      <c r="P397" s="20"/>
      <c r="Q397" s="20"/>
      <c r="R397" s="22"/>
      <c r="S397" s="22"/>
      <c r="T397" s="20"/>
      <c r="U397" s="20"/>
      <c r="V397" s="20"/>
      <c r="W397" s="19"/>
      <c r="X397" s="19"/>
      <c r="Y397" s="19"/>
      <c r="Z397" s="23"/>
    </row>
    <row r="398" spans="1:26" ht="15.75" customHeight="1" x14ac:dyDescent="0.2">
      <c r="A398" s="34"/>
      <c r="B398" s="34"/>
      <c r="C398" s="34"/>
      <c r="D398" s="34"/>
      <c r="E398" s="19"/>
      <c r="F398" s="19"/>
      <c r="G398" s="19"/>
      <c r="H398" s="19"/>
      <c r="I398" s="19"/>
      <c r="J398" s="19"/>
      <c r="K398" s="19"/>
      <c r="L398" s="19"/>
      <c r="M398" s="19"/>
      <c r="N398" s="19"/>
      <c r="O398" s="19"/>
      <c r="P398" s="20"/>
      <c r="Q398" s="20"/>
      <c r="R398" s="22"/>
      <c r="S398" s="22"/>
      <c r="T398" s="20"/>
      <c r="U398" s="20"/>
      <c r="V398" s="20"/>
      <c r="W398" s="19"/>
      <c r="X398" s="19"/>
      <c r="Y398" s="19"/>
      <c r="Z398" s="23"/>
    </row>
    <row r="399" spans="1:26" ht="15.75" customHeight="1" x14ac:dyDescent="0.2">
      <c r="A399" s="34"/>
      <c r="B399" s="34"/>
      <c r="C399" s="34"/>
      <c r="D399" s="34"/>
      <c r="E399" s="19"/>
      <c r="F399" s="19"/>
      <c r="G399" s="19"/>
      <c r="H399" s="19"/>
      <c r="I399" s="19"/>
      <c r="J399" s="19"/>
      <c r="K399" s="19"/>
      <c r="L399" s="19"/>
      <c r="M399" s="19"/>
      <c r="N399" s="19"/>
      <c r="O399" s="19"/>
      <c r="P399" s="20"/>
      <c r="Q399" s="20"/>
      <c r="R399" s="22"/>
      <c r="S399" s="22"/>
      <c r="T399" s="20"/>
      <c r="U399" s="20"/>
      <c r="V399" s="20"/>
      <c r="W399" s="19"/>
      <c r="X399" s="19"/>
      <c r="Y399" s="19"/>
      <c r="Z399" s="23"/>
    </row>
    <row r="400" spans="1:26" ht="15.75" customHeight="1" x14ac:dyDescent="0.2">
      <c r="A400" s="34"/>
      <c r="B400" s="34"/>
      <c r="C400" s="34"/>
      <c r="D400" s="34"/>
      <c r="E400" s="19"/>
      <c r="F400" s="19"/>
      <c r="G400" s="19"/>
      <c r="H400" s="19"/>
      <c r="I400" s="19"/>
      <c r="J400" s="19"/>
      <c r="K400" s="19"/>
      <c r="L400" s="19"/>
      <c r="M400" s="19"/>
      <c r="N400" s="19"/>
      <c r="O400" s="19"/>
      <c r="P400" s="20"/>
      <c r="Q400" s="20"/>
      <c r="R400" s="22"/>
      <c r="S400" s="22"/>
      <c r="T400" s="20"/>
      <c r="U400" s="20"/>
      <c r="V400" s="20"/>
      <c r="W400" s="19"/>
      <c r="X400" s="19"/>
      <c r="Y400" s="19"/>
      <c r="Z400" s="23"/>
    </row>
    <row r="401" spans="1:26" ht="15.75" customHeight="1" x14ac:dyDescent="0.2">
      <c r="A401" s="34"/>
      <c r="B401" s="34"/>
      <c r="C401" s="34"/>
      <c r="D401" s="34"/>
      <c r="E401" s="19"/>
      <c r="F401" s="19"/>
      <c r="G401" s="19"/>
      <c r="H401" s="19"/>
      <c r="I401" s="19"/>
      <c r="J401" s="19"/>
      <c r="K401" s="19"/>
      <c r="L401" s="19"/>
      <c r="M401" s="19"/>
      <c r="N401" s="19"/>
      <c r="O401" s="19"/>
      <c r="P401" s="20"/>
      <c r="Q401" s="20"/>
      <c r="R401" s="22"/>
      <c r="S401" s="22"/>
      <c r="T401" s="20"/>
      <c r="U401" s="20"/>
      <c r="V401" s="20"/>
      <c r="W401" s="19"/>
      <c r="X401" s="19"/>
      <c r="Y401" s="19"/>
      <c r="Z401" s="23"/>
    </row>
    <row r="402" spans="1:26" ht="15.75" customHeight="1" x14ac:dyDescent="0.2">
      <c r="A402" s="34"/>
      <c r="B402" s="34"/>
      <c r="C402" s="34"/>
      <c r="D402" s="34"/>
      <c r="E402" s="19"/>
      <c r="F402" s="19"/>
      <c r="G402" s="19"/>
      <c r="H402" s="19"/>
      <c r="I402" s="19"/>
      <c r="J402" s="19"/>
      <c r="K402" s="19"/>
      <c r="L402" s="19"/>
      <c r="M402" s="19"/>
      <c r="N402" s="19"/>
      <c r="O402" s="19"/>
      <c r="P402" s="20"/>
      <c r="Q402" s="20"/>
      <c r="R402" s="22"/>
      <c r="S402" s="22"/>
      <c r="T402" s="20"/>
      <c r="U402" s="20"/>
      <c r="V402" s="20"/>
      <c r="W402" s="19"/>
      <c r="X402" s="19"/>
      <c r="Y402" s="19"/>
      <c r="Z402" s="23"/>
    </row>
    <row r="403" spans="1:26" ht="15.75" customHeight="1" x14ac:dyDescent="0.2">
      <c r="A403" s="34"/>
      <c r="B403" s="34"/>
      <c r="C403" s="34"/>
      <c r="D403" s="34"/>
      <c r="E403" s="19"/>
      <c r="F403" s="19"/>
      <c r="G403" s="19"/>
      <c r="H403" s="19"/>
      <c r="I403" s="19"/>
      <c r="J403" s="19"/>
      <c r="K403" s="19"/>
      <c r="L403" s="19"/>
      <c r="M403" s="19"/>
      <c r="N403" s="19"/>
      <c r="O403" s="19"/>
      <c r="P403" s="20"/>
      <c r="Q403" s="20"/>
      <c r="R403" s="22"/>
      <c r="S403" s="22"/>
      <c r="T403" s="20"/>
      <c r="U403" s="20"/>
      <c r="V403" s="20"/>
      <c r="W403" s="19"/>
      <c r="X403" s="19"/>
      <c r="Y403" s="19"/>
      <c r="Z403" s="23"/>
    </row>
    <row r="404" spans="1:26" ht="15.75" customHeight="1" x14ac:dyDescent="0.2">
      <c r="A404" s="34"/>
      <c r="B404" s="34"/>
      <c r="C404" s="34"/>
      <c r="D404" s="34"/>
      <c r="E404" s="19"/>
      <c r="F404" s="19"/>
      <c r="G404" s="19"/>
      <c r="H404" s="19"/>
      <c r="I404" s="19"/>
      <c r="J404" s="19"/>
      <c r="K404" s="19"/>
      <c r="L404" s="19"/>
      <c r="M404" s="19"/>
      <c r="N404" s="19"/>
      <c r="O404" s="19"/>
      <c r="P404" s="20"/>
      <c r="Q404" s="20"/>
      <c r="R404" s="22"/>
      <c r="S404" s="22"/>
      <c r="T404" s="20"/>
      <c r="U404" s="20"/>
      <c r="V404" s="20"/>
      <c r="W404" s="19"/>
      <c r="X404" s="19"/>
      <c r="Y404" s="19"/>
      <c r="Z404" s="23"/>
    </row>
    <row r="405" spans="1:26" ht="15.75" customHeight="1" x14ac:dyDescent="0.2">
      <c r="A405" s="34"/>
      <c r="B405" s="34"/>
      <c r="C405" s="34"/>
      <c r="D405" s="34"/>
      <c r="E405" s="19"/>
      <c r="F405" s="19"/>
      <c r="G405" s="19"/>
      <c r="H405" s="19"/>
      <c r="I405" s="19"/>
      <c r="J405" s="19"/>
      <c r="K405" s="19"/>
      <c r="L405" s="19"/>
      <c r="M405" s="19"/>
      <c r="N405" s="19"/>
      <c r="O405" s="19"/>
      <c r="P405" s="20"/>
      <c r="Q405" s="20"/>
      <c r="R405" s="22"/>
      <c r="S405" s="22"/>
      <c r="T405" s="20"/>
      <c r="U405" s="20"/>
      <c r="V405" s="20"/>
      <c r="W405" s="19"/>
      <c r="X405" s="19"/>
      <c r="Y405" s="19"/>
      <c r="Z405" s="23"/>
    </row>
    <row r="406" spans="1:26" ht="15.75" customHeight="1" x14ac:dyDescent="0.2">
      <c r="A406" s="34"/>
      <c r="B406" s="34"/>
      <c r="C406" s="34"/>
      <c r="D406" s="34"/>
      <c r="E406" s="19"/>
      <c r="F406" s="19"/>
      <c r="G406" s="19"/>
      <c r="H406" s="19"/>
      <c r="I406" s="19"/>
      <c r="J406" s="19"/>
      <c r="K406" s="19"/>
      <c r="L406" s="19"/>
      <c r="M406" s="19"/>
      <c r="N406" s="19"/>
      <c r="O406" s="19"/>
      <c r="P406" s="20"/>
      <c r="Q406" s="20"/>
      <c r="R406" s="22"/>
      <c r="S406" s="22"/>
      <c r="T406" s="20"/>
      <c r="U406" s="20"/>
      <c r="V406" s="20"/>
      <c r="W406" s="19"/>
      <c r="X406" s="19"/>
      <c r="Y406" s="19"/>
      <c r="Z406" s="23"/>
    </row>
    <row r="407" spans="1:26" ht="15.75" customHeight="1" x14ac:dyDescent="0.2">
      <c r="A407" s="34"/>
      <c r="B407" s="34"/>
      <c r="C407" s="34"/>
      <c r="D407" s="34"/>
      <c r="E407" s="19"/>
      <c r="F407" s="19"/>
      <c r="G407" s="19"/>
      <c r="H407" s="19"/>
      <c r="I407" s="19"/>
      <c r="J407" s="19"/>
      <c r="K407" s="19"/>
      <c r="L407" s="19"/>
      <c r="M407" s="19"/>
      <c r="N407" s="19"/>
      <c r="O407" s="19"/>
      <c r="P407" s="20"/>
      <c r="Q407" s="20"/>
      <c r="R407" s="22"/>
      <c r="S407" s="22"/>
      <c r="T407" s="20"/>
      <c r="U407" s="20"/>
      <c r="V407" s="20"/>
      <c r="W407" s="19"/>
      <c r="X407" s="19"/>
      <c r="Y407" s="19"/>
      <c r="Z407" s="23"/>
    </row>
    <row r="408" spans="1:26" ht="15.75" customHeight="1" x14ac:dyDescent="0.2">
      <c r="A408" s="34"/>
      <c r="B408" s="34"/>
      <c r="C408" s="34"/>
      <c r="D408" s="34"/>
      <c r="E408" s="19"/>
      <c r="F408" s="19"/>
      <c r="G408" s="19"/>
      <c r="H408" s="19"/>
      <c r="I408" s="19"/>
      <c r="J408" s="19"/>
      <c r="K408" s="19"/>
      <c r="L408" s="19"/>
      <c r="M408" s="19"/>
      <c r="N408" s="19"/>
      <c r="O408" s="19"/>
      <c r="P408" s="20"/>
      <c r="Q408" s="20"/>
      <c r="R408" s="22"/>
      <c r="S408" s="22"/>
      <c r="T408" s="20"/>
      <c r="U408" s="20"/>
      <c r="V408" s="20"/>
      <c r="W408" s="19"/>
      <c r="X408" s="19"/>
      <c r="Y408" s="19"/>
      <c r="Z408" s="23"/>
    </row>
    <row r="409" spans="1:26" ht="15.75" customHeight="1" x14ac:dyDescent="0.2">
      <c r="A409" s="34"/>
      <c r="B409" s="34"/>
      <c r="C409" s="34"/>
      <c r="D409" s="34"/>
      <c r="E409" s="19"/>
      <c r="F409" s="19"/>
      <c r="G409" s="19"/>
      <c r="H409" s="19"/>
      <c r="I409" s="19"/>
      <c r="J409" s="19"/>
      <c r="K409" s="19"/>
      <c r="L409" s="19"/>
      <c r="M409" s="19"/>
      <c r="N409" s="19"/>
      <c r="O409" s="19"/>
      <c r="P409" s="20"/>
      <c r="Q409" s="20"/>
      <c r="R409" s="22"/>
      <c r="S409" s="22"/>
      <c r="T409" s="20"/>
      <c r="U409" s="20"/>
      <c r="V409" s="20"/>
      <c r="W409" s="19"/>
      <c r="X409" s="19"/>
      <c r="Y409" s="19"/>
      <c r="Z409" s="23"/>
    </row>
    <row r="410" spans="1:26" ht="15.75" customHeight="1" x14ac:dyDescent="0.2">
      <c r="A410" s="34"/>
      <c r="B410" s="34"/>
      <c r="C410" s="34"/>
      <c r="D410" s="34"/>
      <c r="E410" s="19"/>
      <c r="F410" s="19"/>
      <c r="G410" s="19"/>
      <c r="H410" s="19"/>
      <c r="I410" s="19"/>
      <c r="J410" s="19"/>
      <c r="K410" s="19"/>
      <c r="L410" s="19"/>
      <c r="M410" s="19"/>
      <c r="N410" s="19"/>
      <c r="O410" s="19"/>
      <c r="P410" s="20"/>
      <c r="Q410" s="20"/>
      <c r="R410" s="22"/>
      <c r="S410" s="22"/>
      <c r="T410" s="20"/>
      <c r="U410" s="20"/>
      <c r="V410" s="20"/>
      <c r="W410" s="19"/>
      <c r="X410" s="19"/>
      <c r="Y410" s="19"/>
      <c r="Z410" s="23"/>
    </row>
    <row r="411" spans="1:26" ht="15.75" customHeight="1" x14ac:dyDescent="0.2">
      <c r="A411" s="34"/>
      <c r="B411" s="34"/>
      <c r="C411" s="34"/>
      <c r="D411" s="34"/>
      <c r="E411" s="19"/>
      <c r="F411" s="19"/>
      <c r="G411" s="19"/>
      <c r="H411" s="19"/>
      <c r="I411" s="19"/>
      <c r="J411" s="19"/>
      <c r="K411" s="19"/>
      <c r="L411" s="19"/>
      <c r="M411" s="19"/>
      <c r="N411" s="19"/>
      <c r="O411" s="19"/>
      <c r="P411" s="20"/>
      <c r="Q411" s="20"/>
      <c r="R411" s="22"/>
      <c r="S411" s="22"/>
      <c r="T411" s="20"/>
      <c r="U411" s="20"/>
      <c r="V411" s="20"/>
      <c r="W411" s="19"/>
      <c r="X411" s="19"/>
      <c r="Y411" s="19"/>
      <c r="Z411" s="23"/>
    </row>
    <row r="412" spans="1:26" ht="15.75" customHeight="1" x14ac:dyDescent="0.2">
      <c r="A412" s="34"/>
      <c r="B412" s="34"/>
      <c r="C412" s="34"/>
      <c r="D412" s="34"/>
      <c r="E412" s="19"/>
      <c r="F412" s="19"/>
      <c r="G412" s="19"/>
      <c r="H412" s="19"/>
      <c r="I412" s="19"/>
      <c r="J412" s="19"/>
      <c r="K412" s="19"/>
      <c r="L412" s="19"/>
      <c r="M412" s="19"/>
      <c r="N412" s="19"/>
      <c r="O412" s="19"/>
      <c r="P412" s="20"/>
      <c r="Q412" s="20"/>
      <c r="R412" s="22"/>
      <c r="S412" s="22"/>
      <c r="T412" s="20"/>
      <c r="U412" s="20"/>
      <c r="V412" s="20"/>
      <c r="W412" s="19"/>
      <c r="X412" s="19"/>
      <c r="Y412" s="19"/>
      <c r="Z412" s="23"/>
    </row>
    <row r="413" spans="1:26" ht="15.75" customHeight="1" x14ac:dyDescent="0.2">
      <c r="A413" s="34"/>
      <c r="B413" s="34"/>
      <c r="C413" s="34"/>
      <c r="D413" s="34"/>
      <c r="E413" s="19"/>
      <c r="F413" s="19"/>
      <c r="G413" s="19"/>
      <c r="H413" s="19"/>
      <c r="I413" s="19"/>
      <c r="J413" s="19"/>
      <c r="K413" s="19"/>
      <c r="L413" s="19"/>
      <c r="M413" s="19"/>
      <c r="N413" s="19"/>
      <c r="O413" s="19"/>
      <c r="P413" s="20"/>
      <c r="Q413" s="20"/>
      <c r="R413" s="22"/>
      <c r="S413" s="22"/>
      <c r="T413" s="20"/>
      <c r="U413" s="20"/>
      <c r="V413" s="20"/>
      <c r="W413" s="19"/>
      <c r="X413" s="19"/>
      <c r="Y413" s="19"/>
      <c r="Z413" s="23"/>
    </row>
    <row r="414" spans="1:26" ht="15.75" customHeight="1" x14ac:dyDescent="0.2">
      <c r="A414" s="34"/>
      <c r="B414" s="34"/>
      <c r="C414" s="34"/>
      <c r="D414" s="34"/>
      <c r="E414" s="19"/>
      <c r="F414" s="19"/>
      <c r="G414" s="19"/>
      <c r="H414" s="19"/>
      <c r="I414" s="19"/>
      <c r="J414" s="19"/>
      <c r="K414" s="19"/>
      <c r="L414" s="19"/>
      <c r="M414" s="19"/>
      <c r="N414" s="19"/>
      <c r="O414" s="19"/>
      <c r="P414" s="20"/>
      <c r="Q414" s="20"/>
      <c r="R414" s="22"/>
      <c r="S414" s="22"/>
      <c r="T414" s="20"/>
      <c r="U414" s="20"/>
      <c r="V414" s="20"/>
      <c r="W414" s="19"/>
      <c r="X414" s="19"/>
      <c r="Y414" s="19"/>
      <c r="Z414" s="23"/>
    </row>
    <row r="415" spans="1:26" ht="15.75" customHeight="1" x14ac:dyDescent="0.2">
      <c r="A415" s="34"/>
      <c r="B415" s="34"/>
      <c r="C415" s="34"/>
      <c r="D415" s="34"/>
      <c r="E415" s="19"/>
      <c r="F415" s="19"/>
      <c r="G415" s="19"/>
      <c r="H415" s="19"/>
      <c r="I415" s="19"/>
      <c r="J415" s="19"/>
      <c r="K415" s="19"/>
      <c r="L415" s="19"/>
      <c r="M415" s="19"/>
      <c r="N415" s="19"/>
      <c r="O415" s="19"/>
      <c r="P415" s="20"/>
      <c r="Q415" s="20"/>
      <c r="R415" s="22"/>
      <c r="S415" s="22"/>
      <c r="T415" s="20"/>
      <c r="U415" s="20"/>
      <c r="V415" s="20"/>
      <c r="W415" s="19"/>
      <c r="X415" s="19"/>
      <c r="Y415" s="19"/>
      <c r="Z415" s="23"/>
    </row>
    <row r="416" spans="1:26" ht="15.75" customHeight="1" x14ac:dyDescent="0.2">
      <c r="A416" s="34"/>
      <c r="B416" s="34"/>
      <c r="C416" s="34"/>
      <c r="D416" s="34"/>
      <c r="E416" s="19"/>
      <c r="F416" s="19"/>
      <c r="G416" s="19"/>
      <c r="H416" s="19"/>
      <c r="I416" s="19"/>
      <c r="J416" s="19"/>
      <c r="K416" s="19"/>
      <c r="L416" s="19"/>
      <c r="M416" s="19"/>
      <c r="N416" s="19"/>
      <c r="O416" s="19"/>
      <c r="P416" s="20"/>
      <c r="Q416" s="20"/>
      <c r="R416" s="22"/>
      <c r="S416" s="22"/>
      <c r="T416" s="20"/>
      <c r="U416" s="20"/>
      <c r="V416" s="20"/>
      <c r="W416" s="19"/>
      <c r="X416" s="19"/>
      <c r="Y416" s="19"/>
      <c r="Z416" s="23"/>
    </row>
    <row r="417" spans="1:26" ht="15.75" customHeight="1" x14ac:dyDescent="0.2">
      <c r="A417" s="34"/>
      <c r="B417" s="34"/>
      <c r="C417" s="34"/>
      <c r="D417" s="34"/>
      <c r="E417" s="19"/>
      <c r="F417" s="19"/>
      <c r="G417" s="19"/>
      <c r="H417" s="19"/>
      <c r="I417" s="19"/>
      <c r="J417" s="19"/>
      <c r="K417" s="19"/>
      <c r="L417" s="19"/>
      <c r="M417" s="19"/>
      <c r="N417" s="19"/>
      <c r="O417" s="19"/>
      <c r="P417" s="20"/>
      <c r="Q417" s="20"/>
      <c r="R417" s="22"/>
      <c r="S417" s="22"/>
      <c r="T417" s="20"/>
      <c r="U417" s="20"/>
      <c r="V417" s="20"/>
      <c r="W417" s="19"/>
      <c r="X417" s="19"/>
      <c r="Y417" s="19"/>
      <c r="Z417" s="23"/>
    </row>
    <row r="418" spans="1:26" ht="15.75" customHeight="1" x14ac:dyDescent="0.2">
      <c r="A418" s="34"/>
      <c r="B418" s="34"/>
      <c r="C418" s="34"/>
      <c r="D418" s="34"/>
      <c r="E418" s="19"/>
      <c r="F418" s="19"/>
      <c r="G418" s="19"/>
      <c r="H418" s="19"/>
      <c r="I418" s="19"/>
      <c r="J418" s="19"/>
      <c r="K418" s="19"/>
      <c r="L418" s="19"/>
      <c r="M418" s="19"/>
      <c r="N418" s="19"/>
      <c r="O418" s="19"/>
      <c r="P418" s="20"/>
      <c r="Q418" s="20"/>
      <c r="R418" s="22"/>
      <c r="S418" s="22"/>
      <c r="T418" s="20"/>
      <c r="U418" s="20"/>
      <c r="V418" s="20"/>
      <c r="W418" s="19"/>
      <c r="X418" s="19"/>
      <c r="Y418" s="19"/>
      <c r="Z418" s="23"/>
    </row>
    <row r="419" spans="1:26" ht="15.75" customHeight="1" x14ac:dyDescent="0.2">
      <c r="A419" s="34"/>
      <c r="B419" s="34"/>
      <c r="C419" s="34"/>
      <c r="D419" s="34"/>
      <c r="E419" s="19"/>
      <c r="F419" s="19"/>
      <c r="G419" s="19"/>
      <c r="H419" s="19"/>
      <c r="I419" s="19"/>
      <c r="J419" s="19"/>
      <c r="K419" s="19"/>
      <c r="L419" s="19"/>
      <c r="M419" s="19"/>
      <c r="N419" s="19"/>
      <c r="O419" s="19"/>
      <c r="P419" s="20"/>
      <c r="Q419" s="20"/>
      <c r="R419" s="22"/>
      <c r="S419" s="22"/>
      <c r="T419" s="20"/>
      <c r="U419" s="20"/>
      <c r="V419" s="20"/>
      <c r="W419" s="19"/>
      <c r="X419" s="19"/>
      <c r="Y419" s="19"/>
      <c r="Z419" s="23"/>
    </row>
    <row r="420" spans="1:26" ht="15.75" customHeight="1" x14ac:dyDescent="0.2">
      <c r="A420" s="34"/>
      <c r="B420" s="34"/>
      <c r="C420" s="34"/>
      <c r="D420" s="34"/>
      <c r="E420" s="19"/>
      <c r="F420" s="19"/>
      <c r="G420" s="19"/>
      <c r="H420" s="19"/>
      <c r="I420" s="19"/>
      <c r="J420" s="19"/>
      <c r="K420" s="19"/>
      <c r="L420" s="19"/>
      <c r="M420" s="19"/>
      <c r="N420" s="19"/>
      <c r="O420" s="19"/>
      <c r="P420" s="20"/>
      <c r="Q420" s="20"/>
      <c r="R420" s="22"/>
      <c r="S420" s="22"/>
      <c r="T420" s="20"/>
      <c r="U420" s="20"/>
      <c r="V420" s="20"/>
      <c r="W420" s="19"/>
      <c r="X420" s="19"/>
      <c r="Y420" s="19"/>
      <c r="Z420" s="23"/>
    </row>
    <row r="421" spans="1:26" ht="15.75" customHeight="1" x14ac:dyDescent="0.2">
      <c r="A421" s="34"/>
      <c r="B421" s="34"/>
      <c r="C421" s="34"/>
      <c r="D421" s="34"/>
      <c r="E421" s="19"/>
      <c r="F421" s="19"/>
      <c r="G421" s="19"/>
      <c r="H421" s="19"/>
      <c r="I421" s="19"/>
      <c r="J421" s="19"/>
      <c r="K421" s="19"/>
      <c r="L421" s="19"/>
      <c r="M421" s="19"/>
      <c r="N421" s="19"/>
      <c r="O421" s="19"/>
      <c r="P421" s="20"/>
      <c r="Q421" s="20"/>
      <c r="R421" s="22"/>
      <c r="S421" s="22"/>
      <c r="T421" s="20"/>
      <c r="U421" s="20"/>
      <c r="V421" s="20"/>
      <c r="W421" s="19"/>
      <c r="X421" s="19"/>
      <c r="Y421" s="19"/>
      <c r="Z421" s="23"/>
    </row>
    <row r="422" spans="1:26" ht="15.75" customHeight="1" x14ac:dyDescent="0.2">
      <c r="A422" s="34"/>
      <c r="B422" s="34"/>
      <c r="C422" s="34"/>
      <c r="D422" s="34"/>
      <c r="E422" s="19"/>
      <c r="F422" s="19"/>
      <c r="G422" s="19"/>
      <c r="H422" s="19"/>
      <c r="I422" s="19"/>
      <c r="J422" s="19"/>
      <c r="K422" s="19"/>
      <c r="L422" s="19"/>
      <c r="M422" s="19"/>
      <c r="N422" s="19"/>
      <c r="O422" s="19"/>
      <c r="P422" s="20"/>
      <c r="Q422" s="20"/>
      <c r="R422" s="22"/>
      <c r="S422" s="22"/>
      <c r="T422" s="20"/>
      <c r="U422" s="20"/>
      <c r="V422" s="20"/>
      <c r="W422" s="19"/>
      <c r="X422" s="19"/>
      <c r="Y422" s="19"/>
      <c r="Z422" s="23"/>
    </row>
    <row r="423" spans="1:26" ht="15.75" customHeight="1" x14ac:dyDescent="0.2">
      <c r="A423" s="34"/>
      <c r="B423" s="34"/>
      <c r="C423" s="34"/>
      <c r="D423" s="34"/>
      <c r="E423" s="19"/>
      <c r="F423" s="19"/>
      <c r="G423" s="19"/>
      <c r="H423" s="19"/>
      <c r="I423" s="19"/>
      <c r="J423" s="19"/>
      <c r="K423" s="19"/>
      <c r="L423" s="19"/>
      <c r="M423" s="19"/>
      <c r="N423" s="19"/>
      <c r="O423" s="19"/>
      <c r="P423" s="20"/>
      <c r="Q423" s="20"/>
      <c r="R423" s="22"/>
      <c r="S423" s="22"/>
      <c r="T423" s="20"/>
      <c r="U423" s="20"/>
      <c r="V423" s="20"/>
      <c r="W423" s="19"/>
      <c r="X423" s="19"/>
      <c r="Y423" s="19"/>
      <c r="Z423" s="23"/>
    </row>
    <row r="424" spans="1:26" ht="15.75" customHeight="1" x14ac:dyDescent="0.2">
      <c r="A424" s="34"/>
      <c r="B424" s="34"/>
      <c r="C424" s="34"/>
      <c r="D424" s="34"/>
      <c r="E424" s="19"/>
      <c r="F424" s="19"/>
      <c r="G424" s="19"/>
      <c r="H424" s="19"/>
      <c r="I424" s="19"/>
      <c r="J424" s="19"/>
      <c r="K424" s="19"/>
      <c r="L424" s="19"/>
      <c r="M424" s="19"/>
      <c r="N424" s="19"/>
      <c r="O424" s="19"/>
      <c r="P424" s="20"/>
      <c r="Q424" s="20"/>
      <c r="R424" s="22"/>
      <c r="S424" s="22"/>
      <c r="T424" s="20"/>
      <c r="U424" s="20"/>
      <c r="V424" s="20"/>
      <c r="W424" s="19"/>
      <c r="X424" s="19"/>
      <c r="Y424" s="19"/>
      <c r="Z424" s="23"/>
    </row>
    <row r="425" spans="1:26" ht="15.75" customHeight="1" x14ac:dyDescent="0.2">
      <c r="A425" s="34"/>
      <c r="B425" s="34"/>
      <c r="C425" s="34"/>
      <c r="D425" s="34"/>
      <c r="E425" s="19"/>
      <c r="F425" s="19"/>
      <c r="G425" s="19"/>
      <c r="H425" s="19"/>
      <c r="I425" s="19"/>
      <c r="J425" s="19"/>
      <c r="K425" s="19"/>
      <c r="L425" s="19"/>
      <c r="M425" s="19"/>
      <c r="N425" s="19"/>
      <c r="O425" s="19"/>
      <c r="P425" s="20"/>
      <c r="Q425" s="20"/>
      <c r="R425" s="22"/>
      <c r="S425" s="22"/>
      <c r="T425" s="20"/>
      <c r="U425" s="20"/>
      <c r="V425" s="20"/>
      <c r="W425" s="19"/>
      <c r="X425" s="19"/>
      <c r="Y425" s="19"/>
      <c r="Z425" s="23"/>
    </row>
    <row r="426" spans="1:26" ht="15.75" customHeight="1" x14ac:dyDescent="0.2">
      <c r="A426" s="34"/>
      <c r="B426" s="34"/>
      <c r="C426" s="34"/>
      <c r="D426" s="34"/>
      <c r="E426" s="19"/>
      <c r="F426" s="19"/>
      <c r="G426" s="19"/>
      <c r="H426" s="19"/>
      <c r="I426" s="19"/>
      <c r="J426" s="19"/>
      <c r="K426" s="19"/>
      <c r="L426" s="19"/>
      <c r="M426" s="19"/>
      <c r="N426" s="19"/>
      <c r="O426" s="19"/>
      <c r="P426" s="20"/>
      <c r="Q426" s="20"/>
      <c r="R426" s="22"/>
      <c r="S426" s="22"/>
      <c r="T426" s="20"/>
      <c r="U426" s="20"/>
      <c r="V426" s="20"/>
      <c r="W426" s="19"/>
      <c r="X426" s="19"/>
      <c r="Y426" s="19"/>
      <c r="Z426" s="23"/>
    </row>
    <row r="427" spans="1:26" ht="15.75" customHeight="1" x14ac:dyDescent="0.2">
      <c r="A427" s="34"/>
      <c r="B427" s="34"/>
      <c r="C427" s="34"/>
      <c r="D427" s="34"/>
      <c r="E427" s="19"/>
      <c r="F427" s="19"/>
      <c r="G427" s="19"/>
      <c r="H427" s="19"/>
      <c r="I427" s="19"/>
      <c r="J427" s="19"/>
      <c r="K427" s="19"/>
      <c r="L427" s="19"/>
      <c r="M427" s="19"/>
      <c r="N427" s="19"/>
      <c r="O427" s="19"/>
      <c r="P427" s="20"/>
      <c r="Q427" s="20"/>
      <c r="R427" s="22"/>
      <c r="S427" s="22"/>
      <c r="T427" s="20"/>
      <c r="U427" s="20"/>
      <c r="V427" s="20"/>
      <c r="W427" s="19"/>
      <c r="X427" s="19"/>
      <c r="Y427" s="19"/>
      <c r="Z427" s="23"/>
    </row>
    <row r="428" spans="1:26" ht="15.75" customHeight="1" x14ac:dyDescent="0.2">
      <c r="A428" s="34"/>
      <c r="B428" s="34"/>
      <c r="C428" s="34"/>
      <c r="D428" s="34"/>
      <c r="E428" s="19"/>
      <c r="F428" s="19"/>
      <c r="G428" s="19"/>
      <c r="H428" s="19"/>
      <c r="I428" s="19"/>
      <c r="J428" s="19"/>
      <c r="K428" s="19"/>
      <c r="L428" s="19"/>
      <c r="M428" s="19"/>
      <c r="N428" s="19"/>
      <c r="O428" s="19"/>
      <c r="P428" s="20"/>
      <c r="Q428" s="20"/>
      <c r="R428" s="22"/>
      <c r="S428" s="22"/>
      <c r="T428" s="20"/>
      <c r="U428" s="20"/>
      <c r="V428" s="20"/>
      <c r="W428" s="19"/>
      <c r="X428" s="19"/>
      <c r="Y428" s="19"/>
      <c r="Z428" s="23"/>
    </row>
    <row r="429" spans="1:26" ht="15.75" customHeight="1" x14ac:dyDescent="0.2">
      <c r="A429" s="34"/>
      <c r="B429" s="34"/>
      <c r="C429" s="34"/>
      <c r="D429" s="34"/>
      <c r="E429" s="19"/>
      <c r="F429" s="19"/>
      <c r="G429" s="19"/>
      <c r="H429" s="19"/>
      <c r="I429" s="19"/>
      <c r="J429" s="19"/>
      <c r="K429" s="19"/>
      <c r="L429" s="19"/>
      <c r="M429" s="19"/>
      <c r="N429" s="19"/>
      <c r="O429" s="19"/>
      <c r="P429" s="20"/>
      <c r="Q429" s="20"/>
      <c r="R429" s="22"/>
      <c r="S429" s="22"/>
      <c r="T429" s="20"/>
      <c r="U429" s="20"/>
      <c r="V429" s="20"/>
      <c r="W429" s="19"/>
      <c r="X429" s="19"/>
      <c r="Y429" s="19"/>
      <c r="Z429" s="23"/>
    </row>
    <row r="430" spans="1:26" ht="15.75" customHeight="1" x14ac:dyDescent="0.2">
      <c r="A430" s="34"/>
      <c r="B430" s="34"/>
      <c r="C430" s="34"/>
      <c r="D430" s="34"/>
      <c r="E430" s="19"/>
      <c r="F430" s="19"/>
      <c r="G430" s="19"/>
      <c r="H430" s="19"/>
      <c r="I430" s="19"/>
      <c r="J430" s="19"/>
      <c r="K430" s="19"/>
      <c r="L430" s="19"/>
      <c r="M430" s="19"/>
      <c r="N430" s="19"/>
      <c r="O430" s="19"/>
      <c r="P430" s="20"/>
      <c r="Q430" s="20"/>
      <c r="R430" s="22"/>
      <c r="S430" s="22"/>
      <c r="T430" s="20"/>
      <c r="U430" s="20"/>
      <c r="V430" s="20"/>
      <c r="W430" s="19"/>
      <c r="X430" s="19"/>
      <c r="Y430" s="19"/>
      <c r="Z430" s="23"/>
    </row>
    <row r="431" spans="1:26" ht="15.75" customHeight="1" x14ac:dyDescent="0.2">
      <c r="A431" s="34"/>
      <c r="B431" s="34"/>
      <c r="C431" s="34"/>
      <c r="D431" s="34"/>
      <c r="E431" s="19"/>
      <c r="F431" s="19"/>
      <c r="G431" s="19"/>
      <c r="H431" s="19"/>
      <c r="I431" s="19"/>
      <c r="J431" s="19"/>
      <c r="K431" s="19"/>
      <c r="L431" s="19"/>
      <c r="M431" s="19"/>
      <c r="N431" s="19"/>
      <c r="O431" s="19"/>
      <c r="P431" s="20"/>
      <c r="Q431" s="20"/>
      <c r="R431" s="22"/>
      <c r="S431" s="22"/>
      <c r="T431" s="20"/>
      <c r="U431" s="20"/>
      <c r="V431" s="20"/>
      <c r="W431" s="19"/>
      <c r="X431" s="19"/>
      <c r="Y431" s="19"/>
      <c r="Z431" s="23"/>
    </row>
    <row r="432" spans="1:26" ht="15.75" customHeight="1" x14ac:dyDescent="0.2">
      <c r="A432" s="34"/>
      <c r="B432" s="34"/>
      <c r="C432" s="34"/>
      <c r="D432" s="34"/>
      <c r="E432" s="19"/>
      <c r="F432" s="19"/>
      <c r="G432" s="19"/>
      <c r="H432" s="19"/>
      <c r="I432" s="19"/>
      <c r="J432" s="19"/>
      <c r="K432" s="19"/>
      <c r="L432" s="19"/>
      <c r="M432" s="19"/>
      <c r="N432" s="19"/>
      <c r="O432" s="19"/>
      <c r="P432" s="20"/>
      <c r="Q432" s="20"/>
      <c r="R432" s="22"/>
      <c r="S432" s="22"/>
      <c r="T432" s="20"/>
      <c r="U432" s="20"/>
      <c r="V432" s="20"/>
      <c r="W432" s="19"/>
      <c r="X432" s="19"/>
      <c r="Y432" s="19"/>
      <c r="Z432" s="23"/>
    </row>
    <row r="433" spans="1:26" ht="15.75" customHeight="1" x14ac:dyDescent="0.2">
      <c r="A433" s="34"/>
      <c r="B433" s="34"/>
      <c r="C433" s="34"/>
      <c r="D433" s="34"/>
      <c r="E433" s="19"/>
      <c r="F433" s="19"/>
      <c r="G433" s="19"/>
      <c r="H433" s="19"/>
      <c r="I433" s="19"/>
      <c r="J433" s="19"/>
      <c r="K433" s="19"/>
      <c r="L433" s="19"/>
      <c r="M433" s="19"/>
      <c r="N433" s="19"/>
      <c r="O433" s="19"/>
      <c r="P433" s="20"/>
      <c r="Q433" s="20"/>
      <c r="R433" s="22"/>
      <c r="S433" s="22"/>
      <c r="T433" s="20"/>
      <c r="U433" s="20"/>
      <c r="V433" s="20"/>
      <c r="W433" s="19"/>
      <c r="X433" s="19"/>
      <c r="Y433" s="19"/>
      <c r="Z433" s="23"/>
    </row>
    <row r="434" spans="1:26" ht="15.75" customHeight="1" x14ac:dyDescent="0.2">
      <c r="A434" s="34"/>
      <c r="B434" s="34"/>
      <c r="C434" s="34"/>
      <c r="D434" s="34"/>
      <c r="E434" s="19"/>
      <c r="F434" s="19"/>
      <c r="G434" s="19"/>
      <c r="H434" s="19"/>
      <c r="I434" s="19"/>
      <c r="J434" s="19"/>
      <c r="K434" s="19"/>
      <c r="L434" s="19"/>
      <c r="M434" s="19"/>
      <c r="N434" s="19"/>
      <c r="O434" s="19"/>
      <c r="P434" s="20"/>
      <c r="Q434" s="20"/>
      <c r="R434" s="22"/>
      <c r="S434" s="22"/>
      <c r="T434" s="20"/>
      <c r="U434" s="20"/>
      <c r="V434" s="20"/>
      <c r="W434" s="19"/>
      <c r="X434" s="19"/>
      <c r="Y434" s="19"/>
      <c r="Z434" s="23"/>
    </row>
    <row r="435" spans="1:26" ht="15.75" customHeight="1" x14ac:dyDescent="0.2">
      <c r="A435" s="34"/>
      <c r="B435" s="34"/>
      <c r="C435" s="34"/>
      <c r="D435" s="34"/>
      <c r="E435" s="19"/>
      <c r="F435" s="19"/>
      <c r="G435" s="19"/>
      <c r="H435" s="19"/>
      <c r="I435" s="19"/>
      <c r="J435" s="19"/>
      <c r="K435" s="19"/>
      <c r="L435" s="19"/>
      <c r="M435" s="19"/>
      <c r="N435" s="19"/>
      <c r="O435" s="19"/>
      <c r="P435" s="20"/>
      <c r="Q435" s="20"/>
      <c r="R435" s="22"/>
      <c r="S435" s="22"/>
      <c r="T435" s="20"/>
      <c r="U435" s="20"/>
      <c r="V435" s="20"/>
      <c r="W435" s="19"/>
      <c r="X435" s="19"/>
      <c r="Y435" s="19"/>
      <c r="Z435" s="23"/>
    </row>
    <row r="436" spans="1:26" ht="15.75" customHeight="1" x14ac:dyDescent="0.2">
      <c r="A436" s="34"/>
      <c r="B436" s="34"/>
      <c r="C436" s="34"/>
      <c r="D436" s="34"/>
      <c r="E436" s="19"/>
      <c r="F436" s="19"/>
      <c r="G436" s="19"/>
      <c r="H436" s="19"/>
      <c r="I436" s="19"/>
      <c r="J436" s="19"/>
      <c r="K436" s="19"/>
      <c r="L436" s="19"/>
      <c r="M436" s="19"/>
      <c r="N436" s="19"/>
      <c r="O436" s="19"/>
      <c r="P436" s="20"/>
      <c r="Q436" s="20"/>
      <c r="R436" s="22"/>
      <c r="S436" s="22"/>
      <c r="T436" s="20"/>
      <c r="U436" s="20"/>
      <c r="V436" s="20"/>
      <c r="W436" s="19"/>
      <c r="X436" s="19"/>
      <c r="Y436" s="19"/>
      <c r="Z436" s="23"/>
    </row>
    <row r="437" spans="1:26" ht="15.75" customHeight="1" x14ac:dyDescent="0.2">
      <c r="A437" s="34"/>
      <c r="B437" s="34"/>
      <c r="C437" s="34"/>
      <c r="D437" s="34"/>
      <c r="E437" s="19"/>
      <c r="F437" s="19"/>
      <c r="G437" s="19"/>
      <c r="H437" s="19"/>
      <c r="I437" s="19"/>
      <c r="J437" s="19"/>
      <c r="K437" s="19"/>
      <c r="L437" s="19"/>
      <c r="M437" s="19"/>
      <c r="N437" s="19"/>
      <c r="O437" s="19"/>
      <c r="P437" s="20"/>
      <c r="Q437" s="20"/>
      <c r="R437" s="22"/>
      <c r="S437" s="22"/>
      <c r="T437" s="20"/>
      <c r="U437" s="20"/>
      <c r="V437" s="20"/>
      <c r="W437" s="19"/>
      <c r="X437" s="19"/>
      <c r="Y437" s="19"/>
      <c r="Z437" s="23"/>
    </row>
    <row r="438" spans="1:26" ht="15.75" customHeight="1" x14ac:dyDescent="0.2">
      <c r="A438" s="34"/>
      <c r="B438" s="34"/>
      <c r="C438" s="34"/>
      <c r="D438" s="34"/>
      <c r="E438" s="19"/>
      <c r="F438" s="19"/>
      <c r="G438" s="19"/>
      <c r="H438" s="19"/>
      <c r="I438" s="19"/>
      <c r="J438" s="19"/>
      <c r="K438" s="19"/>
      <c r="L438" s="19"/>
      <c r="M438" s="19"/>
      <c r="N438" s="19"/>
      <c r="O438" s="19"/>
      <c r="P438" s="20"/>
      <c r="Q438" s="20"/>
      <c r="R438" s="22"/>
      <c r="S438" s="22"/>
      <c r="T438" s="20"/>
      <c r="U438" s="20"/>
      <c r="V438" s="20"/>
      <c r="W438" s="19"/>
      <c r="X438" s="19"/>
      <c r="Y438" s="19"/>
      <c r="Z438" s="23"/>
    </row>
    <row r="439" spans="1:26" ht="15.75" customHeight="1" x14ac:dyDescent="0.2">
      <c r="A439" s="34"/>
      <c r="B439" s="34"/>
      <c r="C439" s="34"/>
      <c r="D439" s="34"/>
      <c r="E439" s="19"/>
      <c r="F439" s="19"/>
      <c r="G439" s="19"/>
      <c r="H439" s="19"/>
      <c r="I439" s="19"/>
      <c r="J439" s="19"/>
      <c r="K439" s="19"/>
      <c r="L439" s="19"/>
      <c r="M439" s="19"/>
      <c r="N439" s="19"/>
      <c r="O439" s="19"/>
      <c r="P439" s="20"/>
      <c r="Q439" s="20"/>
      <c r="R439" s="22"/>
      <c r="S439" s="22"/>
      <c r="T439" s="20"/>
      <c r="U439" s="20"/>
      <c r="V439" s="20"/>
      <c r="W439" s="19"/>
      <c r="X439" s="19"/>
      <c r="Y439" s="19"/>
      <c r="Z439" s="23"/>
    </row>
    <row r="440" spans="1:26" ht="15.75" customHeight="1" x14ac:dyDescent="0.2">
      <c r="A440" s="34"/>
      <c r="B440" s="34"/>
      <c r="C440" s="34"/>
      <c r="D440" s="34"/>
      <c r="E440" s="19"/>
      <c r="F440" s="19"/>
      <c r="G440" s="19"/>
      <c r="H440" s="19"/>
      <c r="I440" s="19"/>
      <c r="J440" s="19"/>
      <c r="K440" s="19"/>
      <c r="L440" s="19"/>
      <c r="M440" s="19"/>
      <c r="N440" s="19"/>
      <c r="O440" s="19"/>
      <c r="P440" s="20"/>
      <c r="Q440" s="20"/>
      <c r="R440" s="22"/>
      <c r="S440" s="22"/>
      <c r="T440" s="20"/>
      <c r="U440" s="20"/>
      <c r="V440" s="20"/>
      <c r="W440" s="19"/>
      <c r="X440" s="19"/>
      <c r="Y440" s="19"/>
      <c r="Z440" s="23"/>
    </row>
    <row r="441" spans="1:26" ht="15.75" customHeight="1" x14ac:dyDescent="0.2">
      <c r="A441" s="34"/>
      <c r="B441" s="34"/>
      <c r="C441" s="34"/>
      <c r="D441" s="34"/>
      <c r="E441" s="19"/>
      <c r="F441" s="19"/>
      <c r="G441" s="19"/>
      <c r="H441" s="19"/>
      <c r="I441" s="19"/>
      <c r="J441" s="19"/>
      <c r="K441" s="19"/>
      <c r="L441" s="19"/>
      <c r="M441" s="19"/>
      <c r="N441" s="19"/>
      <c r="O441" s="19"/>
      <c r="P441" s="20"/>
      <c r="Q441" s="20"/>
      <c r="R441" s="22"/>
      <c r="S441" s="22"/>
      <c r="T441" s="20"/>
      <c r="U441" s="20"/>
      <c r="V441" s="20"/>
      <c r="W441" s="19"/>
      <c r="X441" s="19"/>
      <c r="Y441" s="19"/>
      <c r="Z441" s="23"/>
    </row>
    <row r="442" spans="1:26" ht="15.75" customHeight="1" x14ac:dyDescent="0.2">
      <c r="A442" s="34"/>
      <c r="B442" s="34"/>
      <c r="C442" s="34"/>
      <c r="D442" s="34"/>
      <c r="E442" s="19"/>
      <c r="F442" s="19"/>
      <c r="G442" s="19"/>
      <c r="H442" s="19"/>
      <c r="I442" s="19"/>
      <c r="J442" s="19"/>
      <c r="K442" s="19"/>
      <c r="L442" s="19"/>
      <c r="M442" s="19"/>
      <c r="N442" s="19"/>
      <c r="O442" s="19"/>
      <c r="P442" s="20"/>
      <c r="Q442" s="20"/>
      <c r="R442" s="22"/>
      <c r="S442" s="22"/>
      <c r="T442" s="20"/>
      <c r="U442" s="20"/>
      <c r="V442" s="20"/>
      <c r="W442" s="19"/>
      <c r="X442" s="19"/>
      <c r="Y442" s="19"/>
      <c r="Z442" s="23"/>
    </row>
    <row r="443" spans="1:26" ht="15.75" customHeight="1" x14ac:dyDescent="0.2">
      <c r="A443" s="34"/>
      <c r="B443" s="34"/>
      <c r="C443" s="34"/>
      <c r="D443" s="34"/>
      <c r="E443" s="19"/>
      <c r="F443" s="19"/>
      <c r="G443" s="19"/>
      <c r="H443" s="19"/>
      <c r="I443" s="19"/>
      <c r="J443" s="19"/>
      <c r="K443" s="19"/>
      <c r="L443" s="19"/>
      <c r="M443" s="19"/>
      <c r="N443" s="19"/>
      <c r="O443" s="19"/>
      <c r="P443" s="20"/>
      <c r="Q443" s="20"/>
      <c r="R443" s="22"/>
      <c r="S443" s="22"/>
      <c r="T443" s="20"/>
      <c r="U443" s="20"/>
      <c r="V443" s="20"/>
      <c r="W443" s="19"/>
      <c r="X443" s="19"/>
      <c r="Y443" s="19"/>
      <c r="Z443" s="23"/>
    </row>
    <row r="444" spans="1:26" ht="15.75" customHeight="1" x14ac:dyDescent="0.2">
      <c r="A444" s="34"/>
      <c r="B444" s="34"/>
      <c r="C444" s="34"/>
      <c r="D444" s="34"/>
      <c r="E444" s="19"/>
      <c r="F444" s="19"/>
      <c r="G444" s="19"/>
      <c r="H444" s="19"/>
      <c r="I444" s="19"/>
      <c r="J444" s="19"/>
      <c r="K444" s="19"/>
      <c r="L444" s="19"/>
      <c r="M444" s="19"/>
      <c r="N444" s="19"/>
      <c r="O444" s="19"/>
      <c r="P444" s="20"/>
      <c r="Q444" s="20"/>
      <c r="R444" s="22"/>
      <c r="S444" s="22"/>
      <c r="T444" s="20"/>
      <c r="U444" s="20"/>
      <c r="V444" s="20"/>
      <c r="W444" s="19"/>
      <c r="X444" s="19"/>
      <c r="Y444" s="19"/>
      <c r="Z444" s="23"/>
    </row>
    <row r="445" spans="1:26" ht="15.75" customHeight="1" x14ac:dyDescent="0.2">
      <c r="A445" s="34"/>
      <c r="B445" s="34"/>
      <c r="C445" s="34"/>
      <c r="D445" s="34"/>
      <c r="E445" s="19"/>
      <c r="F445" s="19"/>
      <c r="G445" s="19"/>
      <c r="H445" s="19"/>
      <c r="I445" s="19"/>
      <c r="J445" s="19"/>
      <c r="K445" s="19"/>
      <c r="L445" s="19"/>
      <c r="M445" s="19"/>
      <c r="N445" s="19"/>
      <c r="O445" s="19"/>
      <c r="P445" s="20"/>
      <c r="Q445" s="20"/>
      <c r="R445" s="22"/>
      <c r="S445" s="22"/>
      <c r="T445" s="20"/>
      <c r="U445" s="20"/>
      <c r="V445" s="20"/>
      <c r="W445" s="19"/>
      <c r="X445" s="19"/>
      <c r="Y445" s="19"/>
      <c r="Z445" s="23"/>
    </row>
    <row r="446" spans="1:26" ht="15.75" customHeight="1" x14ac:dyDescent="0.2">
      <c r="A446" s="34"/>
      <c r="B446" s="34"/>
      <c r="C446" s="34"/>
      <c r="D446" s="34"/>
      <c r="E446" s="19"/>
      <c r="F446" s="19"/>
      <c r="G446" s="19"/>
      <c r="H446" s="19"/>
      <c r="I446" s="19"/>
      <c r="J446" s="19"/>
      <c r="K446" s="19"/>
      <c r="L446" s="19"/>
      <c r="M446" s="19"/>
      <c r="N446" s="19"/>
      <c r="O446" s="19"/>
      <c r="P446" s="20"/>
      <c r="Q446" s="20"/>
      <c r="R446" s="22"/>
      <c r="S446" s="22"/>
      <c r="T446" s="20"/>
      <c r="U446" s="20"/>
      <c r="V446" s="20"/>
      <c r="W446" s="19"/>
      <c r="X446" s="19"/>
      <c r="Y446" s="19"/>
      <c r="Z446" s="23"/>
    </row>
    <row r="447" spans="1:26" ht="15.75" customHeight="1" x14ac:dyDescent="0.2">
      <c r="A447" s="34"/>
      <c r="B447" s="34"/>
      <c r="C447" s="34"/>
      <c r="D447" s="34"/>
      <c r="E447" s="19"/>
      <c r="F447" s="19"/>
      <c r="G447" s="19"/>
      <c r="H447" s="19"/>
      <c r="I447" s="19"/>
      <c r="J447" s="19"/>
      <c r="K447" s="19"/>
      <c r="L447" s="19"/>
      <c r="M447" s="19"/>
      <c r="N447" s="19"/>
      <c r="O447" s="19"/>
      <c r="P447" s="20"/>
      <c r="Q447" s="20"/>
      <c r="R447" s="22"/>
      <c r="S447" s="22"/>
      <c r="T447" s="20"/>
      <c r="U447" s="20"/>
      <c r="V447" s="20"/>
      <c r="W447" s="19"/>
      <c r="X447" s="19"/>
      <c r="Y447" s="19"/>
      <c r="Z447" s="23"/>
    </row>
    <row r="448" spans="1:26" ht="15.75" customHeight="1" x14ac:dyDescent="0.2">
      <c r="A448" s="34"/>
      <c r="B448" s="34"/>
      <c r="C448" s="34"/>
      <c r="D448" s="34"/>
      <c r="E448" s="19"/>
      <c r="F448" s="19"/>
      <c r="G448" s="19"/>
      <c r="H448" s="19"/>
      <c r="I448" s="19"/>
      <c r="J448" s="19"/>
      <c r="K448" s="19"/>
      <c r="L448" s="19"/>
      <c r="M448" s="19"/>
      <c r="N448" s="19"/>
      <c r="O448" s="19"/>
      <c r="P448" s="20"/>
      <c r="Q448" s="20"/>
      <c r="R448" s="22"/>
      <c r="S448" s="22"/>
      <c r="T448" s="20"/>
      <c r="U448" s="20"/>
      <c r="V448" s="20"/>
      <c r="W448" s="19"/>
      <c r="X448" s="19"/>
      <c r="Y448" s="19"/>
      <c r="Z448" s="23"/>
    </row>
    <row r="449" spans="1:26" ht="15.75" customHeight="1" x14ac:dyDescent="0.2">
      <c r="A449" s="34"/>
      <c r="B449" s="34"/>
      <c r="C449" s="34"/>
      <c r="D449" s="34"/>
      <c r="E449" s="19"/>
      <c r="F449" s="19"/>
      <c r="G449" s="19"/>
      <c r="H449" s="19"/>
      <c r="I449" s="19"/>
      <c r="J449" s="19"/>
      <c r="K449" s="19"/>
      <c r="L449" s="19"/>
      <c r="M449" s="19"/>
      <c r="N449" s="19"/>
      <c r="O449" s="19"/>
      <c r="P449" s="20"/>
      <c r="Q449" s="20"/>
      <c r="R449" s="22"/>
      <c r="S449" s="22"/>
      <c r="T449" s="20"/>
      <c r="U449" s="20"/>
      <c r="V449" s="20"/>
      <c r="W449" s="19"/>
      <c r="X449" s="19"/>
      <c r="Y449" s="19"/>
      <c r="Z449" s="23"/>
    </row>
    <row r="450" spans="1:26" ht="15.75" customHeight="1" x14ac:dyDescent="0.2">
      <c r="A450" s="34"/>
      <c r="B450" s="34"/>
      <c r="C450" s="34"/>
      <c r="D450" s="34"/>
      <c r="E450" s="19"/>
      <c r="F450" s="19"/>
      <c r="G450" s="19"/>
      <c r="H450" s="19"/>
      <c r="I450" s="19"/>
      <c r="J450" s="19"/>
      <c r="K450" s="19"/>
      <c r="L450" s="19"/>
      <c r="M450" s="19"/>
      <c r="N450" s="19"/>
      <c r="O450" s="19"/>
      <c r="P450" s="20"/>
      <c r="Q450" s="20"/>
      <c r="R450" s="22"/>
      <c r="S450" s="22"/>
      <c r="T450" s="20"/>
      <c r="U450" s="20"/>
      <c r="V450" s="20"/>
      <c r="W450" s="19"/>
      <c r="X450" s="19"/>
      <c r="Y450" s="19"/>
      <c r="Z450" s="23"/>
    </row>
    <row r="451" spans="1:26" ht="15.75" customHeight="1" x14ac:dyDescent="0.2">
      <c r="A451" s="34"/>
      <c r="B451" s="34"/>
      <c r="C451" s="34"/>
      <c r="D451" s="34"/>
      <c r="E451" s="19"/>
      <c r="F451" s="19"/>
      <c r="G451" s="19"/>
      <c r="H451" s="19"/>
      <c r="I451" s="19"/>
      <c r="J451" s="19"/>
      <c r="K451" s="19"/>
      <c r="L451" s="19"/>
      <c r="M451" s="19"/>
      <c r="N451" s="19"/>
      <c r="O451" s="19"/>
      <c r="P451" s="20"/>
      <c r="Q451" s="20"/>
      <c r="R451" s="22"/>
      <c r="S451" s="22"/>
      <c r="T451" s="20"/>
      <c r="U451" s="20"/>
      <c r="V451" s="20"/>
      <c r="W451" s="19"/>
      <c r="X451" s="19"/>
      <c r="Y451" s="19"/>
      <c r="Z451" s="23"/>
    </row>
    <row r="452" spans="1:26" ht="15.75" customHeight="1" x14ac:dyDescent="0.2">
      <c r="A452" s="34"/>
      <c r="B452" s="34"/>
      <c r="C452" s="34"/>
      <c r="D452" s="34"/>
      <c r="E452" s="19"/>
      <c r="F452" s="19"/>
      <c r="G452" s="19"/>
      <c r="H452" s="19"/>
      <c r="I452" s="19"/>
      <c r="J452" s="19"/>
      <c r="K452" s="19"/>
      <c r="L452" s="19"/>
      <c r="M452" s="19"/>
      <c r="N452" s="19"/>
      <c r="O452" s="19"/>
      <c r="P452" s="20"/>
      <c r="Q452" s="20"/>
      <c r="R452" s="22"/>
      <c r="S452" s="22"/>
      <c r="T452" s="20"/>
      <c r="U452" s="20"/>
      <c r="V452" s="20"/>
      <c r="W452" s="19"/>
      <c r="X452" s="19"/>
      <c r="Y452" s="19"/>
      <c r="Z452" s="23"/>
    </row>
    <row r="453" spans="1:26" ht="15.75" customHeight="1" x14ac:dyDescent="0.2">
      <c r="A453" s="34"/>
      <c r="B453" s="34"/>
      <c r="C453" s="34"/>
      <c r="D453" s="34"/>
      <c r="E453" s="19"/>
      <c r="F453" s="19"/>
      <c r="G453" s="19"/>
      <c r="H453" s="19"/>
      <c r="I453" s="19"/>
      <c r="J453" s="19"/>
      <c r="K453" s="19"/>
      <c r="L453" s="19"/>
      <c r="M453" s="19"/>
      <c r="N453" s="19"/>
      <c r="O453" s="19"/>
      <c r="P453" s="20"/>
      <c r="Q453" s="20"/>
      <c r="R453" s="22"/>
      <c r="S453" s="22"/>
      <c r="T453" s="20"/>
      <c r="U453" s="20"/>
      <c r="V453" s="20"/>
      <c r="W453" s="19"/>
      <c r="X453" s="19"/>
      <c r="Y453" s="19"/>
      <c r="Z453" s="23"/>
    </row>
    <row r="454" spans="1:26" ht="15.75" customHeight="1" x14ac:dyDescent="0.2">
      <c r="A454" s="34"/>
      <c r="B454" s="34"/>
      <c r="C454" s="34"/>
      <c r="D454" s="34"/>
      <c r="E454" s="19"/>
      <c r="F454" s="19"/>
      <c r="G454" s="19"/>
      <c r="H454" s="19"/>
      <c r="I454" s="19"/>
      <c r="J454" s="19"/>
      <c r="K454" s="19"/>
      <c r="L454" s="19"/>
      <c r="M454" s="19"/>
      <c r="N454" s="19"/>
      <c r="O454" s="19"/>
      <c r="P454" s="20"/>
      <c r="Q454" s="20"/>
      <c r="R454" s="22"/>
      <c r="S454" s="22"/>
      <c r="T454" s="20"/>
      <c r="U454" s="20"/>
      <c r="V454" s="20"/>
      <c r="W454" s="19"/>
      <c r="X454" s="19"/>
      <c r="Y454" s="19"/>
      <c r="Z454" s="23"/>
    </row>
    <row r="455" spans="1:26" ht="15.75" customHeight="1" x14ac:dyDescent="0.2">
      <c r="A455" s="34"/>
      <c r="B455" s="34"/>
      <c r="C455" s="34"/>
      <c r="D455" s="34"/>
      <c r="E455" s="19"/>
      <c r="F455" s="19"/>
      <c r="G455" s="19"/>
      <c r="H455" s="19"/>
      <c r="I455" s="19"/>
      <c r="J455" s="19"/>
      <c r="K455" s="19"/>
      <c r="L455" s="19"/>
      <c r="M455" s="19"/>
      <c r="N455" s="19"/>
      <c r="O455" s="19"/>
      <c r="P455" s="20"/>
      <c r="Q455" s="20"/>
      <c r="R455" s="22"/>
      <c r="S455" s="22"/>
      <c r="T455" s="20"/>
      <c r="U455" s="20"/>
      <c r="V455" s="20"/>
      <c r="W455" s="19"/>
      <c r="X455" s="19"/>
      <c r="Y455" s="19"/>
      <c r="Z455" s="23"/>
    </row>
    <row r="456" spans="1:26" ht="15.75" customHeight="1" x14ac:dyDescent="0.2">
      <c r="A456" s="34"/>
      <c r="B456" s="34"/>
      <c r="C456" s="34"/>
      <c r="D456" s="34"/>
      <c r="E456" s="19"/>
      <c r="F456" s="19"/>
      <c r="G456" s="19"/>
      <c r="H456" s="19"/>
      <c r="I456" s="19"/>
      <c r="J456" s="19"/>
      <c r="K456" s="19"/>
      <c r="L456" s="19"/>
      <c r="M456" s="19"/>
      <c r="N456" s="19"/>
      <c r="O456" s="19"/>
      <c r="P456" s="20"/>
      <c r="Q456" s="20"/>
      <c r="R456" s="22"/>
      <c r="S456" s="22"/>
      <c r="T456" s="20"/>
      <c r="U456" s="20"/>
      <c r="V456" s="20"/>
      <c r="W456" s="19"/>
      <c r="X456" s="19"/>
      <c r="Y456" s="19"/>
      <c r="Z456" s="23"/>
    </row>
    <row r="457" spans="1:26" ht="15.75" customHeight="1" x14ac:dyDescent="0.2">
      <c r="A457" s="34"/>
      <c r="B457" s="34"/>
      <c r="C457" s="34"/>
      <c r="D457" s="34"/>
      <c r="E457" s="19"/>
      <c r="F457" s="19"/>
      <c r="G457" s="19"/>
      <c r="H457" s="19"/>
      <c r="I457" s="19"/>
      <c r="J457" s="19"/>
      <c r="K457" s="19"/>
      <c r="L457" s="19"/>
      <c r="M457" s="19"/>
      <c r="N457" s="19"/>
      <c r="O457" s="19"/>
      <c r="P457" s="20"/>
      <c r="Q457" s="20"/>
      <c r="R457" s="22"/>
      <c r="S457" s="22"/>
      <c r="T457" s="20"/>
      <c r="U457" s="20"/>
      <c r="V457" s="20"/>
      <c r="W457" s="19"/>
      <c r="X457" s="19"/>
      <c r="Y457" s="19"/>
      <c r="Z457" s="23"/>
    </row>
    <row r="458" spans="1:26" ht="15.75" customHeight="1" x14ac:dyDescent="0.2">
      <c r="A458" s="34"/>
      <c r="B458" s="34"/>
      <c r="C458" s="34"/>
      <c r="D458" s="34"/>
      <c r="E458" s="19"/>
      <c r="F458" s="19"/>
      <c r="G458" s="19"/>
      <c r="H458" s="19"/>
      <c r="I458" s="19"/>
      <c r="J458" s="19"/>
      <c r="K458" s="19"/>
      <c r="L458" s="19"/>
      <c r="M458" s="19"/>
      <c r="N458" s="19"/>
      <c r="O458" s="19"/>
      <c r="P458" s="20"/>
      <c r="Q458" s="20"/>
      <c r="R458" s="22"/>
      <c r="S458" s="22"/>
      <c r="T458" s="20"/>
      <c r="U458" s="20"/>
      <c r="V458" s="20"/>
      <c r="W458" s="19"/>
      <c r="X458" s="19"/>
      <c r="Y458" s="19"/>
      <c r="Z458" s="23"/>
    </row>
    <row r="459" spans="1:26" ht="15.75" customHeight="1" x14ac:dyDescent="0.2">
      <c r="A459" s="34"/>
      <c r="B459" s="34"/>
      <c r="C459" s="34"/>
      <c r="D459" s="34"/>
      <c r="E459" s="19"/>
      <c r="F459" s="19"/>
      <c r="G459" s="19"/>
      <c r="H459" s="19"/>
      <c r="I459" s="19"/>
      <c r="J459" s="19"/>
      <c r="K459" s="19"/>
      <c r="L459" s="19"/>
      <c r="M459" s="19"/>
      <c r="N459" s="19"/>
      <c r="O459" s="19"/>
      <c r="P459" s="20"/>
      <c r="Q459" s="20"/>
      <c r="R459" s="22"/>
      <c r="S459" s="22"/>
      <c r="T459" s="20"/>
      <c r="U459" s="20"/>
      <c r="V459" s="20"/>
      <c r="W459" s="19"/>
      <c r="X459" s="19"/>
      <c r="Y459" s="19"/>
      <c r="Z459" s="23"/>
    </row>
    <row r="460" spans="1:26" ht="15.75" customHeight="1" x14ac:dyDescent="0.2">
      <c r="A460" s="34"/>
      <c r="B460" s="34"/>
      <c r="C460" s="34"/>
      <c r="D460" s="34"/>
      <c r="E460" s="19"/>
      <c r="F460" s="19"/>
      <c r="G460" s="19"/>
      <c r="H460" s="19"/>
      <c r="I460" s="19"/>
      <c r="J460" s="19"/>
      <c r="K460" s="19"/>
      <c r="L460" s="19"/>
      <c r="M460" s="19"/>
      <c r="N460" s="19"/>
      <c r="O460" s="19"/>
      <c r="P460" s="20"/>
      <c r="Q460" s="20"/>
      <c r="R460" s="22"/>
      <c r="S460" s="22"/>
      <c r="T460" s="20"/>
      <c r="U460" s="20"/>
      <c r="V460" s="20"/>
      <c r="W460" s="19"/>
      <c r="X460" s="19"/>
      <c r="Y460" s="19"/>
      <c r="Z460" s="23"/>
    </row>
    <row r="461" spans="1:26" ht="15.75" customHeight="1" x14ac:dyDescent="0.2">
      <c r="A461" s="34"/>
      <c r="B461" s="34"/>
      <c r="C461" s="34"/>
      <c r="D461" s="34"/>
      <c r="E461" s="19"/>
      <c r="F461" s="19"/>
      <c r="G461" s="19"/>
      <c r="H461" s="19"/>
      <c r="I461" s="19"/>
      <c r="J461" s="19"/>
      <c r="K461" s="19"/>
      <c r="L461" s="19"/>
      <c r="M461" s="19"/>
      <c r="N461" s="19"/>
      <c r="O461" s="19"/>
      <c r="P461" s="20"/>
      <c r="Q461" s="20"/>
      <c r="R461" s="22"/>
      <c r="S461" s="22"/>
      <c r="T461" s="20"/>
      <c r="U461" s="20"/>
      <c r="V461" s="20"/>
      <c r="W461" s="19"/>
      <c r="X461" s="19"/>
      <c r="Y461" s="19"/>
      <c r="Z461" s="23"/>
    </row>
    <row r="462" spans="1:26" ht="15.75" customHeight="1" x14ac:dyDescent="0.2">
      <c r="A462" s="34"/>
      <c r="B462" s="34"/>
      <c r="C462" s="34"/>
      <c r="D462" s="34"/>
      <c r="E462" s="19"/>
      <c r="F462" s="19"/>
      <c r="G462" s="19"/>
      <c r="H462" s="19"/>
      <c r="I462" s="19"/>
      <c r="J462" s="19"/>
      <c r="K462" s="19"/>
      <c r="L462" s="19"/>
      <c r="M462" s="19"/>
      <c r="N462" s="19"/>
      <c r="O462" s="19"/>
      <c r="P462" s="20"/>
      <c r="Q462" s="20"/>
      <c r="R462" s="22"/>
      <c r="S462" s="22"/>
      <c r="T462" s="20"/>
      <c r="U462" s="20"/>
      <c r="V462" s="20"/>
      <c r="W462" s="19"/>
      <c r="X462" s="19"/>
      <c r="Y462" s="19"/>
      <c r="Z462" s="23"/>
    </row>
    <row r="463" spans="1:26" ht="15.75" customHeight="1" x14ac:dyDescent="0.2">
      <c r="A463" s="34"/>
      <c r="B463" s="34"/>
      <c r="C463" s="34"/>
      <c r="D463" s="34"/>
      <c r="E463" s="19"/>
      <c r="F463" s="19"/>
      <c r="G463" s="19"/>
      <c r="H463" s="19"/>
      <c r="I463" s="19"/>
      <c r="J463" s="19"/>
      <c r="K463" s="19"/>
      <c r="L463" s="19"/>
      <c r="M463" s="19"/>
      <c r="N463" s="19"/>
      <c r="O463" s="19"/>
      <c r="P463" s="20"/>
      <c r="Q463" s="20"/>
      <c r="R463" s="22"/>
      <c r="S463" s="22"/>
      <c r="T463" s="20"/>
      <c r="U463" s="20"/>
      <c r="V463" s="20"/>
      <c r="W463" s="19"/>
      <c r="X463" s="19"/>
      <c r="Y463" s="19"/>
      <c r="Z463" s="23"/>
    </row>
    <row r="464" spans="1:26" ht="15.75" customHeight="1" x14ac:dyDescent="0.2">
      <c r="A464" s="34"/>
      <c r="B464" s="34"/>
      <c r="C464" s="34"/>
      <c r="D464" s="34"/>
      <c r="E464" s="19"/>
      <c r="F464" s="19"/>
      <c r="G464" s="19"/>
      <c r="H464" s="19"/>
      <c r="I464" s="19"/>
      <c r="J464" s="19"/>
      <c r="K464" s="19"/>
      <c r="L464" s="19"/>
      <c r="M464" s="19"/>
      <c r="N464" s="19"/>
      <c r="O464" s="19"/>
      <c r="P464" s="20"/>
      <c r="Q464" s="20"/>
      <c r="R464" s="22"/>
      <c r="S464" s="22"/>
      <c r="T464" s="20"/>
      <c r="U464" s="20"/>
      <c r="V464" s="20"/>
      <c r="W464" s="19"/>
      <c r="X464" s="19"/>
      <c r="Y464" s="19"/>
      <c r="Z464" s="23"/>
    </row>
    <row r="465" spans="1:26" ht="15.75" customHeight="1" x14ac:dyDescent="0.2">
      <c r="A465" s="34"/>
      <c r="B465" s="34"/>
      <c r="C465" s="34"/>
      <c r="D465" s="34"/>
      <c r="E465" s="19"/>
      <c r="F465" s="19"/>
      <c r="G465" s="19"/>
      <c r="H465" s="19"/>
      <c r="I465" s="19"/>
      <c r="J465" s="19"/>
      <c r="K465" s="19"/>
      <c r="L465" s="19"/>
      <c r="M465" s="19"/>
      <c r="N465" s="19"/>
      <c r="O465" s="19"/>
      <c r="P465" s="20"/>
      <c r="Q465" s="20"/>
      <c r="R465" s="22"/>
      <c r="S465" s="22"/>
      <c r="T465" s="20"/>
      <c r="U465" s="20"/>
      <c r="V465" s="20"/>
      <c r="W465" s="19"/>
      <c r="X465" s="19"/>
      <c r="Y465" s="19"/>
      <c r="Z465" s="23"/>
    </row>
    <row r="466" spans="1:26" ht="15.75" customHeight="1" x14ac:dyDescent="0.2">
      <c r="A466" s="34"/>
      <c r="B466" s="34"/>
      <c r="C466" s="34"/>
      <c r="D466" s="34"/>
      <c r="E466" s="19"/>
      <c r="F466" s="19"/>
      <c r="G466" s="19"/>
      <c r="H466" s="19"/>
      <c r="I466" s="19"/>
      <c r="J466" s="19"/>
      <c r="K466" s="19"/>
      <c r="L466" s="19"/>
      <c r="M466" s="19"/>
      <c r="N466" s="19"/>
      <c r="O466" s="19"/>
      <c r="P466" s="20"/>
      <c r="Q466" s="20"/>
      <c r="R466" s="22"/>
      <c r="S466" s="22"/>
      <c r="T466" s="20"/>
      <c r="U466" s="20"/>
      <c r="V466" s="20"/>
      <c r="W466" s="19"/>
      <c r="X466" s="19"/>
      <c r="Y466" s="19"/>
      <c r="Z466" s="23"/>
    </row>
    <row r="467" spans="1:26" ht="15.75" customHeight="1" x14ac:dyDescent="0.2">
      <c r="A467" s="34"/>
      <c r="B467" s="34"/>
      <c r="C467" s="34"/>
      <c r="D467" s="34"/>
      <c r="E467" s="19"/>
      <c r="F467" s="19"/>
      <c r="G467" s="19"/>
      <c r="H467" s="19"/>
      <c r="I467" s="19"/>
      <c r="J467" s="19"/>
      <c r="K467" s="19"/>
      <c r="L467" s="19"/>
      <c r="M467" s="19"/>
      <c r="N467" s="19"/>
      <c r="O467" s="19"/>
      <c r="P467" s="20"/>
      <c r="Q467" s="20"/>
      <c r="R467" s="22"/>
      <c r="S467" s="22"/>
      <c r="T467" s="20"/>
      <c r="U467" s="20"/>
      <c r="V467" s="20"/>
      <c r="W467" s="19"/>
      <c r="X467" s="19"/>
      <c r="Y467" s="19"/>
      <c r="Z467" s="23"/>
    </row>
    <row r="468" spans="1:26" ht="15.75" customHeight="1" x14ac:dyDescent="0.2">
      <c r="A468" s="34"/>
      <c r="B468" s="34"/>
      <c r="C468" s="34"/>
      <c r="D468" s="34"/>
      <c r="E468" s="19"/>
      <c r="F468" s="19"/>
      <c r="G468" s="19"/>
      <c r="H468" s="19"/>
      <c r="I468" s="19"/>
      <c r="J468" s="19"/>
      <c r="K468" s="19"/>
      <c r="L468" s="19"/>
      <c r="M468" s="19"/>
      <c r="N468" s="19"/>
      <c r="O468" s="19"/>
      <c r="P468" s="20"/>
      <c r="Q468" s="20"/>
      <c r="R468" s="22"/>
      <c r="S468" s="22"/>
      <c r="T468" s="20"/>
      <c r="U468" s="20"/>
      <c r="V468" s="20"/>
      <c r="W468" s="19"/>
      <c r="X468" s="19"/>
      <c r="Y468" s="19"/>
      <c r="Z468" s="23"/>
    </row>
    <row r="469" spans="1:26" ht="15.75" customHeight="1" x14ac:dyDescent="0.2">
      <c r="A469" s="34"/>
      <c r="B469" s="34"/>
      <c r="C469" s="34"/>
      <c r="D469" s="34"/>
      <c r="E469" s="19"/>
      <c r="F469" s="19"/>
      <c r="G469" s="19"/>
      <c r="H469" s="19"/>
      <c r="I469" s="19"/>
      <c r="J469" s="19"/>
      <c r="K469" s="19"/>
      <c r="L469" s="19"/>
      <c r="M469" s="19"/>
      <c r="N469" s="19"/>
      <c r="O469" s="19"/>
      <c r="P469" s="20"/>
      <c r="Q469" s="20"/>
      <c r="R469" s="22"/>
      <c r="S469" s="22"/>
      <c r="T469" s="20"/>
      <c r="U469" s="20"/>
      <c r="V469" s="20"/>
      <c r="W469" s="19"/>
      <c r="X469" s="19"/>
      <c r="Y469" s="19"/>
      <c r="Z469" s="23"/>
    </row>
    <row r="470" spans="1:26" ht="15.75" customHeight="1" x14ac:dyDescent="0.2">
      <c r="A470" s="34"/>
      <c r="B470" s="34"/>
      <c r="C470" s="34"/>
      <c r="D470" s="34"/>
      <c r="E470" s="19"/>
      <c r="F470" s="19"/>
      <c r="G470" s="19"/>
      <c r="H470" s="19"/>
      <c r="I470" s="19"/>
      <c r="J470" s="19"/>
      <c r="K470" s="19"/>
      <c r="L470" s="19"/>
      <c r="M470" s="19"/>
      <c r="N470" s="19"/>
      <c r="O470" s="19"/>
      <c r="P470" s="20"/>
      <c r="Q470" s="20"/>
      <c r="R470" s="22"/>
      <c r="S470" s="22"/>
      <c r="T470" s="20"/>
      <c r="U470" s="20"/>
      <c r="V470" s="20"/>
      <c r="W470" s="19"/>
      <c r="X470" s="19"/>
      <c r="Y470" s="19"/>
      <c r="Z470" s="23"/>
    </row>
    <row r="471" spans="1:26" ht="15.75" customHeight="1" x14ac:dyDescent="0.2">
      <c r="A471" s="34"/>
      <c r="B471" s="34"/>
      <c r="C471" s="34"/>
      <c r="D471" s="34"/>
      <c r="E471" s="19"/>
      <c r="F471" s="19"/>
      <c r="G471" s="19"/>
      <c r="H471" s="19"/>
      <c r="I471" s="19"/>
      <c r="J471" s="19"/>
      <c r="K471" s="19"/>
      <c r="L471" s="19"/>
      <c r="M471" s="19"/>
      <c r="N471" s="19"/>
      <c r="O471" s="19"/>
      <c r="P471" s="20"/>
      <c r="Q471" s="20"/>
      <c r="R471" s="22"/>
      <c r="S471" s="22"/>
      <c r="T471" s="20"/>
      <c r="U471" s="20"/>
      <c r="V471" s="20"/>
      <c r="W471" s="19"/>
      <c r="X471" s="19"/>
      <c r="Y471" s="19"/>
      <c r="Z471" s="23"/>
    </row>
    <row r="472" spans="1:26" ht="15.75" customHeight="1" x14ac:dyDescent="0.2">
      <c r="A472" s="34"/>
      <c r="B472" s="34"/>
      <c r="C472" s="34"/>
      <c r="D472" s="34"/>
      <c r="E472" s="19"/>
      <c r="F472" s="19"/>
      <c r="G472" s="19"/>
      <c r="H472" s="19"/>
      <c r="I472" s="19"/>
      <c r="J472" s="19"/>
      <c r="K472" s="19"/>
      <c r="L472" s="19"/>
      <c r="M472" s="19"/>
      <c r="N472" s="19"/>
      <c r="O472" s="19"/>
      <c r="P472" s="20"/>
      <c r="Q472" s="20"/>
      <c r="R472" s="22"/>
      <c r="S472" s="22"/>
      <c r="T472" s="20"/>
      <c r="U472" s="20"/>
      <c r="V472" s="20"/>
      <c r="W472" s="19"/>
      <c r="X472" s="19"/>
      <c r="Y472" s="19"/>
      <c r="Z472" s="23"/>
    </row>
    <row r="473" spans="1:26" ht="15.75" customHeight="1" x14ac:dyDescent="0.2">
      <c r="A473" s="34"/>
      <c r="B473" s="34"/>
      <c r="C473" s="34"/>
      <c r="D473" s="34"/>
      <c r="E473" s="19"/>
      <c r="F473" s="19"/>
      <c r="G473" s="19"/>
      <c r="H473" s="19"/>
      <c r="I473" s="19"/>
      <c r="J473" s="19"/>
      <c r="K473" s="19"/>
      <c r="L473" s="19"/>
      <c r="M473" s="19"/>
      <c r="N473" s="19"/>
      <c r="O473" s="19"/>
      <c r="P473" s="20"/>
      <c r="Q473" s="20"/>
      <c r="R473" s="22"/>
      <c r="S473" s="22"/>
      <c r="T473" s="20"/>
      <c r="U473" s="20"/>
      <c r="V473" s="20"/>
      <c r="W473" s="19"/>
      <c r="X473" s="19"/>
      <c r="Y473" s="19"/>
      <c r="Z473" s="23"/>
    </row>
    <row r="474" spans="1:26" ht="15.75" customHeight="1" x14ac:dyDescent="0.2">
      <c r="A474" s="34"/>
      <c r="B474" s="34"/>
      <c r="C474" s="34"/>
      <c r="D474" s="34"/>
      <c r="E474" s="19"/>
      <c r="F474" s="19"/>
      <c r="G474" s="19"/>
      <c r="H474" s="19"/>
      <c r="I474" s="19"/>
      <c r="J474" s="19"/>
      <c r="K474" s="19"/>
      <c r="L474" s="19"/>
      <c r="M474" s="19"/>
      <c r="N474" s="19"/>
      <c r="O474" s="19"/>
      <c r="P474" s="20"/>
      <c r="Q474" s="20"/>
      <c r="R474" s="22"/>
      <c r="S474" s="22"/>
      <c r="T474" s="20"/>
      <c r="U474" s="20"/>
      <c r="V474" s="20"/>
      <c r="W474" s="19"/>
      <c r="X474" s="19"/>
      <c r="Y474" s="19"/>
      <c r="Z474" s="23"/>
    </row>
    <row r="475" spans="1:26" ht="15.75" customHeight="1" x14ac:dyDescent="0.2">
      <c r="A475" s="34"/>
      <c r="B475" s="34"/>
      <c r="C475" s="34"/>
      <c r="D475" s="34"/>
      <c r="E475" s="19"/>
      <c r="F475" s="19"/>
      <c r="G475" s="19"/>
      <c r="H475" s="19"/>
      <c r="I475" s="19"/>
      <c r="J475" s="19"/>
      <c r="K475" s="19"/>
      <c r="L475" s="19"/>
      <c r="M475" s="19"/>
      <c r="N475" s="19"/>
      <c r="O475" s="19"/>
      <c r="P475" s="20"/>
      <c r="Q475" s="20"/>
      <c r="R475" s="22"/>
      <c r="S475" s="22"/>
      <c r="T475" s="20"/>
      <c r="U475" s="20"/>
      <c r="V475" s="20"/>
      <c r="W475" s="19"/>
      <c r="X475" s="19"/>
      <c r="Y475" s="19"/>
      <c r="Z475" s="23"/>
    </row>
    <row r="476" spans="1:26" ht="15.75" customHeight="1" x14ac:dyDescent="0.2">
      <c r="A476" s="34"/>
      <c r="B476" s="34"/>
      <c r="C476" s="34"/>
      <c r="D476" s="34"/>
      <c r="E476" s="19"/>
      <c r="F476" s="19"/>
      <c r="G476" s="19"/>
      <c r="H476" s="19"/>
      <c r="I476" s="19"/>
      <c r="J476" s="19"/>
      <c r="K476" s="19"/>
      <c r="L476" s="19"/>
      <c r="M476" s="19"/>
      <c r="N476" s="19"/>
      <c r="O476" s="19"/>
      <c r="P476" s="20"/>
      <c r="Q476" s="20"/>
      <c r="R476" s="22"/>
      <c r="S476" s="22"/>
      <c r="T476" s="20"/>
      <c r="U476" s="20"/>
      <c r="V476" s="20"/>
      <c r="W476" s="19"/>
      <c r="X476" s="19"/>
      <c r="Y476" s="19"/>
      <c r="Z476" s="23"/>
    </row>
    <row r="477" spans="1:26" ht="15.75" customHeight="1" x14ac:dyDescent="0.2">
      <c r="A477" s="34"/>
      <c r="B477" s="34"/>
      <c r="C477" s="34"/>
      <c r="D477" s="34"/>
      <c r="E477" s="19"/>
      <c r="F477" s="19"/>
      <c r="G477" s="19"/>
      <c r="H477" s="19"/>
      <c r="I477" s="19"/>
      <c r="J477" s="19"/>
      <c r="K477" s="19"/>
      <c r="L477" s="19"/>
      <c r="M477" s="19"/>
      <c r="N477" s="19"/>
      <c r="O477" s="19"/>
      <c r="P477" s="20"/>
      <c r="Q477" s="20"/>
      <c r="R477" s="22"/>
      <c r="S477" s="22"/>
      <c r="T477" s="20"/>
      <c r="U477" s="20"/>
      <c r="V477" s="20"/>
      <c r="W477" s="19"/>
      <c r="X477" s="19"/>
      <c r="Y477" s="19"/>
      <c r="Z477" s="23"/>
    </row>
    <row r="478" spans="1:26" ht="15.75" customHeight="1" x14ac:dyDescent="0.2">
      <c r="A478" s="34"/>
      <c r="B478" s="34"/>
      <c r="C478" s="34"/>
      <c r="D478" s="34"/>
      <c r="E478" s="19"/>
      <c r="F478" s="19"/>
      <c r="G478" s="19"/>
      <c r="H478" s="19"/>
      <c r="I478" s="19"/>
      <c r="J478" s="19"/>
      <c r="K478" s="19"/>
      <c r="L478" s="19"/>
      <c r="M478" s="19"/>
      <c r="N478" s="19"/>
      <c r="O478" s="19"/>
      <c r="P478" s="20"/>
      <c r="Q478" s="20"/>
      <c r="R478" s="22"/>
      <c r="S478" s="22"/>
      <c r="T478" s="20"/>
      <c r="U478" s="20"/>
      <c r="V478" s="20"/>
      <c r="W478" s="19"/>
      <c r="X478" s="19"/>
      <c r="Y478" s="19"/>
      <c r="Z478" s="23"/>
    </row>
    <row r="479" spans="1:26" ht="15.75" customHeight="1" x14ac:dyDescent="0.2">
      <c r="A479" s="34"/>
      <c r="B479" s="34"/>
      <c r="C479" s="34"/>
      <c r="D479" s="34"/>
      <c r="E479" s="19"/>
      <c r="F479" s="19"/>
      <c r="G479" s="19"/>
      <c r="H479" s="19"/>
      <c r="I479" s="19"/>
      <c r="J479" s="19"/>
      <c r="K479" s="19"/>
      <c r="L479" s="19"/>
      <c r="M479" s="19"/>
      <c r="N479" s="19"/>
      <c r="O479" s="19"/>
      <c r="P479" s="20"/>
      <c r="Q479" s="20"/>
      <c r="R479" s="22"/>
      <c r="S479" s="22"/>
      <c r="T479" s="20"/>
      <c r="U479" s="20"/>
      <c r="V479" s="20"/>
      <c r="W479" s="19"/>
      <c r="X479" s="19"/>
      <c r="Y479" s="19"/>
      <c r="Z479" s="23"/>
    </row>
    <row r="480" spans="1:26" ht="15.75" customHeight="1" x14ac:dyDescent="0.2">
      <c r="A480" s="34"/>
      <c r="B480" s="34"/>
      <c r="C480" s="34"/>
      <c r="D480" s="34"/>
      <c r="E480" s="19"/>
      <c r="F480" s="19"/>
      <c r="G480" s="19"/>
      <c r="H480" s="19"/>
      <c r="I480" s="19"/>
      <c r="J480" s="19"/>
      <c r="K480" s="19"/>
      <c r="L480" s="19"/>
      <c r="M480" s="19"/>
      <c r="N480" s="19"/>
      <c r="O480" s="19"/>
      <c r="P480" s="20"/>
      <c r="Q480" s="20"/>
      <c r="R480" s="22"/>
      <c r="S480" s="22"/>
      <c r="T480" s="20"/>
      <c r="U480" s="20"/>
      <c r="V480" s="20"/>
      <c r="W480" s="19"/>
      <c r="X480" s="19"/>
      <c r="Y480" s="19"/>
      <c r="Z480" s="23"/>
    </row>
    <row r="481" spans="1:26" ht="15.75" customHeight="1" x14ac:dyDescent="0.2">
      <c r="A481" s="34"/>
      <c r="B481" s="34"/>
      <c r="C481" s="34"/>
      <c r="D481" s="34"/>
      <c r="E481" s="19"/>
      <c r="F481" s="19"/>
      <c r="G481" s="19"/>
      <c r="H481" s="19"/>
      <c r="I481" s="19"/>
      <c r="J481" s="19"/>
      <c r="K481" s="19"/>
      <c r="L481" s="19"/>
      <c r="M481" s="19"/>
      <c r="N481" s="19"/>
      <c r="O481" s="19"/>
      <c r="P481" s="20"/>
      <c r="Q481" s="20"/>
      <c r="R481" s="22"/>
      <c r="S481" s="22"/>
      <c r="T481" s="20"/>
      <c r="U481" s="20"/>
      <c r="V481" s="20"/>
      <c r="W481" s="19"/>
      <c r="X481" s="19"/>
      <c r="Y481" s="19"/>
      <c r="Z481" s="23"/>
    </row>
    <row r="482" spans="1:26" ht="15.75" customHeight="1" x14ac:dyDescent="0.2">
      <c r="A482" s="34"/>
      <c r="B482" s="34"/>
      <c r="C482" s="34"/>
      <c r="D482" s="34"/>
      <c r="E482" s="19"/>
      <c r="F482" s="19"/>
      <c r="G482" s="19"/>
      <c r="H482" s="19"/>
      <c r="I482" s="19"/>
      <c r="J482" s="19"/>
      <c r="K482" s="19"/>
      <c r="L482" s="19"/>
      <c r="M482" s="19"/>
      <c r="N482" s="19"/>
      <c r="O482" s="19"/>
      <c r="P482" s="20"/>
      <c r="Q482" s="20"/>
      <c r="R482" s="22"/>
      <c r="S482" s="22"/>
      <c r="T482" s="20"/>
      <c r="U482" s="20"/>
      <c r="V482" s="20"/>
      <c r="W482" s="19"/>
      <c r="X482" s="19"/>
      <c r="Y482" s="19"/>
      <c r="Z482" s="23"/>
    </row>
    <row r="483" spans="1:26" ht="15.75" customHeight="1" x14ac:dyDescent="0.2">
      <c r="A483" s="34"/>
      <c r="B483" s="34"/>
      <c r="C483" s="34"/>
      <c r="D483" s="34"/>
      <c r="E483" s="19"/>
      <c r="F483" s="19"/>
      <c r="G483" s="19"/>
      <c r="H483" s="19"/>
      <c r="I483" s="19"/>
      <c r="J483" s="19"/>
      <c r="K483" s="19"/>
      <c r="L483" s="19"/>
      <c r="M483" s="19"/>
      <c r="N483" s="19"/>
      <c r="O483" s="19"/>
      <c r="P483" s="20"/>
      <c r="Q483" s="20"/>
      <c r="R483" s="22"/>
      <c r="S483" s="22"/>
      <c r="T483" s="20"/>
      <c r="U483" s="20"/>
      <c r="V483" s="20"/>
      <c r="W483" s="19"/>
      <c r="X483" s="19"/>
      <c r="Y483" s="19"/>
      <c r="Z483" s="23"/>
    </row>
    <row r="484" spans="1:26" ht="15.75" customHeight="1" x14ac:dyDescent="0.2">
      <c r="A484" s="34"/>
      <c r="B484" s="34"/>
      <c r="C484" s="34"/>
      <c r="D484" s="34"/>
      <c r="E484" s="19"/>
      <c r="F484" s="19"/>
      <c r="G484" s="19"/>
      <c r="H484" s="19"/>
      <c r="I484" s="19"/>
      <c r="J484" s="19"/>
      <c r="K484" s="19"/>
      <c r="L484" s="19"/>
      <c r="M484" s="19"/>
      <c r="N484" s="19"/>
      <c r="O484" s="19"/>
      <c r="P484" s="20"/>
      <c r="Q484" s="20"/>
      <c r="R484" s="22"/>
      <c r="S484" s="22"/>
      <c r="T484" s="20"/>
      <c r="U484" s="20"/>
      <c r="V484" s="20"/>
      <c r="W484" s="19"/>
      <c r="X484" s="19"/>
      <c r="Y484" s="19"/>
      <c r="Z484" s="23"/>
    </row>
    <row r="485" spans="1:26" ht="15.75" customHeight="1" x14ac:dyDescent="0.2">
      <c r="A485" s="34"/>
      <c r="B485" s="34"/>
      <c r="C485" s="34"/>
      <c r="D485" s="34"/>
      <c r="E485" s="19"/>
      <c r="F485" s="19"/>
      <c r="G485" s="19"/>
      <c r="H485" s="19"/>
      <c r="I485" s="19"/>
      <c r="J485" s="19"/>
      <c r="K485" s="19"/>
      <c r="L485" s="19"/>
      <c r="M485" s="19"/>
      <c r="N485" s="19"/>
      <c r="O485" s="19"/>
      <c r="P485" s="20"/>
      <c r="Q485" s="20"/>
      <c r="R485" s="22"/>
      <c r="S485" s="22"/>
      <c r="T485" s="20"/>
      <c r="U485" s="20"/>
      <c r="V485" s="20"/>
      <c r="W485" s="19"/>
      <c r="X485" s="19"/>
      <c r="Y485" s="19"/>
      <c r="Z485" s="23"/>
    </row>
    <row r="486" spans="1:26" ht="15.75" customHeight="1" x14ac:dyDescent="0.2">
      <c r="A486" s="34"/>
      <c r="B486" s="34"/>
      <c r="C486" s="34"/>
      <c r="D486" s="34"/>
      <c r="E486" s="19"/>
      <c r="F486" s="19"/>
      <c r="G486" s="19"/>
      <c r="H486" s="19"/>
      <c r="I486" s="19"/>
      <c r="J486" s="19"/>
      <c r="K486" s="19"/>
      <c r="L486" s="19"/>
      <c r="M486" s="19"/>
      <c r="N486" s="19"/>
      <c r="O486" s="19"/>
      <c r="P486" s="20"/>
      <c r="Q486" s="20"/>
      <c r="R486" s="22"/>
      <c r="S486" s="22"/>
      <c r="T486" s="20"/>
      <c r="U486" s="20"/>
      <c r="V486" s="20"/>
      <c r="W486" s="19"/>
      <c r="X486" s="19"/>
      <c r="Y486" s="19"/>
      <c r="Z486" s="23"/>
    </row>
    <row r="487" spans="1:26" ht="15.75" customHeight="1" x14ac:dyDescent="0.2">
      <c r="A487" s="34"/>
      <c r="B487" s="34"/>
      <c r="C487" s="34"/>
      <c r="D487" s="34"/>
      <c r="E487" s="19"/>
      <c r="F487" s="19"/>
      <c r="G487" s="19"/>
      <c r="H487" s="19"/>
      <c r="I487" s="19"/>
      <c r="J487" s="19"/>
      <c r="K487" s="19"/>
      <c r="L487" s="19"/>
      <c r="M487" s="19"/>
      <c r="N487" s="19"/>
      <c r="O487" s="19"/>
      <c r="P487" s="20"/>
      <c r="Q487" s="20"/>
      <c r="R487" s="22"/>
      <c r="S487" s="22"/>
      <c r="T487" s="20"/>
      <c r="U487" s="20"/>
      <c r="V487" s="20"/>
      <c r="W487" s="19"/>
      <c r="X487" s="19"/>
      <c r="Y487" s="19"/>
      <c r="Z487" s="23"/>
    </row>
    <row r="488" spans="1:26" ht="15.75" customHeight="1" x14ac:dyDescent="0.2">
      <c r="A488" s="34"/>
      <c r="B488" s="34"/>
      <c r="C488" s="34"/>
      <c r="D488" s="34"/>
      <c r="E488" s="19"/>
      <c r="F488" s="19"/>
      <c r="G488" s="19"/>
      <c r="H488" s="19"/>
      <c r="I488" s="19"/>
      <c r="J488" s="19"/>
      <c r="K488" s="19"/>
      <c r="L488" s="19"/>
      <c r="M488" s="19"/>
      <c r="N488" s="19"/>
      <c r="O488" s="19"/>
      <c r="P488" s="20"/>
      <c r="Q488" s="20"/>
      <c r="R488" s="22"/>
      <c r="S488" s="22"/>
      <c r="T488" s="20"/>
      <c r="U488" s="20"/>
      <c r="V488" s="20"/>
      <c r="W488" s="19"/>
      <c r="X488" s="19"/>
      <c r="Y488" s="19"/>
      <c r="Z488" s="23"/>
    </row>
    <row r="489" spans="1:26" ht="15.75" customHeight="1" x14ac:dyDescent="0.2">
      <c r="A489" s="34"/>
      <c r="B489" s="34"/>
      <c r="C489" s="34"/>
      <c r="D489" s="34"/>
      <c r="E489" s="19"/>
      <c r="F489" s="19"/>
      <c r="G489" s="19"/>
      <c r="H489" s="19"/>
      <c r="I489" s="19"/>
      <c r="J489" s="19"/>
      <c r="K489" s="19"/>
      <c r="L489" s="19"/>
      <c r="M489" s="19"/>
      <c r="N489" s="19"/>
      <c r="O489" s="19"/>
      <c r="P489" s="20"/>
      <c r="Q489" s="20"/>
      <c r="R489" s="22"/>
      <c r="S489" s="22"/>
      <c r="T489" s="20"/>
      <c r="U489" s="20"/>
      <c r="V489" s="20"/>
      <c r="W489" s="19"/>
      <c r="X489" s="19"/>
      <c r="Y489" s="19"/>
      <c r="Z489" s="23"/>
    </row>
    <row r="490" spans="1:26" ht="15.75" customHeight="1" x14ac:dyDescent="0.2">
      <c r="A490" s="34"/>
      <c r="B490" s="34"/>
      <c r="C490" s="34"/>
      <c r="D490" s="34"/>
      <c r="E490" s="19"/>
      <c r="F490" s="19"/>
      <c r="G490" s="19"/>
      <c r="H490" s="19"/>
      <c r="I490" s="19"/>
      <c r="J490" s="19"/>
      <c r="K490" s="19"/>
      <c r="L490" s="19"/>
      <c r="M490" s="19"/>
      <c r="N490" s="19"/>
      <c r="O490" s="19"/>
      <c r="P490" s="20"/>
      <c r="Q490" s="20"/>
      <c r="R490" s="22"/>
      <c r="S490" s="22"/>
      <c r="T490" s="20"/>
      <c r="U490" s="20"/>
      <c r="V490" s="20"/>
      <c r="W490" s="19"/>
      <c r="X490" s="19"/>
      <c r="Y490" s="19"/>
      <c r="Z490" s="23"/>
    </row>
    <row r="491" spans="1:26" ht="15.75" customHeight="1" x14ac:dyDescent="0.2">
      <c r="A491" s="34"/>
      <c r="B491" s="34"/>
      <c r="C491" s="34"/>
      <c r="D491" s="34"/>
      <c r="E491" s="19"/>
      <c r="F491" s="19"/>
      <c r="G491" s="19"/>
      <c r="H491" s="19"/>
      <c r="I491" s="19"/>
      <c r="J491" s="19"/>
      <c r="K491" s="19"/>
      <c r="L491" s="19"/>
      <c r="M491" s="19"/>
      <c r="N491" s="19"/>
      <c r="O491" s="19"/>
      <c r="P491" s="20"/>
      <c r="Q491" s="20"/>
      <c r="R491" s="22"/>
      <c r="S491" s="22"/>
      <c r="T491" s="20"/>
      <c r="U491" s="20"/>
      <c r="V491" s="20"/>
      <c r="W491" s="19"/>
      <c r="X491" s="19"/>
      <c r="Y491" s="19"/>
      <c r="Z491" s="23"/>
    </row>
    <row r="492" spans="1:26" ht="15.75" customHeight="1" x14ac:dyDescent="0.2">
      <c r="A492" s="34"/>
      <c r="B492" s="34"/>
      <c r="C492" s="34"/>
      <c r="D492" s="34"/>
      <c r="E492" s="19"/>
      <c r="F492" s="19"/>
      <c r="G492" s="19"/>
      <c r="H492" s="19"/>
      <c r="I492" s="19"/>
      <c r="J492" s="19"/>
      <c r="K492" s="19"/>
      <c r="L492" s="19"/>
      <c r="M492" s="19"/>
      <c r="N492" s="19"/>
      <c r="O492" s="19"/>
      <c r="P492" s="20"/>
      <c r="Q492" s="20"/>
      <c r="R492" s="22"/>
      <c r="S492" s="22"/>
      <c r="T492" s="20"/>
      <c r="U492" s="20"/>
      <c r="V492" s="20"/>
      <c r="W492" s="19"/>
      <c r="X492" s="19"/>
      <c r="Y492" s="19"/>
      <c r="Z492" s="23"/>
    </row>
    <row r="493" spans="1:26" ht="15.75" customHeight="1" x14ac:dyDescent="0.2">
      <c r="A493" s="34"/>
      <c r="B493" s="34"/>
      <c r="C493" s="34"/>
      <c r="D493" s="34"/>
      <c r="E493" s="19"/>
      <c r="F493" s="19"/>
      <c r="G493" s="19"/>
      <c r="H493" s="19"/>
      <c r="I493" s="19"/>
      <c r="J493" s="19"/>
      <c r="K493" s="19"/>
      <c r="L493" s="19"/>
      <c r="M493" s="19"/>
      <c r="N493" s="19"/>
      <c r="O493" s="19"/>
      <c r="P493" s="20"/>
      <c r="Q493" s="20"/>
      <c r="R493" s="22"/>
      <c r="S493" s="22"/>
      <c r="T493" s="20"/>
      <c r="U493" s="20"/>
      <c r="V493" s="20"/>
      <c r="W493" s="19"/>
      <c r="X493" s="19"/>
      <c r="Y493" s="19"/>
      <c r="Z493" s="23"/>
    </row>
    <row r="494" spans="1:26" ht="15.75" customHeight="1" x14ac:dyDescent="0.2">
      <c r="A494" s="34"/>
      <c r="B494" s="34"/>
      <c r="C494" s="34"/>
      <c r="D494" s="34"/>
      <c r="E494" s="19"/>
      <c r="F494" s="19"/>
      <c r="G494" s="19"/>
      <c r="H494" s="19"/>
      <c r="I494" s="19"/>
      <c r="J494" s="19"/>
      <c r="K494" s="19"/>
      <c r="L494" s="19"/>
      <c r="M494" s="19"/>
      <c r="N494" s="19"/>
      <c r="O494" s="19"/>
      <c r="P494" s="20"/>
      <c r="Q494" s="20"/>
      <c r="R494" s="22"/>
      <c r="S494" s="22"/>
      <c r="T494" s="20"/>
      <c r="U494" s="20"/>
      <c r="V494" s="20"/>
      <c r="W494" s="19"/>
      <c r="X494" s="19"/>
      <c r="Y494" s="19"/>
      <c r="Z494" s="23"/>
    </row>
    <row r="495" spans="1:26" ht="15.75" customHeight="1" x14ac:dyDescent="0.2">
      <c r="A495" s="34"/>
      <c r="B495" s="34"/>
      <c r="C495" s="34"/>
      <c r="D495" s="34"/>
      <c r="E495" s="19"/>
      <c r="F495" s="19"/>
      <c r="G495" s="19"/>
      <c r="H495" s="19"/>
      <c r="I495" s="19"/>
      <c r="J495" s="19"/>
      <c r="K495" s="19"/>
      <c r="L495" s="19"/>
      <c r="M495" s="19"/>
      <c r="N495" s="19"/>
      <c r="O495" s="19"/>
      <c r="P495" s="20"/>
      <c r="Q495" s="20"/>
      <c r="R495" s="22"/>
      <c r="S495" s="22"/>
      <c r="T495" s="20"/>
      <c r="U495" s="20"/>
      <c r="V495" s="20"/>
      <c r="W495" s="19"/>
      <c r="X495" s="19"/>
      <c r="Y495" s="19"/>
      <c r="Z495" s="23"/>
    </row>
    <row r="496" spans="1:26" ht="15.75" customHeight="1" x14ac:dyDescent="0.2">
      <c r="A496" s="34"/>
      <c r="B496" s="34"/>
      <c r="C496" s="34"/>
      <c r="D496" s="34"/>
      <c r="E496" s="19"/>
      <c r="F496" s="19"/>
      <c r="G496" s="19"/>
      <c r="H496" s="19"/>
      <c r="I496" s="19"/>
      <c r="J496" s="19"/>
      <c r="K496" s="19"/>
      <c r="L496" s="19"/>
      <c r="M496" s="19"/>
      <c r="N496" s="19"/>
      <c r="O496" s="19"/>
      <c r="P496" s="20"/>
      <c r="Q496" s="20"/>
      <c r="R496" s="22"/>
      <c r="S496" s="22"/>
      <c r="T496" s="20"/>
      <c r="U496" s="20"/>
      <c r="V496" s="20"/>
      <c r="W496" s="19"/>
      <c r="X496" s="19"/>
      <c r="Y496" s="19"/>
      <c r="Z496" s="23"/>
    </row>
    <row r="497" spans="1:26" ht="15.75" customHeight="1" x14ac:dyDescent="0.2">
      <c r="A497" s="34"/>
      <c r="B497" s="34"/>
      <c r="C497" s="34"/>
      <c r="D497" s="34"/>
      <c r="E497" s="19"/>
      <c r="F497" s="19"/>
      <c r="G497" s="19"/>
      <c r="H497" s="19"/>
      <c r="I497" s="19"/>
      <c r="J497" s="19"/>
      <c r="K497" s="19"/>
      <c r="L497" s="19"/>
      <c r="M497" s="19"/>
      <c r="N497" s="19"/>
      <c r="O497" s="19"/>
      <c r="P497" s="20"/>
      <c r="Q497" s="20"/>
      <c r="R497" s="22"/>
      <c r="S497" s="22"/>
      <c r="T497" s="20"/>
      <c r="U497" s="20"/>
      <c r="V497" s="20"/>
      <c r="W497" s="19"/>
      <c r="X497" s="19"/>
      <c r="Y497" s="19"/>
      <c r="Z497" s="23"/>
    </row>
    <row r="498" spans="1:26" ht="15.75" customHeight="1" x14ac:dyDescent="0.2">
      <c r="A498" s="34"/>
      <c r="B498" s="34"/>
      <c r="C498" s="34"/>
      <c r="D498" s="34"/>
      <c r="E498" s="19"/>
      <c r="F498" s="19"/>
      <c r="G498" s="19"/>
      <c r="H498" s="19"/>
      <c r="I498" s="19"/>
      <c r="J498" s="19"/>
      <c r="K498" s="19"/>
      <c r="L498" s="19"/>
      <c r="M498" s="19"/>
      <c r="N498" s="19"/>
      <c r="O498" s="19"/>
      <c r="P498" s="20"/>
      <c r="Q498" s="20"/>
      <c r="R498" s="22"/>
      <c r="S498" s="22"/>
      <c r="T498" s="20"/>
      <c r="U498" s="20"/>
      <c r="V498" s="20"/>
      <c r="W498" s="19"/>
      <c r="X498" s="19"/>
      <c r="Y498" s="19"/>
      <c r="Z498" s="23"/>
    </row>
    <row r="499" spans="1:26" ht="15.75" customHeight="1" x14ac:dyDescent="0.2">
      <c r="A499" s="34"/>
      <c r="B499" s="34"/>
      <c r="C499" s="34"/>
      <c r="D499" s="34"/>
      <c r="E499" s="19"/>
      <c r="F499" s="19"/>
      <c r="G499" s="19"/>
      <c r="H499" s="19"/>
      <c r="I499" s="19"/>
      <c r="J499" s="19"/>
      <c r="K499" s="19"/>
      <c r="L499" s="19"/>
      <c r="M499" s="19"/>
      <c r="N499" s="19"/>
      <c r="O499" s="19"/>
      <c r="P499" s="20"/>
      <c r="Q499" s="20"/>
      <c r="R499" s="22"/>
      <c r="S499" s="22"/>
      <c r="T499" s="20"/>
      <c r="U499" s="20"/>
      <c r="V499" s="20"/>
      <c r="W499" s="19"/>
      <c r="X499" s="19"/>
      <c r="Y499" s="19"/>
      <c r="Z499" s="23"/>
    </row>
    <row r="500" spans="1:26" ht="15.75" customHeight="1" x14ac:dyDescent="0.2">
      <c r="A500" s="34"/>
      <c r="B500" s="34"/>
      <c r="C500" s="34"/>
      <c r="D500" s="34"/>
      <c r="E500" s="19"/>
      <c r="F500" s="19"/>
      <c r="G500" s="19"/>
      <c r="H500" s="19"/>
      <c r="I500" s="19"/>
      <c r="J500" s="19"/>
      <c r="K500" s="19"/>
      <c r="L500" s="19"/>
      <c r="M500" s="19"/>
      <c r="N500" s="19"/>
      <c r="O500" s="19"/>
      <c r="P500" s="20"/>
      <c r="Q500" s="20"/>
      <c r="R500" s="22"/>
      <c r="S500" s="22"/>
      <c r="T500" s="20"/>
      <c r="U500" s="20"/>
      <c r="V500" s="20"/>
      <c r="W500" s="19"/>
      <c r="X500" s="19"/>
      <c r="Y500" s="19"/>
      <c r="Z500" s="23"/>
    </row>
    <row r="501" spans="1:26" ht="15.75" customHeight="1" x14ac:dyDescent="0.2">
      <c r="A501" s="34"/>
      <c r="B501" s="34"/>
      <c r="C501" s="34"/>
      <c r="D501" s="34"/>
      <c r="E501" s="19"/>
      <c r="F501" s="19"/>
      <c r="G501" s="19"/>
      <c r="H501" s="19"/>
      <c r="I501" s="19"/>
      <c r="J501" s="19"/>
      <c r="K501" s="19"/>
      <c r="L501" s="19"/>
      <c r="M501" s="19"/>
      <c r="N501" s="19"/>
      <c r="O501" s="19"/>
      <c r="P501" s="20"/>
      <c r="Q501" s="20"/>
      <c r="R501" s="22"/>
      <c r="S501" s="22"/>
      <c r="T501" s="20"/>
      <c r="U501" s="20"/>
      <c r="V501" s="20"/>
      <c r="W501" s="19"/>
      <c r="X501" s="19"/>
      <c r="Y501" s="19"/>
      <c r="Z501" s="23"/>
    </row>
    <row r="502" spans="1:26" ht="15.75" customHeight="1" x14ac:dyDescent="0.2">
      <c r="A502" s="34"/>
      <c r="B502" s="34"/>
      <c r="C502" s="34"/>
      <c r="D502" s="34"/>
      <c r="E502" s="19"/>
      <c r="F502" s="19"/>
      <c r="G502" s="19"/>
      <c r="H502" s="19"/>
      <c r="I502" s="19"/>
      <c r="J502" s="19"/>
      <c r="K502" s="19"/>
      <c r="L502" s="19"/>
      <c r="M502" s="19"/>
      <c r="N502" s="19"/>
      <c r="O502" s="19"/>
      <c r="P502" s="20"/>
      <c r="Q502" s="20"/>
      <c r="R502" s="22"/>
      <c r="S502" s="22"/>
      <c r="T502" s="20"/>
      <c r="U502" s="20"/>
      <c r="V502" s="20"/>
      <c r="W502" s="19"/>
      <c r="X502" s="19"/>
      <c r="Y502" s="19"/>
      <c r="Z502" s="23"/>
    </row>
    <row r="503" spans="1:26" ht="15.75" customHeight="1" x14ac:dyDescent="0.2">
      <c r="A503" s="34"/>
      <c r="B503" s="34"/>
      <c r="C503" s="34"/>
      <c r="D503" s="34"/>
      <c r="E503" s="19"/>
      <c r="F503" s="19"/>
      <c r="G503" s="19"/>
      <c r="H503" s="19"/>
      <c r="I503" s="19"/>
      <c r="J503" s="19"/>
      <c r="K503" s="19"/>
      <c r="L503" s="19"/>
      <c r="M503" s="19"/>
      <c r="N503" s="19"/>
      <c r="O503" s="19"/>
      <c r="P503" s="20"/>
      <c r="Q503" s="20"/>
      <c r="R503" s="22"/>
      <c r="S503" s="22"/>
      <c r="T503" s="20"/>
      <c r="U503" s="20"/>
      <c r="V503" s="20"/>
      <c r="W503" s="19"/>
      <c r="X503" s="19"/>
      <c r="Y503" s="19"/>
      <c r="Z503" s="23"/>
    </row>
    <row r="504" spans="1:26" ht="15.75" customHeight="1" x14ac:dyDescent="0.2">
      <c r="A504" s="34"/>
      <c r="B504" s="34"/>
      <c r="C504" s="34"/>
      <c r="D504" s="34"/>
      <c r="E504" s="19"/>
      <c r="F504" s="19"/>
      <c r="G504" s="19"/>
      <c r="H504" s="19"/>
      <c r="I504" s="19"/>
      <c r="J504" s="19"/>
      <c r="K504" s="19"/>
      <c r="L504" s="19"/>
      <c r="M504" s="19"/>
      <c r="N504" s="19"/>
      <c r="O504" s="19"/>
      <c r="P504" s="20"/>
      <c r="Q504" s="20"/>
      <c r="R504" s="22"/>
      <c r="S504" s="22"/>
      <c r="T504" s="20"/>
      <c r="U504" s="20"/>
      <c r="V504" s="20"/>
      <c r="W504" s="19"/>
      <c r="X504" s="19"/>
      <c r="Y504" s="19"/>
      <c r="Z504" s="23"/>
    </row>
    <row r="505" spans="1:26" ht="15.75" customHeight="1" x14ac:dyDescent="0.2">
      <c r="A505" s="34"/>
      <c r="B505" s="34"/>
      <c r="C505" s="34"/>
      <c r="D505" s="34"/>
      <c r="E505" s="19"/>
      <c r="F505" s="19"/>
      <c r="G505" s="19"/>
      <c r="H505" s="19"/>
      <c r="I505" s="19"/>
      <c r="J505" s="19"/>
      <c r="K505" s="19"/>
      <c r="L505" s="19"/>
      <c r="M505" s="19"/>
      <c r="N505" s="19"/>
      <c r="O505" s="19"/>
      <c r="P505" s="20"/>
      <c r="Q505" s="20"/>
      <c r="R505" s="22"/>
      <c r="S505" s="22"/>
      <c r="T505" s="20"/>
      <c r="U505" s="20"/>
      <c r="V505" s="20"/>
      <c r="W505" s="19"/>
      <c r="X505" s="19"/>
      <c r="Y505" s="19"/>
      <c r="Z505" s="23"/>
    </row>
    <row r="506" spans="1:26" ht="15.75" customHeight="1" x14ac:dyDescent="0.2">
      <c r="A506" s="34"/>
      <c r="B506" s="34"/>
      <c r="C506" s="34"/>
      <c r="D506" s="34"/>
      <c r="E506" s="19"/>
      <c r="F506" s="19"/>
      <c r="G506" s="19"/>
      <c r="H506" s="19"/>
      <c r="I506" s="19"/>
      <c r="J506" s="19"/>
      <c r="K506" s="19"/>
      <c r="L506" s="19"/>
      <c r="M506" s="19"/>
      <c r="N506" s="19"/>
      <c r="O506" s="19"/>
      <c r="P506" s="20"/>
      <c r="Q506" s="20"/>
      <c r="R506" s="22"/>
      <c r="S506" s="22"/>
      <c r="T506" s="20"/>
      <c r="U506" s="20"/>
      <c r="V506" s="20"/>
      <c r="W506" s="19"/>
      <c r="X506" s="19"/>
      <c r="Y506" s="19"/>
      <c r="Z506" s="23"/>
    </row>
    <row r="507" spans="1:26" ht="15.75" customHeight="1" x14ac:dyDescent="0.2">
      <c r="A507" s="34"/>
      <c r="B507" s="34"/>
      <c r="C507" s="34"/>
      <c r="D507" s="34"/>
      <c r="E507" s="19"/>
      <c r="F507" s="19"/>
      <c r="G507" s="19"/>
      <c r="H507" s="19"/>
      <c r="I507" s="19"/>
      <c r="J507" s="19"/>
      <c r="K507" s="19"/>
      <c r="L507" s="19"/>
      <c r="M507" s="19"/>
      <c r="N507" s="19"/>
      <c r="O507" s="19"/>
      <c r="P507" s="20"/>
      <c r="Q507" s="20"/>
      <c r="R507" s="22"/>
      <c r="S507" s="22"/>
      <c r="T507" s="20"/>
      <c r="U507" s="20"/>
      <c r="V507" s="20"/>
      <c r="W507" s="19"/>
      <c r="X507" s="19"/>
      <c r="Y507" s="19"/>
      <c r="Z507" s="23"/>
    </row>
    <row r="508" spans="1:26" ht="15.75" customHeight="1" x14ac:dyDescent="0.2">
      <c r="A508" s="34"/>
      <c r="B508" s="34"/>
      <c r="C508" s="34"/>
      <c r="D508" s="34"/>
      <c r="E508" s="19"/>
      <c r="F508" s="19"/>
      <c r="G508" s="19"/>
      <c r="H508" s="19"/>
      <c r="I508" s="19"/>
      <c r="J508" s="19"/>
      <c r="K508" s="19"/>
      <c r="L508" s="19"/>
      <c r="M508" s="19"/>
      <c r="N508" s="19"/>
      <c r="O508" s="19"/>
      <c r="P508" s="20"/>
      <c r="Q508" s="20"/>
      <c r="R508" s="22"/>
      <c r="S508" s="22"/>
      <c r="T508" s="20"/>
      <c r="U508" s="20"/>
      <c r="V508" s="20"/>
      <c r="W508" s="19"/>
      <c r="X508" s="19"/>
      <c r="Y508" s="19"/>
      <c r="Z508" s="23"/>
    </row>
    <row r="509" spans="1:26" ht="15.75" customHeight="1" x14ac:dyDescent="0.2">
      <c r="A509" s="34"/>
      <c r="B509" s="34"/>
      <c r="C509" s="34"/>
      <c r="D509" s="34"/>
      <c r="E509" s="19"/>
      <c r="F509" s="19"/>
      <c r="G509" s="19"/>
      <c r="H509" s="19"/>
      <c r="I509" s="19"/>
      <c r="J509" s="19"/>
      <c r="K509" s="19"/>
      <c r="L509" s="19"/>
      <c r="M509" s="19"/>
      <c r="N509" s="19"/>
      <c r="O509" s="19"/>
      <c r="P509" s="20"/>
      <c r="Q509" s="20"/>
      <c r="R509" s="22"/>
      <c r="S509" s="22"/>
      <c r="T509" s="20"/>
      <c r="U509" s="20"/>
      <c r="V509" s="20"/>
      <c r="W509" s="19"/>
      <c r="X509" s="19"/>
      <c r="Y509" s="19"/>
      <c r="Z509" s="23"/>
    </row>
    <row r="510" spans="1:26" ht="15.75" customHeight="1" x14ac:dyDescent="0.2">
      <c r="A510" s="34"/>
      <c r="B510" s="34"/>
      <c r="C510" s="34"/>
      <c r="D510" s="34"/>
      <c r="E510" s="19"/>
      <c r="F510" s="19"/>
      <c r="G510" s="19"/>
      <c r="H510" s="19"/>
      <c r="I510" s="19"/>
      <c r="J510" s="19"/>
      <c r="K510" s="19"/>
      <c r="L510" s="19"/>
      <c r="M510" s="19"/>
      <c r="N510" s="19"/>
      <c r="O510" s="19"/>
      <c r="P510" s="20"/>
      <c r="Q510" s="20"/>
      <c r="R510" s="22"/>
      <c r="S510" s="22"/>
      <c r="T510" s="20"/>
      <c r="U510" s="20"/>
      <c r="V510" s="20"/>
      <c r="W510" s="19"/>
      <c r="X510" s="19"/>
      <c r="Y510" s="19"/>
      <c r="Z510" s="23"/>
    </row>
    <row r="511" spans="1:26" ht="15.75" customHeight="1" x14ac:dyDescent="0.2">
      <c r="A511" s="34"/>
      <c r="B511" s="34"/>
      <c r="C511" s="34"/>
      <c r="D511" s="34"/>
      <c r="E511" s="19"/>
      <c r="F511" s="19"/>
      <c r="G511" s="19"/>
      <c r="H511" s="19"/>
      <c r="I511" s="19"/>
      <c r="J511" s="19"/>
      <c r="K511" s="19"/>
      <c r="L511" s="19"/>
      <c r="M511" s="19"/>
      <c r="N511" s="19"/>
      <c r="O511" s="19"/>
      <c r="P511" s="20"/>
      <c r="Q511" s="20"/>
      <c r="R511" s="22"/>
      <c r="S511" s="22"/>
      <c r="T511" s="20"/>
      <c r="U511" s="20"/>
      <c r="V511" s="20"/>
      <c r="W511" s="19"/>
      <c r="X511" s="19"/>
      <c r="Y511" s="19"/>
      <c r="Z511" s="23"/>
    </row>
    <row r="512" spans="1:26" ht="15.75" customHeight="1" x14ac:dyDescent="0.2">
      <c r="A512" s="34"/>
      <c r="B512" s="34"/>
      <c r="C512" s="34"/>
      <c r="D512" s="34"/>
      <c r="E512" s="19"/>
      <c r="F512" s="19"/>
      <c r="G512" s="19"/>
      <c r="H512" s="19"/>
      <c r="I512" s="19"/>
      <c r="J512" s="19"/>
      <c r="K512" s="19"/>
      <c r="L512" s="19"/>
      <c r="M512" s="19"/>
      <c r="N512" s="19"/>
      <c r="O512" s="19"/>
      <c r="P512" s="20"/>
      <c r="Q512" s="20"/>
      <c r="R512" s="22"/>
      <c r="S512" s="22"/>
      <c r="T512" s="20"/>
      <c r="U512" s="20"/>
      <c r="V512" s="20"/>
      <c r="W512" s="19"/>
      <c r="X512" s="19"/>
      <c r="Y512" s="19"/>
      <c r="Z512" s="23"/>
    </row>
    <row r="513" spans="1:26" ht="15.75" customHeight="1" x14ac:dyDescent="0.2">
      <c r="A513" s="34"/>
      <c r="B513" s="34"/>
      <c r="C513" s="34"/>
      <c r="D513" s="34"/>
      <c r="E513" s="19"/>
      <c r="F513" s="19"/>
      <c r="G513" s="19"/>
      <c r="H513" s="19"/>
      <c r="I513" s="19"/>
      <c r="J513" s="19"/>
      <c r="K513" s="19"/>
      <c r="L513" s="19"/>
      <c r="M513" s="19"/>
      <c r="N513" s="19"/>
      <c r="O513" s="19"/>
      <c r="P513" s="20"/>
      <c r="Q513" s="20"/>
      <c r="R513" s="22"/>
      <c r="S513" s="22"/>
      <c r="T513" s="20"/>
      <c r="U513" s="20"/>
      <c r="V513" s="20"/>
      <c r="W513" s="19"/>
      <c r="X513" s="19"/>
      <c r="Y513" s="19"/>
      <c r="Z513" s="23"/>
    </row>
    <row r="514" spans="1:26" ht="15.75" customHeight="1" x14ac:dyDescent="0.2">
      <c r="A514" s="34"/>
      <c r="B514" s="34"/>
      <c r="C514" s="34"/>
      <c r="D514" s="34"/>
      <c r="E514" s="19"/>
      <c r="F514" s="19"/>
      <c r="G514" s="19"/>
      <c r="H514" s="19"/>
      <c r="I514" s="19"/>
      <c r="J514" s="19"/>
      <c r="K514" s="19"/>
      <c r="L514" s="19"/>
      <c r="M514" s="19"/>
      <c r="N514" s="19"/>
      <c r="O514" s="19"/>
      <c r="P514" s="20"/>
      <c r="Q514" s="20"/>
      <c r="R514" s="22"/>
      <c r="S514" s="22"/>
      <c r="T514" s="20"/>
      <c r="U514" s="20"/>
      <c r="V514" s="20"/>
      <c r="W514" s="19"/>
      <c r="X514" s="19"/>
      <c r="Y514" s="19"/>
      <c r="Z514" s="23"/>
    </row>
    <row r="515" spans="1:26" ht="15.75" customHeight="1" x14ac:dyDescent="0.2">
      <c r="A515" s="34"/>
      <c r="B515" s="34"/>
      <c r="C515" s="34"/>
      <c r="D515" s="34"/>
      <c r="E515" s="19"/>
      <c r="F515" s="19"/>
      <c r="G515" s="19"/>
      <c r="H515" s="19"/>
      <c r="I515" s="19"/>
      <c r="J515" s="19"/>
      <c r="K515" s="19"/>
      <c r="L515" s="19"/>
      <c r="M515" s="19"/>
      <c r="N515" s="19"/>
      <c r="O515" s="19"/>
      <c r="P515" s="20"/>
      <c r="Q515" s="20"/>
      <c r="R515" s="22"/>
      <c r="S515" s="22"/>
      <c r="T515" s="20"/>
      <c r="U515" s="20"/>
      <c r="V515" s="20"/>
      <c r="W515" s="19"/>
      <c r="X515" s="19"/>
      <c r="Y515" s="19"/>
      <c r="Z515" s="23"/>
    </row>
    <row r="516" spans="1:26" ht="15.75" customHeight="1" x14ac:dyDescent="0.2">
      <c r="A516" s="34"/>
      <c r="B516" s="34"/>
      <c r="C516" s="34"/>
      <c r="D516" s="34"/>
      <c r="E516" s="19"/>
      <c r="F516" s="19"/>
      <c r="G516" s="19"/>
      <c r="H516" s="19"/>
      <c r="I516" s="19"/>
      <c r="J516" s="19"/>
      <c r="K516" s="19"/>
      <c r="L516" s="19"/>
      <c r="M516" s="19"/>
      <c r="N516" s="19"/>
      <c r="O516" s="19"/>
      <c r="P516" s="20"/>
      <c r="Q516" s="20"/>
      <c r="R516" s="22"/>
      <c r="S516" s="22"/>
      <c r="T516" s="20"/>
      <c r="U516" s="20"/>
      <c r="V516" s="20"/>
      <c r="W516" s="19"/>
      <c r="X516" s="19"/>
      <c r="Y516" s="19"/>
      <c r="Z516" s="23"/>
    </row>
    <row r="517" spans="1:26" ht="15.75" customHeight="1" x14ac:dyDescent="0.2">
      <c r="A517" s="34"/>
      <c r="B517" s="34"/>
      <c r="C517" s="34"/>
      <c r="D517" s="34"/>
      <c r="E517" s="19"/>
      <c r="F517" s="19"/>
      <c r="G517" s="19"/>
      <c r="H517" s="19"/>
      <c r="I517" s="19"/>
      <c r="J517" s="19"/>
      <c r="K517" s="19"/>
      <c r="L517" s="19"/>
      <c r="M517" s="19"/>
      <c r="N517" s="19"/>
      <c r="O517" s="19"/>
      <c r="P517" s="20"/>
      <c r="Q517" s="20"/>
      <c r="R517" s="22"/>
      <c r="S517" s="22"/>
      <c r="T517" s="20"/>
      <c r="U517" s="20"/>
      <c r="V517" s="20"/>
      <c r="W517" s="19"/>
      <c r="X517" s="19"/>
      <c r="Y517" s="19"/>
      <c r="Z517" s="23"/>
    </row>
    <row r="518" spans="1:26" ht="15.75" customHeight="1" x14ac:dyDescent="0.2">
      <c r="A518" s="34"/>
      <c r="B518" s="34"/>
      <c r="C518" s="34"/>
      <c r="D518" s="34"/>
      <c r="E518" s="19"/>
      <c r="F518" s="19"/>
      <c r="G518" s="19"/>
      <c r="H518" s="19"/>
      <c r="I518" s="19"/>
      <c r="J518" s="19"/>
      <c r="K518" s="19"/>
      <c r="L518" s="19"/>
      <c r="M518" s="19"/>
      <c r="N518" s="19"/>
      <c r="O518" s="19"/>
      <c r="P518" s="20"/>
      <c r="Q518" s="20"/>
      <c r="R518" s="22"/>
      <c r="S518" s="22"/>
      <c r="T518" s="20"/>
      <c r="U518" s="20"/>
      <c r="V518" s="20"/>
      <c r="W518" s="19"/>
      <c r="X518" s="19"/>
      <c r="Y518" s="19"/>
      <c r="Z518" s="23"/>
    </row>
    <row r="519" spans="1:26" ht="15.75" customHeight="1" x14ac:dyDescent="0.2">
      <c r="A519" s="34"/>
      <c r="B519" s="34"/>
      <c r="C519" s="34"/>
      <c r="D519" s="34"/>
      <c r="E519" s="19"/>
      <c r="F519" s="19"/>
      <c r="G519" s="19"/>
      <c r="H519" s="19"/>
      <c r="I519" s="19"/>
      <c r="J519" s="19"/>
      <c r="K519" s="19"/>
      <c r="L519" s="19"/>
      <c r="M519" s="19"/>
      <c r="N519" s="19"/>
      <c r="O519" s="19"/>
      <c r="P519" s="20"/>
      <c r="Q519" s="20"/>
      <c r="R519" s="22"/>
      <c r="S519" s="22"/>
      <c r="T519" s="20"/>
      <c r="U519" s="20"/>
      <c r="V519" s="20"/>
      <c r="W519" s="19"/>
      <c r="X519" s="19"/>
      <c r="Y519" s="19"/>
      <c r="Z519" s="23"/>
    </row>
    <row r="520" spans="1:26" ht="15.75" customHeight="1" x14ac:dyDescent="0.2">
      <c r="A520" s="34"/>
      <c r="B520" s="34"/>
      <c r="C520" s="34"/>
      <c r="D520" s="34"/>
      <c r="E520" s="19"/>
      <c r="F520" s="19"/>
      <c r="G520" s="19"/>
      <c r="H520" s="19"/>
      <c r="I520" s="19"/>
      <c r="J520" s="19"/>
      <c r="K520" s="19"/>
      <c r="L520" s="19"/>
      <c r="M520" s="19"/>
      <c r="N520" s="19"/>
      <c r="O520" s="19"/>
      <c r="P520" s="20"/>
      <c r="Q520" s="20"/>
      <c r="R520" s="22"/>
      <c r="S520" s="22"/>
      <c r="T520" s="20"/>
      <c r="U520" s="20"/>
      <c r="V520" s="20"/>
      <c r="W520" s="19"/>
      <c r="X520" s="19"/>
      <c r="Y520" s="19"/>
      <c r="Z520" s="23"/>
    </row>
    <row r="521" spans="1:26" ht="15.75" customHeight="1" x14ac:dyDescent="0.2">
      <c r="A521" s="34"/>
      <c r="B521" s="34"/>
      <c r="C521" s="34"/>
      <c r="D521" s="34"/>
      <c r="E521" s="19"/>
      <c r="F521" s="19"/>
      <c r="G521" s="19"/>
      <c r="H521" s="19"/>
      <c r="I521" s="19"/>
      <c r="J521" s="19"/>
      <c r="K521" s="19"/>
      <c r="L521" s="19"/>
      <c r="M521" s="19"/>
      <c r="N521" s="19"/>
      <c r="O521" s="19"/>
      <c r="P521" s="20"/>
      <c r="Q521" s="20"/>
      <c r="R521" s="22"/>
      <c r="S521" s="22"/>
      <c r="T521" s="20"/>
      <c r="U521" s="20"/>
      <c r="V521" s="20"/>
      <c r="W521" s="19"/>
      <c r="X521" s="19"/>
      <c r="Y521" s="19"/>
      <c r="Z521" s="23"/>
    </row>
    <row r="522" spans="1:26" ht="15.75" customHeight="1" x14ac:dyDescent="0.2">
      <c r="A522" s="34"/>
      <c r="B522" s="34"/>
      <c r="C522" s="34"/>
      <c r="D522" s="34"/>
      <c r="E522" s="19"/>
      <c r="F522" s="19"/>
      <c r="G522" s="19"/>
      <c r="H522" s="19"/>
      <c r="I522" s="19"/>
      <c r="J522" s="19"/>
      <c r="K522" s="19"/>
      <c r="L522" s="19"/>
      <c r="M522" s="19"/>
      <c r="N522" s="19"/>
      <c r="O522" s="19"/>
      <c r="P522" s="20"/>
      <c r="Q522" s="20"/>
      <c r="R522" s="22"/>
      <c r="S522" s="22"/>
      <c r="T522" s="20"/>
      <c r="U522" s="20"/>
      <c r="V522" s="20"/>
      <c r="W522" s="19"/>
      <c r="X522" s="19"/>
      <c r="Y522" s="19"/>
      <c r="Z522" s="23"/>
    </row>
    <row r="523" spans="1:26" ht="15.75" customHeight="1" x14ac:dyDescent="0.2">
      <c r="A523" s="34"/>
      <c r="B523" s="34"/>
      <c r="C523" s="34"/>
      <c r="D523" s="34"/>
      <c r="E523" s="19"/>
      <c r="F523" s="19"/>
      <c r="G523" s="19"/>
      <c r="H523" s="19"/>
      <c r="I523" s="19"/>
      <c r="J523" s="19"/>
      <c r="K523" s="19"/>
      <c r="L523" s="19"/>
      <c r="M523" s="19"/>
      <c r="N523" s="19"/>
      <c r="O523" s="19"/>
      <c r="P523" s="20"/>
      <c r="Q523" s="20"/>
      <c r="R523" s="22"/>
      <c r="S523" s="22"/>
      <c r="T523" s="20"/>
      <c r="U523" s="20"/>
      <c r="V523" s="20"/>
      <c r="W523" s="19"/>
      <c r="X523" s="19"/>
      <c r="Y523" s="19"/>
      <c r="Z523" s="23"/>
    </row>
    <row r="524" spans="1:26" ht="15.75" customHeight="1" x14ac:dyDescent="0.2">
      <c r="A524" s="34"/>
      <c r="B524" s="34"/>
      <c r="C524" s="34"/>
      <c r="D524" s="34"/>
      <c r="E524" s="19"/>
      <c r="F524" s="19"/>
      <c r="G524" s="19"/>
      <c r="H524" s="19"/>
      <c r="I524" s="19"/>
      <c r="J524" s="19"/>
      <c r="K524" s="19"/>
      <c r="L524" s="19"/>
      <c r="M524" s="19"/>
      <c r="N524" s="19"/>
      <c r="O524" s="19"/>
      <c r="P524" s="20"/>
      <c r="Q524" s="20"/>
      <c r="R524" s="22"/>
      <c r="S524" s="22"/>
      <c r="T524" s="20"/>
      <c r="U524" s="20"/>
      <c r="V524" s="20"/>
      <c r="W524" s="19"/>
      <c r="X524" s="19"/>
      <c r="Y524" s="19"/>
      <c r="Z524" s="23"/>
    </row>
    <row r="525" spans="1:26" ht="15.75" customHeight="1" x14ac:dyDescent="0.2">
      <c r="A525" s="34"/>
      <c r="B525" s="34"/>
      <c r="C525" s="34"/>
      <c r="D525" s="34"/>
      <c r="E525" s="19"/>
      <c r="F525" s="19"/>
      <c r="G525" s="19"/>
      <c r="H525" s="19"/>
      <c r="I525" s="19"/>
      <c r="J525" s="19"/>
      <c r="K525" s="19"/>
      <c r="L525" s="19"/>
      <c r="M525" s="19"/>
      <c r="N525" s="19"/>
      <c r="O525" s="19"/>
      <c r="P525" s="20"/>
      <c r="Q525" s="20"/>
      <c r="R525" s="22"/>
      <c r="S525" s="22"/>
      <c r="T525" s="20"/>
      <c r="U525" s="20"/>
      <c r="V525" s="20"/>
      <c r="W525" s="19"/>
      <c r="X525" s="19"/>
      <c r="Y525" s="19"/>
      <c r="Z525" s="23"/>
    </row>
    <row r="526" spans="1:26" ht="15.75" customHeight="1" x14ac:dyDescent="0.2">
      <c r="A526" s="34"/>
      <c r="B526" s="34"/>
      <c r="C526" s="34"/>
      <c r="D526" s="34"/>
      <c r="E526" s="19"/>
      <c r="F526" s="19"/>
      <c r="G526" s="19"/>
      <c r="H526" s="19"/>
      <c r="I526" s="19"/>
      <c r="J526" s="19"/>
      <c r="K526" s="19"/>
      <c r="L526" s="19"/>
      <c r="M526" s="19"/>
      <c r="N526" s="19"/>
      <c r="O526" s="19"/>
      <c r="P526" s="20"/>
      <c r="Q526" s="20"/>
      <c r="R526" s="22"/>
      <c r="S526" s="22"/>
      <c r="T526" s="20"/>
      <c r="U526" s="20"/>
      <c r="V526" s="20"/>
      <c r="W526" s="19"/>
      <c r="X526" s="19"/>
      <c r="Y526" s="19"/>
      <c r="Z526" s="23"/>
    </row>
    <row r="527" spans="1:26" ht="15.75" customHeight="1" x14ac:dyDescent="0.2">
      <c r="A527" s="34"/>
      <c r="B527" s="34"/>
      <c r="C527" s="34"/>
      <c r="D527" s="34"/>
      <c r="E527" s="19"/>
      <c r="F527" s="19"/>
      <c r="G527" s="19"/>
      <c r="H527" s="19"/>
      <c r="I527" s="19"/>
      <c r="J527" s="19"/>
      <c r="K527" s="19"/>
      <c r="L527" s="19"/>
      <c r="M527" s="19"/>
      <c r="N527" s="19"/>
      <c r="O527" s="19"/>
      <c r="P527" s="20"/>
      <c r="Q527" s="20"/>
      <c r="R527" s="22"/>
      <c r="S527" s="22"/>
      <c r="T527" s="20"/>
      <c r="U527" s="20"/>
      <c r="V527" s="20"/>
      <c r="W527" s="19"/>
      <c r="X527" s="19"/>
      <c r="Y527" s="19"/>
      <c r="Z527" s="23"/>
    </row>
    <row r="528" spans="1:26" ht="15.75" customHeight="1" x14ac:dyDescent="0.2">
      <c r="A528" s="34"/>
      <c r="B528" s="34"/>
      <c r="C528" s="34"/>
      <c r="D528" s="34"/>
      <c r="E528" s="19"/>
      <c r="F528" s="19"/>
      <c r="G528" s="19"/>
      <c r="H528" s="19"/>
      <c r="I528" s="19"/>
      <c r="J528" s="19"/>
      <c r="K528" s="19"/>
      <c r="L528" s="19"/>
      <c r="M528" s="19"/>
      <c r="N528" s="19"/>
      <c r="O528" s="19"/>
      <c r="P528" s="20"/>
      <c r="Q528" s="20"/>
      <c r="R528" s="22"/>
      <c r="S528" s="22"/>
      <c r="T528" s="20"/>
      <c r="U528" s="20"/>
      <c r="V528" s="20"/>
      <c r="W528" s="19"/>
      <c r="X528" s="19"/>
      <c r="Y528" s="19"/>
      <c r="Z528" s="23"/>
    </row>
    <row r="529" spans="1:26" ht="15.75" customHeight="1" x14ac:dyDescent="0.2">
      <c r="A529" s="34"/>
      <c r="B529" s="34"/>
      <c r="C529" s="34"/>
      <c r="D529" s="34"/>
      <c r="E529" s="19"/>
      <c r="F529" s="19"/>
      <c r="G529" s="19"/>
      <c r="H529" s="19"/>
      <c r="I529" s="19"/>
      <c r="J529" s="19"/>
      <c r="K529" s="19"/>
      <c r="L529" s="19"/>
      <c r="M529" s="19"/>
      <c r="N529" s="19"/>
      <c r="O529" s="19"/>
      <c r="P529" s="20"/>
      <c r="Q529" s="20"/>
      <c r="R529" s="22"/>
      <c r="S529" s="22"/>
      <c r="T529" s="20"/>
      <c r="U529" s="20"/>
      <c r="V529" s="20"/>
      <c r="W529" s="19"/>
      <c r="X529" s="19"/>
      <c r="Y529" s="19"/>
      <c r="Z529" s="23"/>
    </row>
    <row r="530" spans="1:26" ht="15.75" customHeight="1" x14ac:dyDescent="0.2">
      <c r="A530" s="34"/>
      <c r="B530" s="34"/>
      <c r="C530" s="34"/>
      <c r="D530" s="34"/>
      <c r="E530" s="19"/>
      <c r="F530" s="19"/>
      <c r="G530" s="19"/>
      <c r="H530" s="19"/>
      <c r="I530" s="19"/>
      <c r="J530" s="19"/>
      <c r="K530" s="19"/>
      <c r="L530" s="19"/>
      <c r="M530" s="19"/>
      <c r="N530" s="19"/>
      <c r="O530" s="19"/>
      <c r="P530" s="20"/>
      <c r="Q530" s="20"/>
      <c r="R530" s="22"/>
      <c r="S530" s="22"/>
      <c r="T530" s="20"/>
      <c r="U530" s="20"/>
      <c r="V530" s="20"/>
      <c r="W530" s="19"/>
      <c r="X530" s="19"/>
      <c r="Y530" s="19"/>
      <c r="Z530" s="23"/>
    </row>
    <row r="531" spans="1:26" ht="15.75" customHeight="1" x14ac:dyDescent="0.2">
      <c r="A531" s="34"/>
      <c r="B531" s="34"/>
      <c r="C531" s="34"/>
      <c r="D531" s="34"/>
      <c r="E531" s="19"/>
      <c r="F531" s="19"/>
      <c r="G531" s="19"/>
      <c r="H531" s="19"/>
      <c r="I531" s="19"/>
      <c r="J531" s="19"/>
      <c r="K531" s="19"/>
      <c r="L531" s="19"/>
      <c r="M531" s="19"/>
      <c r="N531" s="19"/>
      <c r="O531" s="19"/>
      <c r="P531" s="20"/>
      <c r="Q531" s="20"/>
      <c r="R531" s="22"/>
      <c r="S531" s="22"/>
      <c r="T531" s="20"/>
      <c r="U531" s="20"/>
      <c r="V531" s="20"/>
      <c r="W531" s="19"/>
      <c r="X531" s="19"/>
      <c r="Y531" s="19"/>
      <c r="Z531" s="23"/>
    </row>
    <row r="532" spans="1:26" ht="15.75" customHeight="1" x14ac:dyDescent="0.2">
      <c r="A532" s="34"/>
      <c r="B532" s="34"/>
      <c r="C532" s="34"/>
      <c r="D532" s="34"/>
      <c r="E532" s="19"/>
      <c r="F532" s="19"/>
      <c r="G532" s="19"/>
      <c r="H532" s="19"/>
      <c r="I532" s="19"/>
      <c r="J532" s="19"/>
      <c r="K532" s="19"/>
      <c r="L532" s="19"/>
      <c r="M532" s="19"/>
      <c r="N532" s="19"/>
      <c r="O532" s="19"/>
      <c r="P532" s="20"/>
      <c r="Q532" s="20"/>
      <c r="R532" s="22"/>
      <c r="S532" s="22"/>
      <c r="T532" s="20"/>
      <c r="U532" s="20"/>
      <c r="V532" s="20"/>
      <c r="W532" s="19"/>
      <c r="X532" s="19"/>
      <c r="Y532" s="19"/>
      <c r="Z532" s="23"/>
    </row>
    <row r="533" spans="1:26" ht="15.75" customHeight="1" x14ac:dyDescent="0.2">
      <c r="A533" s="34"/>
      <c r="B533" s="34"/>
      <c r="C533" s="34"/>
      <c r="D533" s="34"/>
      <c r="E533" s="19"/>
      <c r="F533" s="19"/>
      <c r="G533" s="19"/>
      <c r="H533" s="19"/>
      <c r="I533" s="19"/>
      <c r="J533" s="19"/>
      <c r="K533" s="19"/>
      <c r="L533" s="19"/>
      <c r="M533" s="19"/>
      <c r="N533" s="19"/>
      <c r="O533" s="19"/>
      <c r="P533" s="20"/>
      <c r="Q533" s="20"/>
      <c r="R533" s="22"/>
      <c r="S533" s="22"/>
      <c r="T533" s="20"/>
      <c r="U533" s="20"/>
      <c r="V533" s="20"/>
      <c r="W533" s="19"/>
      <c r="X533" s="19"/>
      <c r="Y533" s="19"/>
      <c r="Z533" s="23"/>
    </row>
    <row r="534" spans="1:26" ht="15.75" customHeight="1" x14ac:dyDescent="0.2">
      <c r="A534" s="34"/>
      <c r="B534" s="34"/>
      <c r="C534" s="34"/>
      <c r="D534" s="34"/>
      <c r="E534" s="19"/>
      <c r="F534" s="19"/>
      <c r="G534" s="19"/>
      <c r="H534" s="19"/>
      <c r="I534" s="19"/>
      <c r="J534" s="19"/>
      <c r="K534" s="19"/>
      <c r="L534" s="19"/>
      <c r="M534" s="19"/>
      <c r="N534" s="19"/>
      <c r="O534" s="19"/>
      <c r="P534" s="20"/>
      <c r="Q534" s="20"/>
      <c r="R534" s="22"/>
      <c r="S534" s="22"/>
      <c r="T534" s="20"/>
      <c r="U534" s="20"/>
      <c r="V534" s="20"/>
      <c r="W534" s="19"/>
      <c r="X534" s="19"/>
      <c r="Y534" s="19"/>
      <c r="Z534" s="23"/>
    </row>
    <row r="535" spans="1:26" ht="15.75" customHeight="1" x14ac:dyDescent="0.2">
      <c r="A535" s="34"/>
      <c r="B535" s="34"/>
      <c r="C535" s="34"/>
      <c r="D535" s="34"/>
      <c r="E535" s="19"/>
      <c r="F535" s="19"/>
      <c r="G535" s="19"/>
      <c r="H535" s="19"/>
      <c r="I535" s="19"/>
      <c r="J535" s="19"/>
      <c r="K535" s="19"/>
      <c r="L535" s="19"/>
      <c r="M535" s="19"/>
      <c r="N535" s="19"/>
      <c r="O535" s="19"/>
      <c r="P535" s="20"/>
      <c r="Q535" s="20"/>
      <c r="R535" s="22"/>
      <c r="S535" s="22"/>
      <c r="T535" s="20"/>
      <c r="U535" s="20"/>
      <c r="V535" s="20"/>
      <c r="W535" s="19"/>
      <c r="X535" s="19"/>
      <c r="Y535" s="19"/>
      <c r="Z535" s="23"/>
    </row>
    <row r="536" spans="1:26" ht="15.75" customHeight="1" x14ac:dyDescent="0.2">
      <c r="A536" s="34"/>
      <c r="B536" s="34"/>
      <c r="C536" s="34"/>
      <c r="D536" s="34"/>
      <c r="E536" s="19"/>
      <c r="F536" s="19"/>
      <c r="G536" s="19"/>
      <c r="H536" s="19"/>
      <c r="I536" s="19"/>
      <c r="J536" s="19"/>
      <c r="K536" s="19"/>
      <c r="L536" s="19"/>
      <c r="M536" s="19"/>
      <c r="N536" s="19"/>
      <c r="O536" s="19"/>
      <c r="P536" s="20"/>
      <c r="Q536" s="20"/>
      <c r="R536" s="22"/>
      <c r="S536" s="22"/>
      <c r="T536" s="20"/>
      <c r="U536" s="20"/>
      <c r="V536" s="20"/>
      <c r="W536" s="19"/>
      <c r="X536" s="19"/>
      <c r="Y536" s="19"/>
      <c r="Z536" s="23"/>
    </row>
    <row r="537" spans="1:26" ht="15.75" customHeight="1" x14ac:dyDescent="0.2">
      <c r="A537" s="34"/>
      <c r="B537" s="34"/>
      <c r="C537" s="34"/>
      <c r="D537" s="34"/>
      <c r="E537" s="19"/>
      <c r="F537" s="19"/>
      <c r="G537" s="19"/>
      <c r="H537" s="19"/>
      <c r="I537" s="19"/>
      <c r="J537" s="19"/>
      <c r="K537" s="19"/>
      <c r="L537" s="19"/>
      <c r="M537" s="19"/>
      <c r="N537" s="19"/>
      <c r="O537" s="19"/>
      <c r="P537" s="20"/>
      <c r="Q537" s="20"/>
      <c r="R537" s="22"/>
      <c r="S537" s="22"/>
      <c r="T537" s="20"/>
      <c r="U537" s="20"/>
      <c r="V537" s="20"/>
      <c r="W537" s="19"/>
      <c r="X537" s="19"/>
      <c r="Y537" s="19"/>
      <c r="Z537" s="23"/>
    </row>
    <row r="538" spans="1:26" ht="15.75" customHeight="1" x14ac:dyDescent="0.2">
      <c r="A538" s="34"/>
      <c r="B538" s="34"/>
      <c r="C538" s="34"/>
      <c r="D538" s="34"/>
      <c r="E538" s="19"/>
      <c r="F538" s="19"/>
      <c r="G538" s="19"/>
      <c r="H538" s="19"/>
      <c r="I538" s="19"/>
      <c r="J538" s="19"/>
      <c r="K538" s="19"/>
      <c r="L538" s="19"/>
      <c r="M538" s="19"/>
      <c r="N538" s="19"/>
      <c r="O538" s="19"/>
      <c r="P538" s="20"/>
      <c r="Q538" s="20"/>
      <c r="R538" s="22"/>
      <c r="S538" s="22"/>
      <c r="T538" s="20"/>
      <c r="U538" s="20"/>
      <c r="V538" s="20"/>
      <c r="W538" s="19"/>
      <c r="X538" s="19"/>
      <c r="Y538" s="19"/>
      <c r="Z538" s="23"/>
    </row>
    <row r="539" spans="1:26" ht="15.75" customHeight="1" x14ac:dyDescent="0.2">
      <c r="A539" s="34"/>
      <c r="B539" s="34"/>
      <c r="C539" s="34"/>
      <c r="D539" s="34"/>
      <c r="E539" s="19"/>
      <c r="F539" s="19"/>
      <c r="G539" s="19"/>
      <c r="H539" s="19"/>
      <c r="I539" s="19"/>
      <c r="J539" s="19"/>
      <c r="K539" s="19"/>
      <c r="L539" s="19"/>
      <c r="M539" s="19"/>
      <c r="N539" s="19"/>
      <c r="O539" s="19"/>
      <c r="P539" s="20"/>
      <c r="Q539" s="20"/>
      <c r="R539" s="22"/>
      <c r="S539" s="22"/>
      <c r="T539" s="20"/>
      <c r="U539" s="20"/>
      <c r="V539" s="20"/>
      <c r="W539" s="19"/>
      <c r="X539" s="19"/>
      <c r="Y539" s="19"/>
      <c r="Z539" s="23"/>
    </row>
    <row r="540" spans="1:26" ht="15.75" customHeight="1" x14ac:dyDescent="0.2">
      <c r="A540" s="34"/>
      <c r="B540" s="34"/>
      <c r="C540" s="34"/>
      <c r="D540" s="34"/>
      <c r="E540" s="19"/>
      <c r="F540" s="19"/>
      <c r="G540" s="19"/>
      <c r="H540" s="19"/>
      <c r="I540" s="19"/>
      <c r="J540" s="19"/>
      <c r="K540" s="19"/>
      <c r="L540" s="19"/>
      <c r="M540" s="19"/>
      <c r="N540" s="19"/>
      <c r="O540" s="19"/>
      <c r="P540" s="20"/>
      <c r="Q540" s="20"/>
      <c r="R540" s="22"/>
      <c r="S540" s="22"/>
      <c r="T540" s="20"/>
      <c r="U540" s="20"/>
      <c r="V540" s="20"/>
      <c r="W540" s="19"/>
      <c r="X540" s="19"/>
      <c r="Y540" s="19"/>
      <c r="Z540" s="23"/>
    </row>
    <row r="541" spans="1:26" ht="15.75" customHeight="1" x14ac:dyDescent="0.2">
      <c r="A541" s="34"/>
      <c r="B541" s="34"/>
      <c r="C541" s="34"/>
      <c r="D541" s="34"/>
      <c r="E541" s="19"/>
      <c r="F541" s="19"/>
      <c r="G541" s="19"/>
      <c r="H541" s="19"/>
      <c r="I541" s="19"/>
      <c r="J541" s="19"/>
      <c r="K541" s="19"/>
      <c r="L541" s="19"/>
      <c r="M541" s="19"/>
      <c r="N541" s="19"/>
      <c r="O541" s="19"/>
      <c r="P541" s="20"/>
      <c r="Q541" s="20"/>
      <c r="R541" s="22"/>
      <c r="S541" s="22"/>
      <c r="T541" s="20"/>
      <c r="U541" s="20"/>
      <c r="V541" s="20"/>
      <c r="W541" s="19"/>
      <c r="X541" s="19"/>
      <c r="Y541" s="19"/>
      <c r="Z541" s="23"/>
    </row>
    <row r="542" spans="1:26" ht="15.75" customHeight="1" x14ac:dyDescent="0.2">
      <c r="A542" s="34"/>
      <c r="B542" s="34"/>
      <c r="C542" s="34"/>
      <c r="D542" s="34"/>
      <c r="E542" s="19"/>
      <c r="F542" s="19"/>
      <c r="G542" s="19"/>
      <c r="H542" s="19"/>
      <c r="I542" s="19"/>
      <c r="J542" s="19"/>
      <c r="K542" s="19"/>
      <c r="L542" s="19"/>
      <c r="M542" s="19"/>
      <c r="N542" s="19"/>
      <c r="O542" s="19"/>
      <c r="P542" s="20"/>
      <c r="Q542" s="20"/>
      <c r="R542" s="22"/>
      <c r="S542" s="22"/>
      <c r="T542" s="20"/>
      <c r="U542" s="20"/>
      <c r="V542" s="20"/>
      <c r="W542" s="19"/>
      <c r="X542" s="19"/>
      <c r="Y542" s="19"/>
      <c r="Z542" s="23"/>
    </row>
    <row r="543" spans="1:26" ht="15.75" customHeight="1" x14ac:dyDescent="0.2">
      <c r="A543" s="34"/>
      <c r="B543" s="34"/>
      <c r="C543" s="34"/>
      <c r="D543" s="34"/>
      <c r="E543" s="19"/>
      <c r="F543" s="19"/>
      <c r="G543" s="19"/>
      <c r="H543" s="19"/>
      <c r="I543" s="19"/>
      <c r="J543" s="19"/>
      <c r="K543" s="19"/>
      <c r="L543" s="19"/>
      <c r="M543" s="19"/>
      <c r="N543" s="19"/>
      <c r="O543" s="19"/>
      <c r="P543" s="20"/>
      <c r="Q543" s="20"/>
      <c r="R543" s="22"/>
      <c r="S543" s="22"/>
      <c r="T543" s="20"/>
      <c r="U543" s="20"/>
      <c r="V543" s="20"/>
      <c r="W543" s="19"/>
      <c r="X543" s="19"/>
      <c r="Y543" s="19"/>
      <c r="Z543" s="23"/>
    </row>
    <row r="544" spans="1:26" ht="15.75" customHeight="1" x14ac:dyDescent="0.2">
      <c r="A544" s="34"/>
      <c r="B544" s="34"/>
      <c r="C544" s="34"/>
      <c r="D544" s="34"/>
      <c r="E544" s="19"/>
      <c r="F544" s="19"/>
      <c r="G544" s="19"/>
      <c r="H544" s="19"/>
      <c r="I544" s="19"/>
      <c r="J544" s="19"/>
      <c r="K544" s="19"/>
      <c r="L544" s="19"/>
      <c r="M544" s="19"/>
      <c r="N544" s="19"/>
      <c r="O544" s="19"/>
      <c r="P544" s="20"/>
      <c r="Q544" s="20"/>
      <c r="R544" s="22"/>
      <c r="S544" s="22"/>
      <c r="T544" s="20"/>
      <c r="U544" s="20"/>
      <c r="V544" s="20"/>
      <c r="W544" s="19"/>
      <c r="X544" s="19"/>
      <c r="Y544" s="19"/>
      <c r="Z544" s="23"/>
    </row>
    <row r="545" spans="1:26" ht="15.75" customHeight="1" x14ac:dyDescent="0.2">
      <c r="A545" s="34"/>
      <c r="B545" s="34"/>
      <c r="C545" s="34"/>
      <c r="D545" s="34"/>
      <c r="E545" s="19"/>
      <c r="F545" s="19"/>
      <c r="G545" s="19"/>
      <c r="H545" s="19"/>
      <c r="I545" s="19"/>
      <c r="J545" s="19"/>
      <c r="K545" s="19"/>
      <c r="L545" s="19"/>
      <c r="M545" s="19"/>
      <c r="N545" s="19"/>
      <c r="O545" s="19"/>
      <c r="P545" s="20"/>
      <c r="Q545" s="20"/>
      <c r="R545" s="22"/>
      <c r="S545" s="22"/>
      <c r="T545" s="20"/>
      <c r="U545" s="20"/>
      <c r="V545" s="20"/>
      <c r="W545" s="19"/>
      <c r="X545" s="19"/>
      <c r="Y545" s="19"/>
      <c r="Z545" s="23"/>
    </row>
    <row r="546" spans="1:26" ht="15.75" customHeight="1" x14ac:dyDescent="0.2">
      <c r="A546" s="34"/>
      <c r="B546" s="34"/>
      <c r="C546" s="34"/>
      <c r="D546" s="34"/>
      <c r="E546" s="19"/>
      <c r="F546" s="19"/>
      <c r="G546" s="19"/>
      <c r="H546" s="19"/>
      <c r="I546" s="19"/>
      <c r="J546" s="19"/>
      <c r="K546" s="19"/>
      <c r="L546" s="19"/>
      <c r="M546" s="19"/>
      <c r="N546" s="19"/>
      <c r="O546" s="19"/>
      <c r="P546" s="20"/>
      <c r="Q546" s="20"/>
      <c r="R546" s="22"/>
      <c r="S546" s="22"/>
      <c r="T546" s="20"/>
      <c r="U546" s="20"/>
      <c r="V546" s="20"/>
      <c r="W546" s="19"/>
      <c r="X546" s="19"/>
      <c r="Y546" s="19"/>
      <c r="Z546" s="23"/>
    </row>
    <row r="547" spans="1:26" ht="15.75" customHeight="1" x14ac:dyDescent="0.2">
      <c r="A547" s="34"/>
      <c r="B547" s="34"/>
      <c r="C547" s="34"/>
      <c r="D547" s="34"/>
      <c r="E547" s="19"/>
      <c r="F547" s="19"/>
      <c r="G547" s="19"/>
      <c r="H547" s="19"/>
      <c r="I547" s="19"/>
      <c r="J547" s="19"/>
      <c r="K547" s="19"/>
      <c r="L547" s="19"/>
      <c r="M547" s="19"/>
      <c r="N547" s="19"/>
      <c r="O547" s="19"/>
      <c r="P547" s="20"/>
      <c r="Q547" s="20"/>
      <c r="R547" s="22"/>
      <c r="S547" s="22"/>
      <c r="T547" s="20"/>
      <c r="U547" s="20"/>
      <c r="V547" s="20"/>
      <c r="W547" s="19"/>
      <c r="X547" s="19"/>
      <c r="Y547" s="19"/>
      <c r="Z547" s="23"/>
    </row>
    <row r="548" spans="1:26" ht="15.75" customHeight="1" x14ac:dyDescent="0.2">
      <c r="A548" s="34"/>
      <c r="B548" s="34"/>
      <c r="C548" s="34"/>
      <c r="D548" s="34"/>
      <c r="E548" s="19"/>
      <c r="F548" s="19"/>
      <c r="G548" s="19"/>
      <c r="H548" s="19"/>
      <c r="I548" s="19"/>
      <c r="J548" s="19"/>
      <c r="K548" s="19"/>
      <c r="L548" s="19"/>
      <c r="M548" s="19"/>
      <c r="N548" s="19"/>
      <c r="O548" s="19"/>
      <c r="P548" s="20"/>
      <c r="Q548" s="20"/>
      <c r="R548" s="22"/>
      <c r="S548" s="22"/>
      <c r="T548" s="20"/>
      <c r="U548" s="20"/>
      <c r="V548" s="20"/>
      <c r="W548" s="19"/>
      <c r="X548" s="19"/>
      <c r="Y548" s="19"/>
      <c r="Z548" s="23"/>
    </row>
    <row r="549" spans="1:26" ht="15.75" customHeight="1" x14ac:dyDescent="0.2">
      <c r="A549" s="34"/>
      <c r="B549" s="34"/>
      <c r="C549" s="34"/>
      <c r="D549" s="34"/>
      <c r="E549" s="19"/>
      <c r="F549" s="19"/>
      <c r="G549" s="19"/>
      <c r="H549" s="19"/>
      <c r="I549" s="19"/>
      <c r="J549" s="19"/>
      <c r="K549" s="19"/>
      <c r="L549" s="19"/>
      <c r="M549" s="19"/>
      <c r="N549" s="19"/>
      <c r="O549" s="19"/>
      <c r="P549" s="20"/>
      <c r="Q549" s="20"/>
      <c r="R549" s="22"/>
      <c r="S549" s="22"/>
      <c r="T549" s="20"/>
      <c r="U549" s="20"/>
      <c r="V549" s="20"/>
      <c r="W549" s="19"/>
      <c r="X549" s="19"/>
      <c r="Y549" s="19"/>
      <c r="Z549" s="23"/>
    </row>
    <row r="550" spans="1:26" ht="15.75" customHeight="1" x14ac:dyDescent="0.2">
      <c r="A550" s="34"/>
      <c r="B550" s="34"/>
      <c r="C550" s="34"/>
      <c r="D550" s="34"/>
      <c r="E550" s="19"/>
      <c r="F550" s="19"/>
      <c r="G550" s="19"/>
      <c r="H550" s="19"/>
      <c r="I550" s="19"/>
      <c r="J550" s="19"/>
      <c r="K550" s="19"/>
      <c r="L550" s="19"/>
      <c r="M550" s="19"/>
      <c r="N550" s="19"/>
      <c r="O550" s="19"/>
      <c r="P550" s="20"/>
      <c r="Q550" s="20"/>
      <c r="R550" s="22"/>
      <c r="S550" s="22"/>
      <c r="T550" s="20"/>
      <c r="U550" s="20"/>
      <c r="V550" s="20"/>
      <c r="W550" s="19"/>
      <c r="X550" s="19"/>
      <c r="Y550" s="19"/>
      <c r="Z550" s="23"/>
    </row>
    <row r="551" spans="1:26" ht="15.75" customHeight="1" x14ac:dyDescent="0.2">
      <c r="A551" s="34"/>
      <c r="B551" s="34"/>
      <c r="C551" s="34"/>
      <c r="D551" s="34"/>
      <c r="E551" s="19"/>
      <c r="F551" s="19"/>
      <c r="G551" s="19"/>
      <c r="H551" s="19"/>
      <c r="I551" s="19"/>
      <c r="J551" s="19"/>
      <c r="K551" s="19"/>
      <c r="L551" s="19"/>
      <c r="M551" s="19"/>
      <c r="N551" s="19"/>
      <c r="O551" s="19"/>
      <c r="P551" s="20"/>
      <c r="Q551" s="20"/>
      <c r="R551" s="22"/>
      <c r="S551" s="22"/>
      <c r="T551" s="20"/>
      <c r="U551" s="20"/>
      <c r="V551" s="20"/>
      <c r="W551" s="19"/>
      <c r="X551" s="19"/>
      <c r="Y551" s="19"/>
      <c r="Z551" s="23"/>
    </row>
    <row r="552" spans="1:26" ht="15.75" customHeight="1" x14ac:dyDescent="0.2">
      <c r="A552" s="34"/>
      <c r="B552" s="34"/>
      <c r="C552" s="34"/>
      <c r="D552" s="34"/>
      <c r="E552" s="19"/>
      <c r="F552" s="19"/>
      <c r="G552" s="19"/>
      <c r="H552" s="19"/>
      <c r="I552" s="19"/>
      <c r="J552" s="19"/>
      <c r="K552" s="19"/>
      <c r="L552" s="19"/>
      <c r="M552" s="19"/>
      <c r="N552" s="19"/>
      <c r="O552" s="19"/>
      <c r="P552" s="20"/>
      <c r="Q552" s="20"/>
      <c r="R552" s="22"/>
      <c r="S552" s="22"/>
      <c r="T552" s="20"/>
      <c r="U552" s="20"/>
      <c r="V552" s="20"/>
      <c r="W552" s="19"/>
      <c r="X552" s="19"/>
      <c r="Y552" s="19"/>
      <c r="Z552" s="23"/>
    </row>
    <row r="553" spans="1:26" ht="15.75" customHeight="1" x14ac:dyDescent="0.2">
      <c r="A553" s="34"/>
      <c r="B553" s="34"/>
      <c r="C553" s="34"/>
      <c r="D553" s="34"/>
      <c r="E553" s="19"/>
      <c r="F553" s="19"/>
      <c r="G553" s="19"/>
      <c r="H553" s="19"/>
      <c r="I553" s="19"/>
      <c r="J553" s="19"/>
      <c r="K553" s="19"/>
      <c r="L553" s="19"/>
      <c r="M553" s="19"/>
      <c r="N553" s="19"/>
      <c r="O553" s="19"/>
      <c r="P553" s="20"/>
      <c r="Q553" s="20"/>
      <c r="R553" s="22"/>
      <c r="S553" s="22"/>
      <c r="T553" s="20"/>
      <c r="U553" s="20"/>
      <c r="V553" s="20"/>
      <c r="W553" s="19"/>
      <c r="X553" s="19"/>
      <c r="Y553" s="19"/>
      <c r="Z553" s="23"/>
    </row>
    <row r="554" spans="1:26" ht="15.75" customHeight="1" x14ac:dyDescent="0.2">
      <c r="A554" s="34"/>
      <c r="B554" s="34"/>
      <c r="C554" s="34"/>
      <c r="D554" s="34"/>
      <c r="E554" s="19"/>
      <c r="F554" s="19"/>
      <c r="G554" s="19"/>
      <c r="H554" s="19"/>
      <c r="I554" s="19"/>
      <c r="J554" s="19"/>
      <c r="K554" s="19"/>
      <c r="L554" s="19"/>
      <c r="M554" s="19"/>
      <c r="N554" s="19"/>
      <c r="O554" s="19"/>
      <c r="P554" s="20"/>
      <c r="Q554" s="20"/>
      <c r="R554" s="22"/>
      <c r="S554" s="22"/>
      <c r="T554" s="20"/>
      <c r="U554" s="20"/>
      <c r="V554" s="20"/>
      <c r="W554" s="19"/>
      <c r="X554" s="19"/>
      <c r="Y554" s="19"/>
      <c r="Z554" s="23"/>
    </row>
    <row r="555" spans="1:26" ht="15.75" customHeight="1" x14ac:dyDescent="0.2">
      <c r="A555" s="34"/>
      <c r="B555" s="34"/>
      <c r="C555" s="34"/>
      <c r="D555" s="34"/>
      <c r="E555" s="19"/>
      <c r="F555" s="19"/>
      <c r="G555" s="19"/>
      <c r="H555" s="19"/>
      <c r="I555" s="19"/>
      <c r="J555" s="19"/>
      <c r="K555" s="19"/>
      <c r="L555" s="19"/>
      <c r="M555" s="19"/>
      <c r="N555" s="19"/>
      <c r="O555" s="19"/>
      <c r="P555" s="20"/>
      <c r="Q555" s="20"/>
      <c r="R555" s="22"/>
      <c r="S555" s="22"/>
      <c r="T555" s="20"/>
      <c r="U555" s="20"/>
      <c r="V555" s="20"/>
      <c r="W555" s="19"/>
      <c r="X555" s="19"/>
      <c r="Y555" s="19"/>
      <c r="Z555" s="23"/>
    </row>
    <row r="556" spans="1:26" ht="15.75" customHeight="1" x14ac:dyDescent="0.2">
      <c r="A556" s="34"/>
      <c r="B556" s="34"/>
      <c r="C556" s="34"/>
      <c r="D556" s="34"/>
      <c r="E556" s="19"/>
      <c r="F556" s="19"/>
      <c r="G556" s="19"/>
      <c r="H556" s="19"/>
      <c r="I556" s="19"/>
      <c r="J556" s="19"/>
      <c r="K556" s="19"/>
      <c r="L556" s="19"/>
      <c r="M556" s="19"/>
      <c r="N556" s="19"/>
      <c r="O556" s="19"/>
      <c r="P556" s="20"/>
      <c r="Q556" s="20"/>
      <c r="R556" s="22"/>
      <c r="S556" s="22"/>
      <c r="T556" s="20"/>
      <c r="U556" s="20"/>
      <c r="V556" s="20"/>
      <c r="W556" s="19"/>
      <c r="X556" s="19"/>
      <c r="Y556" s="19"/>
      <c r="Z556" s="23"/>
    </row>
    <row r="557" spans="1:26" ht="15.75" customHeight="1" x14ac:dyDescent="0.2">
      <c r="A557" s="34"/>
      <c r="B557" s="34"/>
      <c r="C557" s="34"/>
      <c r="D557" s="34"/>
      <c r="E557" s="19"/>
      <c r="F557" s="19"/>
      <c r="G557" s="19"/>
      <c r="H557" s="19"/>
      <c r="I557" s="19"/>
      <c r="J557" s="19"/>
      <c r="K557" s="19"/>
      <c r="L557" s="19"/>
      <c r="M557" s="19"/>
      <c r="N557" s="19"/>
      <c r="O557" s="19"/>
      <c r="P557" s="20"/>
      <c r="Q557" s="20"/>
      <c r="R557" s="22"/>
      <c r="S557" s="22"/>
      <c r="T557" s="20"/>
      <c r="U557" s="20"/>
      <c r="V557" s="20"/>
      <c r="W557" s="19"/>
      <c r="X557" s="19"/>
      <c r="Y557" s="19"/>
      <c r="Z557" s="23"/>
    </row>
    <row r="558" spans="1:26" ht="15.75" customHeight="1" x14ac:dyDescent="0.2">
      <c r="A558" s="34"/>
      <c r="B558" s="34"/>
      <c r="C558" s="34"/>
      <c r="D558" s="34"/>
      <c r="E558" s="19"/>
      <c r="F558" s="19"/>
      <c r="G558" s="19"/>
      <c r="H558" s="19"/>
      <c r="I558" s="19"/>
      <c r="J558" s="19"/>
      <c r="K558" s="19"/>
      <c r="L558" s="19"/>
      <c r="M558" s="19"/>
      <c r="N558" s="19"/>
      <c r="O558" s="19"/>
      <c r="P558" s="20"/>
      <c r="Q558" s="20"/>
      <c r="R558" s="22"/>
      <c r="S558" s="22"/>
      <c r="T558" s="20"/>
      <c r="U558" s="20"/>
      <c r="V558" s="20"/>
      <c r="W558" s="19"/>
      <c r="X558" s="19"/>
      <c r="Y558" s="19"/>
      <c r="Z558" s="23"/>
    </row>
    <row r="559" spans="1:26" ht="15.75" customHeight="1" x14ac:dyDescent="0.2">
      <c r="A559" s="34"/>
      <c r="B559" s="34"/>
      <c r="C559" s="34"/>
      <c r="D559" s="34"/>
      <c r="E559" s="19"/>
      <c r="F559" s="19"/>
      <c r="G559" s="19"/>
      <c r="H559" s="19"/>
      <c r="I559" s="19"/>
      <c r="J559" s="19"/>
      <c r="K559" s="19"/>
      <c r="L559" s="19"/>
      <c r="M559" s="19"/>
      <c r="N559" s="19"/>
      <c r="O559" s="19"/>
      <c r="P559" s="20"/>
      <c r="Q559" s="20"/>
      <c r="R559" s="22"/>
      <c r="S559" s="22"/>
      <c r="T559" s="20"/>
      <c r="U559" s="20"/>
      <c r="V559" s="20"/>
      <c r="W559" s="19"/>
      <c r="X559" s="19"/>
      <c r="Y559" s="19"/>
      <c r="Z559" s="23"/>
    </row>
    <row r="560" spans="1:26" ht="15.75" customHeight="1" x14ac:dyDescent="0.2">
      <c r="A560" s="34"/>
      <c r="B560" s="34"/>
      <c r="C560" s="34"/>
      <c r="D560" s="34"/>
      <c r="E560" s="19"/>
      <c r="F560" s="19"/>
      <c r="G560" s="19"/>
      <c r="H560" s="19"/>
      <c r="I560" s="19"/>
      <c r="J560" s="19"/>
      <c r="K560" s="19"/>
      <c r="L560" s="19"/>
      <c r="M560" s="19"/>
      <c r="N560" s="19"/>
      <c r="O560" s="19"/>
      <c r="P560" s="20"/>
      <c r="Q560" s="20"/>
      <c r="R560" s="22"/>
      <c r="S560" s="22"/>
      <c r="T560" s="20"/>
      <c r="U560" s="20"/>
      <c r="V560" s="20"/>
      <c r="W560" s="19"/>
      <c r="X560" s="19"/>
      <c r="Y560" s="19"/>
      <c r="Z560" s="23"/>
    </row>
    <row r="561" spans="1:26" ht="15.75" customHeight="1" x14ac:dyDescent="0.2">
      <c r="A561" s="34"/>
      <c r="B561" s="34"/>
      <c r="C561" s="34"/>
      <c r="D561" s="34"/>
      <c r="E561" s="19"/>
      <c r="F561" s="19"/>
      <c r="G561" s="19"/>
      <c r="H561" s="19"/>
      <c r="I561" s="19"/>
      <c r="J561" s="19"/>
      <c r="K561" s="19"/>
      <c r="L561" s="19"/>
      <c r="M561" s="19"/>
      <c r="N561" s="19"/>
      <c r="O561" s="19"/>
      <c r="P561" s="20"/>
      <c r="Q561" s="20"/>
      <c r="R561" s="22"/>
      <c r="S561" s="22"/>
      <c r="T561" s="20"/>
      <c r="U561" s="20"/>
      <c r="V561" s="20"/>
      <c r="W561" s="19"/>
      <c r="X561" s="19"/>
      <c r="Y561" s="19"/>
      <c r="Z561" s="23"/>
    </row>
    <row r="562" spans="1:26" ht="15.75" customHeight="1" x14ac:dyDescent="0.2">
      <c r="A562" s="34"/>
      <c r="B562" s="34"/>
      <c r="C562" s="34"/>
      <c r="D562" s="34"/>
      <c r="E562" s="19"/>
      <c r="F562" s="19"/>
      <c r="G562" s="19"/>
      <c r="H562" s="19"/>
      <c r="I562" s="19"/>
      <c r="J562" s="19"/>
      <c r="K562" s="19"/>
      <c r="L562" s="19"/>
      <c r="M562" s="19"/>
      <c r="N562" s="19"/>
      <c r="O562" s="19"/>
      <c r="P562" s="20"/>
      <c r="Q562" s="20"/>
      <c r="R562" s="22"/>
      <c r="S562" s="22"/>
      <c r="T562" s="20"/>
      <c r="U562" s="20"/>
      <c r="V562" s="20"/>
      <c r="W562" s="19"/>
      <c r="X562" s="19"/>
      <c r="Y562" s="19"/>
      <c r="Z562" s="23"/>
    </row>
    <row r="563" spans="1:26" ht="15.75" customHeight="1" x14ac:dyDescent="0.2">
      <c r="A563" s="34"/>
      <c r="B563" s="34"/>
      <c r="C563" s="34"/>
      <c r="D563" s="34"/>
      <c r="E563" s="19"/>
      <c r="F563" s="19"/>
      <c r="G563" s="19"/>
      <c r="H563" s="19"/>
      <c r="I563" s="19"/>
      <c r="J563" s="19"/>
      <c r="K563" s="19"/>
      <c r="L563" s="19"/>
      <c r="M563" s="19"/>
      <c r="N563" s="19"/>
      <c r="O563" s="19"/>
      <c r="P563" s="20"/>
      <c r="Q563" s="20"/>
      <c r="R563" s="22"/>
      <c r="S563" s="22"/>
      <c r="T563" s="20"/>
      <c r="U563" s="20"/>
      <c r="V563" s="20"/>
      <c r="W563" s="19"/>
      <c r="X563" s="19"/>
      <c r="Y563" s="19"/>
      <c r="Z563" s="23"/>
    </row>
    <row r="564" spans="1:26" ht="15.75" customHeight="1" x14ac:dyDescent="0.2">
      <c r="A564" s="34"/>
      <c r="B564" s="34"/>
      <c r="C564" s="34"/>
      <c r="D564" s="34"/>
      <c r="E564" s="19"/>
      <c r="F564" s="19"/>
      <c r="G564" s="19"/>
      <c r="H564" s="19"/>
      <c r="I564" s="19"/>
      <c r="J564" s="19"/>
      <c r="K564" s="19"/>
      <c r="L564" s="19"/>
      <c r="M564" s="19"/>
      <c r="N564" s="19"/>
      <c r="O564" s="19"/>
      <c r="P564" s="20"/>
      <c r="Q564" s="20"/>
      <c r="R564" s="22"/>
      <c r="S564" s="22"/>
      <c r="T564" s="20"/>
      <c r="U564" s="20"/>
      <c r="V564" s="20"/>
      <c r="W564" s="19"/>
      <c r="X564" s="19"/>
      <c r="Y564" s="19"/>
      <c r="Z564" s="23"/>
    </row>
    <row r="565" spans="1:26" ht="15.75" customHeight="1" x14ac:dyDescent="0.2">
      <c r="A565" s="34"/>
      <c r="B565" s="34"/>
      <c r="C565" s="34"/>
      <c r="D565" s="34"/>
      <c r="E565" s="19"/>
      <c r="F565" s="19"/>
      <c r="G565" s="19"/>
      <c r="H565" s="19"/>
      <c r="I565" s="19"/>
      <c r="J565" s="19"/>
      <c r="K565" s="19"/>
      <c r="L565" s="19"/>
      <c r="M565" s="19"/>
      <c r="N565" s="19"/>
      <c r="O565" s="19"/>
      <c r="P565" s="20"/>
      <c r="Q565" s="20"/>
      <c r="R565" s="22"/>
      <c r="S565" s="22"/>
      <c r="T565" s="20"/>
      <c r="U565" s="20"/>
      <c r="V565" s="20"/>
      <c r="W565" s="19"/>
      <c r="X565" s="19"/>
      <c r="Y565" s="19"/>
      <c r="Z565" s="23"/>
    </row>
    <row r="566" spans="1:26" ht="15.75" customHeight="1" x14ac:dyDescent="0.2">
      <c r="A566" s="34"/>
      <c r="B566" s="34"/>
      <c r="C566" s="34"/>
      <c r="D566" s="34"/>
      <c r="E566" s="19"/>
      <c r="F566" s="19"/>
      <c r="G566" s="19"/>
      <c r="H566" s="19"/>
      <c r="I566" s="19"/>
      <c r="J566" s="19"/>
      <c r="K566" s="19"/>
      <c r="L566" s="19"/>
      <c r="M566" s="19"/>
      <c r="N566" s="19"/>
      <c r="O566" s="19"/>
      <c r="P566" s="20"/>
      <c r="Q566" s="20"/>
      <c r="R566" s="22"/>
      <c r="S566" s="22"/>
      <c r="T566" s="20"/>
      <c r="U566" s="20"/>
      <c r="V566" s="20"/>
      <c r="W566" s="19"/>
      <c r="X566" s="19"/>
      <c r="Y566" s="19"/>
      <c r="Z566" s="23"/>
    </row>
    <row r="567" spans="1:26" ht="15.75" customHeight="1" x14ac:dyDescent="0.2">
      <c r="A567" s="34"/>
      <c r="B567" s="34"/>
      <c r="C567" s="34"/>
      <c r="D567" s="34"/>
      <c r="E567" s="19"/>
      <c r="F567" s="19"/>
      <c r="G567" s="19"/>
      <c r="H567" s="19"/>
      <c r="I567" s="19"/>
      <c r="J567" s="19"/>
      <c r="K567" s="19"/>
      <c r="L567" s="19"/>
      <c r="M567" s="19"/>
      <c r="N567" s="19"/>
      <c r="O567" s="19"/>
      <c r="P567" s="20"/>
      <c r="Q567" s="20"/>
      <c r="R567" s="22"/>
      <c r="S567" s="22"/>
      <c r="T567" s="20"/>
      <c r="U567" s="20"/>
      <c r="V567" s="20"/>
      <c r="W567" s="19"/>
      <c r="X567" s="19"/>
      <c r="Y567" s="19"/>
      <c r="Z567" s="23"/>
    </row>
    <row r="568" spans="1:26" ht="15.75" customHeight="1" x14ac:dyDescent="0.2">
      <c r="A568" s="34"/>
      <c r="B568" s="34"/>
      <c r="C568" s="34"/>
      <c r="D568" s="34"/>
      <c r="E568" s="19"/>
      <c r="F568" s="19"/>
      <c r="G568" s="19"/>
      <c r="H568" s="19"/>
      <c r="I568" s="19"/>
      <c r="J568" s="19"/>
      <c r="K568" s="19"/>
      <c r="L568" s="19"/>
      <c r="M568" s="19"/>
      <c r="N568" s="19"/>
      <c r="O568" s="19"/>
      <c r="P568" s="20"/>
      <c r="Q568" s="20"/>
      <c r="R568" s="22"/>
      <c r="S568" s="22"/>
      <c r="T568" s="20"/>
      <c r="U568" s="20"/>
      <c r="V568" s="20"/>
      <c r="W568" s="19"/>
      <c r="X568" s="19"/>
      <c r="Y568" s="19"/>
      <c r="Z568" s="23"/>
    </row>
    <row r="569" spans="1:26" ht="15.75" customHeight="1" x14ac:dyDescent="0.2">
      <c r="A569" s="34"/>
      <c r="B569" s="34"/>
      <c r="C569" s="34"/>
      <c r="D569" s="34"/>
      <c r="E569" s="19"/>
      <c r="F569" s="19"/>
      <c r="G569" s="19"/>
      <c r="H569" s="19"/>
      <c r="I569" s="19"/>
      <c r="J569" s="19"/>
      <c r="K569" s="19"/>
      <c r="L569" s="19"/>
      <c r="M569" s="19"/>
      <c r="N569" s="19"/>
      <c r="O569" s="19"/>
      <c r="P569" s="20"/>
      <c r="Q569" s="20"/>
      <c r="R569" s="22"/>
      <c r="S569" s="22"/>
      <c r="T569" s="20"/>
      <c r="U569" s="20"/>
      <c r="V569" s="20"/>
      <c r="W569" s="19"/>
      <c r="X569" s="19"/>
      <c r="Y569" s="19"/>
      <c r="Z569" s="23"/>
    </row>
    <row r="570" spans="1:26" ht="15.75" customHeight="1" x14ac:dyDescent="0.2">
      <c r="A570" s="34"/>
      <c r="B570" s="34"/>
      <c r="C570" s="34"/>
      <c r="D570" s="34"/>
      <c r="E570" s="19"/>
      <c r="F570" s="19"/>
      <c r="G570" s="19"/>
      <c r="H570" s="19"/>
      <c r="I570" s="19"/>
      <c r="J570" s="19"/>
      <c r="K570" s="19"/>
      <c r="L570" s="19"/>
      <c r="M570" s="19"/>
      <c r="N570" s="19"/>
      <c r="O570" s="19"/>
      <c r="P570" s="20"/>
      <c r="Q570" s="20"/>
      <c r="R570" s="22"/>
      <c r="S570" s="22"/>
      <c r="T570" s="20"/>
      <c r="U570" s="20"/>
      <c r="V570" s="20"/>
      <c r="W570" s="19"/>
      <c r="X570" s="19"/>
      <c r="Y570" s="19"/>
      <c r="Z570" s="23"/>
    </row>
    <row r="571" spans="1:26" ht="15.75" customHeight="1" x14ac:dyDescent="0.2">
      <c r="A571" s="34"/>
      <c r="B571" s="34"/>
      <c r="C571" s="34"/>
      <c r="D571" s="34"/>
      <c r="E571" s="19"/>
      <c r="F571" s="19"/>
      <c r="G571" s="19"/>
      <c r="H571" s="19"/>
      <c r="I571" s="19"/>
      <c r="J571" s="19"/>
      <c r="K571" s="19"/>
      <c r="L571" s="19"/>
      <c r="M571" s="19"/>
      <c r="N571" s="19"/>
      <c r="O571" s="19"/>
      <c r="P571" s="20"/>
      <c r="Q571" s="20"/>
      <c r="R571" s="22"/>
      <c r="S571" s="22"/>
      <c r="T571" s="20"/>
      <c r="U571" s="20"/>
      <c r="V571" s="20"/>
      <c r="W571" s="19"/>
      <c r="X571" s="19"/>
      <c r="Y571" s="19"/>
      <c r="Z571" s="23"/>
    </row>
    <row r="572" spans="1:26" ht="15.75" customHeight="1" x14ac:dyDescent="0.2">
      <c r="A572" s="34"/>
      <c r="B572" s="34"/>
      <c r="C572" s="34"/>
      <c r="D572" s="34"/>
      <c r="E572" s="19"/>
      <c r="F572" s="19"/>
      <c r="G572" s="19"/>
      <c r="H572" s="19"/>
      <c r="I572" s="19"/>
      <c r="J572" s="19"/>
      <c r="K572" s="19"/>
      <c r="L572" s="19"/>
      <c r="M572" s="19"/>
      <c r="N572" s="19"/>
      <c r="O572" s="19"/>
      <c r="P572" s="20"/>
      <c r="Q572" s="20"/>
      <c r="R572" s="22"/>
      <c r="S572" s="22"/>
      <c r="T572" s="20"/>
      <c r="U572" s="20"/>
      <c r="V572" s="20"/>
      <c r="W572" s="19"/>
      <c r="X572" s="19"/>
      <c r="Y572" s="19"/>
      <c r="Z572" s="23"/>
    </row>
    <row r="573" spans="1:26" ht="15.75" customHeight="1" x14ac:dyDescent="0.2">
      <c r="A573" s="34"/>
      <c r="B573" s="34"/>
      <c r="C573" s="34"/>
      <c r="D573" s="34"/>
      <c r="E573" s="19"/>
      <c r="F573" s="19"/>
      <c r="G573" s="19"/>
      <c r="H573" s="19"/>
      <c r="I573" s="19"/>
      <c r="J573" s="19"/>
      <c r="K573" s="19"/>
      <c r="L573" s="19"/>
      <c r="M573" s="19"/>
      <c r="N573" s="19"/>
      <c r="O573" s="19"/>
      <c r="P573" s="20"/>
      <c r="Q573" s="20"/>
      <c r="R573" s="22"/>
      <c r="S573" s="22"/>
      <c r="T573" s="20"/>
      <c r="U573" s="20"/>
      <c r="V573" s="20"/>
      <c r="W573" s="19"/>
      <c r="X573" s="19"/>
      <c r="Y573" s="19"/>
      <c r="Z573" s="23"/>
    </row>
    <row r="574" spans="1:26" ht="15.75" customHeight="1" x14ac:dyDescent="0.2">
      <c r="A574" s="34"/>
      <c r="B574" s="34"/>
      <c r="C574" s="34"/>
      <c r="D574" s="34"/>
      <c r="E574" s="19"/>
      <c r="F574" s="19"/>
      <c r="G574" s="19"/>
      <c r="H574" s="19"/>
      <c r="I574" s="19"/>
      <c r="J574" s="19"/>
      <c r="K574" s="19"/>
      <c r="L574" s="19"/>
      <c r="M574" s="19"/>
      <c r="N574" s="19"/>
      <c r="O574" s="19"/>
      <c r="P574" s="20"/>
      <c r="Q574" s="20"/>
      <c r="R574" s="22"/>
      <c r="S574" s="22"/>
      <c r="T574" s="20"/>
      <c r="U574" s="20"/>
      <c r="V574" s="20"/>
      <c r="W574" s="19"/>
      <c r="X574" s="19"/>
      <c r="Y574" s="19"/>
      <c r="Z574" s="23"/>
    </row>
    <row r="575" spans="1:26" ht="15.75" customHeight="1" x14ac:dyDescent="0.2">
      <c r="A575" s="34"/>
      <c r="B575" s="34"/>
      <c r="C575" s="34"/>
      <c r="D575" s="34"/>
      <c r="E575" s="19"/>
      <c r="F575" s="19"/>
      <c r="G575" s="19"/>
      <c r="H575" s="19"/>
      <c r="I575" s="19"/>
      <c r="J575" s="19"/>
      <c r="K575" s="19"/>
      <c r="L575" s="19"/>
      <c r="M575" s="19"/>
      <c r="N575" s="19"/>
      <c r="O575" s="19"/>
      <c r="P575" s="20"/>
      <c r="Q575" s="20"/>
      <c r="R575" s="22"/>
      <c r="S575" s="22"/>
      <c r="T575" s="20"/>
      <c r="U575" s="20"/>
      <c r="V575" s="20"/>
      <c r="W575" s="19"/>
      <c r="X575" s="19"/>
      <c r="Y575" s="19"/>
      <c r="Z575" s="23"/>
    </row>
    <row r="576" spans="1:26" ht="15.75" customHeight="1" x14ac:dyDescent="0.2">
      <c r="A576" s="34"/>
      <c r="B576" s="34"/>
      <c r="C576" s="34"/>
      <c r="D576" s="34"/>
      <c r="E576" s="19"/>
      <c r="F576" s="19"/>
      <c r="G576" s="19"/>
      <c r="H576" s="19"/>
      <c r="I576" s="19"/>
      <c r="J576" s="19"/>
      <c r="K576" s="19"/>
      <c r="L576" s="19"/>
      <c r="M576" s="19"/>
      <c r="N576" s="19"/>
      <c r="O576" s="19"/>
      <c r="P576" s="20"/>
      <c r="Q576" s="20"/>
      <c r="R576" s="22"/>
      <c r="S576" s="22"/>
      <c r="T576" s="20"/>
      <c r="U576" s="20"/>
      <c r="V576" s="20"/>
      <c r="W576" s="19"/>
      <c r="X576" s="19"/>
      <c r="Y576" s="19"/>
      <c r="Z576" s="23"/>
    </row>
    <row r="577" spans="1:26" ht="15.75" customHeight="1" x14ac:dyDescent="0.2">
      <c r="A577" s="34"/>
      <c r="B577" s="34"/>
      <c r="C577" s="34"/>
      <c r="D577" s="34"/>
      <c r="E577" s="19"/>
      <c r="F577" s="19"/>
      <c r="G577" s="19"/>
      <c r="H577" s="19"/>
      <c r="I577" s="19"/>
      <c r="J577" s="19"/>
      <c r="K577" s="19"/>
      <c r="L577" s="19"/>
      <c r="M577" s="19"/>
      <c r="N577" s="19"/>
      <c r="O577" s="19"/>
      <c r="P577" s="20"/>
      <c r="Q577" s="20"/>
      <c r="R577" s="22"/>
      <c r="S577" s="22"/>
      <c r="T577" s="20"/>
      <c r="U577" s="20"/>
      <c r="V577" s="20"/>
      <c r="W577" s="19"/>
      <c r="X577" s="19"/>
      <c r="Y577" s="19"/>
      <c r="Z577" s="23"/>
    </row>
    <row r="578" spans="1:26" ht="15.75" customHeight="1" x14ac:dyDescent="0.2">
      <c r="A578" s="34"/>
      <c r="B578" s="34"/>
      <c r="C578" s="34"/>
      <c r="D578" s="34"/>
      <c r="E578" s="19"/>
      <c r="F578" s="19"/>
      <c r="G578" s="19"/>
      <c r="H578" s="19"/>
      <c r="I578" s="19"/>
      <c r="J578" s="19"/>
      <c r="K578" s="19"/>
      <c r="L578" s="19"/>
      <c r="M578" s="19"/>
      <c r="N578" s="19"/>
      <c r="O578" s="19"/>
      <c r="P578" s="20"/>
      <c r="Q578" s="20"/>
      <c r="R578" s="22"/>
      <c r="S578" s="22"/>
      <c r="T578" s="20"/>
      <c r="U578" s="20"/>
      <c r="V578" s="20"/>
      <c r="W578" s="19"/>
      <c r="X578" s="19"/>
      <c r="Y578" s="19"/>
      <c r="Z578" s="23"/>
    </row>
    <row r="579" spans="1:26" ht="15.75" customHeight="1" x14ac:dyDescent="0.2">
      <c r="A579" s="34"/>
      <c r="B579" s="34"/>
      <c r="C579" s="34"/>
      <c r="D579" s="34"/>
      <c r="E579" s="19"/>
      <c r="F579" s="19"/>
      <c r="G579" s="19"/>
      <c r="H579" s="19"/>
      <c r="I579" s="19"/>
      <c r="J579" s="19"/>
      <c r="K579" s="19"/>
      <c r="L579" s="19"/>
      <c r="M579" s="19"/>
      <c r="N579" s="19"/>
      <c r="O579" s="19"/>
      <c r="P579" s="20"/>
      <c r="Q579" s="20"/>
      <c r="R579" s="22"/>
      <c r="S579" s="22"/>
      <c r="T579" s="20"/>
      <c r="U579" s="20"/>
      <c r="V579" s="20"/>
      <c r="W579" s="19"/>
      <c r="X579" s="19"/>
      <c r="Y579" s="19"/>
      <c r="Z579" s="23"/>
    </row>
    <row r="580" spans="1:26" ht="15.75" customHeight="1" x14ac:dyDescent="0.2">
      <c r="A580" s="34"/>
      <c r="B580" s="34"/>
      <c r="C580" s="34"/>
      <c r="D580" s="34"/>
      <c r="E580" s="19"/>
      <c r="F580" s="19"/>
      <c r="G580" s="19"/>
      <c r="H580" s="19"/>
      <c r="I580" s="19"/>
      <c r="J580" s="19"/>
      <c r="K580" s="19"/>
      <c r="L580" s="19"/>
      <c r="M580" s="19"/>
      <c r="N580" s="19"/>
      <c r="O580" s="19"/>
      <c r="P580" s="20"/>
      <c r="Q580" s="20"/>
      <c r="R580" s="22"/>
      <c r="S580" s="22"/>
      <c r="T580" s="20"/>
      <c r="U580" s="20"/>
      <c r="V580" s="20"/>
      <c r="W580" s="19"/>
      <c r="X580" s="19"/>
      <c r="Y580" s="19"/>
      <c r="Z580" s="23"/>
    </row>
    <row r="581" spans="1:26" ht="15.75" customHeight="1" x14ac:dyDescent="0.2">
      <c r="A581" s="34"/>
      <c r="B581" s="34"/>
      <c r="C581" s="34"/>
      <c r="D581" s="34"/>
      <c r="E581" s="19"/>
      <c r="F581" s="19"/>
      <c r="G581" s="19"/>
      <c r="H581" s="19"/>
      <c r="I581" s="19"/>
      <c r="J581" s="19"/>
      <c r="K581" s="19"/>
      <c r="L581" s="19"/>
      <c r="M581" s="19"/>
      <c r="N581" s="19"/>
      <c r="O581" s="19"/>
      <c r="P581" s="20"/>
      <c r="Q581" s="20"/>
      <c r="R581" s="22"/>
      <c r="S581" s="22"/>
      <c r="T581" s="20"/>
      <c r="U581" s="20"/>
      <c r="V581" s="20"/>
      <c r="W581" s="19"/>
      <c r="X581" s="19"/>
      <c r="Y581" s="19"/>
      <c r="Z581" s="23"/>
    </row>
    <row r="582" spans="1:26" ht="15.75" customHeight="1" x14ac:dyDescent="0.2">
      <c r="A582" s="34"/>
      <c r="B582" s="34"/>
      <c r="C582" s="34"/>
      <c r="D582" s="34"/>
      <c r="E582" s="19"/>
      <c r="F582" s="19"/>
      <c r="G582" s="19"/>
      <c r="H582" s="19"/>
      <c r="I582" s="19"/>
      <c r="J582" s="19"/>
      <c r="K582" s="19"/>
      <c r="L582" s="19"/>
      <c r="M582" s="19"/>
      <c r="N582" s="19"/>
      <c r="O582" s="19"/>
      <c r="P582" s="20"/>
      <c r="Q582" s="20"/>
      <c r="R582" s="22"/>
      <c r="S582" s="22"/>
      <c r="T582" s="20"/>
      <c r="U582" s="20"/>
      <c r="V582" s="20"/>
      <c r="W582" s="19"/>
      <c r="X582" s="19"/>
      <c r="Y582" s="19"/>
      <c r="Z582" s="23"/>
    </row>
    <row r="583" spans="1:26" ht="15.75" customHeight="1" x14ac:dyDescent="0.2">
      <c r="A583" s="34"/>
      <c r="B583" s="34"/>
      <c r="C583" s="34"/>
      <c r="D583" s="34"/>
      <c r="E583" s="19"/>
      <c r="F583" s="19"/>
      <c r="G583" s="19"/>
      <c r="H583" s="19"/>
      <c r="I583" s="19"/>
      <c r="J583" s="19"/>
      <c r="K583" s="19"/>
      <c r="L583" s="19"/>
      <c r="M583" s="19"/>
      <c r="N583" s="19"/>
      <c r="O583" s="19"/>
      <c r="P583" s="20"/>
      <c r="Q583" s="20"/>
      <c r="R583" s="22"/>
      <c r="S583" s="22"/>
      <c r="T583" s="20"/>
      <c r="U583" s="20"/>
      <c r="V583" s="20"/>
      <c r="W583" s="19"/>
      <c r="X583" s="19"/>
      <c r="Y583" s="19"/>
      <c r="Z583" s="23"/>
    </row>
    <row r="584" spans="1:26" ht="15.75" customHeight="1" x14ac:dyDescent="0.2">
      <c r="A584" s="34"/>
      <c r="B584" s="34"/>
      <c r="C584" s="34"/>
      <c r="D584" s="34"/>
      <c r="E584" s="19"/>
      <c r="F584" s="19"/>
      <c r="G584" s="19"/>
      <c r="H584" s="19"/>
      <c r="I584" s="19"/>
      <c r="J584" s="19"/>
      <c r="K584" s="19"/>
      <c r="L584" s="19"/>
      <c r="M584" s="19"/>
      <c r="N584" s="19"/>
      <c r="O584" s="19"/>
      <c r="P584" s="20"/>
      <c r="Q584" s="20"/>
      <c r="R584" s="22"/>
      <c r="S584" s="22"/>
      <c r="T584" s="20"/>
      <c r="U584" s="20"/>
      <c r="V584" s="20"/>
      <c r="W584" s="19"/>
      <c r="X584" s="19"/>
      <c r="Y584" s="19"/>
      <c r="Z584" s="23"/>
    </row>
    <row r="585" spans="1:26" ht="15.75" customHeight="1" x14ac:dyDescent="0.2">
      <c r="A585" s="34"/>
      <c r="B585" s="34"/>
      <c r="C585" s="34"/>
      <c r="D585" s="34"/>
      <c r="E585" s="19"/>
      <c r="F585" s="19"/>
      <c r="G585" s="19"/>
      <c r="H585" s="19"/>
      <c r="I585" s="19"/>
      <c r="J585" s="19"/>
      <c r="K585" s="19"/>
      <c r="L585" s="19"/>
      <c r="M585" s="19"/>
      <c r="N585" s="19"/>
      <c r="O585" s="19"/>
      <c r="P585" s="20"/>
      <c r="Q585" s="20"/>
      <c r="R585" s="22"/>
      <c r="S585" s="22"/>
      <c r="T585" s="20"/>
      <c r="U585" s="20"/>
      <c r="V585" s="20"/>
      <c r="W585" s="19"/>
      <c r="X585" s="19"/>
      <c r="Y585" s="19"/>
      <c r="Z585" s="23"/>
    </row>
    <row r="586" spans="1:26" ht="15.75" customHeight="1" x14ac:dyDescent="0.2">
      <c r="A586" s="34"/>
      <c r="B586" s="34"/>
      <c r="C586" s="34"/>
      <c r="D586" s="34"/>
      <c r="E586" s="19"/>
      <c r="F586" s="19"/>
      <c r="G586" s="19"/>
      <c r="H586" s="19"/>
      <c r="I586" s="19"/>
      <c r="J586" s="19"/>
      <c r="K586" s="19"/>
      <c r="L586" s="19"/>
      <c r="M586" s="19"/>
      <c r="N586" s="19"/>
      <c r="O586" s="19"/>
      <c r="P586" s="20"/>
      <c r="Q586" s="20"/>
      <c r="R586" s="22"/>
      <c r="S586" s="22"/>
      <c r="T586" s="20"/>
      <c r="U586" s="20"/>
      <c r="V586" s="20"/>
      <c r="W586" s="19"/>
      <c r="X586" s="19"/>
      <c r="Y586" s="19"/>
      <c r="Z586" s="23"/>
    </row>
    <row r="587" spans="1:26" ht="15.75" customHeight="1" x14ac:dyDescent="0.2">
      <c r="A587" s="34"/>
      <c r="B587" s="34"/>
      <c r="C587" s="34"/>
      <c r="D587" s="34"/>
      <c r="E587" s="19"/>
      <c r="F587" s="19"/>
      <c r="G587" s="19"/>
      <c r="H587" s="19"/>
      <c r="I587" s="19"/>
      <c r="J587" s="19"/>
      <c r="K587" s="19"/>
      <c r="L587" s="19"/>
      <c r="M587" s="19"/>
      <c r="N587" s="19"/>
      <c r="O587" s="19"/>
      <c r="P587" s="20"/>
      <c r="Q587" s="20"/>
      <c r="R587" s="22"/>
      <c r="S587" s="22"/>
      <c r="T587" s="20"/>
      <c r="U587" s="20"/>
      <c r="V587" s="20"/>
      <c r="W587" s="19"/>
      <c r="X587" s="19"/>
      <c r="Y587" s="19"/>
      <c r="Z587" s="23"/>
    </row>
    <row r="588" spans="1:26" ht="15.75" customHeight="1" x14ac:dyDescent="0.2">
      <c r="A588" s="34"/>
      <c r="B588" s="34"/>
      <c r="C588" s="34"/>
      <c r="D588" s="34"/>
      <c r="E588" s="19"/>
      <c r="F588" s="19"/>
      <c r="G588" s="19"/>
      <c r="H588" s="19"/>
      <c r="I588" s="19"/>
      <c r="J588" s="19"/>
      <c r="K588" s="19"/>
      <c r="L588" s="19"/>
      <c r="M588" s="19"/>
      <c r="N588" s="19"/>
      <c r="O588" s="19"/>
      <c r="P588" s="20"/>
      <c r="Q588" s="20"/>
      <c r="R588" s="22"/>
      <c r="S588" s="22"/>
      <c r="T588" s="20"/>
      <c r="U588" s="20"/>
      <c r="V588" s="20"/>
      <c r="W588" s="19"/>
      <c r="X588" s="19"/>
      <c r="Y588" s="19"/>
      <c r="Z588" s="23"/>
    </row>
    <row r="589" spans="1:26" ht="15.75" customHeight="1" x14ac:dyDescent="0.2">
      <c r="A589" s="34"/>
      <c r="B589" s="34"/>
      <c r="C589" s="34"/>
      <c r="D589" s="34"/>
      <c r="E589" s="19"/>
      <c r="F589" s="19"/>
      <c r="G589" s="19"/>
      <c r="H589" s="19"/>
      <c r="I589" s="19"/>
      <c r="J589" s="19"/>
      <c r="K589" s="19"/>
      <c r="L589" s="19"/>
      <c r="M589" s="19"/>
      <c r="N589" s="19"/>
      <c r="O589" s="19"/>
      <c r="P589" s="20"/>
      <c r="Q589" s="20"/>
      <c r="R589" s="22"/>
      <c r="S589" s="22"/>
      <c r="T589" s="20"/>
      <c r="U589" s="20"/>
      <c r="V589" s="20"/>
      <c r="W589" s="19"/>
      <c r="X589" s="19"/>
      <c r="Y589" s="19"/>
      <c r="Z589" s="23"/>
    </row>
    <row r="590" spans="1:26" ht="15.75" customHeight="1" x14ac:dyDescent="0.2">
      <c r="A590" s="34"/>
      <c r="B590" s="34"/>
      <c r="C590" s="34"/>
      <c r="D590" s="34"/>
      <c r="E590" s="19"/>
      <c r="F590" s="19"/>
      <c r="G590" s="19"/>
      <c r="H590" s="19"/>
      <c r="I590" s="19"/>
      <c r="J590" s="19"/>
      <c r="K590" s="19"/>
      <c r="L590" s="19"/>
      <c r="M590" s="19"/>
      <c r="N590" s="19"/>
      <c r="O590" s="19"/>
      <c r="P590" s="20"/>
      <c r="Q590" s="20"/>
      <c r="R590" s="22"/>
      <c r="S590" s="22"/>
      <c r="T590" s="20"/>
      <c r="U590" s="20"/>
      <c r="V590" s="20"/>
      <c r="W590" s="19"/>
      <c r="X590" s="19"/>
      <c r="Y590" s="19"/>
      <c r="Z590" s="23"/>
    </row>
    <row r="591" spans="1:26" ht="15.75" customHeight="1" x14ac:dyDescent="0.2">
      <c r="A591" s="34"/>
      <c r="B591" s="34"/>
      <c r="C591" s="34"/>
      <c r="D591" s="34"/>
      <c r="E591" s="19"/>
      <c r="F591" s="19"/>
      <c r="G591" s="19"/>
      <c r="H591" s="19"/>
      <c r="I591" s="19"/>
      <c r="J591" s="19"/>
      <c r="K591" s="19"/>
      <c r="L591" s="19"/>
      <c r="M591" s="19"/>
      <c r="N591" s="19"/>
      <c r="O591" s="19"/>
      <c r="P591" s="20"/>
      <c r="Q591" s="20"/>
      <c r="R591" s="22"/>
      <c r="S591" s="22"/>
      <c r="T591" s="20"/>
      <c r="U591" s="20"/>
      <c r="V591" s="20"/>
      <c r="W591" s="19"/>
      <c r="X591" s="19"/>
      <c r="Y591" s="19"/>
      <c r="Z591" s="23"/>
    </row>
    <row r="592" spans="1:26" ht="15.75" customHeight="1" x14ac:dyDescent="0.2">
      <c r="A592" s="34"/>
      <c r="B592" s="34"/>
      <c r="C592" s="34"/>
      <c r="D592" s="34"/>
      <c r="E592" s="19"/>
      <c r="F592" s="19"/>
      <c r="G592" s="19"/>
      <c r="H592" s="19"/>
      <c r="I592" s="19"/>
      <c r="J592" s="19"/>
      <c r="K592" s="19"/>
      <c r="L592" s="19"/>
      <c r="M592" s="19"/>
      <c r="N592" s="19"/>
      <c r="O592" s="19"/>
      <c r="P592" s="20"/>
      <c r="Q592" s="20"/>
      <c r="R592" s="22"/>
      <c r="S592" s="22"/>
      <c r="T592" s="20"/>
      <c r="U592" s="20"/>
      <c r="V592" s="20"/>
      <c r="W592" s="19"/>
      <c r="X592" s="19"/>
      <c r="Y592" s="19"/>
      <c r="Z592" s="23"/>
    </row>
    <row r="593" spans="1:26" ht="15.75" customHeight="1" x14ac:dyDescent="0.2">
      <c r="A593" s="34"/>
      <c r="B593" s="34"/>
      <c r="C593" s="34"/>
      <c r="D593" s="34"/>
      <c r="E593" s="19"/>
      <c r="F593" s="19"/>
      <c r="G593" s="19"/>
      <c r="H593" s="19"/>
      <c r="I593" s="19"/>
      <c r="J593" s="19"/>
      <c r="K593" s="19"/>
      <c r="L593" s="19"/>
      <c r="M593" s="19"/>
      <c r="N593" s="19"/>
      <c r="O593" s="19"/>
      <c r="P593" s="20"/>
      <c r="Q593" s="20"/>
      <c r="R593" s="22"/>
      <c r="S593" s="22"/>
      <c r="T593" s="20"/>
      <c r="U593" s="20"/>
      <c r="V593" s="20"/>
      <c r="W593" s="19"/>
      <c r="X593" s="19"/>
      <c r="Y593" s="19"/>
      <c r="Z593" s="23"/>
    </row>
    <row r="594" spans="1:26" ht="15.75" customHeight="1" x14ac:dyDescent="0.2">
      <c r="A594" s="34"/>
      <c r="B594" s="34"/>
      <c r="C594" s="34"/>
      <c r="D594" s="34"/>
      <c r="E594" s="19"/>
      <c r="F594" s="19"/>
      <c r="G594" s="19"/>
      <c r="H594" s="19"/>
      <c r="I594" s="19"/>
      <c r="J594" s="19"/>
      <c r="K594" s="19"/>
      <c r="L594" s="19"/>
      <c r="M594" s="19"/>
      <c r="N594" s="19"/>
      <c r="O594" s="19"/>
      <c r="P594" s="20"/>
      <c r="Q594" s="20"/>
      <c r="R594" s="22"/>
      <c r="S594" s="22"/>
      <c r="T594" s="20"/>
      <c r="U594" s="20"/>
      <c r="V594" s="20"/>
      <c r="W594" s="19"/>
      <c r="X594" s="19"/>
      <c r="Y594" s="19"/>
      <c r="Z594" s="23"/>
    </row>
    <row r="595" spans="1:26" ht="15.75" customHeight="1" x14ac:dyDescent="0.2">
      <c r="A595" s="34"/>
      <c r="B595" s="34"/>
      <c r="C595" s="34"/>
      <c r="D595" s="34"/>
      <c r="E595" s="19"/>
      <c r="F595" s="19"/>
      <c r="G595" s="19"/>
      <c r="H595" s="19"/>
      <c r="I595" s="19"/>
      <c r="J595" s="19"/>
      <c r="K595" s="19"/>
      <c r="L595" s="19"/>
      <c r="M595" s="19"/>
      <c r="N595" s="19"/>
      <c r="O595" s="19"/>
      <c r="P595" s="20"/>
      <c r="Q595" s="20"/>
      <c r="R595" s="22"/>
      <c r="S595" s="22"/>
      <c r="T595" s="20"/>
      <c r="U595" s="20"/>
      <c r="V595" s="20"/>
      <c r="W595" s="19"/>
      <c r="X595" s="19"/>
      <c r="Y595" s="19"/>
      <c r="Z595" s="23"/>
    </row>
    <row r="596" spans="1:26" ht="15.75" customHeight="1" x14ac:dyDescent="0.2">
      <c r="A596" s="34"/>
      <c r="B596" s="34"/>
      <c r="C596" s="34"/>
      <c r="D596" s="34"/>
      <c r="E596" s="19"/>
      <c r="F596" s="19"/>
      <c r="G596" s="19"/>
      <c r="H596" s="19"/>
      <c r="I596" s="19"/>
      <c r="J596" s="19"/>
      <c r="K596" s="19"/>
      <c r="L596" s="19"/>
      <c r="M596" s="19"/>
      <c r="N596" s="19"/>
      <c r="O596" s="19"/>
      <c r="P596" s="20"/>
      <c r="Q596" s="20"/>
      <c r="R596" s="22"/>
      <c r="S596" s="22"/>
      <c r="T596" s="20"/>
      <c r="U596" s="20"/>
      <c r="V596" s="20"/>
      <c r="W596" s="19"/>
      <c r="X596" s="19"/>
      <c r="Y596" s="19"/>
      <c r="Z596" s="23"/>
    </row>
    <row r="597" spans="1:26" ht="15.75" customHeight="1" x14ac:dyDescent="0.2">
      <c r="A597" s="34"/>
      <c r="B597" s="34"/>
      <c r="C597" s="34"/>
      <c r="D597" s="34"/>
      <c r="E597" s="19"/>
      <c r="F597" s="19"/>
      <c r="G597" s="19"/>
      <c r="H597" s="19"/>
      <c r="I597" s="19"/>
      <c r="J597" s="19"/>
      <c r="K597" s="19"/>
      <c r="L597" s="19"/>
      <c r="M597" s="19"/>
      <c r="N597" s="19"/>
      <c r="O597" s="19"/>
      <c r="P597" s="20"/>
      <c r="Q597" s="20"/>
      <c r="R597" s="22"/>
      <c r="S597" s="22"/>
      <c r="T597" s="20"/>
      <c r="U597" s="20"/>
      <c r="V597" s="20"/>
      <c r="W597" s="19"/>
      <c r="X597" s="19"/>
      <c r="Y597" s="19"/>
      <c r="Z597" s="23"/>
    </row>
    <row r="598" spans="1:26" ht="15.75" customHeight="1" x14ac:dyDescent="0.2">
      <c r="A598" s="34"/>
      <c r="B598" s="34"/>
      <c r="C598" s="34"/>
      <c r="D598" s="34"/>
      <c r="E598" s="19"/>
      <c r="F598" s="19"/>
      <c r="G598" s="19"/>
      <c r="H598" s="19"/>
      <c r="I598" s="19"/>
      <c r="J598" s="19"/>
      <c r="K598" s="19"/>
      <c r="L598" s="19"/>
      <c r="M598" s="19"/>
      <c r="N598" s="19"/>
      <c r="O598" s="19"/>
      <c r="P598" s="20"/>
      <c r="Q598" s="20"/>
      <c r="R598" s="22"/>
      <c r="S598" s="22"/>
      <c r="T598" s="20"/>
      <c r="U598" s="20"/>
      <c r="V598" s="20"/>
      <c r="W598" s="19"/>
      <c r="X598" s="19"/>
      <c r="Y598" s="19"/>
      <c r="Z598" s="23"/>
    </row>
    <row r="599" spans="1:26" ht="15.75" customHeight="1" x14ac:dyDescent="0.2">
      <c r="A599" s="34"/>
      <c r="B599" s="34"/>
      <c r="C599" s="34"/>
      <c r="D599" s="34"/>
      <c r="E599" s="19"/>
      <c r="F599" s="19"/>
      <c r="G599" s="19"/>
      <c r="H599" s="19"/>
      <c r="I599" s="19"/>
      <c r="J599" s="19"/>
      <c r="K599" s="19"/>
      <c r="L599" s="19"/>
      <c r="M599" s="19"/>
      <c r="N599" s="19"/>
      <c r="O599" s="19"/>
      <c r="P599" s="20"/>
      <c r="Q599" s="20"/>
      <c r="R599" s="22"/>
      <c r="S599" s="22"/>
      <c r="T599" s="20"/>
      <c r="U599" s="20"/>
      <c r="V599" s="20"/>
      <c r="W599" s="19"/>
      <c r="X599" s="19"/>
      <c r="Y599" s="19"/>
      <c r="Z599" s="23"/>
    </row>
    <row r="600" spans="1:26" ht="15.75" customHeight="1" x14ac:dyDescent="0.2">
      <c r="A600" s="34"/>
      <c r="B600" s="34"/>
      <c r="C600" s="34"/>
      <c r="D600" s="34"/>
      <c r="E600" s="19"/>
      <c r="F600" s="19"/>
      <c r="G600" s="19"/>
      <c r="H600" s="19"/>
      <c r="I600" s="19"/>
      <c r="J600" s="19"/>
      <c r="K600" s="19"/>
      <c r="L600" s="19"/>
      <c r="M600" s="19"/>
      <c r="N600" s="19"/>
      <c r="O600" s="19"/>
      <c r="P600" s="20"/>
      <c r="Q600" s="20"/>
      <c r="R600" s="22"/>
      <c r="S600" s="22"/>
      <c r="T600" s="20"/>
      <c r="U600" s="20"/>
      <c r="V600" s="20"/>
      <c r="W600" s="19"/>
      <c r="X600" s="19"/>
      <c r="Y600" s="19"/>
      <c r="Z600" s="23"/>
    </row>
    <row r="601" spans="1:26" ht="15.75" customHeight="1" x14ac:dyDescent="0.2">
      <c r="A601" s="34"/>
      <c r="B601" s="34"/>
      <c r="C601" s="34"/>
      <c r="D601" s="34"/>
      <c r="E601" s="19"/>
      <c r="F601" s="19"/>
      <c r="G601" s="19"/>
      <c r="H601" s="19"/>
      <c r="I601" s="19"/>
      <c r="J601" s="19"/>
      <c r="K601" s="19"/>
      <c r="L601" s="19"/>
      <c r="M601" s="19"/>
      <c r="N601" s="19"/>
      <c r="O601" s="19"/>
      <c r="P601" s="20"/>
      <c r="Q601" s="20"/>
      <c r="R601" s="22"/>
      <c r="S601" s="22"/>
      <c r="T601" s="20"/>
      <c r="U601" s="20"/>
      <c r="V601" s="20"/>
      <c r="W601" s="19"/>
      <c r="X601" s="19"/>
      <c r="Y601" s="19"/>
      <c r="Z601" s="23"/>
    </row>
    <row r="602" spans="1:26" ht="15.75" customHeight="1" x14ac:dyDescent="0.2">
      <c r="A602" s="34"/>
      <c r="B602" s="34"/>
      <c r="C602" s="34"/>
      <c r="D602" s="34"/>
      <c r="E602" s="19"/>
      <c r="F602" s="19"/>
      <c r="G602" s="19"/>
      <c r="H602" s="19"/>
      <c r="I602" s="19"/>
      <c r="J602" s="19"/>
      <c r="K602" s="19"/>
      <c r="L602" s="19"/>
      <c r="M602" s="19"/>
      <c r="N602" s="19"/>
      <c r="O602" s="19"/>
      <c r="P602" s="20"/>
      <c r="Q602" s="20"/>
      <c r="R602" s="22"/>
      <c r="S602" s="22"/>
      <c r="T602" s="20"/>
      <c r="U602" s="20"/>
      <c r="V602" s="20"/>
      <c r="W602" s="19"/>
      <c r="X602" s="19"/>
      <c r="Y602" s="19"/>
      <c r="Z602" s="23"/>
    </row>
    <row r="603" spans="1:26" ht="15.75" customHeight="1" x14ac:dyDescent="0.2">
      <c r="A603" s="34"/>
      <c r="B603" s="34"/>
      <c r="C603" s="34"/>
      <c r="D603" s="34"/>
      <c r="E603" s="19"/>
      <c r="F603" s="19"/>
      <c r="G603" s="19"/>
      <c r="H603" s="19"/>
      <c r="I603" s="19"/>
      <c r="J603" s="19"/>
      <c r="K603" s="19"/>
      <c r="L603" s="19"/>
      <c r="M603" s="19"/>
      <c r="N603" s="19"/>
      <c r="O603" s="19"/>
      <c r="P603" s="20"/>
      <c r="Q603" s="20"/>
      <c r="R603" s="22"/>
      <c r="S603" s="22"/>
      <c r="T603" s="20"/>
      <c r="U603" s="20"/>
      <c r="V603" s="20"/>
      <c r="W603" s="19"/>
      <c r="X603" s="19"/>
      <c r="Y603" s="19"/>
      <c r="Z603" s="23"/>
    </row>
    <row r="604" spans="1:26" ht="15.75" customHeight="1" x14ac:dyDescent="0.2">
      <c r="A604" s="34"/>
      <c r="B604" s="34"/>
      <c r="C604" s="34"/>
      <c r="D604" s="34"/>
      <c r="E604" s="19"/>
      <c r="F604" s="19"/>
      <c r="G604" s="19"/>
      <c r="H604" s="19"/>
      <c r="I604" s="19"/>
      <c r="J604" s="19"/>
      <c r="K604" s="19"/>
      <c r="L604" s="19"/>
      <c r="M604" s="19"/>
      <c r="N604" s="19"/>
      <c r="O604" s="19"/>
      <c r="P604" s="20"/>
      <c r="Q604" s="20"/>
      <c r="R604" s="22"/>
      <c r="S604" s="22"/>
      <c r="T604" s="20"/>
      <c r="U604" s="20"/>
      <c r="V604" s="20"/>
      <c r="W604" s="19"/>
      <c r="X604" s="19"/>
      <c r="Y604" s="19"/>
      <c r="Z604" s="23"/>
    </row>
    <row r="605" spans="1:26" ht="15.75" customHeight="1" x14ac:dyDescent="0.2">
      <c r="A605" s="34"/>
      <c r="B605" s="34"/>
      <c r="C605" s="34"/>
      <c r="D605" s="34"/>
      <c r="E605" s="19"/>
      <c r="F605" s="19"/>
      <c r="G605" s="19"/>
      <c r="H605" s="19"/>
      <c r="I605" s="19"/>
      <c r="J605" s="19"/>
      <c r="K605" s="19"/>
      <c r="L605" s="19"/>
      <c r="M605" s="19"/>
      <c r="N605" s="19"/>
      <c r="O605" s="19"/>
      <c r="P605" s="20"/>
      <c r="Q605" s="20"/>
      <c r="R605" s="22"/>
      <c r="S605" s="22"/>
      <c r="T605" s="20"/>
      <c r="U605" s="20"/>
      <c r="V605" s="20"/>
      <c r="W605" s="19"/>
      <c r="X605" s="19"/>
      <c r="Y605" s="19"/>
      <c r="Z605" s="23"/>
    </row>
    <row r="606" spans="1:26" ht="15.75" customHeight="1" x14ac:dyDescent="0.2">
      <c r="A606" s="34"/>
      <c r="B606" s="34"/>
      <c r="C606" s="34"/>
      <c r="D606" s="34"/>
      <c r="E606" s="19"/>
      <c r="F606" s="19"/>
      <c r="G606" s="19"/>
      <c r="H606" s="19"/>
      <c r="I606" s="19"/>
      <c r="J606" s="19"/>
      <c r="K606" s="19"/>
      <c r="L606" s="19"/>
      <c r="M606" s="19"/>
      <c r="N606" s="19"/>
      <c r="O606" s="19"/>
      <c r="P606" s="20"/>
      <c r="Q606" s="20"/>
      <c r="R606" s="22"/>
      <c r="S606" s="22"/>
      <c r="T606" s="20"/>
      <c r="U606" s="20"/>
      <c r="V606" s="20"/>
      <c r="W606" s="19"/>
      <c r="X606" s="19"/>
      <c r="Y606" s="19"/>
      <c r="Z606" s="23"/>
    </row>
    <row r="607" spans="1:26" ht="15.75" customHeight="1" x14ac:dyDescent="0.2">
      <c r="A607" s="34"/>
      <c r="B607" s="34"/>
      <c r="C607" s="34"/>
      <c r="D607" s="34"/>
      <c r="E607" s="19"/>
      <c r="F607" s="19"/>
      <c r="G607" s="19"/>
      <c r="H607" s="19"/>
      <c r="I607" s="19"/>
      <c r="J607" s="19"/>
      <c r="K607" s="19"/>
      <c r="L607" s="19"/>
      <c r="M607" s="19"/>
      <c r="N607" s="19"/>
      <c r="O607" s="19"/>
      <c r="P607" s="20"/>
      <c r="Q607" s="20"/>
      <c r="R607" s="22"/>
      <c r="S607" s="22"/>
      <c r="T607" s="20"/>
      <c r="U607" s="20"/>
      <c r="V607" s="20"/>
      <c r="W607" s="19"/>
      <c r="X607" s="19"/>
      <c r="Y607" s="19"/>
      <c r="Z607" s="23"/>
    </row>
    <row r="608" spans="1:26" ht="15.75" customHeight="1" x14ac:dyDescent="0.2">
      <c r="A608" s="34"/>
      <c r="B608" s="34"/>
      <c r="C608" s="34"/>
      <c r="D608" s="34"/>
      <c r="E608" s="19"/>
      <c r="F608" s="19"/>
      <c r="G608" s="19"/>
      <c r="H608" s="19"/>
      <c r="I608" s="19"/>
      <c r="J608" s="19"/>
      <c r="K608" s="19"/>
      <c r="L608" s="19"/>
      <c r="M608" s="19"/>
      <c r="N608" s="19"/>
      <c r="O608" s="19"/>
      <c r="P608" s="20"/>
      <c r="Q608" s="20"/>
      <c r="R608" s="22"/>
      <c r="S608" s="22"/>
      <c r="T608" s="20"/>
      <c r="U608" s="20"/>
      <c r="V608" s="20"/>
      <c r="W608" s="19"/>
      <c r="X608" s="19"/>
      <c r="Y608" s="19"/>
      <c r="Z608" s="23"/>
    </row>
    <row r="609" spans="1:26" ht="15.75" customHeight="1" x14ac:dyDescent="0.2">
      <c r="A609" s="34"/>
      <c r="B609" s="34"/>
      <c r="C609" s="34"/>
      <c r="D609" s="34"/>
      <c r="E609" s="19"/>
      <c r="F609" s="19"/>
      <c r="G609" s="19"/>
      <c r="H609" s="19"/>
      <c r="I609" s="19"/>
      <c r="J609" s="19"/>
      <c r="K609" s="19"/>
      <c r="L609" s="19"/>
      <c r="M609" s="19"/>
      <c r="N609" s="19"/>
      <c r="O609" s="19"/>
      <c r="P609" s="20"/>
      <c r="Q609" s="20"/>
      <c r="R609" s="22"/>
      <c r="S609" s="22"/>
      <c r="T609" s="20"/>
      <c r="U609" s="20"/>
      <c r="V609" s="20"/>
      <c r="W609" s="19"/>
      <c r="X609" s="19"/>
      <c r="Y609" s="19"/>
      <c r="Z609" s="23"/>
    </row>
    <row r="610" spans="1:26" ht="15.75" customHeight="1" x14ac:dyDescent="0.2">
      <c r="A610" s="34"/>
      <c r="B610" s="34"/>
      <c r="C610" s="34"/>
      <c r="D610" s="34"/>
      <c r="E610" s="19"/>
      <c r="F610" s="19"/>
      <c r="G610" s="19"/>
      <c r="H610" s="19"/>
      <c r="I610" s="19"/>
      <c r="J610" s="19"/>
      <c r="K610" s="19"/>
      <c r="L610" s="19"/>
      <c r="M610" s="19"/>
      <c r="N610" s="19"/>
      <c r="O610" s="19"/>
      <c r="P610" s="20"/>
      <c r="Q610" s="20"/>
      <c r="R610" s="22"/>
      <c r="S610" s="22"/>
      <c r="T610" s="20"/>
      <c r="U610" s="20"/>
      <c r="V610" s="20"/>
      <c r="W610" s="19"/>
      <c r="X610" s="19"/>
      <c r="Y610" s="19"/>
      <c r="Z610" s="23"/>
    </row>
    <row r="611" spans="1:26" ht="15.75" customHeight="1" x14ac:dyDescent="0.2">
      <c r="A611" s="34"/>
      <c r="B611" s="34"/>
      <c r="C611" s="34"/>
      <c r="D611" s="34"/>
      <c r="E611" s="19"/>
      <c r="F611" s="19"/>
      <c r="G611" s="19"/>
      <c r="H611" s="19"/>
      <c r="I611" s="19"/>
      <c r="J611" s="19"/>
      <c r="K611" s="19"/>
      <c r="L611" s="19"/>
      <c r="M611" s="19"/>
      <c r="N611" s="19"/>
      <c r="O611" s="19"/>
      <c r="P611" s="20"/>
      <c r="Q611" s="20"/>
      <c r="R611" s="22"/>
      <c r="S611" s="22"/>
      <c r="T611" s="20"/>
      <c r="U611" s="20"/>
      <c r="V611" s="20"/>
      <c r="W611" s="19"/>
      <c r="X611" s="19"/>
      <c r="Y611" s="19"/>
      <c r="Z611" s="23"/>
    </row>
    <row r="612" spans="1:26" ht="15.75" customHeight="1" x14ac:dyDescent="0.2">
      <c r="A612" s="34"/>
      <c r="B612" s="34"/>
      <c r="C612" s="34"/>
      <c r="D612" s="34"/>
      <c r="E612" s="19"/>
      <c r="F612" s="19"/>
      <c r="G612" s="19"/>
      <c r="H612" s="19"/>
      <c r="I612" s="19"/>
      <c r="J612" s="19"/>
      <c r="K612" s="19"/>
      <c r="L612" s="19"/>
      <c r="M612" s="19"/>
      <c r="N612" s="19"/>
      <c r="O612" s="19"/>
      <c r="P612" s="20"/>
      <c r="Q612" s="20"/>
      <c r="R612" s="22"/>
      <c r="S612" s="22"/>
      <c r="T612" s="20"/>
      <c r="U612" s="20"/>
      <c r="V612" s="20"/>
      <c r="W612" s="19"/>
      <c r="X612" s="19"/>
      <c r="Y612" s="19"/>
      <c r="Z612" s="23"/>
    </row>
    <row r="613" spans="1:26" ht="15.75" customHeight="1" x14ac:dyDescent="0.2">
      <c r="A613" s="34"/>
      <c r="B613" s="34"/>
      <c r="C613" s="34"/>
      <c r="D613" s="34"/>
      <c r="E613" s="19"/>
      <c r="F613" s="19"/>
      <c r="G613" s="19"/>
      <c r="H613" s="19"/>
      <c r="I613" s="19"/>
      <c r="J613" s="19"/>
      <c r="K613" s="19"/>
      <c r="L613" s="19"/>
      <c r="M613" s="19"/>
      <c r="N613" s="19"/>
      <c r="O613" s="19"/>
      <c r="P613" s="20"/>
      <c r="Q613" s="20"/>
      <c r="R613" s="22"/>
      <c r="S613" s="22"/>
      <c r="T613" s="20"/>
      <c r="U613" s="20"/>
      <c r="V613" s="20"/>
      <c r="W613" s="19"/>
      <c r="X613" s="19"/>
      <c r="Y613" s="19"/>
      <c r="Z613" s="23"/>
    </row>
    <row r="614" spans="1:26" ht="15.75" customHeight="1" x14ac:dyDescent="0.2">
      <c r="A614" s="34"/>
      <c r="B614" s="34"/>
      <c r="C614" s="34"/>
      <c r="D614" s="34"/>
      <c r="E614" s="19"/>
      <c r="F614" s="19"/>
      <c r="G614" s="19"/>
      <c r="H614" s="19"/>
      <c r="I614" s="19"/>
      <c r="J614" s="19"/>
      <c r="K614" s="19"/>
      <c r="L614" s="19"/>
      <c r="M614" s="19"/>
      <c r="N614" s="19"/>
      <c r="O614" s="19"/>
      <c r="P614" s="20"/>
      <c r="Q614" s="20"/>
      <c r="R614" s="22"/>
      <c r="S614" s="22"/>
      <c r="T614" s="20"/>
      <c r="U614" s="20"/>
      <c r="V614" s="20"/>
      <c r="W614" s="19"/>
      <c r="X614" s="19"/>
      <c r="Y614" s="19"/>
      <c r="Z614" s="23"/>
    </row>
    <row r="615" spans="1:26" ht="15.75" customHeight="1" x14ac:dyDescent="0.2">
      <c r="A615" s="34"/>
      <c r="B615" s="34"/>
      <c r="C615" s="34"/>
      <c r="D615" s="34"/>
      <c r="E615" s="19"/>
      <c r="F615" s="19"/>
      <c r="G615" s="19"/>
      <c r="H615" s="19"/>
      <c r="I615" s="19"/>
      <c r="J615" s="19"/>
      <c r="K615" s="19"/>
      <c r="L615" s="19"/>
      <c r="M615" s="19"/>
      <c r="N615" s="19"/>
      <c r="O615" s="19"/>
      <c r="P615" s="20"/>
      <c r="Q615" s="20"/>
      <c r="R615" s="22"/>
      <c r="S615" s="22"/>
      <c r="T615" s="20"/>
      <c r="U615" s="20"/>
      <c r="V615" s="20"/>
      <c r="W615" s="19"/>
      <c r="X615" s="19"/>
      <c r="Y615" s="19"/>
      <c r="Z615" s="23"/>
    </row>
    <row r="616" spans="1:26" ht="15.75" customHeight="1" x14ac:dyDescent="0.2">
      <c r="A616" s="34"/>
      <c r="B616" s="34"/>
      <c r="C616" s="34"/>
      <c r="D616" s="34"/>
      <c r="E616" s="19"/>
      <c r="F616" s="19"/>
      <c r="G616" s="19"/>
      <c r="H616" s="19"/>
      <c r="I616" s="19"/>
      <c r="J616" s="19"/>
      <c r="K616" s="19"/>
      <c r="L616" s="19"/>
      <c r="M616" s="19"/>
      <c r="N616" s="19"/>
      <c r="O616" s="19"/>
      <c r="P616" s="20"/>
      <c r="Q616" s="20"/>
      <c r="R616" s="22"/>
      <c r="S616" s="22"/>
      <c r="T616" s="20"/>
      <c r="U616" s="20"/>
      <c r="V616" s="20"/>
      <c r="W616" s="19"/>
      <c r="X616" s="19"/>
      <c r="Y616" s="19"/>
      <c r="Z616" s="23"/>
    </row>
    <row r="617" spans="1:26" ht="15.75" customHeight="1" x14ac:dyDescent="0.2">
      <c r="A617" s="34"/>
      <c r="B617" s="34"/>
      <c r="C617" s="34"/>
      <c r="D617" s="34"/>
      <c r="E617" s="19"/>
      <c r="F617" s="19"/>
      <c r="G617" s="19"/>
      <c r="H617" s="19"/>
      <c r="I617" s="19"/>
      <c r="J617" s="19"/>
      <c r="K617" s="19"/>
      <c r="L617" s="19"/>
      <c r="M617" s="19"/>
      <c r="N617" s="19"/>
      <c r="O617" s="19"/>
      <c r="P617" s="20"/>
      <c r="Q617" s="20"/>
      <c r="R617" s="22"/>
      <c r="S617" s="22"/>
      <c r="T617" s="20"/>
      <c r="U617" s="20"/>
      <c r="V617" s="20"/>
      <c r="W617" s="19"/>
      <c r="X617" s="19"/>
      <c r="Y617" s="19"/>
      <c r="Z617" s="23"/>
    </row>
    <row r="618" spans="1:26" ht="15.75" customHeight="1" x14ac:dyDescent="0.2">
      <c r="A618" s="34"/>
      <c r="B618" s="34"/>
      <c r="C618" s="34"/>
      <c r="D618" s="34"/>
      <c r="E618" s="19"/>
      <c r="F618" s="19"/>
      <c r="G618" s="19"/>
      <c r="H618" s="19"/>
      <c r="I618" s="19"/>
      <c r="J618" s="19"/>
      <c r="K618" s="19"/>
      <c r="L618" s="19"/>
      <c r="M618" s="19"/>
      <c r="N618" s="19"/>
      <c r="O618" s="19"/>
      <c r="P618" s="20"/>
      <c r="Q618" s="20"/>
      <c r="R618" s="22"/>
      <c r="S618" s="22"/>
      <c r="T618" s="20"/>
      <c r="U618" s="20"/>
      <c r="V618" s="20"/>
      <c r="W618" s="19"/>
      <c r="X618" s="19"/>
      <c r="Y618" s="19"/>
      <c r="Z618" s="23"/>
    </row>
    <row r="619" spans="1:26" ht="15.75" customHeight="1" x14ac:dyDescent="0.2">
      <c r="A619" s="34"/>
      <c r="B619" s="34"/>
      <c r="C619" s="34"/>
      <c r="D619" s="34"/>
      <c r="E619" s="19"/>
      <c r="F619" s="19"/>
      <c r="G619" s="19"/>
      <c r="H619" s="19"/>
      <c r="I619" s="19"/>
      <c r="J619" s="19"/>
      <c r="K619" s="19"/>
      <c r="L619" s="19"/>
      <c r="M619" s="19"/>
      <c r="N619" s="19"/>
      <c r="O619" s="19"/>
      <c r="P619" s="20"/>
      <c r="Q619" s="20"/>
      <c r="R619" s="22"/>
      <c r="S619" s="22"/>
      <c r="T619" s="20"/>
      <c r="U619" s="20"/>
      <c r="V619" s="20"/>
      <c r="W619" s="19"/>
      <c r="X619" s="19"/>
      <c r="Y619" s="19"/>
      <c r="Z619" s="23"/>
    </row>
    <row r="620" spans="1:26" ht="15.75" customHeight="1" x14ac:dyDescent="0.2">
      <c r="A620" s="34"/>
      <c r="B620" s="34"/>
      <c r="C620" s="34"/>
      <c r="D620" s="34"/>
      <c r="E620" s="19"/>
      <c r="F620" s="19"/>
      <c r="G620" s="19"/>
      <c r="H620" s="19"/>
      <c r="I620" s="19"/>
      <c r="J620" s="19"/>
      <c r="K620" s="19"/>
      <c r="L620" s="19"/>
      <c r="M620" s="19"/>
      <c r="N620" s="19"/>
      <c r="O620" s="19"/>
      <c r="P620" s="20"/>
      <c r="Q620" s="20"/>
      <c r="R620" s="22"/>
      <c r="S620" s="22"/>
      <c r="T620" s="20"/>
      <c r="U620" s="20"/>
      <c r="V620" s="20"/>
      <c r="W620" s="19"/>
      <c r="X620" s="19"/>
      <c r="Y620" s="19"/>
      <c r="Z620" s="23"/>
    </row>
    <row r="621" spans="1:26" ht="15.75" customHeight="1" x14ac:dyDescent="0.2">
      <c r="A621" s="34"/>
      <c r="B621" s="34"/>
      <c r="C621" s="34"/>
      <c r="D621" s="34"/>
      <c r="E621" s="19"/>
      <c r="F621" s="19"/>
      <c r="G621" s="19"/>
      <c r="H621" s="19"/>
      <c r="I621" s="19"/>
      <c r="J621" s="19"/>
      <c r="K621" s="19"/>
      <c r="L621" s="19"/>
      <c r="M621" s="19"/>
      <c r="N621" s="19"/>
      <c r="O621" s="19"/>
      <c r="P621" s="20"/>
      <c r="Q621" s="20"/>
      <c r="R621" s="22"/>
      <c r="S621" s="22"/>
      <c r="T621" s="20"/>
      <c r="U621" s="20"/>
      <c r="V621" s="20"/>
      <c r="W621" s="19"/>
      <c r="X621" s="19"/>
      <c r="Y621" s="19"/>
      <c r="Z621" s="23"/>
    </row>
    <row r="622" spans="1:26" ht="15.75" customHeight="1" x14ac:dyDescent="0.2">
      <c r="A622" s="34"/>
      <c r="B622" s="34"/>
      <c r="C622" s="34"/>
      <c r="D622" s="34"/>
      <c r="E622" s="19"/>
      <c r="F622" s="19"/>
      <c r="G622" s="19"/>
      <c r="H622" s="19"/>
      <c r="I622" s="19"/>
      <c r="J622" s="19"/>
      <c r="K622" s="19"/>
      <c r="L622" s="19"/>
      <c r="M622" s="19"/>
      <c r="N622" s="19"/>
      <c r="O622" s="19"/>
      <c r="P622" s="20"/>
      <c r="Q622" s="20"/>
      <c r="R622" s="22"/>
      <c r="S622" s="22"/>
      <c r="T622" s="20"/>
      <c r="U622" s="20"/>
      <c r="V622" s="20"/>
      <c r="W622" s="19"/>
      <c r="X622" s="19"/>
      <c r="Y622" s="19"/>
      <c r="Z622" s="23"/>
    </row>
    <row r="623" spans="1:26" ht="15.75" customHeight="1" x14ac:dyDescent="0.2">
      <c r="A623" s="34"/>
      <c r="B623" s="34"/>
      <c r="C623" s="34"/>
      <c r="D623" s="34"/>
      <c r="E623" s="19"/>
      <c r="F623" s="19"/>
      <c r="G623" s="19"/>
      <c r="H623" s="19"/>
      <c r="I623" s="19"/>
      <c r="J623" s="19"/>
      <c r="K623" s="19"/>
      <c r="L623" s="19"/>
      <c r="M623" s="19"/>
      <c r="N623" s="19"/>
      <c r="O623" s="19"/>
      <c r="P623" s="20"/>
      <c r="Q623" s="20"/>
      <c r="R623" s="22"/>
      <c r="S623" s="22"/>
      <c r="T623" s="20"/>
      <c r="U623" s="20"/>
      <c r="V623" s="20"/>
      <c r="W623" s="19"/>
      <c r="X623" s="19"/>
      <c r="Y623" s="19"/>
      <c r="Z623" s="23"/>
    </row>
    <row r="624" spans="1:26" ht="15.75" customHeight="1" x14ac:dyDescent="0.2">
      <c r="A624" s="34"/>
      <c r="B624" s="34"/>
      <c r="C624" s="34"/>
      <c r="D624" s="34"/>
      <c r="E624" s="19"/>
      <c r="F624" s="19"/>
      <c r="G624" s="19"/>
      <c r="H624" s="19"/>
      <c r="I624" s="19"/>
      <c r="J624" s="19"/>
      <c r="K624" s="19"/>
      <c r="L624" s="19"/>
      <c r="M624" s="19"/>
      <c r="N624" s="19"/>
      <c r="O624" s="19"/>
      <c r="P624" s="20"/>
      <c r="Q624" s="20"/>
      <c r="R624" s="22"/>
      <c r="S624" s="22"/>
      <c r="T624" s="20"/>
      <c r="U624" s="20"/>
      <c r="V624" s="20"/>
      <c r="W624" s="19"/>
      <c r="X624" s="19"/>
      <c r="Y624" s="19"/>
      <c r="Z624" s="23"/>
    </row>
    <row r="625" spans="1:26" ht="15.75" customHeight="1" x14ac:dyDescent="0.2">
      <c r="A625" s="34"/>
      <c r="B625" s="34"/>
      <c r="C625" s="34"/>
      <c r="D625" s="34"/>
      <c r="E625" s="19"/>
      <c r="F625" s="19"/>
      <c r="G625" s="19"/>
      <c r="H625" s="19"/>
      <c r="I625" s="19"/>
      <c r="J625" s="19"/>
      <c r="K625" s="19"/>
      <c r="L625" s="19"/>
      <c r="M625" s="19"/>
      <c r="N625" s="19"/>
      <c r="O625" s="19"/>
      <c r="P625" s="20"/>
      <c r="Q625" s="20"/>
      <c r="R625" s="22"/>
      <c r="S625" s="22"/>
      <c r="T625" s="20"/>
      <c r="U625" s="20"/>
      <c r="V625" s="20"/>
      <c r="W625" s="19"/>
      <c r="X625" s="19"/>
      <c r="Y625" s="19"/>
      <c r="Z625" s="23"/>
    </row>
    <row r="626" spans="1:26" ht="15.75" customHeight="1" x14ac:dyDescent="0.2">
      <c r="A626" s="34"/>
      <c r="B626" s="34"/>
      <c r="C626" s="34"/>
      <c r="D626" s="34"/>
      <c r="E626" s="19"/>
      <c r="F626" s="19"/>
      <c r="G626" s="19"/>
      <c r="H626" s="19"/>
      <c r="I626" s="19"/>
      <c r="J626" s="19"/>
      <c r="K626" s="19"/>
      <c r="L626" s="19"/>
      <c r="M626" s="19"/>
      <c r="N626" s="19"/>
      <c r="O626" s="19"/>
      <c r="P626" s="20"/>
      <c r="Q626" s="20"/>
      <c r="R626" s="22"/>
      <c r="S626" s="22"/>
      <c r="T626" s="20"/>
      <c r="U626" s="20"/>
      <c r="V626" s="20"/>
      <c r="W626" s="19"/>
      <c r="X626" s="19"/>
      <c r="Y626" s="19"/>
      <c r="Z626" s="23"/>
    </row>
    <row r="627" spans="1:26" ht="15.75" customHeight="1" x14ac:dyDescent="0.2">
      <c r="A627" s="34"/>
      <c r="B627" s="34"/>
      <c r="C627" s="34"/>
      <c r="D627" s="34"/>
      <c r="E627" s="19"/>
      <c r="F627" s="19"/>
      <c r="G627" s="19"/>
      <c r="H627" s="19"/>
      <c r="I627" s="19"/>
      <c r="J627" s="19"/>
      <c r="K627" s="19"/>
      <c r="L627" s="19"/>
      <c r="M627" s="19"/>
      <c r="N627" s="19"/>
      <c r="O627" s="19"/>
      <c r="P627" s="20"/>
      <c r="Q627" s="20"/>
      <c r="R627" s="22"/>
      <c r="S627" s="22"/>
      <c r="T627" s="20"/>
      <c r="U627" s="20"/>
      <c r="V627" s="20"/>
      <c r="W627" s="19"/>
      <c r="X627" s="19"/>
      <c r="Y627" s="19"/>
      <c r="Z627" s="23"/>
    </row>
    <row r="628" spans="1:26" ht="15.75" customHeight="1" x14ac:dyDescent="0.2">
      <c r="A628" s="34"/>
      <c r="B628" s="34"/>
      <c r="C628" s="34"/>
      <c r="D628" s="34"/>
      <c r="E628" s="19"/>
      <c r="F628" s="19"/>
      <c r="G628" s="19"/>
      <c r="H628" s="19"/>
      <c r="I628" s="19"/>
      <c r="J628" s="19"/>
      <c r="K628" s="19"/>
      <c r="L628" s="19"/>
      <c r="M628" s="19"/>
      <c r="N628" s="19"/>
      <c r="O628" s="19"/>
      <c r="P628" s="20"/>
      <c r="Q628" s="20"/>
      <c r="R628" s="22"/>
      <c r="S628" s="22"/>
      <c r="T628" s="20"/>
      <c r="U628" s="20"/>
      <c r="V628" s="20"/>
      <c r="W628" s="19"/>
      <c r="X628" s="19"/>
      <c r="Y628" s="19"/>
      <c r="Z628" s="23"/>
    </row>
    <row r="629" spans="1:26" ht="15.75" customHeight="1" x14ac:dyDescent="0.2">
      <c r="A629" s="34"/>
      <c r="B629" s="34"/>
      <c r="C629" s="34"/>
      <c r="D629" s="34"/>
      <c r="E629" s="19"/>
      <c r="F629" s="19"/>
      <c r="G629" s="19"/>
      <c r="H629" s="19"/>
      <c r="I629" s="19"/>
      <c r="J629" s="19"/>
      <c r="K629" s="19"/>
      <c r="L629" s="19"/>
      <c r="M629" s="19"/>
      <c r="N629" s="19"/>
      <c r="O629" s="19"/>
      <c r="P629" s="20"/>
      <c r="Q629" s="20"/>
      <c r="R629" s="22"/>
      <c r="S629" s="22"/>
      <c r="T629" s="20"/>
      <c r="U629" s="20"/>
      <c r="V629" s="20"/>
      <c r="W629" s="19"/>
      <c r="X629" s="19"/>
      <c r="Y629" s="19"/>
      <c r="Z629" s="23"/>
    </row>
    <row r="630" spans="1:26" ht="15.75" customHeight="1" x14ac:dyDescent="0.2">
      <c r="A630" s="34"/>
      <c r="B630" s="34"/>
      <c r="C630" s="34"/>
      <c r="D630" s="34"/>
      <c r="E630" s="19"/>
      <c r="F630" s="19"/>
      <c r="G630" s="19"/>
      <c r="H630" s="19"/>
      <c r="I630" s="19"/>
      <c r="J630" s="19"/>
      <c r="K630" s="19"/>
      <c r="L630" s="19"/>
      <c r="M630" s="19"/>
      <c r="N630" s="19"/>
      <c r="O630" s="19"/>
      <c r="P630" s="20"/>
      <c r="Q630" s="20"/>
      <c r="R630" s="22"/>
      <c r="S630" s="22"/>
      <c r="T630" s="20"/>
      <c r="U630" s="20"/>
      <c r="V630" s="20"/>
      <c r="W630" s="19"/>
      <c r="X630" s="19"/>
      <c r="Y630" s="19"/>
      <c r="Z630" s="23"/>
    </row>
    <row r="631" spans="1:26" ht="15.75" customHeight="1" x14ac:dyDescent="0.2">
      <c r="A631" s="34"/>
      <c r="B631" s="34"/>
      <c r="C631" s="34"/>
      <c r="D631" s="34"/>
      <c r="E631" s="19"/>
      <c r="F631" s="19"/>
      <c r="G631" s="19"/>
      <c r="H631" s="19"/>
      <c r="I631" s="19"/>
      <c r="J631" s="19"/>
      <c r="K631" s="19"/>
      <c r="L631" s="19"/>
      <c r="M631" s="19"/>
      <c r="N631" s="19"/>
      <c r="O631" s="19"/>
      <c r="P631" s="20"/>
      <c r="Q631" s="20"/>
      <c r="R631" s="22"/>
      <c r="S631" s="22"/>
      <c r="T631" s="20"/>
      <c r="U631" s="20"/>
      <c r="V631" s="20"/>
      <c r="W631" s="19"/>
      <c r="X631" s="19"/>
      <c r="Y631" s="19"/>
      <c r="Z631" s="23"/>
    </row>
    <row r="632" spans="1:26" ht="15.75" customHeight="1" x14ac:dyDescent="0.2">
      <c r="A632" s="34"/>
      <c r="B632" s="34"/>
      <c r="C632" s="34"/>
      <c r="D632" s="34"/>
      <c r="E632" s="19"/>
      <c r="F632" s="19"/>
      <c r="G632" s="19"/>
      <c r="H632" s="19"/>
      <c r="I632" s="19"/>
      <c r="J632" s="19"/>
      <c r="K632" s="19"/>
      <c r="L632" s="19"/>
      <c r="M632" s="19"/>
      <c r="N632" s="19"/>
      <c r="O632" s="19"/>
      <c r="P632" s="20"/>
      <c r="Q632" s="20"/>
      <c r="R632" s="22"/>
      <c r="S632" s="22"/>
      <c r="T632" s="20"/>
      <c r="U632" s="20"/>
      <c r="V632" s="20"/>
      <c r="W632" s="19"/>
      <c r="X632" s="19"/>
      <c r="Y632" s="19"/>
      <c r="Z632" s="23"/>
    </row>
    <row r="633" spans="1:26" ht="15.75" customHeight="1" x14ac:dyDescent="0.2">
      <c r="A633" s="34"/>
      <c r="B633" s="34"/>
      <c r="C633" s="34"/>
      <c r="D633" s="34"/>
      <c r="E633" s="19"/>
      <c r="F633" s="19"/>
      <c r="G633" s="19"/>
      <c r="H633" s="19"/>
      <c r="I633" s="19"/>
      <c r="J633" s="19"/>
      <c r="K633" s="19"/>
      <c r="L633" s="19"/>
      <c r="M633" s="19"/>
      <c r="N633" s="19"/>
      <c r="O633" s="19"/>
      <c r="P633" s="20"/>
      <c r="Q633" s="20"/>
      <c r="R633" s="22"/>
      <c r="S633" s="22"/>
      <c r="T633" s="20"/>
      <c r="U633" s="20"/>
      <c r="V633" s="20"/>
      <c r="W633" s="19"/>
      <c r="X633" s="19"/>
      <c r="Y633" s="19"/>
      <c r="Z633" s="23"/>
    </row>
    <row r="634" spans="1:26" ht="15.75" customHeight="1" x14ac:dyDescent="0.2">
      <c r="A634" s="34"/>
      <c r="B634" s="34"/>
      <c r="C634" s="34"/>
      <c r="D634" s="34"/>
      <c r="E634" s="19"/>
      <c r="F634" s="19"/>
      <c r="G634" s="19"/>
      <c r="H634" s="19"/>
      <c r="I634" s="19"/>
      <c r="J634" s="19"/>
      <c r="K634" s="19"/>
      <c r="L634" s="19"/>
      <c r="M634" s="19"/>
      <c r="N634" s="19"/>
      <c r="O634" s="19"/>
      <c r="P634" s="20"/>
      <c r="Q634" s="20"/>
      <c r="R634" s="22"/>
      <c r="S634" s="22"/>
      <c r="T634" s="20"/>
      <c r="U634" s="20"/>
      <c r="V634" s="20"/>
      <c r="W634" s="19"/>
      <c r="X634" s="19"/>
      <c r="Y634" s="19"/>
      <c r="Z634" s="23"/>
    </row>
    <row r="635" spans="1:26" ht="15.75" customHeight="1" x14ac:dyDescent="0.2">
      <c r="A635" s="34"/>
      <c r="B635" s="34"/>
      <c r="C635" s="34"/>
      <c r="D635" s="34"/>
      <c r="E635" s="19"/>
      <c r="F635" s="19"/>
      <c r="G635" s="19"/>
      <c r="H635" s="19"/>
      <c r="I635" s="19"/>
      <c r="J635" s="19"/>
      <c r="K635" s="19"/>
      <c r="L635" s="19"/>
      <c r="M635" s="19"/>
      <c r="N635" s="19"/>
      <c r="O635" s="19"/>
      <c r="P635" s="20"/>
      <c r="Q635" s="20"/>
      <c r="R635" s="22"/>
      <c r="S635" s="22"/>
      <c r="T635" s="20"/>
      <c r="U635" s="20"/>
      <c r="V635" s="20"/>
      <c r="W635" s="19"/>
      <c r="X635" s="19"/>
      <c r="Y635" s="19"/>
      <c r="Z635" s="23"/>
    </row>
    <row r="636" spans="1:26" ht="15.75" customHeight="1" x14ac:dyDescent="0.2">
      <c r="A636" s="34"/>
      <c r="B636" s="34"/>
      <c r="C636" s="34"/>
      <c r="D636" s="34"/>
      <c r="E636" s="19"/>
      <c r="F636" s="19"/>
      <c r="G636" s="19"/>
      <c r="H636" s="19"/>
      <c r="I636" s="19"/>
      <c r="J636" s="19"/>
      <c r="K636" s="19"/>
      <c r="L636" s="19"/>
      <c r="M636" s="19"/>
      <c r="N636" s="19"/>
      <c r="O636" s="19"/>
      <c r="P636" s="20"/>
      <c r="Q636" s="20"/>
      <c r="R636" s="22"/>
      <c r="S636" s="22"/>
      <c r="T636" s="20"/>
      <c r="U636" s="20"/>
      <c r="V636" s="20"/>
      <c r="W636" s="19"/>
      <c r="X636" s="19"/>
      <c r="Y636" s="19"/>
      <c r="Z636" s="23"/>
    </row>
    <row r="637" spans="1:26" ht="15.75" customHeight="1" x14ac:dyDescent="0.2">
      <c r="A637" s="34"/>
      <c r="B637" s="34"/>
      <c r="C637" s="34"/>
      <c r="D637" s="34"/>
      <c r="E637" s="19"/>
      <c r="F637" s="19"/>
      <c r="G637" s="19"/>
      <c r="H637" s="19"/>
      <c r="I637" s="19"/>
      <c r="J637" s="19"/>
      <c r="K637" s="19"/>
      <c r="L637" s="19"/>
      <c r="M637" s="19"/>
      <c r="N637" s="19"/>
      <c r="O637" s="19"/>
      <c r="P637" s="20"/>
      <c r="Q637" s="20"/>
      <c r="R637" s="22"/>
      <c r="S637" s="22"/>
      <c r="T637" s="20"/>
      <c r="U637" s="20"/>
      <c r="V637" s="20"/>
      <c r="W637" s="19"/>
      <c r="X637" s="19"/>
      <c r="Y637" s="19"/>
      <c r="Z637" s="23"/>
    </row>
    <row r="638" spans="1:26" ht="15.75" customHeight="1" x14ac:dyDescent="0.2">
      <c r="A638" s="34"/>
      <c r="B638" s="34"/>
      <c r="C638" s="34"/>
      <c r="D638" s="34"/>
      <c r="E638" s="19"/>
      <c r="F638" s="19"/>
      <c r="G638" s="19"/>
      <c r="H638" s="19"/>
      <c r="I638" s="19"/>
      <c r="J638" s="19"/>
      <c r="K638" s="19"/>
      <c r="L638" s="19"/>
      <c r="M638" s="19"/>
      <c r="N638" s="19"/>
      <c r="O638" s="19"/>
      <c r="P638" s="20"/>
      <c r="Q638" s="20"/>
      <c r="R638" s="22"/>
      <c r="S638" s="22"/>
      <c r="T638" s="20"/>
      <c r="U638" s="20"/>
      <c r="V638" s="20"/>
      <c r="W638" s="19"/>
      <c r="X638" s="19"/>
      <c r="Y638" s="19"/>
      <c r="Z638" s="23"/>
    </row>
    <row r="639" spans="1:26" ht="15.75" customHeight="1" x14ac:dyDescent="0.2">
      <c r="A639" s="34"/>
      <c r="B639" s="34"/>
      <c r="C639" s="34"/>
      <c r="D639" s="34"/>
      <c r="E639" s="19"/>
      <c r="F639" s="19"/>
      <c r="G639" s="19"/>
      <c r="H639" s="19"/>
      <c r="I639" s="19"/>
      <c r="J639" s="19"/>
      <c r="K639" s="19"/>
      <c r="L639" s="19"/>
      <c r="M639" s="19"/>
      <c r="N639" s="19"/>
      <c r="O639" s="19"/>
      <c r="P639" s="20"/>
      <c r="Q639" s="20"/>
      <c r="R639" s="22"/>
      <c r="S639" s="22"/>
      <c r="T639" s="20"/>
      <c r="U639" s="20"/>
      <c r="V639" s="20"/>
      <c r="W639" s="19"/>
      <c r="X639" s="19"/>
      <c r="Y639" s="19"/>
      <c r="Z639" s="23"/>
    </row>
    <row r="640" spans="1:26" ht="15.75" customHeight="1" x14ac:dyDescent="0.2">
      <c r="A640" s="34"/>
      <c r="B640" s="34"/>
      <c r="C640" s="34"/>
      <c r="D640" s="34"/>
      <c r="E640" s="19"/>
      <c r="F640" s="19"/>
      <c r="G640" s="19"/>
      <c r="H640" s="19"/>
      <c r="I640" s="19"/>
      <c r="J640" s="19"/>
      <c r="K640" s="19"/>
      <c r="L640" s="19"/>
      <c r="M640" s="19"/>
      <c r="N640" s="19"/>
      <c r="O640" s="19"/>
      <c r="P640" s="20"/>
      <c r="Q640" s="20"/>
      <c r="R640" s="22"/>
      <c r="S640" s="22"/>
      <c r="T640" s="20"/>
      <c r="U640" s="20"/>
      <c r="V640" s="20"/>
      <c r="W640" s="19"/>
      <c r="X640" s="19"/>
      <c r="Y640" s="19"/>
      <c r="Z640" s="23"/>
    </row>
    <row r="641" spans="1:26" ht="15.75" customHeight="1" x14ac:dyDescent="0.2">
      <c r="A641" s="34"/>
      <c r="B641" s="34"/>
      <c r="C641" s="34"/>
      <c r="D641" s="34"/>
      <c r="E641" s="19"/>
      <c r="F641" s="19"/>
      <c r="G641" s="19"/>
      <c r="H641" s="19"/>
      <c r="I641" s="19"/>
      <c r="J641" s="19"/>
      <c r="K641" s="19"/>
      <c r="L641" s="19"/>
      <c r="M641" s="19"/>
      <c r="N641" s="19"/>
      <c r="O641" s="19"/>
      <c r="P641" s="20"/>
      <c r="Q641" s="20"/>
      <c r="R641" s="22"/>
      <c r="S641" s="22"/>
      <c r="T641" s="20"/>
      <c r="U641" s="20"/>
      <c r="V641" s="20"/>
      <c r="W641" s="19"/>
      <c r="X641" s="19"/>
      <c r="Y641" s="19"/>
      <c r="Z641" s="23"/>
    </row>
    <row r="642" spans="1:26" ht="15.75" customHeight="1" x14ac:dyDescent="0.2">
      <c r="A642" s="34"/>
      <c r="B642" s="34"/>
      <c r="C642" s="34"/>
      <c r="D642" s="34"/>
      <c r="E642" s="19"/>
      <c r="F642" s="19"/>
      <c r="G642" s="19"/>
      <c r="H642" s="19"/>
      <c r="I642" s="19"/>
      <c r="J642" s="19"/>
      <c r="K642" s="19"/>
      <c r="L642" s="19"/>
      <c r="M642" s="19"/>
      <c r="N642" s="19"/>
      <c r="O642" s="19"/>
      <c r="P642" s="20"/>
      <c r="Q642" s="20"/>
      <c r="R642" s="22"/>
      <c r="S642" s="22"/>
      <c r="T642" s="20"/>
      <c r="U642" s="20"/>
      <c r="V642" s="20"/>
      <c r="W642" s="19"/>
      <c r="X642" s="19"/>
      <c r="Y642" s="19"/>
      <c r="Z642" s="23"/>
    </row>
    <row r="643" spans="1:26" ht="15.75" customHeight="1" x14ac:dyDescent="0.2">
      <c r="A643" s="34"/>
      <c r="B643" s="34"/>
      <c r="C643" s="34"/>
      <c r="D643" s="34"/>
      <c r="E643" s="19"/>
      <c r="F643" s="19"/>
      <c r="G643" s="19"/>
      <c r="H643" s="19"/>
      <c r="I643" s="19"/>
      <c r="J643" s="19"/>
      <c r="K643" s="19"/>
      <c r="L643" s="19"/>
      <c r="M643" s="19"/>
      <c r="N643" s="19"/>
      <c r="O643" s="19"/>
      <c r="P643" s="20"/>
      <c r="Q643" s="20"/>
      <c r="R643" s="22"/>
      <c r="S643" s="22"/>
      <c r="T643" s="20"/>
      <c r="U643" s="20"/>
      <c r="V643" s="20"/>
      <c r="W643" s="19"/>
      <c r="X643" s="19"/>
      <c r="Y643" s="19"/>
      <c r="Z643" s="23"/>
    </row>
    <row r="644" spans="1:26" ht="15.75" customHeight="1" x14ac:dyDescent="0.2">
      <c r="A644" s="34"/>
      <c r="B644" s="34"/>
      <c r="C644" s="34"/>
      <c r="D644" s="34"/>
      <c r="E644" s="19"/>
      <c r="F644" s="19"/>
      <c r="G644" s="19"/>
      <c r="H644" s="19"/>
      <c r="I644" s="19"/>
      <c r="J644" s="19"/>
      <c r="K644" s="19"/>
      <c r="L644" s="19"/>
      <c r="M644" s="19"/>
      <c r="N644" s="19"/>
      <c r="O644" s="19"/>
      <c r="P644" s="20"/>
      <c r="Q644" s="20"/>
      <c r="R644" s="22"/>
      <c r="S644" s="22"/>
      <c r="T644" s="20"/>
      <c r="U644" s="20"/>
      <c r="V644" s="20"/>
      <c r="W644" s="19"/>
      <c r="X644" s="19"/>
      <c r="Y644" s="19"/>
      <c r="Z644" s="23"/>
    </row>
    <row r="645" spans="1:26" ht="15.75" customHeight="1" x14ac:dyDescent="0.2">
      <c r="A645" s="34"/>
      <c r="B645" s="34"/>
      <c r="C645" s="34"/>
      <c r="D645" s="34"/>
      <c r="E645" s="19"/>
      <c r="F645" s="19"/>
      <c r="G645" s="19"/>
      <c r="H645" s="19"/>
      <c r="I645" s="19"/>
      <c r="J645" s="19"/>
      <c r="K645" s="19"/>
      <c r="L645" s="19"/>
      <c r="M645" s="19"/>
      <c r="N645" s="19"/>
      <c r="O645" s="19"/>
      <c r="P645" s="20"/>
      <c r="Q645" s="20"/>
      <c r="R645" s="22"/>
      <c r="S645" s="22"/>
      <c r="T645" s="20"/>
      <c r="U645" s="20"/>
      <c r="V645" s="20"/>
      <c r="W645" s="19"/>
      <c r="X645" s="19"/>
      <c r="Y645" s="19"/>
      <c r="Z645" s="23"/>
    </row>
    <row r="646" spans="1:26" ht="15.75" customHeight="1" x14ac:dyDescent="0.2">
      <c r="A646" s="34"/>
      <c r="B646" s="34"/>
      <c r="C646" s="34"/>
      <c r="D646" s="34"/>
      <c r="E646" s="19"/>
      <c r="F646" s="19"/>
      <c r="G646" s="19"/>
      <c r="H646" s="19"/>
      <c r="I646" s="19"/>
      <c r="J646" s="19"/>
      <c r="K646" s="19"/>
      <c r="L646" s="19"/>
      <c r="M646" s="19"/>
      <c r="N646" s="19"/>
      <c r="O646" s="19"/>
      <c r="P646" s="20"/>
      <c r="Q646" s="20"/>
      <c r="R646" s="22"/>
      <c r="S646" s="22"/>
      <c r="T646" s="20"/>
      <c r="U646" s="20"/>
      <c r="V646" s="20"/>
      <c r="W646" s="19"/>
      <c r="X646" s="19"/>
      <c r="Y646" s="19"/>
      <c r="Z646" s="23"/>
    </row>
    <row r="647" spans="1:26" ht="15.75" customHeight="1" x14ac:dyDescent="0.2">
      <c r="A647" s="34"/>
      <c r="B647" s="34"/>
      <c r="C647" s="34"/>
      <c r="D647" s="34"/>
      <c r="E647" s="19"/>
      <c r="F647" s="19"/>
      <c r="G647" s="19"/>
      <c r="H647" s="19"/>
      <c r="I647" s="19"/>
      <c r="J647" s="19"/>
      <c r="K647" s="19"/>
      <c r="L647" s="19"/>
      <c r="M647" s="19"/>
      <c r="N647" s="19"/>
      <c r="O647" s="19"/>
      <c r="P647" s="20"/>
      <c r="Q647" s="20"/>
      <c r="R647" s="22"/>
      <c r="S647" s="22"/>
      <c r="T647" s="20"/>
      <c r="U647" s="20"/>
      <c r="V647" s="20"/>
      <c r="W647" s="19"/>
      <c r="X647" s="19"/>
      <c r="Y647" s="19"/>
      <c r="Z647" s="23"/>
    </row>
    <row r="648" spans="1:26" ht="15.75" customHeight="1" x14ac:dyDescent="0.2">
      <c r="A648" s="34"/>
      <c r="B648" s="34"/>
      <c r="C648" s="34"/>
      <c r="D648" s="34"/>
      <c r="E648" s="19"/>
      <c r="F648" s="19"/>
      <c r="G648" s="19"/>
      <c r="H648" s="19"/>
      <c r="I648" s="19"/>
      <c r="J648" s="19"/>
      <c r="K648" s="19"/>
      <c r="L648" s="19"/>
      <c r="M648" s="19"/>
      <c r="N648" s="19"/>
      <c r="O648" s="19"/>
      <c r="P648" s="20"/>
      <c r="Q648" s="20"/>
      <c r="R648" s="22"/>
      <c r="S648" s="22"/>
      <c r="T648" s="20"/>
      <c r="U648" s="20"/>
      <c r="V648" s="20"/>
      <c r="W648" s="19"/>
      <c r="X648" s="19"/>
      <c r="Y648" s="19"/>
      <c r="Z648" s="23"/>
    </row>
    <row r="649" spans="1:26" ht="15.75" customHeight="1" x14ac:dyDescent="0.2">
      <c r="A649" s="34"/>
      <c r="B649" s="34"/>
      <c r="C649" s="34"/>
      <c r="D649" s="34"/>
      <c r="E649" s="19"/>
      <c r="F649" s="19"/>
      <c r="G649" s="19"/>
      <c r="H649" s="19"/>
      <c r="I649" s="19"/>
      <c r="J649" s="19"/>
      <c r="K649" s="19"/>
      <c r="L649" s="19"/>
      <c r="M649" s="19"/>
      <c r="N649" s="19"/>
      <c r="O649" s="19"/>
      <c r="P649" s="20"/>
      <c r="Q649" s="20"/>
      <c r="R649" s="22"/>
      <c r="S649" s="22"/>
      <c r="T649" s="20"/>
      <c r="U649" s="20"/>
      <c r="V649" s="20"/>
      <c r="W649" s="19"/>
      <c r="X649" s="19"/>
      <c r="Y649" s="19"/>
      <c r="Z649" s="23"/>
    </row>
    <row r="650" spans="1:26" ht="15.75" customHeight="1" x14ac:dyDescent="0.2">
      <c r="A650" s="34"/>
      <c r="B650" s="34"/>
      <c r="C650" s="34"/>
      <c r="D650" s="34"/>
      <c r="E650" s="19"/>
      <c r="F650" s="19"/>
      <c r="G650" s="19"/>
      <c r="H650" s="19"/>
      <c r="I650" s="19"/>
      <c r="J650" s="19"/>
      <c r="K650" s="19"/>
      <c r="L650" s="19"/>
      <c r="M650" s="19"/>
      <c r="N650" s="19"/>
      <c r="O650" s="19"/>
      <c r="P650" s="20"/>
      <c r="Q650" s="20"/>
      <c r="R650" s="22"/>
      <c r="S650" s="22"/>
      <c r="T650" s="20"/>
      <c r="U650" s="20"/>
      <c r="V650" s="20"/>
      <c r="W650" s="19"/>
      <c r="X650" s="19"/>
      <c r="Y650" s="19"/>
      <c r="Z650" s="23"/>
    </row>
    <row r="651" spans="1:26" ht="15.75" customHeight="1" x14ac:dyDescent="0.2">
      <c r="A651" s="34"/>
      <c r="B651" s="34"/>
      <c r="C651" s="34"/>
      <c r="D651" s="34"/>
      <c r="E651" s="19"/>
      <c r="F651" s="19"/>
      <c r="G651" s="19"/>
      <c r="H651" s="19"/>
      <c r="I651" s="19"/>
      <c r="J651" s="19"/>
      <c r="K651" s="19"/>
      <c r="L651" s="19"/>
      <c r="M651" s="19"/>
      <c r="N651" s="19"/>
      <c r="O651" s="19"/>
      <c r="P651" s="20"/>
      <c r="Q651" s="20"/>
      <c r="R651" s="22"/>
      <c r="S651" s="22"/>
      <c r="T651" s="20"/>
      <c r="U651" s="20"/>
      <c r="V651" s="20"/>
      <c r="W651" s="19"/>
      <c r="X651" s="19"/>
      <c r="Y651" s="19"/>
      <c r="Z651" s="23"/>
    </row>
    <row r="652" spans="1:26" ht="15.75" customHeight="1" x14ac:dyDescent="0.2">
      <c r="A652" s="34"/>
      <c r="B652" s="34"/>
      <c r="C652" s="34"/>
      <c r="D652" s="34"/>
      <c r="E652" s="19"/>
      <c r="F652" s="19"/>
      <c r="G652" s="19"/>
      <c r="H652" s="19"/>
      <c r="I652" s="19"/>
      <c r="J652" s="19"/>
      <c r="K652" s="19"/>
      <c r="L652" s="19"/>
      <c r="M652" s="19"/>
      <c r="N652" s="19"/>
      <c r="O652" s="19"/>
      <c r="P652" s="20"/>
      <c r="Q652" s="20"/>
      <c r="R652" s="22"/>
      <c r="S652" s="22"/>
      <c r="T652" s="20"/>
      <c r="U652" s="20"/>
      <c r="V652" s="20"/>
      <c r="W652" s="19"/>
      <c r="X652" s="19"/>
      <c r="Y652" s="19"/>
      <c r="Z652" s="23"/>
    </row>
    <row r="653" spans="1:26" ht="15.75" customHeight="1" x14ac:dyDescent="0.2">
      <c r="A653" s="34"/>
      <c r="B653" s="34"/>
      <c r="C653" s="34"/>
      <c r="D653" s="34"/>
      <c r="E653" s="19"/>
      <c r="F653" s="19"/>
      <c r="G653" s="19"/>
      <c r="H653" s="19"/>
      <c r="I653" s="19"/>
      <c r="J653" s="19"/>
      <c r="K653" s="19"/>
      <c r="L653" s="19"/>
      <c r="M653" s="19"/>
      <c r="N653" s="19"/>
      <c r="O653" s="19"/>
      <c r="P653" s="20"/>
      <c r="Q653" s="20"/>
      <c r="R653" s="22"/>
      <c r="S653" s="22"/>
      <c r="T653" s="20"/>
      <c r="U653" s="20"/>
      <c r="V653" s="20"/>
      <c r="W653" s="19"/>
      <c r="X653" s="19"/>
      <c r="Y653" s="19"/>
      <c r="Z653" s="23"/>
    </row>
    <row r="654" spans="1:26" ht="15.75" customHeight="1" x14ac:dyDescent="0.2">
      <c r="A654" s="34"/>
      <c r="B654" s="34"/>
      <c r="C654" s="34"/>
      <c r="D654" s="34"/>
      <c r="E654" s="19"/>
      <c r="F654" s="19"/>
      <c r="G654" s="19"/>
      <c r="H654" s="19"/>
      <c r="I654" s="19"/>
      <c r="J654" s="19"/>
      <c r="K654" s="19"/>
      <c r="L654" s="19"/>
      <c r="M654" s="19"/>
      <c r="N654" s="19"/>
      <c r="O654" s="19"/>
      <c r="P654" s="20"/>
      <c r="Q654" s="20"/>
      <c r="R654" s="22"/>
      <c r="S654" s="22"/>
      <c r="T654" s="20"/>
      <c r="U654" s="20"/>
      <c r="V654" s="20"/>
      <c r="W654" s="19"/>
      <c r="X654" s="19"/>
      <c r="Y654" s="19"/>
      <c r="Z654" s="23"/>
    </row>
    <row r="655" spans="1:26" ht="15.75" customHeight="1" x14ac:dyDescent="0.2">
      <c r="A655" s="34"/>
      <c r="B655" s="34"/>
      <c r="C655" s="34"/>
      <c r="D655" s="34"/>
      <c r="E655" s="19"/>
      <c r="F655" s="19"/>
      <c r="G655" s="19"/>
      <c r="H655" s="19"/>
      <c r="I655" s="19"/>
      <c r="J655" s="19"/>
      <c r="K655" s="19"/>
      <c r="L655" s="19"/>
      <c r="M655" s="19"/>
      <c r="N655" s="19"/>
      <c r="O655" s="19"/>
      <c r="P655" s="20"/>
      <c r="Q655" s="20"/>
      <c r="R655" s="22"/>
      <c r="S655" s="22"/>
      <c r="T655" s="20"/>
      <c r="U655" s="20"/>
      <c r="V655" s="20"/>
      <c r="W655" s="19"/>
      <c r="X655" s="19"/>
      <c r="Y655" s="19"/>
      <c r="Z655" s="23"/>
    </row>
    <row r="656" spans="1:26" ht="15.75" customHeight="1" x14ac:dyDescent="0.2">
      <c r="A656" s="34"/>
      <c r="B656" s="34"/>
      <c r="C656" s="34"/>
      <c r="D656" s="34"/>
      <c r="E656" s="19"/>
      <c r="F656" s="19"/>
      <c r="G656" s="19"/>
      <c r="H656" s="19"/>
      <c r="I656" s="19"/>
      <c r="J656" s="19"/>
      <c r="K656" s="19"/>
      <c r="L656" s="19"/>
      <c r="M656" s="19"/>
      <c r="N656" s="19"/>
      <c r="O656" s="19"/>
      <c r="P656" s="20"/>
      <c r="Q656" s="20"/>
      <c r="R656" s="22"/>
      <c r="S656" s="22"/>
      <c r="T656" s="20"/>
      <c r="U656" s="20"/>
      <c r="V656" s="20"/>
      <c r="W656" s="19"/>
      <c r="X656" s="19"/>
      <c r="Y656" s="19"/>
      <c r="Z656" s="23"/>
    </row>
    <row r="657" spans="1:26" ht="15.75" customHeight="1" x14ac:dyDescent="0.2">
      <c r="A657" s="34"/>
      <c r="B657" s="34"/>
      <c r="C657" s="34"/>
      <c r="D657" s="34"/>
      <c r="E657" s="19"/>
      <c r="F657" s="19"/>
      <c r="G657" s="19"/>
      <c r="H657" s="19"/>
      <c r="I657" s="19"/>
      <c r="J657" s="19"/>
      <c r="K657" s="19"/>
      <c r="L657" s="19"/>
      <c r="M657" s="19"/>
      <c r="N657" s="19"/>
      <c r="O657" s="19"/>
      <c r="P657" s="20"/>
      <c r="Q657" s="20"/>
      <c r="R657" s="22"/>
      <c r="S657" s="22"/>
      <c r="T657" s="20"/>
      <c r="U657" s="20"/>
      <c r="V657" s="20"/>
      <c r="W657" s="19"/>
      <c r="X657" s="19"/>
      <c r="Y657" s="19"/>
      <c r="Z657" s="23"/>
    </row>
    <row r="658" spans="1:26" ht="15.75" customHeight="1" x14ac:dyDescent="0.2">
      <c r="A658" s="34"/>
      <c r="B658" s="34"/>
      <c r="C658" s="34"/>
      <c r="D658" s="34"/>
      <c r="E658" s="19"/>
      <c r="F658" s="19"/>
      <c r="G658" s="19"/>
      <c r="H658" s="19"/>
      <c r="I658" s="19"/>
      <c r="J658" s="19"/>
      <c r="K658" s="19"/>
      <c r="L658" s="19"/>
      <c r="M658" s="19"/>
      <c r="N658" s="19"/>
      <c r="O658" s="19"/>
      <c r="P658" s="20"/>
      <c r="Q658" s="20"/>
      <c r="R658" s="22"/>
      <c r="S658" s="22"/>
      <c r="T658" s="20"/>
      <c r="U658" s="20"/>
      <c r="V658" s="20"/>
      <c r="W658" s="19"/>
      <c r="X658" s="19"/>
      <c r="Y658" s="19"/>
      <c r="Z658" s="23"/>
    </row>
    <row r="659" spans="1:26" ht="15.75" customHeight="1" x14ac:dyDescent="0.2">
      <c r="A659" s="34"/>
      <c r="B659" s="34"/>
      <c r="C659" s="34"/>
      <c r="D659" s="34"/>
      <c r="E659" s="19"/>
      <c r="F659" s="19"/>
      <c r="G659" s="19"/>
      <c r="H659" s="19"/>
      <c r="I659" s="19"/>
      <c r="J659" s="19"/>
      <c r="K659" s="19"/>
      <c r="L659" s="19"/>
      <c r="M659" s="19"/>
      <c r="N659" s="19"/>
      <c r="O659" s="19"/>
      <c r="P659" s="20"/>
      <c r="Q659" s="20"/>
      <c r="R659" s="22"/>
      <c r="S659" s="22"/>
      <c r="T659" s="20"/>
      <c r="U659" s="20"/>
      <c r="V659" s="20"/>
      <c r="W659" s="19"/>
      <c r="X659" s="19"/>
      <c r="Y659" s="19"/>
      <c r="Z659" s="23"/>
    </row>
    <row r="660" spans="1:26" ht="15.75" customHeight="1" x14ac:dyDescent="0.2">
      <c r="A660" s="34"/>
      <c r="B660" s="34"/>
      <c r="C660" s="34"/>
      <c r="D660" s="34"/>
      <c r="E660" s="19"/>
      <c r="F660" s="19"/>
      <c r="G660" s="19"/>
      <c r="H660" s="19"/>
      <c r="I660" s="19"/>
      <c r="J660" s="19"/>
      <c r="K660" s="19"/>
      <c r="L660" s="19"/>
      <c r="M660" s="19"/>
      <c r="N660" s="19"/>
      <c r="O660" s="19"/>
      <c r="P660" s="20"/>
      <c r="Q660" s="20"/>
      <c r="R660" s="22"/>
      <c r="S660" s="22"/>
      <c r="T660" s="20"/>
      <c r="U660" s="20"/>
      <c r="V660" s="20"/>
      <c r="W660" s="19"/>
      <c r="X660" s="19"/>
      <c r="Y660" s="19"/>
      <c r="Z660" s="23"/>
    </row>
    <row r="661" spans="1:26" ht="15.75" customHeight="1" x14ac:dyDescent="0.2">
      <c r="A661" s="34"/>
      <c r="B661" s="34"/>
      <c r="C661" s="34"/>
      <c r="D661" s="34"/>
      <c r="E661" s="19"/>
      <c r="F661" s="19"/>
      <c r="G661" s="19"/>
      <c r="H661" s="19"/>
      <c r="I661" s="19"/>
      <c r="J661" s="19"/>
      <c r="K661" s="19"/>
      <c r="L661" s="19"/>
      <c r="M661" s="19"/>
      <c r="N661" s="19"/>
      <c r="O661" s="19"/>
      <c r="P661" s="20"/>
      <c r="Q661" s="20"/>
      <c r="R661" s="22"/>
      <c r="S661" s="22"/>
      <c r="T661" s="20"/>
      <c r="U661" s="20"/>
      <c r="V661" s="20"/>
      <c r="W661" s="19"/>
      <c r="X661" s="19"/>
      <c r="Y661" s="19"/>
      <c r="Z661" s="23"/>
    </row>
    <row r="662" spans="1:26" ht="15.75" customHeight="1" x14ac:dyDescent="0.2">
      <c r="A662" s="34"/>
      <c r="B662" s="34"/>
      <c r="C662" s="34"/>
      <c r="D662" s="34"/>
      <c r="E662" s="19"/>
      <c r="F662" s="19"/>
      <c r="G662" s="19"/>
      <c r="H662" s="19"/>
      <c r="I662" s="19"/>
      <c r="J662" s="19"/>
      <c r="K662" s="19"/>
      <c r="L662" s="19"/>
      <c r="M662" s="19"/>
      <c r="N662" s="19"/>
      <c r="O662" s="19"/>
      <c r="P662" s="20"/>
      <c r="Q662" s="20"/>
      <c r="R662" s="22"/>
      <c r="S662" s="22"/>
      <c r="T662" s="20"/>
      <c r="U662" s="20"/>
      <c r="V662" s="20"/>
      <c r="W662" s="19"/>
      <c r="X662" s="19"/>
      <c r="Y662" s="19"/>
      <c r="Z662" s="23"/>
    </row>
    <row r="663" spans="1:26" ht="15.75" customHeight="1" x14ac:dyDescent="0.2">
      <c r="A663" s="34"/>
      <c r="B663" s="34"/>
      <c r="C663" s="34"/>
      <c r="D663" s="34"/>
      <c r="E663" s="19"/>
      <c r="F663" s="19"/>
      <c r="G663" s="19"/>
      <c r="H663" s="19"/>
      <c r="I663" s="19"/>
      <c r="J663" s="19"/>
      <c r="K663" s="19"/>
      <c r="L663" s="19"/>
      <c r="M663" s="19"/>
      <c r="N663" s="19"/>
      <c r="O663" s="19"/>
      <c r="P663" s="20"/>
      <c r="Q663" s="20"/>
      <c r="R663" s="22"/>
      <c r="S663" s="22"/>
      <c r="T663" s="20"/>
      <c r="U663" s="20"/>
      <c r="V663" s="20"/>
      <c r="W663" s="19"/>
      <c r="X663" s="19"/>
      <c r="Y663" s="19"/>
      <c r="Z663" s="23"/>
    </row>
    <row r="664" spans="1:26" ht="15.75" customHeight="1" x14ac:dyDescent="0.2">
      <c r="A664" s="34"/>
      <c r="B664" s="34"/>
      <c r="C664" s="34"/>
      <c r="D664" s="34"/>
      <c r="E664" s="19"/>
      <c r="F664" s="19"/>
      <c r="G664" s="19"/>
      <c r="H664" s="19"/>
      <c r="I664" s="19"/>
      <c r="J664" s="19"/>
      <c r="K664" s="19"/>
      <c r="L664" s="19"/>
      <c r="M664" s="19"/>
      <c r="N664" s="19"/>
      <c r="O664" s="19"/>
      <c r="P664" s="20"/>
      <c r="Q664" s="20"/>
      <c r="R664" s="22"/>
      <c r="S664" s="22"/>
      <c r="T664" s="20"/>
      <c r="U664" s="20"/>
      <c r="V664" s="20"/>
      <c r="W664" s="19"/>
      <c r="X664" s="19"/>
      <c r="Y664" s="19"/>
      <c r="Z664" s="23"/>
    </row>
    <row r="665" spans="1:26" ht="15.75" customHeight="1" x14ac:dyDescent="0.2">
      <c r="A665" s="34"/>
      <c r="B665" s="34"/>
      <c r="C665" s="34"/>
      <c r="D665" s="34"/>
      <c r="E665" s="19"/>
      <c r="F665" s="19"/>
      <c r="G665" s="19"/>
      <c r="H665" s="19"/>
      <c r="I665" s="19"/>
      <c r="J665" s="19"/>
      <c r="K665" s="19"/>
      <c r="L665" s="19"/>
      <c r="M665" s="19"/>
      <c r="N665" s="19"/>
      <c r="O665" s="19"/>
      <c r="P665" s="20"/>
      <c r="Q665" s="20"/>
      <c r="R665" s="22"/>
      <c r="S665" s="22"/>
      <c r="T665" s="20"/>
      <c r="U665" s="20"/>
      <c r="V665" s="20"/>
      <c r="W665" s="19"/>
      <c r="X665" s="19"/>
      <c r="Y665" s="19"/>
      <c r="Z665" s="23"/>
    </row>
    <row r="666" spans="1:26" ht="15.75" customHeight="1" x14ac:dyDescent="0.2">
      <c r="A666" s="34"/>
      <c r="B666" s="34"/>
      <c r="C666" s="34"/>
      <c r="D666" s="34"/>
      <c r="E666" s="19"/>
      <c r="F666" s="19"/>
      <c r="G666" s="19"/>
      <c r="H666" s="19"/>
      <c r="I666" s="19"/>
      <c r="J666" s="19"/>
      <c r="K666" s="19"/>
      <c r="L666" s="19"/>
      <c r="M666" s="19"/>
      <c r="N666" s="19"/>
      <c r="O666" s="19"/>
      <c r="P666" s="20"/>
      <c r="Q666" s="20"/>
      <c r="R666" s="22"/>
      <c r="S666" s="22"/>
      <c r="T666" s="20"/>
      <c r="U666" s="20"/>
      <c r="V666" s="20"/>
      <c r="W666" s="19"/>
      <c r="X666" s="19"/>
      <c r="Y666" s="19"/>
      <c r="Z666" s="23"/>
    </row>
    <row r="667" spans="1:26" ht="15.75" customHeight="1" x14ac:dyDescent="0.2">
      <c r="A667" s="34"/>
      <c r="B667" s="34"/>
      <c r="C667" s="34"/>
      <c r="D667" s="34"/>
      <c r="E667" s="19"/>
      <c r="F667" s="19"/>
      <c r="G667" s="19"/>
      <c r="H667" s="19"/>
      <c r="I667" s="19"/>
      <c r="J667" s="19"/>
      <c r="K667" s="19"/>
      <c r="L667" s="19"/>
      <c r="M667" s="19"/>
      <c r="N667" s="19"/>
      <c r="O667" s="19"/>
      <c r="P667" s="20"/>
      <c r="Q667" s="20"/>
      <c r="R667" s="22"/>
      <c r="S667" s="22"/>
      <c r="T667" s="20"/>
      <c r="U667" s="20"/>
      <c r="V667" s="20"/>
      <c r="W667" s="19"/>
      <c r="X667" s="19"/>
      <c r="Y667" s="19"/>
      <c r="Z667" s="23"/>
    </row>
    <row r="668" spans="1:26" ht="15.75" customHeight="1" x14ac:dyDescent="0.2">
      <c r="A668" s="34"/>
      <c r="B668" s="34"/>
      <c r="C668" s="34"/>
      <c r="D668" s="34"/>
      <c r="E668" s="19"/>
      <c r="F668" s="19"/>
      <c r="G668" s="19"/>
      <c r="H668" s="19"/>
      <c r="I668" s="19"/>
      <c r="J668" s="19"/>
      <c r="K668" s="19"/>
      <c r="L668" s="19"/>
      <c r="M668" s="19"/>
      <c r="N668" s="19"/>
      <c r="O668" s="19"/>
      <c r="P668" s="20"/>
      <c r="Q668" s="20"/>
      <c r="R668" s="22"/>
      <c r="S668" s="22"/>
      <c r="T668" s="20"/>
      <c r="U668" s="20"/>
      <c r="V668" s="20"/>
      <c r="W668" s="19"/>
      <c r="X668" s="19"/>
      <c r="Y668" s="19"/>
      <c r="Z668" s="23"/>
    </row>
    <row r="669" spans="1:26" ht="15.75" customHeight="1" x14ac:dyDescent="0.2">
      <c r="A669" s="34"/>
      <c r="B669" s="34"/>
      <c r="C669" s="34"/>
      <c r="D669" s="34"/>
      <c r="E669" s="19"/>
      <c r="F669" s="19"/>
      <c r="G669" s="19"/>
      <c r="H669" s="19"/>
      <c r="I669" s="19"/>
      <c r="J669" s="19"/>
      <c r="K669" s="19"/>
      <c r="L669" s="19"/>
      <c r="M669" s="19"/>
      <c r="N669" s="19"/>
      <c r="O669" s="19"/>
      <c r="P669" s="20"/>
      <c r="Q669" s="20"/>
      <c r="R669" s="22"/>
      <c r="S669" s="22"/>
      <c r="T669" s="20"/>
      <c r="U669" s="20"/>
      <c r="V669" s="20"/>
      <c r="W669" s="19"/>
      <c r="X669" s="19"/>
      <c r="Y669" s="19"/>
      <c r="Z669" s="23"/>
    </row>
    <row r="670" spans="1:26" ht="15.75" customHeight="1" x14ac:dyDescent="0.2">
      <c r="A670" s="34"/>
      <c r="B670" s="34"/>
      <c r="C670" s="34"/>
      <c r="D670" s="34"/>
      <c r="E670" s="19"/>
      <c r="F670" s="19"/>
      <c r="G670" s="19"/>
      <c r="H670" s="19"/>
      <c r="I670" s="19"/>
      <c r="J670" s="19"/>
      <c r="K670" s="19"/>
      <c r="L670" s="19"/>
      <c r="M670" s="19"/>
      <c r="N670" s="19"/>
      <c r="O670" s="19"/>
      <c r="P670" s="20"/>
      <c r="Q670" s="20"/>
      <c r="R670" s="22"/>
      <c r="S670" s="22"/>
      <c r="T670" s="20"/>
      <c r="U670" s="20"/>
      <c r="V670" s="20"/>
      <c r="W670" s="19"/>
      <c r="X670" s="19"/>
      <c r="Y670" s="19"/>
      <c r="Z670" s="23"/>
    </row>
    <row r="671" spans="1:26" ht="15.75" customHeight="1" x14ac:dyDescent="0.2">
      <c r="A671" s="34"/>
      <c r="B671" s="34"/>
      <c r="C671" s="34"/>
      <c r="D671" s="34"/>
      <c r="E671" s="19"/>
      <c r="F671" s="19"/>
      <c r="G671" s="19"/>
      <c r="H671" s="19"/>
      <c r="I671" s="19"/>
      <c r="J671" s="19"/>
      <c r="K671" s="19"/>
      <c r="L671" s="19"/>
      <c r="M671" s="19"/>
      <c r="N671" s="19"/>
      <c r="O671" s="19"/>
      <c r="P671" s="20"/>
      <c r="Q671" s="20"/>
      <c r="R671" s="22"/>
      <c r="S671" s="22"/>
      <c r="T671" s="20"/>
      <c r="U671" s="20"/>
      <c r="V671" s="20"/>
      <c r="W671" s="19"/>
      <c r="X671" s="19"/>
      <c r="Y671" s="19"/>
      <c r="Z671" s="23"/>
    </row>
    <row r="672" spans="1:26" ht="15.75" customHeight="1" x14ac:dyDescent="0.2">
      <c r="A672" s="34"/>
      <c r="B672" s="34"/>
      <c r="C672" s="34"/>
      <c r="D672" s="34"/>
      <c r="E672" s="19"/>
      <c r="F672" s="19"/>
      <c r="G672" s="19"/>
      <c r="H672" s="19"/>
      <c r="I672" s="19"/>
      <c r="J672" s="19"/>
      <c r="K672" s="19"/>
      <c r="L672" s="19"/>
      <c r="M672" s="19"/>
      <c r="N672" s="19"/>
      <c r="O672" s="19"/>
      <c r="P672" s="20"/>
      <c r="Q672" s="20"/>
      <c r="R672" s="22"/>
      <c r="S672" s="22"/>
      <c r="T672" s="20"/>
      <c r="U672" s="20"/>
      <c r="V672" s="20"/>
      <c r="W672" s="19"/>
      <c r="X672" s="19"/>
      <c r="Y672" s="19"/>
      <c r="Z672" s="23"/>
    </row>
    <row r="673" spans="1:26" ht="15.75" customHeight="1" x14ac:dyDescent="0.2">
      <c r="A673" s="34"/>
      <c r="B673" s="34"/>
      <c r="C673" s="34"/>
      <c r="D673" s="34"/>
      <c r="E673" s="19"/>
      <c r="F673" s="19"/>
      <c r="G673" s="19"/>
      <c r="H673" s="19"/>
      <c r="I673" s="19"/>
      <c r="J673" s="19"/>
      <c r="K673" s="19"/>
      <c r="L673" s="19"/>
      <c r="M673" s="19"/>
      <c r="N673" s="19"/>
      <c r="O673" s="19"/>
      <c r="P673" s="20"/>
      <c r="Q673" s="20"/>
      <c r="R673" s="22"/>
      <c r="S673" s="22"/>
      <c r="T673" s="20"/>
      <c r="U673" s="20"/>
      <c r="V673" s="20"/>
      <c r="W673" s="19"/>
      <c r="X673" s="19"/>
      <c r="Y673" s="19"/>
      <c r="Z673" s="23"/>
    </row>
    <row r="674" spans="1:26" ht="15.75" customHeight="1" x14ac:dyDescent="0.2">
      <c r="A674" s="34"/>
      <c r="B674" s="34"/>
      <c r="C674" s="34"/>
      <c r="D674" s="34"/>
      <c r="E674" s="19"/>
      <c r="F674" s="19"/>
      <c r="G674" s="19"/>
      <c r="H674" s="19"/>
      <c r="I674" s="19"/>
      <c r="J674" s="19"/>
      <c r="K674" s="19"/>
      <c r="L674" s="19"/>
      <c r="M674" s="19"/>
      <c r="N674" s="19"/>
      <c r="O674" s="19"/>
      <c r="P674" s="20"/>
      <c r="Q674" s="20"/>
      <c r="R674" s="22"/>
      <c r="S674" s="22"/>
      <c r="T674" s="20"/>
      <c r="U674" s="20"/>
      <c r="V674" s="20"/>
      <c r="W674" s="19"/>
      <c r="X674" s="19"/>
      <c r="Y674" s="19"/>
      <c r="Z674" s="23"/>
    </row>
    <row r="675" spans="1:26" ht="15.75" customHeight="1" x14ac:dyDescent="0.2">
      <c r="A675" s="34"/>
      <c r="B675" s="34"/>
      <c r="C675" s="34"/>
      <c r="D675" s="34"/>
      <c r="E675" s="19"/>
      <c r="F675" s="19"/>
      <c r="G675" s="19"/>
      <c r="H675" s="19"/>
      <c r="I675" s="19"/>
      <c r="J675" s="19"/>
      <c r="K675" s="19"/>
      <c r="L675" s="19"/>
      <c r="M675" s="19"/>
      <c r="N675" s="19"/>
      <c r="O675" s="19"/>
      <c r="P675" s="20"/>
      <c r="Q675" s="20"/>
      <c r="R675" s="22"/>
      <c r="S675" s="22"/>
      <c r="T675" s="20"/>
      <c r="U675" s="20"/>
      <c r="V675" s="20"/>
      <c r="W675" s="19"/>
      <c r="X675" s="19"/>
      <c r="Y675" s="19"/>
      <c r="Z675" s="23"/>
    </row>
    <row r="676" spans="1:26" ht="15.75" customHeight="1" x14ac:dyDescent="0.2">
      <c r="A676" s="34"/>
      <c r="B676" s="34"/>
      <c r="C676" s="34"/>
      <c r="D676" s="34"/>
      <c r="E676" s="19"/>
      <c r="F676" s="19"/>
      <c r="G676" s="19"/>
      <c r="H676" s="19"/>
      <c r="I676" s="19"/>
      <c r="J676" s="19"/>
      <c r="K676" s="19"/>
      <c r="L676" s="19"/>
      <c r="M676" s="19"/>
      <c r="N676" s="19"/>
      <c r="O676" s="19"/>
      <c r="P676" s="20"/>
      <c r="Q676" s="20"/>
      <c r="R676" s="22"/>
      <c r="S676" s="22"/>
      <c r="T676" s="20"/>
      <c r="U676" s="20"/>
      <c r="V676" s="20"/>
      <c r="W676" s="19"/>
      <c r="X676" s="19"/>
      <c r="Y676" s="19"/>
      <c r="Z676" s="23"/>
    </row>
    <row r="677" spans="1:26" ht="15.75" customHeight="1" x14ac:dyDescent="0.2">
      <c r="A677" s="34"/>
      <c r="B677" s="34"/>
      <c r="C677" s="34"/>
      <c r="D677" s="34"/>
      <c r="E677" s="19"/>
      <c r="F677" s="19"/>
      <c r="G677" s="19"/>
      <c r="H677" s="19"/>
      <c r="I677" s="19"/>
      <c r="J677" s="19"/>
      <c r="K677" s="19"/>
      <c r="L677" s="19"/>
      <c r="M677" s="19"/>
      <c r="N677" s="19"/>
      <c r="O677" s="19"/>
      <c r="P677" s="20"/>
      <c r="Q677" s="20"/>
      <c r="R677" s="22"/>
      <c r="S677" s="22"/>
      <c r="T677" s="20"/>
      <c r="U677" s="20"/>
      <c r="V677" s="20"/>
      <c r="W677" s="19"/>
      <c r="X677" s="19"/>
      <c r="Y677" s="19"/>
      <c r="Z677" s="23"/>
    </row>
    <row r="678" spans="1:26" ht="15.75" customHeight="1" x14ac:dyDescent="0.2">
      <c r="A678" s="34"/>
      <c r="B678" s="34"/>
      <c r="C678" s="34"/>
      <c r="D678" s="34"/>
      <c r="E678" s="19"/>
      <c r="F678" s="19"/>
      <c r="G678" s="19"/>
      <c r="H678" s="19"/>
      <c r="I678" s="19"/>
      <c r="J678" s="19"/>
      <c r="K678" s="19"/>
      <c r="L678" s="19"/>
      <c r="M678" s="19"/>
      <c r="N678" s="19"/>
      <c r="O678" s="19"/>
      <c r="P678" s="20"/>
      <c r="Q678" s="20"/>
      <c r="R678" s="22"/>
      <c r="S678" s="22"/>
      <c r="T678" s="20"/>
      <c r="U678" s="20"/>
      <c r="V678" s="20"/>
      <c r="W678" s="19"/>
      <c r="X678" s="19"/>
      <c r="Y678" s="19"/>
      <c r="Z678" s="23"/>
    </row>
    <row r="679" spans="1:26" ht="15.75" customHeight="1" x14ac:dyDescent="0.2">
      <c r="A679" s="34"/>
      <c r="B679" s="34"/>
      <c r="C679" s="34"/>
      <c r="D679" s="34"/>
      <c r="E679" s="19"/>
      <c r="F679" s="19"/>
      <c r="G679" s="19"/>
      <c r="H679" s="19"/>
      <c r="I679" s="19"/>
      <c r="J679" s="19"/>
      <c r="K679" s="19"/>
      <c r="L679" s="19"/>
      <c r="M679" s="19"/>
      <c r="N679" s="19"/>
      <c r="O679" s="19"/>
      <c r="P679" s="20"/>
      <c r="Q679" s="20"/>
      <c r="R679" s="22"/>
      <c r="S679" s="22"/>
      <c r="T679" s="20"/>
      <c r="U679" s="20"/>
      <c r="V679" s="20"/>
      <c r="W679" s="19"/>
      <c r="X679" s="19"/>
      <c r="Y679" s="19"/>
      <c r="Z679" s="23"/>
    </row>
    <row r="680" spans="1:26" ht="15.75" customHeight="1" x14ac:dyDescent="0.2">
      <c r="A680" s="34"/>
      <c r="B680" s="34"/>
      <c r="C680" s="34"/>
      <c r="D680" s="34"/>
      <c r="E680" s="19"/>
      <c r="F680" s="19"/>
      <c r="G680" s="19"/>
      <c r="H680" s="19"/>
      <c r="I680" s="19"/>
      <c r="J680" s="19"/>
      <c r="K680" s="19"/>
      <c r="L680" s="19"/>
      <c r="M680" s="19"/>
      <c r="N680" s="19"/>
      <c r="O680" s="19"/>
      <c r="P680" s="20"/>
      <c r="Q680" s="20"/>
      <c r="R680" s="22"/>
      <c r="S680" s="22"/>
      <c r="T680" s="20"/>
      <c r="U680" s="20"/>
      <c r="V680" s="20"/>
      <c r="W680" s="19"/>
      <c r="X680" s="19"/>
      <c r="Y680" s="19"/>
      <c r="Z680" s="23"/>
    </row>
    <row r="681" spans="1:26" ht="15.75" customHeight="1" x14ac:dyDescent="0.2">
      <c r="A681" s="34"/>
      <c r="B681" s="34"/>
      <c r="C681" s="34"/>
      <c r="D681" s="34"/>
      <c r="E681" s="19"/>
      <c r="F681" s="19"/>
      <c r="G681" s="19"/>
      <c r="H681" s="19"/>
      <c r="I681" s="19"/>
      <c r="J681" s="19"/>
      <c r="K681" s="19"/>
      <c r="L681" s="19"/>
      <c r="M681" s="19"/>
      <c r="N681" s="19"/>
      <c r="O681" s="19"/>
      <c r="P681" s="20"/>
      <c r="Q681" s="20"/>
      <c r="R681" s="22"/>
      <c r="S681" s="22"/>
      <c r="T681" s="20"/>
      <c r="U681" s="20"/>
      <c r="V681" s="20"/>
      <c r="W681" s="19"/>
      <c r="X681" s="19"/>
      <c r="Y681" s="19"/>
      <c r="Z681" s="23"/>
    </row>
    <row r="682" spans="1:26" ht="15.75" customHeight="1" x14ac:dyDescent="0.2">
      <c r="A682" s="34"/>
      <c r="B682" s="34"/>
      <c r="C682" s="34"/>
      <c r="D682" s="34"/>
      <c r="E682" s="19"/>
      <c r="F682" s="19"/>
      <c r="G682" s="19"/>
      <c r="H682" s="19"/>
      <c r="I682" s="19"/>
      <c r="J682" s="19"/>
      <c r="K682" s="19"/>
      <c r="L682" s="19"/>
      <c r="M682" s="19"/>
      <c r="N682" s="19"/>
      <c r="O682" s="19"/>
      <c r="P682" s="20"/>
      <c r="Q682" s="20"/>
      <c r="R682" s="22"/>
      <c r="S682" s="22"/>
      <c r="T682" s="20"/>
      <c r="U682" s="20"/>
      <c r="V682" s="20"/>
      <c r="W682" s="19"/>
      <c r="X682" s="19"/>
      <c r="Y682" s="19"/>
      <c r="Z682" s="23"/>
    </row>
    <row r="683" spans="1:26" ht="15.75" customHeight="1" x14ac:dyDescent="0.2">
      <c r="A683" s="34"/>
      <c r="B683" s="34"/>
      <c r="C683" s="34"/>
      <c r="D683" s="34"/>
      <c r="E683" s="19"/>
      <c r="F683" s="19"/>
      <c r="G683" s="19"/>
      <c r="H683" s="19"/>
      <c r="I683" s="19"/>
      <c r="J683" s="19"/>
      <c r="K683" s="19"/>
      <c r="L683" s="19"/>
      <c r="M683" s="19"/>
      <c r="N683" s="19"/>
      <c r="O683" s="19"/>
      <c r="P683" s="20"/>
      <c r="Q683" s="20"/>
      <c r="R683" s="22"/>
      <c r="S683" s="22"/>
      <c r="T683" s="20"/>
      <c r="U683" s="20"/>
      <c r="V683" s="20"/>
      <c r="W683" s="19"/>
      <c r="X683" s="19"/>
      <c r="Y683" s="19"/>
      <c r="Z683" s="23"/>
    </row>
    <row r="684" spans="1:26" ht="15.75" customHeight="1" x14ac:dyDescent="0.2">
      <c r="A684" s="34"/>
      <c r="B684" s="34"/>
      <c r="C684" s="34"/>
      <c r="D684" s="34"/>
      <c r="E684" s="19"/>
      <c r="F684" s="19"/>
      <c r="G684" s="19"/>
      <c r="H684" s="19"/>
      <c r="I684" s="19"/>
      <c r="J684" s="19"/>
      <c r="K684" s="19"/>
      <c r="L684" s="19"/>
      <c r="M684" s="19"/>
      <c r="N684" s="19"/>
      <c r="O684" s="19"/>
      <c r="P684" s="20"/>
      <c r="Q684" s="20"/>
      <c r="R684" s="22"/>
      <c r="S684" s="22"/>
      <c r="T684" s="20"/>
      <c r="U684" s="20"/>
      <c r="V684" s="20"/>
      <c r="W684" s="19"/>
      <c r="X684" s="19"/>
      <c r="Y684" s="19"/>
      <c r="Z684" s="23"/>
    </row>
    <row r="685" spans="1:26" ht="15.75" customHeight="1" x14ac:dyDescent="0.2">
      <c r="A685" s="34"/>
      <c r="B685" s="34"/>
      <c r="C685" s="34"/>
      <c r="D685" s="34"/>
      <c r="E685" s="19"/>
      <c r="F685" s="19"/>
      <c r="G685" s="19"/>
      <c r="H685" s="19"/>
      <c r="I685" s="19"/>
      <c r="J685" s="19"/>
      <c r="K685" s="19"/>
      <c r="L685" s="19"/>
      <c r="M685" s="19"/>
      <c r="N685" s="19"/>
      <c r="O685" s="19"/>
      <c r="P685" s="20"/>
      <c r="Q685" s="20"/>
      <c r="R685" s="22"/>
      <c r="S685" s="22"/>
      <c r="T685" s="20"/>
      <c r="U685" s="20"/>
      <c r="V685" s="20"/>
      <c r="W685" s="19"/>
      <c r="X685" s="19"/>
      <c r="Y685" s="19"/>
      <c r="Z685" s="23"/>
    </row>
    <row r="686" spans="1:26" ht="15.75" customHeight="1" x14ac:dyDescent="0.2">
      <c r="A686" s="34"/>
      <c r="B686" s="34"/>
      <c r="C686" s="34"/>
      <c r="D686" s="34"/>
      <c r="E686" s="19"/>
      <c r="F686" s="19"/>
      <c r="G686" s="19"/>
      <c r="H686" s="19"/>
      <c r="I686" s="19"/>
      <c r="J686" s="19"/>
      <c r="K686" s="19"/>
      <c r="L686" s="19"/>
      <c r="M686" s="19"/>
      <c r="N686" s="19"/>
      <c r="O686" s="19"/>
      <c r="P686" s="20"/>
      <c r="Q686" s="20"/>
      <c r="R686" s="22"/>
      <c r="S686" s="22"/>
      <c r="T686" s="20"/>
      <c r="U686" s="20"/>
      <c r="V686" s="20"/>
      <c r="W686" s="19"/>
      <c r="X686" s="19"/>
      <c r="Y686" s="19"/>
      <c r="Z686" s="23"/>
    </row>
    <row r="687" spans="1:26" ht="15.75" customHeight="1" x14ac:dyDescent="0.2">
      <c r="A687" s="34"/>
      <c r="B687" s="34"/>
      <c r="C687" s="34"/>
      <c r="D687" s="34"/>
      <c r="E687" s="19"/>
      <c r="F687" s="19"/>
      <c r="G687" s="19"/>
      <c r="H687" s="19"/>
      <c r="I687" s="19"/>
      <c r="J687" s="19"/>
      <c r="K687" s="19"/>
      <c r="L687" s="19"/>
      <c r="M687" s="19"/>
      <c r="N687" s="19"/>
      <c r="O687" s="19"/>
      <c r="P687" s="20"/>
      <c r="Q687" s="20"/>
      <c r="R687" s="22"/>
      <c r="S687" s="22"/>
      <c r="T687" s="20"/>
      <c r="U687" s="20"/>
      <c r="V687" s="20"/>
      <c r="W687" s="19"/>
      <c r="X687" s="19"/>
      <c r="Y687" s="19"/>
      <c r="Z687" s="23"/>
    </row>
    <row r="688" spans="1:26" ht="15.75" customHeight="1" x14ac:dyDescent="0.2">
      <c r="A688" s="34"/>
      <c r="B688" s="34"/>
      <c r="C688" s="34"/>
      <c r="D688" s="34"/>
      <c r="E688" s="19"/>
      <c r="F688" s="19"/>
      <c r="G688" s="19"/>
      <c r="H688" s="19"/>
      <c r="I688" s="19"/>
      <c r="J688" s="19"/>
      <c r="K688" s="19"/>
      <c r="L688" s="19"/>
      <c r="M688" s="19"/>
      <c r="N688" s="19"/>
      <c r="O688" s="19"/>
      <c r="P688" s="20"/>
      <c r="Q688" s="20"/>
      <c r="R688" s="22"/>
      <c r="S688" s="22"/>
      <c r="T688" s="20"/>
      <c r="U688" s="20"/>
      <c r="V688" s="20"/>
      <c r="W688" s="19"/>
      <c r="X688" s="19"/>
      <c r="Y688" s="19"/>
      <c r="Z688" s="23"/>
    </row>
    <row r="689" spans="1:26" ht="15.75" customHeight="1" x14ac:dyDescent="0.2">
      <c r="A689" s="34"/>
      <c r="B689" s="34"/>
      <c r="C689" s="34"/>
      <c r="D689" s="34"/>
      <c r="E689" s="19"/>
      <c r="F689" s="19"/>
      <c r="G689" s="19"/>
      <c r="H689" s="19"/>
      <c r="I689" s="19"/>
      <c r="J689" s="19"/>
      <c r="K689" s="19"/>
      <c r="L689" s="19"/>
      <c r="M689" s="19"/>
      <c r="N689" s="19"/>
      <c r="O689" s="19"/>
      <c r="P689" s="20"/>
      <c r="Q689" s="20"/>
      <c r="R689" s="22"/>
      <c r="S689" s="22"/>
      <c r="T689" s="20"/>
      <c r="U689" s="20"/>
      <c r="V689" s="20"/>
      <c r="W689" s="19"/>
      <c r="X689" s="19"/>
      <c r="Y689" s="19"/>
      <c r="Z689" s="23"/>
    </row>
    <row r="690" spans="1:26" ht="15.75" customHeight="1" x14ac:dyDescent="0.2">
      <c r="A690" s="34"/>
      <c r="B690" s="34"/>
      <c r="C690" s="34"/>
      <c r="D690" s="34"/>
      <c r="E690" s="19"/>
      <c r="F690" s="19"/>
      <c r="G690" s="19"/>
      <c r="H690" s="19"/>
      <c r="I690" s="19"/>
      <c r="J690" s="19"/>
      <c r="K690" s="19"/>
      <c r="L690" s="19"/>
      <c r="M690" s="19"/>
      <c r="N690" s="19"/>
      <c r="O690" s="19"/>
      <c r="P690" s="20"/>
      <c r="Q690" s="20"/>
      <c r="R690" s="22"/>
      <c r="S690" s="22"/>
      <c r="T690" s="20"/>
      <c r="U690" s="20"/>
      <c r="V690" s="20"/>
      <c r="W690" s="19"/>
      <c r="X690" s="19"/>
      <c r="Y690" s="19"/>
      <c r="Z690" s="23"/>
    </row>
    <row r="691" spans="1:26" ht="15.75" customHeight="1" x14ac:dyDescent="0.2">
      <c r="A691" s="34"/>
      <c r="B691" s="34"/>
      <c r="C691" s="34"/>
      <c r="D691" s="34"/>
      <c r="E691" s="19"/>
      <c r="F691" s="19"/>
      <c r="G691" s="19"/>
      <c r="H691" s="19"/>
      <c r="I691" s="19"/>
      <c r="J691" s="19"/>
      <c r="K691" s="19"/>
      <c r="L691" s="19"/>
      <c r="M691" s="19"/>
      <c r="N691" s="19"/>
      <c r="O691" s="19"/>
      <c r="P691" s="20"/>
      <c r="Q691" s="20"/>
      <c r="R691" s="22"/>
      <c r="S691" s="22"/>
      <c r="T691" s="20"/>
      <c r="U691" s="20"/>
      <c r="V691" s="20"/>
      <c r="W691" s="19"/>
      <c r="X691" s="19"/>
      <c r="Y691" s="19"/>
      <c r="Z691" s="23"/>
    </row>
    <row r="692" spans="1:26" ht="15.75" customHeight="1" x14ac:dyDescent="0.2">
      <c r="A692" s="34"/>
      <c r="B692" s="34"/>
      <c r="C692" s="34"/>
      <c r="D692" s="34"/>
      <c r="E692" s="19"/>
      <c r="F692" s="19"/>
      <c r="G692" s="19"/>
      <c r="H692" s="19"/>
      <c r="I692" s="19"/>
      <c r="J692" s="19"/>
      <c r="K692" s="19"/>
      <c r="L692" s="19"/>
      <c r="M692" s="19"/>
      <c r="N692" s="19"/>
      <c r="O692" s="19"/>
      <c r="P692" s="20"/>
      <c r="Q692" s="20"/>
      <c r="R692" s="22"/>
      <c r="S692" s="22"/>
      <c r="T692" s="20"/>
      <c r="U692" s="20"/>
      <c r="V692" s="20"/>
      <c r="W692" s="19"/>
      <c r="X692" s="19"/>
      <c r="Y692" s="19"/>
      <c r="Z692" s="23"/>
    </row>
    <row r="693" spans="1:26" ht="15.75" customHeight="1" x14ac:dyDescent="0.2">
      <c r="A693" s="34"/>
      <c r="B693" s="34"/>
      <c r="C693" s="34"/>
      <c r="D693" s="34"/>
      <c r="E693" s="19"/>
      <c r="F693" s="19"/>
      <c r="G693" s="19"/>
      <c r="H693" s="19"/>
      <c r="I693" s="19"/>
      <c r="J693" s="19"/>
      <c r="K693" s="19"/>
      <c r="L693" s="19"/>
      <c r="M693" s="19"/>
      <c r="N693" s="19"/>
      <c r="O693" s="19"/>
      <c r="P693" s="20"/>
      <c r="Q693" s="20"/>
      <c r="R693" s="22"/>
      <c r="S693" s="22"/>
      <c r="T693" s="20"/>
      <c r="U693" s="20"/>
      <c r="V693" s="20"/>
      <c r="W693" s="19"/>
      <c r="X693" s="19"/>
      <c r="Y693" s="19"/>
      <c r="Z693" s="23"/>
    </row>
    <row r="694" spans="1:26" ht="15.75" customHeight="1" x14ac:dyDescent="0.2">
      <c r="A694" s="34"/>
      <c r="B694" s="34"/>
      <c r="C694" s="34"/>
      <c r="D694" s="34"/>
      <c r="E694" s="19"/>
      <c r="F694" s="19"/>
      <c r="G694" s="19"/>
      <c r="H694" s="19"/>
      <c r="I694" s="19"/>
      <c r="J694" s="19"/>
      <c r="K694" s="19"/>
      <c r="L694" s="19"/>
      <c r="M694" s="19"/>
      <c r="N694" s="19"/>
      <c r="O694" s="19"/>
      <c r="P694" s="20"/>
      <c r="Q694" s="20"/>
      <c r="R694" s="22"/>
      <c r="S694" s="22"/>
      <c r="T694" s="20"/>
      <c r="U694" s="20"/>
      <c r="V694" s="20"/>
      <c r="W694" s="19"/>
      <c r="X694" s="19"/>
      <c r="Y694" s="19"/>
      <c r="Z694" s="23"/>
    </row>
    <row r="695" spans="1:26" ht="15.75" customHeight="1" x14ac:dyDescent="0.2">
      <c r="A695" s="34"/>
      <c r="B695" s="34"/>
      <c r="C695" s="34"/>
      <c r="D695" s="34"/>
      <c r="E695" s="19"/>
      <c r="F695" s="19"/>
      <c r="G695" s="19"/>
      <c r="H695" s="19"/>
      <c r="I695" s="19"/>
      <c r="J695" s="19"/>
      <c r="K695" s="19"/>
      <c r="L695" s="19"/>
      <c r="M695" s="19"/>
      <c r="N695" s="19"/>
      <c r="O695" s="19"/>
      <c r="P695" s="20"/>
      <c r="Q695" s="20"/>
      <c r="R695" s="22"/>
      <c r="S695" s="22"/>
      <c r="T695" s="20"/>
      <c r="U695" s="20"/>
      <c r="V695" s="20"/>
      <c r="W695" s="19"/>
      <c r="X695" s="19"/>
      <c r="Y695" s="19"/>
      <c r="Z695" s="23"/>
    </row>
    <row r="696" spans="1:26" ht="15.75" customHeight="1" x14ac:dyDescent="0.2">
      <c r="A696" s="34"/>
      <c r="B696" s="34"/>
      <c r="C696" s="34"/>
      <c r="D696" s="34"/>
      <c r="E696" s="19"/>
      <c r="F696" s="19"/>
      <c r="G696" s="19"/>
      <c r="H696" s="19"/>
      <c r="I696" s="19"/>
      <c r="J696" s="19"/>
      <c r="K696" s="19"/>
      <c r="L696" s="19"/>
      <c r="M696" s="19"/>
      <c r="N696" s="19"/>
      <c r="O696" s="19"/>
      <c r="P696" s="20"/>
      <c r="Q696" s="20"/>
      <c r="R696" s="22"/>
      <c r="S696" s="22"/>
      <c r="T696" s="20"/>
      <c r="U696" s="20"/>
      <c r="V696" s="20"/>
      <c r="W696" s="19"/>
      <c r="X696" s="19"/>
      <c r="Y696" s="19"/>
      <c r="Z696" s="23"/>
    </row>
    <row r="697" spans="1:26" ht="15.75" customHeight="1" x14ac:dyDescent="0.2">
      <c r="A697" s="34"/>
      <c r="B697" s="34"/>
      <c r="C697" s="34"/>
      <c r="D697" s="34"/>
      <c r="E697" s="19"/>
      <c r="F697" s="19"/>
      <c r="G697" s="19"/>
      <c r="H697" s="19"/>
      <c r="I697" s="19"/>
      <c r="J697" s="19"/>
      <c r="K697" s="19"/>
      <c r="L697" s="19"/>
      <c r="M697" s="19"/>
      <c r="N697" s="19"/>
      <c r="O697" s="19"/>
      <c r="P697" s="20"/>
      <c r="Q697" s="20"/>
      <c r="R697" s="22"/>
      <c r="S697" s="22"/>
      <c r="T697" s="20"/>
      <c r="U697" s="20"/>
      <c r="V697" s="20"/>
      <c r="W697" s="19"/>
      <c r="X697" s="19"/>
      <c r="Y697" s="19"/>
      <c r="Z697" s="23"/>
    </row>
    <row r="698" spans="1:26" ht="15.75" customHeight="1" x14ac:dyDescent="0.2">
      <c r="A698" s="34"/>
      <c r="B698" s="34"/>
      <c r="C698" s="34"/>
      <c r="D698" s="34"/>
      <c r="E698" s="19"/>
      <c r="F698" s="19"/>
      <c r="G698" s="19"/>
      <c r="H698" s="19"/>
      <c r="I698" s="19"/>
      <c r="J698" s="19"/>
      <c r="K698" s="19"/>
      <c r="L698" s="19"/>
      <c r="M698" s="19"/>
      <c r="N698" s="19"/>
      <c r="O698" s="19"/>
      <c r="P698" s="20"/>
      <c r="Q698" s="20"/>
      <c r="R698" s="22"/>
      <c r="S698" s="22"/>
      <c r="T698" s="20"/>
      <c r="U698" s="20"/>
      <c r="V698" s="20"/>
      <c r="W698" s="19"/>
      <c r="X698" s="19"/>
      <c r="Y698" s="19"/>
      <c r="Z698" s="23"/>
    </row>
    <row r="699" spans="1:26" ht="15.75" customHeight="1" x14ac:dyDescent="0.2">
      <c r="A699" s="34"/>
      <c r="B699" s="34"/>
      <c r="C699" s="34"/>
      <c r="D699" s="34"/>
      <c r="E699" s="19"/>
      <c r="F699" s="19"/>
      <c r="G699" s="19"/>
      <c r="H699" s="19"/>
      <c r="I699" s="19"/>
      <c r="J699" s="19"/>
      <c r="K699" s="19"/>
      <c r="L699" s="19"/>
      <c r="M699" s="19"/>
      <c r="N699" s="19"/>
      <c r="O699" s="19"/>
      <c r="P699" s="20"/>
      <c r="Q699" s="20"/>
      <c r="R699" s="22"/>
      <c r="S699" s="22"/>
      <c r="T699" s="20"/>
      <c r="U699" s="20"/>
      <c r="V699" s="20"/>
      <c r="W699" s="19"/>
      <c r="X699" s="19"/>
      <c r="Y699" s="19"/>
      <c r="Z699" s="23"/>
    </row>
    <row r="700" spans="1:26" ht="15.75" customHeight="1" x14ac:dyDescent="0.2">
      <c r="A700" s="34"/>
      <c r="B700" s="34"/>
      <c r="C700" s="34"/>
      <c r="D700" s="34"/>
      <c r="E700" s="19"/>
      <c r="F700" s="19"/>
      <c r="G700" s="19"/>
      <c r="H700" s="19"/>
      <c r="I700" s="19"/>
      <c r="J700" s="19"/>
      <c r="K700" s="19"/>
      <c r="L700" s="19"/>
      <c r="M700" s="19"/>
      <c r="N700" s="19"/>
      <c r="O700" s="19"/>
      <c r="P700" s="20"/>
      <c r="Q700" s="20"/>
      <c r="R700" s="22"/>
      <c r="S700" s="22"/>
      <c r="T700" s="20"/>
      <c r="U700" s="20"/>
      <c r="V700" s="20"/>
      <c r="W700" s="19"/>
      <c r="X700" s="19"/>
      <c r="Y700" s="19"/>
      <c r="Z700" s="23"/>
    </row>
    <row r="701" spans="1:26" ht="15.75" customHeight="1" x14ac:dyDescent="0.2">
      <c r="A701" s="34"/>
      <c r="B701" s="34"/>
      <c r="C701" s="34"/>
      <c r="D701" s="34"/>
      <c r="E701" s="19"/>
      <c r="F701" s="19"/>
      <c r="G701" s="19"/>
      <c r="H701" s="19"/>
      <c r="I701" s="19"/>
      <c r="J701" s="19"/>
      <c r="K701" s="19"/>
      <c r="L701" s="19"/>
      <c r="M701" s="19"/>
      <c r="N701" s="19"/>
      <c r="O701" s="19"/>
      <c r="P701" s="20"/>
      <c r="Q701" s="20"/>
      <c r="R701" s="22"/>
      <c r="S701" s="22"/>
      <c r="T701" s="20"/>
      <c r="U701" s="20"/>
      <c r="V701" s="20"/>
      <c r="W701" s="19"/>
      <c r="X701" s="19"/>
      <c r="Y701" s="19"/>
      <c r="Z701" s="23"/>
    </row>
    <row r="702" spans="1:26" ht="15.75" customHeight="1" x14ac:dyDescent="0.2">
      <c r="A702" s="34"/>
      <c r="B702" s="34"/>
      <c r="C702" s="34"/>
      <c r="D702" s="34"/>
      <c r="E702" s="19"/>
      <c r="F702" s="19"/>
      <c r="G702" s="19"/>
      <c r="H702" s="19"/>
      <c r="I702" s="19"/>
      <c r="J702" s="19"/>
      <c r="K702" s="19"/>
      <c r="L702" s="19"/>
      <c r="M702" s="19"/>
      <c r="N702" s="19"/>
      <c r="O702" s="19"/>
      <c r="P702" s="20"/>
      <c r="Q702" s="20"/>
      <c r="R702" s="22"/>
      <c r="S702" s="22"/>
      <c r="T702" s="20"/>
      <c r="U702" s="20"/>
      <c r="V702" s="20"/>
      <c r="W702" s="19"/>
      <c r="X702" s="19"/>
      <c r="Y702" s="19"/>
      <c r="Z702" s="23"/>
    </row>
    <row r="703" spans="1:26" ht="15.75" customHeight="1" x14ac:dyDescent="0.2">
      <c r="A703" s="34"/>
      <c r="B703" s="34"/>
      <c r="C703" s="34"/>
      <c r="D703" s="34"/>
      <c r="E703" s="19"/>
      <c r="F703" s="19"/>
      <c r="G703" s="19"/>
      <c r="H703" s="19"/>
      <c r="I703" s="19"/>
      <c r="J703" s="19"/>
      <c r="K703" s="19"/>
      <c r="L703" s="19"/>
      <c r="M703" s="19"/>
      <c r="N703" s="19"/>
      <c r="O703" s="19"/>
      <c r="P703" s="20"/>
      <c r="Q703" s="20"/>
      <c r="R703" s="22"/>
      <c r="S703" s="22"/>
      <c r="T703" s="20"/>
      <c r="U703" s="20"/>
      <c r="V703" s="20"/>
      <c r="W703" s="19"/>
      <c r="X703" s="19"/>
      <c r="Y703" s="19"/>
      <c r="Z703" s="23"/>
    </row>
    <row r="704" spans="1:26" ht="15.75" customHeight="1" x14ac:dyDescent="0.2">
      <c r="A704" s="34"/>
      <c r="B704" s="34"/>
      <c r="C704" s="34"/>
      <c r="D704" s="34"/>
      <c r="E704" s="19"/>
      <c r="F704" s="19"/>
      <c r="G704" s="19"/>
      <c r="H704" s="19"/>
      <c r="I704" s="19"/>
      <c r="J704" s="19"/>
      <c r="K704" s="19"/>
      <c r="L704" s="19"/>
      <c r="M704" s="19"/>
      <c r="N704" s="19"/>
      <c r="O704" s="19"/>
      <c r="P704" s="20"/>
      <c r="Q704" s="20"/>
      <c r="R704" s="22"/>
      <c r="S704" s="22"/>
      <c r="T704" s="20"/>
      <c r="U704" s="20"/>
      <c r="V704" s="20"/>
      <c r="W704" s="19"/>
      <c r="X704" s="19"/>
      <c r="Y704" s="19"/>
      <c r="Z704" s="23"/>
    </row>
    <row r="705" spans="1:26" ht="15.75" customHeight="1" x14ac:dyDescent="0.2">
      <c r="A705" s="34"/>
      <c r="B705" s="34"/>
      <c r="C705" s="34"/>
      <c r="D705" s="34"/>
      <c r="E705" s="19"/>
      <c r="F705" s="19"/>
      <c r="G705" s="19"/>
      <c r="H705" s="19"/>
      <c r="I705" s="19"/>
      <c r="J705" s="19"/>
      <c r="K705" s="19"/>
      <c r="L705" s="19"/>
      <c r="M705" s="19"/>
      <c r="N705" s="19"/>
      <c r="O705" s="19"/>
      <c r="P705" s="20"/>
      <c r="Q705" s="20"/>
      <c r="R705" s="22"/>
      <c r="S705" s="22"/>
      <c r="T705" s="20"/>
      <c r="U705" s="20"/>
      <c r="V705" s="20"/>
      <c r="W705" s="19"/>
      <c r="X705" s="19"/>
      <c r="Y705" s="19"/>
      <c r="Z705" s="23"/>
    </row>
    <row r="706" spans="1:26" ht="15.75" customHeight="1" x14ac:dyDescent="0.2">
      <c r="A706" s="34"/>
      <c r="B706" s="34"/>
      <c r="C706" s="34"/>
      <c r="D706" s="34"/>
      <c r="E706" s="19"/>
      <c r="F706" s="19"/>
      <c r="G706" s="19"/>
      <c r="H706" s="19"/>
      <c r="I706" s="19"/>
      <c r="J706" s="19"/>
      <c r="K706" s="19"/>
      <c r="L706" s="19"/>
      <c r="M706" s="19"/>
      <c r="N706" s="19"/>
      <c r="O706" s="19"/>
      <c r="P706" s="20"/>
      <c r="Q706" s="20"/>
      <c r="R706" s="22"/>
      <c r="S706" s="22"/>
      <c r="T706" s="20"/>
      <c r="U706" s="20"/>
      <c r="V706" s="20"/>
      <c r="W706" s="19"/>
      <c r="X706" s="19"/>
      <c r="Y706" s="19"/>
      <c r="Z706" s="23"/>
    </row>
    <row r="707" spans="1:26" ht="15.75" customHeight="1" x14ac:dyDescent="0.2">
      <c r="A707" s="34"/>
      <c r="B707" s="34"/>
      <c r="C707" s="34"/>
      <c r="D707" s="34"/>
      <c r="E707" s="19"/>
      <c r="F707" s="19"/>
      <c r="G707" s="19"/>
      <c r="H707" s="19"/>
      <c r="I707" s="19"/>
      <c r="J707" s="19"/>
      <c r="K707" s="19"/>
      <c r="L707" s="19"/>
      <c r="M707" s="19"/>
      <c r="N707" s="19"/>
      <c r="O707" s="19"/>
      <c r="P707" s="20"/>
      <c r="Q707" s="20"/>
      <c r="R707" s="22"/>
      <c r="S707" s="22"/>
      <c r="T707" s="20"/>
      <c r="U707" s="20"/>
      <c r="V707" s="20"/>
      <c r="W707" s="19"/>
      <c r="X707" s="19"/>
      <c r="Y707" s="19"/>
      <c r="Z707" s="23"/>
    </row>
    <row r="708" spans="1:26" ht="15.75" customHeight="1" x14ac:dyDescent="0.2">
      <c r="A708" s="34"/>
      <c r="B708" s="34"/>
      <c r="C708" s="34"/>
      <c r="D708" s="34"/>
      <c r="E708" s="19"/>
      <c r="F708" s="19"/>
      <c r="G708" s="19"/>
      <c r="H708" s="19"/>
      <c r="I708" s="19"/>
      <c r="J708" s="19"/>
      <c r="K708" s="19"/>
      <c r="L708" s="19"/>
      <c r="M708" s="19"/>
      <c r="N708" s="19"/>
      <c r="O708" s="19"/>
      <c r="P708" s="20"/>
      <c r="Q708" s="20"/>
      <c r="R708" s="22"/>
      <c r="S708" s="22"/>
      <c r="T708" s="20"/>
      <c r="U708" s="20"/>
      <c r="V708" s="20"/>
      <c r="W708" s="19"/>
      <c r="X708" s="19"/>
      <c r="Y708" s="19"/>
      <c r="Z708" s="23"/>
    </row>
    <row r="709" spans="1:26" ht="15.75" customHeight="1" x14ac:dyDescent="0.2">
      <c r="A709" s="34"/>
      <c r="B709" s="34"/>
      <c r="C709" s="34"/>
      <c r="D709" s="34"/>
      <c r="E709" s="19"/>
      <c r="F709" s="19"/>
      <c r="G709" s="19"/>
      <c r="H709" s="19"/>
      <c r="I709" s="19"/>
      <c r="J709" s="19"/>
      <c r="K709" s="19"/>
      <c r="L709" s="19"/>
      <c r="M709" s="19"/>
      <c r="N709" s="19"/>
      <c r="O709" s="19"/>
      <c r="P709" s="20"/>
      <c r="Q709" s="20"/>
      <c r="R709" s="22"/>
      <c r="S709" s="22"/>
      <c r="T709" s="20"/>
      <c r="U709" s="20"/>
      <c r="V709" s="20"/>
      <c r="W709" s="19"/>
      <c r="X709" s="19"/>
      <c r="Y709" s="19"/>
      <c r="Z709" s="23"/>
    </row>
    <row r="710" spans="1:26" ht="15.75" customHeight="1" x14ac:dyDescent="0.2">
      <c r="A710" s="34"/>
      <c r="B710" s="34"/>
      <c r="C710" s="34"/>
      <c r="D710" s="34"/>
      <c r="E710" s="19"/>
      <c r="F710" s="19"/>
      <c r="G710" s="19"/>
      <c r="H710" s="19"/>
      <c r="I710" s="19"/>
      <c r="J710" s="19"/>
      <c r="K710" s="19"/>
      <c r="L710" s="19"/>
      <c r="M710" s="19"/>
      <c r="N710" s="19"/>
      <c r="O710" s="19"/>
      <c r="P710" s="20"/>
      <c r="Q710" s="20"/>
      <c r="R710" s="22"/>
      <c r="S710" s="22"/>
      <c r="T710" s="20"/>
      <c r="U710" s="20"/>
      <c r="V710" s="20"/>
      <c r="W710" s="19"/>
      <c r="X710" s="19"/>
      <c r="Y710" s="19"/>
      <c r="Z710" s="23"/>
    </row>
    <row r="711" spans="1:26" ht="15.75" customHeight="1" x14ac:dyDescent="0.2">
      <c r="A711" s="34"/>
      <c r="B711" s="34"/>
      <c r="C711" s="34"/>
      <c r="D711" s="34"/>
      <c r="E711" s="19"/>
      <c r="F711" s="19"/>
      <c r="G711" s="19"/>
      <c r="H711" s="19"/>
      <c r="I711" s="19"/>
      <c r="J711" s="19"/>
      <c r="K711" s="19"/>
      <c r="L711" s="19"/>
      <c r="M711" s="19"/>
      <c r="N711" s="19"/>
      <c r="O711" s="19"/>
      <c r="P711" s="20"/>
      <c r="Q711" s="20"/>
      <c r="R711" s="22"/>
      <c r="S711" s="22"/>
      <c r="T711" s="20"/>
      <c r="U711" s="20"/>
      <c r="V711" s="20"/>
      <c r="W711" s="19"/>
      <c r="X711" s="19"/>
      <c r="Y711" s="19"/>
      <c r="Z711" s="23"/>
    </row>
    <row r="712" spans="1:26" ht="15.75" customHeight="1" x14ac:dyDescent="0.2">
      <c r="A712" s="34"/>
      <c r="B712" s="34"/>
      <c r="C712" s="34"/>
      <c r="D712" s="34"/>
      <c r="E712" s="19"/>
      <c r="F712" s="19"/>
      <c r="G712" s="19"/>
      <c r="H712" s="19"/>
      <c r="I712" s="19"/>
      <c r="J712" s="19"/>
      <c r="K712" s="19"/>
      <c r="L712" s="19"/>
      <c r="M712" s="19"/>
      <c r="N712" s="19"/>
      <c r="O712" s="19"/>
      <c r="P712" s="20"/>
      <c r="Q712" s="20"/>
      <c r="R712" s="22"/>
      <c r="S712" s="22"/>
      <c r="T712" s="20"/>
      <c r="U712" s="20"/>
      <c r="V712" s="20"/>
      <c r="W712" s="19"/>
      <c r="X712" s="19"/>
      <c r="Y712" s="19"/>
      <c r="Z712" s="23"/>
    </row>
    <row r="713" spans="1:26" ht="15.75" customHeight="1" x14ac:dyDescent="0.2">
      <c r="A713" s="34"/>
      <c r="B713" s="34"/>
      <c r="C713" s="34"/>
      <c r="D713" s="34"/>
      <c r="E713" s="19"/>
      <c r="F713" s="19"/>
      <c r="G713" s="19"/>
      <c r="H713" s="19"/>
      <c r="I713" s="19"/>
      <c r="J713" s="19"/>
      <c r="K713" s="19"/>
      <c r="L713" s="19"/>
      <c r="M713" s="19"/>
      <c r="N713" s="19"/>
      <c r="O713" s="19"/>
      <c r="P713" s="20"/>
      <c r="Q713" s="20"/>
      <c r="R713" s="22"/>
      <c r="S713" s="22"/>
      <c r="T713" s="20"/>
      <c r="U713" s="20"/>
      <c r="V713" s="20"/>
      <c r="W713" s="19"/>
      <c r="X713" s="19"/>
      <c r="Y713" s="19"/>
      <c r="Z713" s="23"/>
    </row>
    <row r="714" spans="1:26" ht="15.75" customHeight="1" x14ac:dyDescent="0.2">
      <c r="A714" s="34"/>
      <c r="B714" s="34"/>
      <c r="C714" s="34"/>
      <c r="D714" s="34"/>
      <c r="E714" s="19"/>
      <c r="F714" s="19"/>
      <c r="G714" s="19"/>
      <c r="H714" s="19"/>
      <c r="I714" s="19"/>
      <c r="J714" s="19"/>
      <c r="K714" s="19"/>
      <c r="L714" s="19"/>
      <c r="M714" s="19"/>
      <c r="N714" s="19"/>
      <c r="O714" s="19"/>
      <c r="P714" s="20"/>
      <c r="Q714" s="20"/>
      <c r="R714" s="22"/>
      <c r="S714" s="22"/>
      <c r="T714" s="20"/>
      <c r="U714" s="20"/>
      <c r="V714" s="20"/>
      <c r="W714" s="19"/>
      <c r="X714" s="19"/>
      <c r="Y714" s="19"/>
      <c r="Z714" s="23"/>
    </row>
    <row r="715" spans="1:26" ht="15.75" customHeight="1" x14ac:dyDescent="0.2">
      <c r="A715" s="34"/>
      <c r="B715" s="34"/>
      <c r="C715" s="34"/>
      <c r="D715" s="34"/>
      <c r="E715" s="19"/>
      <c r="F715" s="19"/>
      <c r="G715" s="19"/>
      <c r="H715" s="19"/>
      <c r="I715" s="19"/>
      <c r="J715" s="19"/>
      <c r="K715" s="19"/>
      <c r="L715" s="19"/>
      <c r="M715" s="19"/>
      <c r="N715" s="19"/>
      <c r="O715" s="19"/>
      <c r="P715" s="20"/>
      <c r="Q715" s="20"/>
      <c r="R715" s="22"/>
      <c r="S715" s="22"/>
      <c r="T715" s="20"/>
      <c r="U715" s="20"/>
      <c r="V715" s="20"/>
      <c r="W715" s="19"/>
      <c r="X715" s="19"/>
      <c r="Y715" s="19"/>
      <c r="Z715" s="23"/>
    </row>
    <row r="716" spans="1:26" ht="15.75" customHeight="1" x14ac:dyDescent="0.2">
      <c r="A716" s="34"/>
      <c r="B716" s="34"/>
      <c r="C716" s="34"/>
      <c r="D716" s="34"/>
      <c r="E716" s="19"/>
      <c r="F716" s="19"/>
      <c r="G716" s="19"/>
      <c r="H716" s="19"/>
      <c r="I716" s="19"/>
      <c r="J716" s="19"/>
      <c r="K716" s="19"/>
      <c r="L716" s="19"/>
      <c r="M716" s="19"/>
      <c r="N716" s="19"/>
      <c r="O716" s="19"/>
      <c r="P716" s="20"/>
      <c r="Q716" s="20"/>
      <c r="R716" s="22"/>
      <c r="S716" s="22"/>
      <c r="T716" s="20"/>
      <c r="U716" s="20"/>
      <c r="V716" s="20"/>
      <c r="W716" s="19"/>
      <c r="X716" s="19"/>
      <c r="Y716" s="19"/>
      <c r="Z716" s="23"/>
    </row>
    <row r="717" spans="1:26" ht="15.75" customHeight="1" x14ac:dyDescent="0.2">
      <c r="A717" s="34"/>
      <c r="B717" s="34"/>
      <c r="C717" s="34"/>
      <c r="D717" s="34"/>
      <c r="E717" s="19"/>
      <c r="F717" s="19"/>
      <c r="G717" s="19"/>
      <c r="H717" s="19"/>
      <c r="I717" s="19"/>
      <c r="J717" s="19"/>
      <c r="K717" s="19"/>
      <c r="L717" s="19"/>
      <c r="M717" s="19"/>
      <c r="N717" s="19"/>
      <c r="O717" s="19"/>
      <c r="P717" s="20"/>
      <c r="Q717" s="20"/>
      <c r="R717" s="22"/>
      <c r="S717" s="22"/>
      <c r="T717" s="20"/>
      <c r="U717" s="20"/>
      <c r="V717" s="20"/>
      <c r="W717" s="19"/>
      <c r="X717" s="19"/>
      <c r="Y717" s="19"/>
      <c r="Z717" s="23"/>
    </row>
    <row r="718" spans="1:26" ht="15.75" customHeight="1" x14ac:dyDescent="0.2">
      <c r="A718" s="34"/>
      <c r="B718" s="34"/>
      <c r="C718" s="34"/>
      <c r="D718" s="34"/>
      <c r="E718" s="19"/>
      <c r="F718" s="19"/>
      <c r="G718" s="19"/>
      <c r="H718" s="19"/>
      <c r="I718" s="19"/>
      <c r="J718" s="19"/>
      <c r="K718" s="19"/>
      <c r="L718" s="19"/>
      <c r="M718" s="19"/>
      <c r="N718" s="19"/>
      <c r="O718" s="19"/>
      <c r="P718" s="20"/>
      <c r="Q718" s="20"/>
      <c r="R718" s="22"/>
      <c r="S718" s="22"/>
      <c r="T718" s="20"/>
      <c r="U718" s="20"/>
      <c r="V718" s="20"/>
      <c r="W718" s="19"/>
      <c r="X718" s="19"/>
      <c r="Y718" s="19"/>
      <c r="Z718" s="23"/>
    </row>
    <row r="719" spans="1:26" ht="15.75" customHeight="1" x14ac:dyDescent="0.2">
      <c r="A719" s="34"/>
      <c r="B719" s="34"/>
      <c r="C719" s="34"/>
      <c r="D719" s="34"/>
      <c r="E719" s="19"/>
      <c r="F719" s="19"/>
      <c r="G719" s="19"/>
      <c r="H719" s="19"/>
      <c r="I719" s="19"/>
      <c r="J719" s="19"/>
      <c r="K719" s="19"/>
      <c r="L719" s="19"/>
      <c r="M719" s="19"/>
      <c r="N719" s="19"/>
      <c r="O719" s="19"/>
      <c r="P719" s="20"/>
      <c r="Q719" s="20"/>
      <c r="R719" s="22"/>
      <c r="S719" s="22"/>
      <c r="T719" s="20"/>
      <c r="U719" s="20"/>
      <c r="V719" s="20"/>
      <c r="W719" s="19"/>
      <c r="X719" s="19"/>
      <c r="Y719" s="19"/>
      <c r="Z719" s="23"/>
    </row>
    <row r="720" spans="1:26" ht="15.75" customHeight="1" x14ac:dyDescent="0.2">
      <c r="A720" s="34"/>
      <c r="B720" s="34"/>
      <c r="C720" s="34"/>
      <c r="D720" s="34"/>
      <c r="E720" s="19"/>
      <c r="F720" s="19"/>
      <c r="G720" s="19"/>
      <c r="H720" s="19"/>
      <c r="I720" s="19"/>
      <c r="J720" s="19"/>
      <c r="K720" s="19"/>
      <c r="L720" s="19"/>
      <c r="M720" s="19"/>
      <c r="N720" s="19"/>
      <c r="O720" s="19"/>
      <c r="P720" s="20"/>
      <c r="Q720" s="20"/>
      <c r="R720" s="22"/>
      <c r="S720" s="22"/>
      <c r="T720" s="20"/>
      <c r="U720" s="20"/>
      <c r="V720" s="20"/>
      <c r="W720" s="19"/>
      <c r="X720" s="19"/>
      <c r="Y720" s="19"/>
      <c r="Z720" s="23"/>
    </row>
    <row r="721" spans="1:26" ht="15.75" customHeight="1" x14ac:dyDescent="0.2">
      <c r="A721" s="34"/>
      <c r="B721" s="34"/>
      <c r="C721" s="34"/>
      <c r="D721" s="34"/>
      <c r="E721" s="19"/>
      <c r="F721" s="19"/>
      <c r="G721" s="19"/>
      <c r="H721" s="19"/>
      <c r="I721" s="19"/>
      <c r="J721" s="19"/>
      <c r="K721" s="19"/>
      <c r="L721" s="19"/>
      <c r="M721" s="19"/>
      <c r="N721" s="19"/>
      <c r="O721" s="19"/>
      <c r="P721" s="20"/>
      <c r="Q721" s="20"/>
      <c r="R721" s="22"/>
      <c r="S721" s="22"/>
      <c r="T721" s="20"/>
      <c r="U721" s="20"/>
      <c r="V721" s="20"/>
      <c r="W721" s="19"/>
      <c r="X721" s="19"/>
      <c r="Y721" s="19"/>
      <c r="Z721" s="23"/>
    </row>
    <row r="722" spans="1:26" ht="15.75" customHeight="1" x14ac:dyDescent="0.2">
      <c r="A722" s="34"/>
      <c r="B722" s="34"/>
      <c r="C722" s="34"/>
      <c r="D722" s="34"/>
      <c r="E722" s="19"/>
      <c r="F722" s="19"/>
      <c r="G722" s="19"/>
      <c r="H722" s="19"/>
      <c r="I722" s="19"/>
      <c r="J722" s="19"/>
      <c r="K722" s="19"/>
      <c r="L722" s="19"/>
      <c r="M722" s="19"/>
      <c r="N722" s="19"/>
      <c r="O722" s="19"/>
      <c r="P722" s="20"/>
      <c r="Q722" s="20"/>
      <c r="R722" s="22"/>
      <c r="S722" s="22"/>
      <c r="T722" s="20"/>
      <c r="U722" s="20"/>
      <c r="V722" s="20"/>
      <c r="W722" s="19"/>
      <c r="X722" s="19"/>
      <c r="Y722" s="19"/>
      <c r="Z722" s="23"/>
    </row>
    <row r="723" spans="1:26" ht="15.75" customHeight="1" x14ac:dyDescent="0.2">
      <c r="A723" s="34"/>
      <c r="B723" s="34"/>
      <c r="C723" s="34"/>
      <c r="D723" s="34"/>
      <c r="E723" s="19"/>
      <c r="F723" s="19"/>
      <c r="G723" s="19"/>
      <c r="H723" s="19"/>
      <c r="I723" s="19"/>
      <c r="J723" s="19"/>
      <c r="K723" s="19"/>
      <c r="L723" s="19"/>
      <c r="M723" s="19"/>
      <c r="N723" s="19"/>
      <c r="O723" s="19"/>
      <c r="P723" s="20"/>
      <c r="Q723" s="20"/>
      <c r="R723" s="22"/>
      <c r="S723" s="22"/>
      <c r="T723" s="20"/>
      <c r="U723" s="20"/>
      <c r="V723" s="20"/>
      <c r="W723" s="19"/>
      <c r="X723" s="19"/>
      <c r="Y723" s="19"/>
      <c r="Z723" s="23"/>
    </row>
    <row r="724" spans="1:26" ht="15.75" customHeight="1" x14ac:dyDescent="0.2">
      <c r="A724" s="34"/>
      <c r="B724" s="34"/>
      <c r="C724" s="34"/>
      <c r="D724" s="34"/>
      <c r="E724" s="19"/>
      <c r="F724" s="19"/>
      <c r="G724" s="19"/>
      <c r="H724" s="19"/>
      <c r="I724" s="19"/>
      <c r="J724" s="19"/>
      <c r="K724" s="19"/>
      <c r="L724" s="19"/>
      <c r="M724" s="19"/>
      <c r="N724" s="19"/>
      <c r="O724" s="19"/>
      <c r="P724" s="20"/>
      <c r="Q724" s="20"/>
      <c r="R724" s="22"/>
      <c r="S724" s="22"/>
      <c r="T724" s="20"/>
      <c r="U724" s="20"/>
      <c r="V724" s="20"/>
      <c r="W724" s="19"/>
      <c r="X724" s="19"/>
      <c r="Y724" s="19"/>
      <c r="Z724" s="23"/>
    </row>
    <row r="725" spans="1:26" ht="15.75" customHeight="1" x14ac:dyDescent="0.2">
      <c r="A725" s="34"/>
      <c r="B725" s="34"/>
      <c r="C725" s="34"/>
      <c r="D725" s="34"/>
      <c r="E725" s="19"/>
      <c r="F725" s="19"/>
      <c r="G725" s="19"/>
      <c r="H725" s="19"/>
      <c r="I725" s="19"/>
      <c r="J725" s="19"/>
      <c r="K725" s="19"/>
      <c r="L725" s="19"/>
      <c r="M725" s="19"/>
      <c r="N725" s="19"/>
      <c r="O725" s="19"/>
      <c r="P725" s="20"/>
      <c r="Q725" s="20"/>
      <c r="R725" s="22"/>
      <c r="S725" s="22"/>
      <c r="T725" s="20"/>
      <c r="U725" s="20"/>
      <c r="V725" s="20"/>
      <c r="W725" s="19"/>
      <c r="X725" s="19"/>
      <c r="Y725" s="19"/>
      <c r="Z725" s="23"/>
    </row>
    <row r="726" spans="1:26" ht="15.75" customHeight="1" x14ac:dyDescent="0.2">
      <c r="A726" s="34"/>
      <c r="B726" s="34"/>
      <c r="C726" s="34"/>
      <c r="D726" s="34"/>
      <c r="E726" s="19"/>
      <c r="F726" s="19"/>
      <c r="G726" s="19"/>
      <c r="H726" s="19"/>
      <c r="I726" s="19"/>
      <c r="J726" s="19"/>
      <c r="K726" s="19"/>
      <c r="L726" s="19"/>
      <c r="M726" s="19"/>
      <c r="N726" s="19"/>
      <c r="O726" s="19"/>
      <c r="P726" s="20"/>
      <c r="Q726" s="20"/>
      <c r="R726" s="22"/>
      <c r="S726" s="22"/>
      <c r="T726" s="20"/>
      <c r="U726" s="20"/>
      <c r="V726" s="20"/>
      <c r="W726" s="19"/>
      <c r="X726" s="19"/>
      <c r="Y726" s="19"/>
      <c r="Z726" s="23"/>
    </row>
    <row r="727" spans="1:26" ht="15.75" customHeight="1" x14ac:dyDescent="0.2">
      <c r="A727" s="34"/>
      <c r="B727" s="34"/>
      <c r="C727" s="34"/>
      <c r="D727" s="34"/>
      <c r="E727" s="19"/>
      <c r="F727" s="19"/>
      <c r="G727" s="19"/>
      <c r="H727" s="19"/>
      <c r="I727" s="19"/>
      <c r="J727" s="19"/>
      <c r="K727" s="19"/>
      <c r="L727" s="19"/>
      <c r="M727" s="19"/>
      <c r="N727" s="19"/>
      <c r="O727" s="19"/>
      <c r="P727" s="20"/>
      <c r="Q727" s="20"/>
      <c r="R727" s="22"/>
      <c r="S727" s="22"/>
      <c r="T727" s="20"/>
      <c r="U727" s="20"/>
      <c r="V727" s="20"/>
      <c r="W727" s="19"/>
      <c r="X727" s="19"/>
      <c r="Y727" s="19"/>
      <c r="Z727" s="23"/>
    </row>
    <row r="728" spans="1:26" ht="15.75" customHeight="1" x14ac:dyDescent="0.2">
      <c r="A728" s="34"/>
      <c r="B728" s="34"/>
      <c r="C728" s="34"/>
      <c r="D728" s="34"/>
      <c r="E728" s="19"/>
      <c r="F728" s="19"/>
      <c r="G728" s="19"/>
      <c r="H728" s="19"/>
      <c r="I728" s="19"/>
      <c r="J728" s="19"/>
      <c r="K728" s="19"/>
      <c r="L728" s="19"/>
      <c r="M728" s="19"/>
      <c r="N728" s="19"/>
      <c r="O728" s="19"/>
      <c r="P728" s="20"/>
      <c r="Q728" s="20"/>
      <c r="R728" s="22"/>
      <c r="S728" s="22"/>
      <c r="T728" s="20"/>
      <c r="U728" s="20"/>
      <c r="V728" s="20"/>
      <c r="W728" s="19"/>
      <c r="X728" s="19"/>
      <c r="Y728" s="19"/>
      <c r="Z728" s="23"/>
    </row>
    <row r="729" spans="1:26" ht="15.75" customHeight="1" x14ac:dyDescent="0.2">
      <c r="A729" s="34"/>
      <c r="B729" s="34"/>
      <c r="C729" s="34"/>
      <c r="D729" s="34"/>
      <c r="E729" s="19"/>
      <c r="F729" s="19"/>
      <c r="G729" s="19"/>
      <c r="H729" s="19"/>
      <c r="I729" s="19"/>
      <c r="J729" s="19"/>
      <c r="K729" s="19"/>
      <c r="L729" s="19"/>
      <c r="M729" s="19"/>
      <c r="N729" s="19"/>
      <c r="O729" s="19"/>
      <c r="P729" s="20"/>
      <c r="Q729" s="20"/>
      <c r="R729" s="22"/>
      <c r="S729" s="22"/>
      <c r="T729" s="20"/>
      <c r="U729" s="20"/>
      <c r="V729" s="20"/>
      <c r="W729" s="19"/>
      <c r="X729" s="19"/>
      <c r="Y729" s="19"/>
      <c r="Z729" s="23"/>
    </row>
    <row r="730" spans="1:26" ht="15.75" customHeight="1" x14ac:dyDescent="0.2">
      <c r="A730" s="34"/>
      <c r="B730" s="34"/>
      <c r="C730" s="34"/>
      <c r="D730" s="34"/>
      <c r="E730" s="19"/>
      <c r="F730" s="19"/>
      <c r="G730" s="19"/>
      <c r="H730" s="19"/>
      <c r="I730" s="19"/>
      <c r="J730" s="19"/>
      <c r="K730" s="19"/>
      <c r="L730" s="19"/>
      <c r="M730" s="19"/>
      <c r="N730" s="19"/>
      <c r="O730" s="19"/>
      <c r="P730" s="20"/>
      <c r="Q730" s="20"/>
      <c r="R730" s="22"/>
      <c r="S730" s="22"/>
      <c r="T730" s="20"/>
      <c r="U730" s="20"/>
      <c r="V730" s="20"/>
      <c r="W730" s="19"/>
      <c r="X730" s="19"/>
      <c r="Y730" s="19"/>
      <c r="Z730" s="23"/>
    </row>
    <row r="731" spans="1:26" ht="15.75" customHeight="1" x14ac:dyDescent="0.2">
      <c r="A731" s="34"/>
      <c r="B731" s="34"/>
      <c r="C731" s="34"/>
      <c r="D731" s="34"/>
      <c r="E731" s="19"/>
      <c r="F731" s="19"/>
      <c r="G731" s="19"/>
      <c r="H731" s="19"/>
      <c r="I731" s="19"/>
      <c r="J731" s="19"/>
      <c r="K731" s="19"/>
      <c r="L731" s="19"/>
      <c r="M731" s="19"/>
      <c r="N731" s="19"/>
      <c r="O731" s="19"/>
      <c r="P731" s="20"/>
      <c r="Q731" s="20"/>
      <c r="R731" s="22"/>
      <c r="S731" s="22"/>
      <c r="T731" s="20"/>
      <c r="U731" s="20"/>
      <c r="V731" s="20"/>
      <c r="W731" s="19"/>
      <c r="X731" s="19"/>
      <c r="Y731" s="19"/>
      <c r="Z731" s="23"/>
    </row>
    <row r="732" spans="1:26" ht="15.75" customHeight="1" x14ac:dyDescent="0.2">
      <c r="A732" s="34"/>
      <c r="B732" s="34"/>
      <c r="C732" s="34"/>
      <c r="D732" s="34"/>
      <c r="E732" s="19"/>
      <c r="F732" s="19"/>
      <c r="G732" s="19"/>
      <c r="H732" s="19"/>
      <c r="I732" s="19"/>
      <c r="J732" s="19"/>
      <c r="K732" s="19"/>
      <c r="L732" s="19"/>
      <c r="M732" s="19"/>
      <c r="N732" s="19"/>
      <c r="O732" s="19"/>
      <c r="P732" s="20"/>
      <c r="Q732" s="20"/>
      <c r="R732" s="22"/>
      <c r="S732" s="22"/>
      <c r="T732" s="20"/>
      <c r="U732" s="20"/>
      <c r="V732" s="20"/>
      <c r="W732" s="19"/>
      <c r="X732" s="19"/>
      <c r="Y732" s="19"/>
      <c r="Z732" s="23"/>
    </row>
    <row r="733" spans="1:26" ht="15.75" customHeight="1" x14ac:dyDescent="0.2">
      <c r="A733" s="34"/>
      <c r="B733" s="34"/>
      <c r="C733" s="34"/>
      <c r="D733" s="34"/>
      <c r="E733" s="19"/>
      <c r="F733" s="19"/>
      <c r="G733" s="19"/>
      <c r="H733" s="19"/>
      <c r="I733" s="19"/>
      <c r="J733" s="19"/>
      <c r="K733" s="19"/>
      <c r="L733" s="19"/>
      <c r="M733" s="19"/>
      <c r="N733" s="19"/>
      <c r="O733" s="19"/>
      <c r="P733" s="20"/>
      <c r="Q733" s="20"/>
      <c r="R733" s="22"/>
      <c r="S733" s="22"/>
      <c r="T733" s="20"/>
      <c r="U733" s="20"/>
      <c r="V733" s="20"/>
      <c r="W733" s="19"/>
      <c r="X733" s="19"/>
      <c r="Y733" s="19"/>
      <c r="Z733" s="23"/>
    </row>
    <row r="734" spans="1:26" ht="15.75" customHeight="1" x14ac:dyDescent="0.2">
      <c r="A734" s="34"/>
      <c r="B734" s="34"/>
      <c r="C734" s="34"/>
      <c r="D734" s="34"/>
      <c r="E734" s="19"/>
      <c r="F734" s="19"/>
      <c r="G734" s="19"/>
      <c r="H734" s="19"/>
      <c r="I734" s="19"/>
      <c r="J734" s="19"/>
      <c r="K734" s="19"/>
      <c r="L734" s="19"/>
      <c r="M734" s="19"/>
      <c r="N734" s="19"/>
      <c r="O734" s="19"/>
      <c r="P734" s="20"/>
      <c r="Q734" s="20"/>
      <c r="R734" s="22"/>
      <c r="S734" s="22"/>
      <c r="T734" s="20"/>
      <c r="U734" s="20"/>
      <c r="V734" s="20"/>
      <c r="W734" s="19"/>
      <c r="X734" s="19"/>
      <c r="Y734" s="19"/>
      <c r="Z734" s="23"/>
    </row>
    <row r="735" spans="1:26" ht="15.75" customHeight="1" x14ac:dyDescent="0.2">
      <c r="A735" s="34"/>
      <c r="B735" s="34"/>
      <c r="C735" s="34"/>
      <c r="D735" s="34"/>
      <c r="E735" s="19"/>
      <c r="F735" s="19"/>
      <c r="G735" s="19"/>
      <c r="H735" s="19"/>
      <c r="I735" s="19"/>
      <c r="J735" s="19"/>
      <c r="K735" s="19"/>
      <c r="L735" s="19"/>
      <c r="M735" s="19"/>
      <c r="N735" s="19"/>
      <c r="O735" s="19"/>
      <c r="P735" s="20"/>
      <c r="Q735" s="20"/>
      <c r="R735" s="22"/>
      <c r="S735" s="22"/>
      <c r="T735" s="20"/>
      <c r="U735" s="20"/>
      <c r="V735" s="20"/>
      <c r="W735" s="19"/>
      <c r="X735" s="19"/>
      <c r="Y735" s="19"/>
      <c r="Z735" s="23"/>
    </row>
    <row r="736" spans="1:26" ht="15.75" customHeight="1" x14ac:dyDescent="0.2">
      <c r="A736" s="34"/>
      <c r="B736" s="34"/>
      <c r="C736" s="34"/>
      <c r="D736" s="34"/>
      <c r="E736" s="19"/>
      <c r="F736" s="19"/>
      <c r="G736" s="19"/>
      <c r="H736" s="19"/>
      <c r="I736" s="19"/>
      <c r="J736" s="19"/>
      <c r="K736" s="19"/>
      <c r="L736" s="19"/>
      <c r="M736" s="19"/>
      <c r="N736" s="19"/>
      <c r="O736" s="19"/>
      <c r="P736" s="20"/>
      <c r="Q736" s="20"/>
      <c r="R736" s="22"/>
      <c r="S736" s="22"/>
      <c r="T736" s="20"/>
      <c r="U736" s="20"/>
      <c r="V736" s="20"/>
      <c r="W736" s="19"/>
      <c r="X736" s="19"/>
      <c r="Y736" s="19"/>
      <c r="Z736" s="23"/>
    </row>
    <row r="737" spans="1:26" ht="15.75" customHeight="1" x14ac:dyDescent="0.2">
      <c r="A737" s="34"/>
      <c r="B737" s="34"/>
      <c r="C737" s="34"/>
      <c r="D737" s="34"/>
      <c r="E737" s="19"/>
      <c r="F737" s="19"/>
      <c r="G737" s="19"/>
      <c r="H737" s="19"/>
      <c r="I737" s="19"/>
      <c r="J737" s="19"/>
      <c r="K737" s="19"/>
      <c r="L737" s="19"/>
      <c r="M737" s="19"/>
      <c r="N737" s="19"/>
      <c r="O737" s="19"/>
      <c r="P737" s="20"/>
      <c r="Q737" s="20"/>
      <c r="R737" s="22"/>
      <c r="S737" s="22"/>
      <c r="T737" s="20"/>
      <c r="U737" s="20"/>
      <c r="V737" s="20"/>
      <c r="W737" s="19"/>
      <c r="X737" s="19"/>
      <c r="Y737" s="19"/>
      <c r="Z737" s="23"/>
    </row>
    <row r="738" spans="1:26" ht="15.75" customHeight="1" x14ac:dyDescent="0.2">
      <c r="A738" s="34"/>
      <c r="B738" s="34"/>
      <c r="C738" s="34"/>
      <c r="D738" s="34"/>
      <c r="E738" s="19"/>
      <c r="F738" s="19"/>
      <c r="G738" s="19"/>
      <c r="H738" s="19"/>
      <c r="I738" s="19"/>
      <c r="J738" s="19"/>
      <c r="K738" s="19"/>
      <c r="L738" s="19"/>
      <c r="M738" s="19"/>
      <c r="N738" s="19"/>
      <c r="O738" s="19"/>
      <c r="P738" s="20"/>
      <c r="Q738" s="20"/>
      <c r="R738" s="22"/>
      <c r="S738" s="22"/>
      <c r="T738" s="20"/>
      <c r="U738" s="20"/>
      <c r="V738" s="20"/>
      <c r="W738" s="19"/>
      <c r="X738" s="19"/>
      <c r="Y738" s="19"/>
      <c r="Z738" s="23"/>
    </row>
    <row r="739" spans="1:26" ht="15.75" customHeight="1" x14ac:dyDescent="0.2">
      <c r="A739" s="34"/>
      <c r="B739" s="34"/>
      <c r="C739" s="34"/>
      <c r="D739" s="34"/>
      <c r="E739" s="19"/>
      <c r="F739" s="19"/>
      <c r="G739" s="19"/>
      <c r="H739" s="19"/>
      <c r="I739" s="19"/>
      <c r="J739" s="19"/>
      <c r="K739" s="19"/>
      <c r="L739" s="19"/>
      <c r="M739" s="19"/>
      <c r="N739" s="19"/>
      <c r="O739" s="19"/>
      <c r="P739" s="20"/>
      <c r="Q739" s="20"/>
      <c r="R739" s="22"/>
      <c r="S739" s="22"/>
      <c r="T739" s="20"/>
      <c r="U739" s="20"/>
      <c r="V739" s="20"/>
      <c r="W739" s="19"/>
      <c r="X739" s="19"/>
      <c r="Y739" s="19"/>
      <c r="Z739" s="23"/>
    </row>
    <row r="740" spans="1:26" ht="15.75" customHeight="1" x14ac:dyDescent="0.2">
      <c r="A740" s="34"/>
      <c r="B740" s="34"/>
      <c r="C740" s="34"/>
      <c r="D740" s="34"/>
      <c r="E740" s="19"/>
      <c r="F740" s="19"/>
      <c r="G740" s="19"/>
      <c r="H740" s="19"/>
      <c r="I740" s="19"/>
      <c r="J740" s="19"/>
      <c r="K740" s="19"/>
      <c r="L740" s="19"/>
      <c r="M740" s="19"/>
      <c r="N740" s="19"/>
      <c r="O740" s="19"/>
      <c r="P740" s="20"/>
      <c r="Q740" s="20"/>
      <c r="R740" s="22"/>
      <c r="S740" s="22"/>
      <c r="T740" s="20"/>
      <c r="U740" s="20"/>
      <c r="V740" s="20"/>
      <c r="W740" s="19"/>
      <c r="X740" s="19"/>
      <c r="Y740" s="19"/>
      <c r="Z740" s="23"/>
    </row>
    <row r="741" spans="1:26" ht="15.75" customHeight="1" x14ac:dyDescent="0.2">
      <c r="A741" s="34"/>
      <c r="B741" s="34"/>
      <c r="C741" s="34"/>
      <c r="D741" s="34"/>
      <c r="E741" s="19"/>
      <c r="F741" s="19"/>
      <c r="G741" s="19"/>
      <c r="H741" s="19"/>
      <c r="I741" s="19"/>
      <c r="J741" s="19"/>
      <c r="K741" s="19"/>
      <c r="L741" s="19"/>
      <c r="M741" s="19"/>
      <c r="N741" s="19"/>
      <c r="O741" s="19"/>
      <c r="P741" s="20"/>
      <c r="Q741" s="20"/>
      <c r="R741" s="22"/>
      <c r="S741" s="22"/>
      <c r="T741" s="20"/>
      <c r="U741" s="20"/>
      <c r="V741" s="20"/>
      <c r="W741" s="19"/>
      <c r="X741" s="19"/>
      <c r="Y741" s="19"/>
      <c r="Z741" s="23"/>
    </row>
    <row r="742" spans="1:26" ht="15.75" customHeight="1" x14ac:dyDescent="0.2">
      <c r="A742" s="34"/>
      <c r="B742" s="34"/>
      <c r="C742" s="34"/>
      <c r="D742" s="34"/>
      <c r="E742" s="19"/>
      <c r="F742" s="19"/>
      <c r="G742" s="19"/>
      <c r="H742" s="19"/>
      <c r="I742" s="19"/>
      <c r="J742" s="19"/>
      <c r="K742" s="19"/>
      <c r="L742" s="19"/>
      <c r="M742" s="19"/>
      <c r="N742" s="19"/>
      <c r="O742" s="19"/>
      <c r="P742" s="20"/>
      <c r="Q742" s="20"/>
      <c r="R742" s="22"/>
      <c r="S742" s="22"/>
      <c r="T742" s="20"/>
      <c r="U742" s="20"/>
      <c r="V742" s="20"/>
      <c r="W742" s="19"/>
      <c r="X742" s="19"/>
      <c r="Y742" s="19"/>
      <c r="Z742" s="23"/>
    </row>
    <row r="743" spans="1:26" ht="15.75" customHeight="1" x14ac:dyDescent="0.2">
      <c r="A743" s="34"/>
      <c r="B743" s="34"/>
      <c r="C743" s="34"/>
      <c r="D743" s="34"/>
      <c r="E743" s="19"/>
      <c r="F743" s="19"/>
      <c r="G743" s="19"/>
      <c r="H743" s="19"/>
      <c r="I743" s="19"/>
      <c r="J743" s="19"/>
      <c r="K743" s="19"/>
      <c r="L743" s="19"/>
      <c r="M743" s="19"/>
      <c r="N743" s="19"/>
      <c r="O743" s="19"/>
      <c r="P743" s="20"/>
      <c r="Q743" s="20"/>
      <c r="R743" s="22"/>
      <c r="S743" s="22"/>
      <c r="T743" s="20"/>
      <c r="U743" s="20"/>
      <c r="V743" s="20"/>
      <c r="W743" s="19"/>
      <c r="X743" s="19"/>
      <c r="Y743" s="19"/>
      <c r="Z743" s="23"/>
    </row>
    <row r="744" spans="1:26" ht="15.75" customHeight="1" x14ac:dyDescent="0.2">
      <c r="A744" s="34"/>
      <c r="B744" s="34"/>
      <c r="C744" s="34"/>
      <c r="D744" s="34"/>
      <c r="E744" s="19"/>
      <c r="F744" s="19"/>
      <c r="G744" s="19"/>
      <c r="H744" s="19"/>
      <c r="I744" s="19"/>
      <c r="J744" s="19"/>
      <c r="K744" s="19"/>
      <c r="L744" s="19"/>
      <c r="M744" s="19"/>
      <c r="N744" s="19"/>
      <c r="O744" s="19"/>
      <c r="P744" s="20"/>
      <c r="Q744" s="20"/>
      <c r="R744" s="22"/>
      <c r="S744" s="22"/>
      <c r="T744" s="20"/>
      <c r="U744" s="20"/>
      <c r="V744" s="20"/>
      <c r="W744" s="19"/>
      <c r="X744" s="19"/>
      <c r="Y744" s="19"/>
      <c r="Z744" s="23"/>
    </row>
    <row r="745" spans="1:26" ht="15.75" customHeight="1" x14ac:dyDescent="0.2">
      <c r="A745" s="34"/>
      <c r="B745" s="34"/>
      <c r="C745" s="34"/>
      <c r="D745" s="34"/>
      <c r="E745" s="19"/>
      <c r="F745" s="19"/>
      <c r="G745" s="19"/>
      <c r="H745" s="19"/>
      <c r="I745" s="19"/>
      <c r="J745" s="19"/>
      <c r="K745" s="19"/>
      <c r="L745" s="19"/>
      <c r="M745" s="19"/>
      <c r="N745" s="19"/>
      <c r="O745" s="19"/>
      <c r="P745" s="20"/>
      <c r="Q745" s="20"/>
      <c r="R745" s="22"/>
      <c r="S745" s="22"/>
      <c r="T745" s="20"/>
      <c r="U745" s="20"/>
      <c r="V745" s="20"/>
      <c r="W745" s="19"/>
      <c r="X745" s="19"/>
      <c r="Y745" s="19"/>
      <c r="Z745" s="23"/>
    </row>
    <row r="746" spans="1:26" ht="15.75" customHeight="1" x14ac:dyDescent="0.2">
      <c r="A746" s="34"/>
      <c r="B746" s="34"/>
      <c r="C746" s="34"/>
      <c r="D746" s="34"/>
      <c r="E746" s="19"/>
      <c r="F746" s="19"/>
      <c r="G746" s="19"/>
      <c r="H746" s="19"/>
      <c r="I746" s="19"/>
      <c r="J746" s="19"/>
      <c r="K746" s="19"/>
      <c r="L746" s="19"/>
      <c r="M746" s="19"/>
      <c r="N746" s="19"/>
      <c r="O746" s="19"/>
      <c r="P746" s="20"/>
      <c r="Q746" s="20"/>
      <c r="R746" s="22"/>
      <c r="S746" s="22"/>
      <c r="T746" s="20"/>
      <c r="U746" s="20"/>
      <c r="V746" s="20"/>
      <c r="W746" s="19"/>
      <c r="X746" s="19"/>
      <c r="Y746" s="19"/>
      <c r="Z746" s="23"/>
    </row>
    <row r="747" spans="1:26" ht="15.75" customHeight="1" x14ac:dyDescent="0.2">
      <c r="A747" s="34"/>
      <c r="B747" s="34"/>
      <c r="C747" s="34"/>
      <c r="D747" s="34"/>
      <c r="E747" s="19"/>
      <c r="F747" s="19"/>
      <c r="G747" s="19"/>
      <c r="H747" s="19"/>
      <c r="I747" s="19"/>
      <c r="J747" s="19"/>
      <c r="K747" s="19"/>
      <c r="L747" s="19"/>
      <c r="M747" s="19"/>
      <c r="N747" s="19"/>
      <c r="O747" s="19"/>
      <c r="P747" s="20"/>
      <c r="Q747" s="20"/>
      <c r="R747" s="22"/>
      <c r="S747" s="22"/>
      <c r="T747" s="20"/>
      <c r="U747" s="20"/>
      <c r="V747" s="20"/>
      <c r="W747" s="19"/>
      <c r="X747" s="19"/>
      <c r="Y747" s="19"/>
      <c r="Z747" s="23"/>
    </row>
    <row r="748" spans="1:26" ht="15.75" customHeight="1" x14ac:dyDescent="0.2">
      <c r="A748" s="34"/>
      <c r="B748" s="34"/>
      <c r="C748" s="34"/>
      <c r="D748" s="34"/>
      <c r="E748" s="19"/>
      <c r="F748" s="19"/>
      <c r="G748" s="19"/>
      <c r="H748" s="19"/>
      <c r="I748" s="19"/>
      <c r="J748" s="19"/>
      <c r="K748" s="19"/>
      <c r="L748" s="19"/>
      <c r="M748" s="19"/>
      <c r="N748" s="19"/>
      <c r="O748" s="19"/>
      <c r="P748" s="20"/>
      <c r="Q748" s="20"/>
      <c r="R748" s="22"/>
      <c r="S748" s="22"/>
      <c r="T748" s="20"/>
      <c r="U748" s="20"/>
      <c r="V748" s="20"/>
      <c r="W748" s="19"/>
      <c r="X748" s="19"/>
      <c r="Y748" s="19"/>
      <c r="Z748" s="23"/>
    </row>
    <row r="749" spans="1:26" ht="15.75" customHeight="1" x14ac:dyDescent="0.2">
      <c r="A749" s="34"/>
      <c r="B749" s="34"/>
      <c r="C749" s="34"/>
      <c r="D749" s="34"/>
      <c r="E749" s="19"/>
      <c r="F749" s="19"/>
      <c r="G749" s="19"/>
      <c r="H749" s="19"/>
      <c r="I749" s="19"/>
      <c r="J749" s="19"/>
      <c r="K749" s="19"/>
      <c r="L749" s="19"/>
      <c r="M749" s="19"/>
      <c r="N749" s="19"/>
      <c r="O749" s="19"/>
      <c r="P749" s="20"/>
      <c r="Q749" s="20"/>
      <c r="R749" s="22"/>
      <c r="S749" s="22"/>
      <c r="T749" s="20"/>
      <c r="U749" s="20"/>
      <c r="V749" s="20"/>
      <c r="W749" s="19"/>
      <c r="X749" s="19"/>
      <c r="Y749" s="19"/>
      <c r="Z749" s="23"/>
    </row>
    <row r="750" spans="1:26" ht="15.75" customHeight="1" x14ac:dyDescent="0.2">
      <c r="A750" s="34"/>
      <c r="B750" s="34"/>
      <c r="C750" s="34"/>
      <c r="D750" s="34"/>
      <c r="E750" s="19"/>
      <c r="F750" s="19"/>
      <c r="G750" s="19"/>
      <c r="H750" s="19"/>
      <c r="I750" s="19"/>
      <c r="J750" s="19"/>
      <c r="K750" s="19"/>
      <c r="L750" s="19"/>
      <c r="M750" s="19"/>
      <c r="N750" s="19"/>
      <c r="O750" s="19"/>
      <c r="P750" s="20"/>
      <c r="Q750" s="20"/>
      <c r="R750" s="22"/>
      <c r="S750" s="22"/>
      <c r="T750" s="20"/>
      <c r="U750" s="20"/>
      <c r="V750" s="20"/>
      <c r="W750" s="19"/>
      <c r="X750" s="19"/>
      <c r="Y750" s="19"/>
      <c r="Z750" s="23"/>
    </row>
    <row r="751" spans="1:26" ht="15.75" customHeight="1" x14ac:dyDescent="0.2">
      <c r="A751" s="34"/>
      <c r="B751" s="34"/>
      <c r="C751" s="34"/>
      <c r="D751" s="34"/>
      <c r="E751" s="19"/>
      <c r="F751" s="19"/>
      <c r="G751" s="19"/>
      <c r="H751" s="19"/>
      <c r="I751" s="19"/>
      <c r="J751" s="19"/>
      <c r="K751" s="19"/>
      <c r="L751" s="19"/>
      <c r="M751" s="19"/>
      <c r="N751" s="19"/>
      <c r="O751" s="19"/>
      <c r="P751" s="20"/>
      <c r="Q751" s="20"/>
      <c r="R751" s="22"/>
      <c r="S751" s="22"/>
      <c r="T751" s="20"/>
      <c r="U751" s="20"/>
      <c r="V751" s="20"/>
      <c r="W751" s="19"/>
      <c r="X751" s="19"/>
      <c r="Y751" s="19"/>
      <c r="Z751" s="23"/>
    </row>
    <row r="752" spans="1:26" ht="15.75" customHeight="1" x14ac:dyDescent="0.2">
      <c r="A752" s="34"/>
      <c r="B752" s="34"/>
      <c r="C752" s="34"/>
      <c r="D752" s="34"/>
      <c r="E752" s="19"/>
      <c r="F752" s="19"/>
      <c r="G752" s="19"/>
      <c r="H752" s="19"/>
      <c r="I752" s="19"/>
      <c r="J752" s="19"/>
      <c r="K752" s="19"/>
      <c r="L752" s="19"/>
      <c r="M752" s="19"/>
      <c r="N752" s="19"/>
      <c r="O752" s="19"/>
      <c r="P752" s="20"/>
      <c r="Q752" s="20"/>
      <c r="R752" s="22"/>
      <c r="S752" s="22"/>
      <c r="T752" s="20"/>
      <c r="U752" s="20"/>
      <c r="V752" s="20"/>
      <c r="W752" s="19"/>
      <c r="X752" s="19"/>
      <c r="Y752" s="19"/>
      <c r="Z752" s="23"/>
    </row>
    <row r="753" spans="1:26" ht="15.75" customHeight="1" x14ac:dyDescent="0.2">
      <c r="A753" s="34"/>
      <c r="B753" s="34"/>
      <c r="C753" s="34"/>
      <c r="D753" s="34"/>
      <c r="E753" s="19"/>
      <c r="F753" s="19"/>
      <c r="G753" s="19"/>
      <c r="H753" s="19"/>
      <c r="I753" s="19"/>
      <c r="J753" s="19"/>
      <c r="K753" s="19"/>
      <c r="L753" s="19"/>
      <c r="M753" s="19"/>
      <c r="N753" s="19"/>
      <c r="O753" s="19"/>
      <c r="P753" s="20"/>
      <c r="Q753" s="20"/>
      <c r="R753" s="22"/>
      <c r="S753" s="22"/>
      <c r="T753" s="20"/>
      <c r="U753" s="20"/>
      <c r="V753" s="20"/>
      <c r="W753" s="19"/>
      <c r="X753" s="19"/>
      <c r="Y753" s="19"/>
      <c r="Z753" s="23"/>
    </row>
    <row r="754" spans="1:26" ht="15.75" customHeight="1" x14ac:dyDescent="0.2">
      <c r="A754" s="34"/>
      <c r="B754" s="34"/>
      <c r="C754" s="34"/>
      <c r="D754" s="34"/>
      <c r="E754" s="19"/>
      <c r="F754" s="19"/>
      <c r="G754" s="19"/>
      <c r="H754" s="19"/>
      <c r="I754" s="19"/>
      <c r="J754" s="19"/>
      <c r="K754" s="19"/>
      <c r="L754" s="19"/>
      <c r="M754" s="19"/>
      <c r="N754" s="19"/>
      <c r="O754" s="19"/>
      <c r="P754" s="20"/>
      <c r="Q754" s="20"/>
      <c r="R754" s="22"/>
      <c r="S754" s="22"/>
      <c r="T754" s="20"/>
      <c r="U754" s="20"/>
      <c r="V754" s="20"/>
      <c r="W754" s="19"/>
      <c r="X754" s="19"/>
      <c r="Y754" s="19"/>
      <c r="Z754" s="23"/>
    </row>
    <row r="755" spans="1:26" ht="15.75" customHeight="1" x14ac:dyDescent="0.2">
      <c r="A755" s="34"/>
      <c r="B755" s="34"/>
      <c r="C755" s="34"/>
      <c r="D755" s="34"/>
      <c r="E755" s="19"/>
      <c r="F755" s="19"/>
      <c r="G755" s="19"/>
      <c r="H755" s="19"/>
      <c r="I755" s="19"/>
      <c r="J755" s="19"/>
      <c r="K755" s="19"/>
      <c r="L755" s="19"/>
      <c r="M755" s="19"/>
      <c r="N755" s="19"/>
      <c r="O755" s="19"/>
      <c r="P755" s="20"/>
      <c r="Q755" s="20"/>
      <c r="R755" s="22"/>
      <c r="S755" s="22"/>
      <c r="T755" s="20"/>
      <c r="U755" s="20"/>
      <c r="V755" s="20"/>
      <c r="W755" s="19"/>
      <c r="X755" s="19"/>
      <c r="Y755" s="19"/>
      <c r="Z755" s="23"/>
    </row>
    <row r="756" spans="1:26" ht="15.75" customHeight="1" x14ac:dyDescent="0.2">
      <c r="A756" s="34"/>
      <c r="B756" s="34"/>
      <c r="C756" s="34"/>
      <c r="D756" s="34"/>
      <c r="E756" s="19"/>
      <c r="F756" s="19"/>
      <c r="G756" s="19"/>
      <c r="H756" s="19"/>
      <c r="I756" s="19"/>
      <c r="J756" s="19"/>
      <c r="K756" s="19"/>
      <c r="L756" s="19"/>
      <c r="M756" s="19"/>
      <c r="N756" s="19"/>
      <c r="O756" s="19"/>
      <c r="P756" s="20"/>
      <c r="Q756" s="20"/>
      <c r="R756" s="22"/>
      <c r="S756" s="22"/>
      <c r="T756" s="20"/>
      <c r="U756" s="20"/>
      <c r="V756" s="20"/>
      <c r="W756" s="19"/>
      <c r="X756" s="19"/>
      <c r="Y756" s="19"/>
      <c r="Z756" s="23"/>
    </row>
    <row r="757" spans="1:26" ht="15.75" customHeight="1" x14ac:dyDescent="0.2">
      <c r="A757" s="34"/>
      <c r="B757" s="34"/>
      <c r="C757" s="34"/>
      <c r="D757" s="34"/>
      <c r="E757" s="19"/>
      <c r="F757" s="19"/>
      <c r="G757" s="19"/>
      <c r="H757" s="19"/>
      <c r="I757" s="19"/>
      <c r="J757" s="19"/>
      <c r="K757" s="19"/>
      <c r="L757" s="19"/>
      <c r="M757" s="19"/>
      <c r="N757" s="19"/>
      <c r="O757" s="19"/>
      <c r="P757" s="20"/>
      <c r="Q757" s="20"/>
      <c r="R757" s="22"/>
      <c r="S757" s="22"/>
      <c r="T757" s="20"/>
      <c r="U757" s="20"/>
      <c r="V757" s="20"/>
      <c r="W757" s="19"/>
      <c r="X757" s="19"/>
      <c r="Y757" s="19"/>
      <c r="Z757" s="23"/>
    </row>
    <row r="758" spans="1:26" ht="15.75" customHeight="1" x14ac:dyDescent="0.2">
      <c r="A758" s="34"/>
      <c r="B758" s="34"/>
      <c r="C758" s="34"/>
      <c r="D758" s="34"/>
      <c r="E758" s="19"/>
      <c r="F758" s="19"/>
      <c r="G758" s="19"/>
      <c r="H758" s="19"/>
      <c r="I758" s="19"/>
      <c r="J758" s="19"/>
      <c r="K758" s="19"/>
      <c r="L758" s="19"/>
      <c r="M758" s="19"/>
      <c r="N758" s="19"/>
      <c r="O758" s="19"/>
      <c r="P758" s="20"/>
      <c r="Q758" s="20"/>
      <c r="R758" s="22"/>
      <c r="S758" s="22"/>
      <c r="T758" s="20"/>
      <c r="U758" s="20"/>
      <c r="V758" s="20"/>
      <c r="W758" s="19"/>
      <c r="X758" s="19"/>
      <c r="Y758" s="19"/>
      <c r="Z758" s="23"/>
    </row>
    <row r="759" spans="1:26" ht="15.75" customHeight="1" x14ac:dyDescent="0.2">
      <c r="A759" s="34"/>
      <c r="B759" s="34"/>
      <c r="C759" s="34"/>
      <c r="D759" s="34"/>
      <c r="E759" s="19"/>
      <c r="F759" s="19"/>
      <c r="G759" s="19"/>
      <c r="H759" s="19"/>
      <c r="I759" s="19"/>
      <c r="J759" s="19"/>
      <c r="K759" s="19"/>
      <c r="L759" s="19"/>
      <c r="M759" s="19"/>
      <c r="N759" s="19"/>
      <c r="O759" s="19"/>
      <c r="P759" s="20"/>
      <c r="Q759" s="20"/>
      <c r="R759" s="22"/>
      <c r="S759" s="22"/>
      <c r="T759" s="20"/>
      <c r="U759" s="20"/>
      <c r="V759" s="20"/>
      <c r="W759" s="19"/>
      <c r="X759" s="19"/>
      <c r="Y759" s="19"/>
      <c r="Z759" s="23"/>
    </row>
    <row r="760" spans="1:26" ht="15.75" customHeight="1" x14ac:dyDescent="0.2">
      <c r="A760" s="34"/>
      <c r="B760" s="34"/>
      <c r="C760" s="34"/>
      <c r="D760" s="34"/>
      <c r="E760" s="19"/>
      <c r="F760" s="19"/>
      <c r="G760" s="19"/>
      <c r="H760" s="19"/>
      <c r="I760" s="19"/>
      <c r="J760" s="19"/>
      <c r="K760" s="19"/>
      <c r="L760" s="19"/>
      <c r="M760" s="19"/>
      <c r="N760" s="19"/>
      <c r="O760" s="19"/>
      <c r="P760" s="20"/>
      <c r="Q760" s="20"/>
      <c r="R760" s="22"/>
      <c r="S760" s="22"/>
      <c r="T760" s="20"/>
      <c r="U760" s="20"/>
      <c r="V760" s="20"/>
      <c r="W760" s="19"/>
      <c r="X760" s="19"/>
      <c r="Y760" s="19"/>
      <c r="Z760" s="23"/>
    </row>
    <row r="761" spans="1:26" ht="15.75" customHeight="1" x14ac:dyDescent="0.2">
      <c r="A761" s="34"/>
      <c r="B761" s="34"/>
      <c r="C761" s="34"/>
      <c r="D761" s="34"/>
      <c r="E761" s="19"/>
      <c r="F761" s="19"/>
      <c r="G761" s="19"/>
      <c r="H761" s="19"/>
      <c r="I761" s="19"/>
      <c r="J761" s="19"/>
      <c r="K761" s="19"/>
      <c r="L761" s="19"/>
      <c r="M761" s="19"/>
      <c r="N761" s="19"/>
      <c r="O761" s="19"/>
      <c r="P761" s="20"/>
      <c r="Q761" s="20"/>
      <c r="R761" s="22"/>
      <c r="S761" s="22"/>
      <c r="T761" s="20"/>
      <c r="U761" s="20"/>
      <c r="V761" s="20"/>
      <c r="W761" s="19"/>
      <c r="X761" s="19"/>
      <c r="Y761" s="19"/>
      <c r="Z761" s="23"/>
    </row>
    <row r="762" spans="1:26" ht="15.75" customHeight="1" x14ac:dyDescent="0.2">
      <c r="A762" s="34"/>
      <c r="B762" s="34"/>
      <c r="C762" s="34"/>
      <c r="D762" s="34"/>
      <c r="E762" s="19"/>
      <c r="F762" s="19"/>
      <c r="G762" s="19"/>
      <c r="H762" s="19"/>
      <c r="I762" s="19"/>
      <c r="J762" s="19"/>
      <c r="K762" s="19"/>
      <c r="L762" s="19"/>
      <c r="M762" s="19"/>
      <c r="N762" s="19"/>
      <c r="O762" s="19"/>
      <c r="P762" s="20"/>
      <c r="Q762" s="20"/>
      <c r="R762" s="22"/>
      <c r="S762" s="22"/>
      <c r="T762" s="20"/>
      <c r="U762" s="20"/>
      <c r="V762" s="20"/>
      <c r="W762" s="19"/>
      <c r="X762" s="19"/>
      <c r="Y762" s="19"/>
      <c r="Z762" s="23"/>
    </row>
    <row r="763" spans="1:26" ht="15.75" customHeight="1" x14ac:dyDescent="0.2">
      <c r="A763" s="34"/>
      <c r="B763" s="34"/>
      <c r="C763" s="34"/>
      <c r="D763" s="34"/>
      <c r="E763" s="19"/>
      <c r="F763" s="19"/>
      <c r="G763" s="19"/>
      <c r="H763" s="19"/>
      <c r="I763" s="19"/>
      <c r="J763" s="19"/>
      <c r="K763" s="19"/>
      <c r="L763" s="19"/>
      <c r="M763" s="19"/>
      <c r="N763" s="19"/>
      <c r="O763" s="19"/>
      <c r="P763" s="20"/>
      <c r="Q763" s="20"/>
      <c r="R763" s="22"/>
      <c r="S763" s="22"/>
      <c r="T763" s="20"/>
      <c r="U763" s="20"/>
      <c r="V763" s="20"/>
      <c r="W763" s="19"/>
      <c r="X763" s="19"/>
      <c r="Y763" s="19"/>
      <c r="Z763" s="23"/>
    </row>
    <row r="764" spans="1:26" ht="15.75" customHeight="1" x14ac:dyDescent="0.2">
      <c r="A764" s="34"/>
      <c r="B764" s="34"/>
      <c r="C764" s="34"/>
      <c r="D764" s="34"/>
      <c r="E764" s="19"/>
      <c r="F764" s="19"/>
      <c r="G764" s="19"/>
      <c r="H764" s="19"/>
      <c r="I764" s="19"/>
      <c r="J764" s="19"/>
      <c r="K764" s="19"/>
      <c r="L764" s="19"/>
      <c r="M764" s="19"/>
      <c r="N764" s="19"/>
      <c r="O764" s="19"/>
      <c r="P764" s="20"/>
      <c r="Q764" s="20"/>
      <c r="R764" s="22"/>
      <c r="S764" s="22"/>
      <c r="T764" s="20"/>
      <c r="U764" s="20"/>
      <c r="V764" s="20"/>
      <c r="W764" s="19"/>
      <c r="X764" s="19"/>
      <c r="Y764" s="19"/>
      <c r="Z764" s="23"/>
    </row>
    <row r="765" spans="1:26" ht="15.75" customHeight="1" x14ac:dyDescent="0.2">
      <c r="A765" s="34"/>
      <c r="B765" s="34"/>
      <c r="C765" s="34"/>
      <c r="D765" s="34"/>
      <c r="E765" s="19"/>
      <c r="F765" s="19"/>
      <c r="G765" s="19"/>
      <c r="H765" s="19"/>
      <c r="I765" s="19"/>
      <c r="J765" s="19"/>
      <c r="K765" s="19"/>
      <c r="L765" s="19"/>
      <c r="M765" s="19"/>
      <c r="N765" s="19"/>
      <c r="O765" s="19"/>
      <c r="P765" s="20"/>
      <c r="Q765" s="20"/>
      <c r="R765" s="22"/>
      <c r="S765" s="22"/>
      <c r="T765" s="20"/>
      <c r="U765" s="20"/>
      <c r="V765" s="20"/>
      <c r="W765" s="19"/>
      <c r="X765" s="19"/>
      <c r="Y765" s="19"/>
      <c r="Z765" s="23"/>
    </row>
    <row r="766" spans="1:26" ht="15.75" customHeight="1" x14ac:dyDescent="0.2">
      <c r="A766" s="34"/>
      <c r="B766" s="34"/>
      <c r="C766" s="34"/>
      <c r="D766" s="34"/>
      <c r="E766" s="19"/>
      <c r="F766" s="19"/>
      <c r="G766" s="19"/>
      <c r="H766" s="19"/>
      <c r="I766" s="19"/>
      <c r="J766" s="19"/>
      <c r="K766" s="19"/>
      <c r="L766" s="19"/>
      <c r="M766" s="19"/>
      <c r="N766" s="19"/>
      <c r="O766" s="19"/>
      <c r="P766" s="20"/>
      <c r="Q766" s="20"/>
      <c r="R766" s="22"/>
      <c r="S766" s="22"/>
      <c r="T766" s="20"/>
      <c r="U766" s="20"/>
      <c r="V766" s="20"/>
      <c r="W766" s="19"/>
      <c r="X766" s="19"/>
      <c r="Y766" s="19"/>
      <c r="Z766" s="23"/>
    </row>
    <row r="767" spans="1:26" ht="15.75" customHeight="1" x14ac:dyDescent="0.2">
      <c r="A767" s="34"/>
      <c r="B767" s="34"/>
      <c r="C767" s="34"/>
      <c r="D767" s="34"/>
      <c r="E767" s="19"/>
      <c r="F767" s="19"/>
      <c r="G767" s="19"/>
      <c r="H767" s="19"/>
      <c r="I767" s="19"/>
      <c r="J767" s="19"/>
      <c r="K767" s="19"/>
      <c r="L767" s="19"/>
      <c r="M767" s="19"/>
      <c r="N767" s="19"/>
      <c r="O767" s="19"/>
      <c r="P767" s="20"/>
      <c r="Q767" s="20"/>
      <c r="R767" s="22"/>
      <c r="S767" s="22"/>
      <c r="T767" s="20"/>
      <c r="U767" s="20"/>
      <c r="V767" s="20"/>
      <c r="W767" s="19"/>
      <c r="X767" s="19"/>
      <c r="Y767" s="19"/>
      <c r="Z767" s="23"/>
    </row>
    <row r="768" spans="1:26" ht="15.75" customHeight="1" x14ac:dyDescent="0.2">
      <c r="A768" s="34"/>
      <c r="B768" s="34"/>
      <c r="C768" s="34"/>
      <c r="D768" s="34"/>
      <c r="E768" s="19"/>
      <c r="F768" s="19"/>
      <c r="G768" s="19"/>
      <c r="H768" s="19"/>
      <c r="I768" s="19"/>
      <c r="J768" s="19"/>
      <c r="K768" s="19"/>
      <c r="L768" s="19"/>
      <c r="M768" s="19"/>
      <c r="N768" s="19"/>
      <c r="O768" s="19"/>
      <c r="P768" s="20"/>
      <c r="Q768" s="20"/>
      <c r="R768" s="22"/>
      <c r="S768" s="22"/>
      <c r="T768" s="20"/>
      <c r="U768" s="20"/>
      <c r="V768" s="20"/>
      <c r="W768" s="19"/>
      <c r="X768" s="19"/>
      <c r="Y768" s="19"/>
      <c r="Z768" s="23"/>
    </row>
    <row r="769" spans="1:26" ht="15.75" customHeight="1" x14ac:dyDescent="0.2">
      <c r="A769" s="34"/>
      <c r="B769" s="34"/>
      <c r="C769" s="34"/>
      <c r="D769" s="34"/>
      <c r="E769" s="19"/>
      <c r="F769" s="19"/>
      <c r="G769" s="19"/>
      <c r="H769" s="19"/>
      <c r="I769" s="19"/>
      <c r="J769" s="19"/>
      <c r="K769" s="19"/>
      <c r="L769" s="19"/>
      <c r="M769" s="19"/>
      <c r="N769" s="19"/>
      <c r="O769" s="19"/>
      <c r="P769" s="20"/>
      <c r="Q769" s="20"/>
      <c r="R769" s="22"/>
      <c r="S769" s="22"/>
      <c r="T769" s="20"/>
      <c r="U769" s="20"/>
      <c r="V769" s="20"/>
      <c r="W769" s="19"/>
      <c r="X769" s="19"/>
      <c r="Y769" s="19"/>
      <c r="Z769" s="23"/>
    </row>
    <row r="770" spans="1:26" ht="15.75" customHeight="1" x14ac:dyDescent="0.2">
      <c r="A770" s="34"/>
      <c r="B770" s="34"/>
      <c r="C770" s="34"/>
      <c r="D770" s="34"/>
      <c r="E770" s="19"/>
      <c r="F770" s="19"/>
      <c r="G770" s="19"/>
      <c r="H770" s="19"/>
      <c r="I770" s="19"/>
      <c r="J770" s="19"/>
      <c r="K770" s="19"/>
      <c r="L770" s="19"/>
      <c r="M770" s="19"/>
      <c r="N770" s="19"/>
      <c r="O770" s="19"/>
      <c r="P770" s="20"/>
      <c r="Q770" s="20"/>
      <c r="R770" s="22"/>
      <c r="S770" s="22"/>
      <c r="T770" s="20"/>
      <c r="U770" s="20"/>
      <c r="V770" s="20"/>
      <c r="W770" s="19"/>
      <c r="X770" s="19"/>
      <c r="Y770" s="19"/>
      <c r="Z770" s="23"/>
    </row>
    <row r="771" spans="1:26" ht="15.75" customHeight="1" x14ac:dyDescent="0.2">
      <c r="A771" s="34"/>
      <c r="B771" s="34"/>
      <c r="C771" s="34"/>
      <c r="D771" s="34"/>
      <c r="E771" s="19"/>
      <c r="F771" s="19"/>
      <c r="G771" s="19"/>
      <c r="H771" s="19"/>
      <c r="I771" s="19"/>
      <c r="J771" s="19"/>
      <c r="K771" s="19"/>
      <c r="L771" s="19"/>
      <c r="M771" s="19"/>
      <c r="N771" s="19"/>
      <c r="O771" s="19"/>
      <c r="P771" s="20"/>
      <c r="Q771" s="20"/>
      <c r="R771" s="22"/>
      <c r="S771" s="22"/>
      <c r="T771" s="20"/>
      <c r="U771" s="20"/>
      <c r="V771" s="20"/>
      <c r="W771" s="19"/>
      <c r="X771" s="19"/>
      <c r="Y771" s="19"/>
      <c r="Z771" s="23"/>
    </row>
    <row r="772" spans="1:26" ht="15.75" customHeight="1" x14ac:dyDescent="0.2">
      <c r="A772" s="34"/>
      <c r="B772" s="34"/>
      <c r="C772" s="34"/>
      <c r="D772" s="34"/>
      <c r="E772" s="19"/>
      <c r="F772" s="19"/>
      <c r="G772" s="19"/>
      <c r="H772" s="19"/>
      <c r="I772" s="19"/>
      <c r="J772" s="19"/>
      <c r="K772" s="19"/>
      <c r="L772" s="19"/>
      <c r="M772" s="19"/>
      <c r="N772" s="19"/>
      <c r="O772" s="19"/>
      <c r="P772" s="20"/>
      <c r="Q772" s="20"/>
      <c r="R772" s="22"/>
      <c r="S772" s="22"/>
      <c r="T772" s="20"/>
      <c r="U772" s="20"/>
      <c r="V772" s="20"/>
      <c r="W772" s="19"/>
      <c r="X772" s="19"/>
      <c r="Y772" s="19"/>
      <c r="Z772" s="23"/>
    </row>
    <row r="773" spans="1:26" ht="15.75" customHeight="1" x14ac:dyDescent="0.2">
      <c r="A773" s="34"/>
      <c r="B773" s="34"/>
      <c r="C773" s="34"/>
      <c r="D773" s="34"/>
      <c r="E773" s="19"/>
      <c r="F773" s="19"/>
      <c r="G773" s="19"/>
      <c r="H773" s="19"/>
      <c r="I773" s="19"/>
      <c r="J773" s="19"/>
      <c r="K773" s="19"/>
      <c r="L773" s="19"/>
      <c r="M773" s="19"/>
      <c r="N773" s="19"/>
      <c r="O773" s="19"/>
      <c r="P773" s="20"/>
      <c r="Q773" s="20"/>
      <c r="R773" s="22"/>
      <c r="S773" s="22"/>
      <c r="T773" s="20"/>
      <c r="U773" s="20"/>
      <c r="V773" s="20"/>
      <c r="W773" s="19"/>
      <c r="X773" s="19"/>
      <c r="Y773" s="19"/>
      <c r="Z773" s="23"/>
    </row>
    <row r="774" spans="1:26" ht="15.75" customHeight="1" x14ac:dyDescent="0.2">
      <c r="A774" s="34"/>
      <c r="B774" s="34"/>
      <c r="C774" s="34"/>
      <c r="D774" s="34"/>
      <c r="E774" s="19"/>
      <c r="F774" s="19"/>
      <c r="G774" s="19"/>
      <c r="H774" s="19"/>
      <c r="I774" s="19"/>
      <c r="J774" s="19"/>
      <c r="K774" s="19"/>
      <c r="L774" s="19"/>
      <c r="M774" s="19"/>
      <c r="N774" s="19"/>
      <c r="O774" s="19"/>
      <c r="P774" s="20"/>
      <c r="Q774" s="20"/>
      <c r="R774" s="22"/>
      <c r="S774" s="22"/>
      <c r="T774" s="20"/>
      <c r="U774" s="20"/>
      <c r="V774" s="20"/>
      <c r="W774" s="19"/>
      <c r="X774" s="19"/>
      <c r="Y774" s="19"/>
      <c r="Z774" s="23"/>
    </row>
    <row r="775" spans="1:26" ht="15.75" customHeight="1" x14ac:dyDescent="0.2">
      <c r="A775" s="34"/>
      <c r="B775" s="34"/>
      <c r="C775" s="34"/>
      <c r="D775" s="34"/>
      <c r="E775" s="19"/>
      <c r="F775" s="19"/>
      <c r="G775" s="19"/>
      <c r="H775" s="19"/>
      <c r="I775" s="19"/>
      <c r="J775" s="19"/>
      <c r="K775" s="19"/>
      <c r="L775" s="19"/>
      <c r="M775" s="19"/>
      <c r="N775" s="19"/>
      <c r="O775" s="19"/>
      <c r="P775" s="20"/>
      <c r="Q775" s="20"/>
      <c r="R775" s="22"/>
      <c r="S775" s="22"/>
      <c r="T775" s="20"/>
      <c r="U775" s="20"/>
      <c r="V775" s="20"/>
      <c r="W775" s="19"/>
      <c r="X775" s="19"/>
      <c r="Y775" s="19"/>
      <c r="Z775" s="23"/>
    </row>
    <row r="776" spans="1:26" ht="15.75" customHeight="1" x14ac:dyDescent="0.2">
      <c r="A776" s="34"/>
      <c r="B776" s="34"/>
      <c r="C776" s="34"/>
      <c r="D776" s="34"/>
      <c r="E776" s="19"/>
      <c r="F776" s="19"/>
      <c r="G776" s="19"/>
      <c r="H776" s="19"/>
      <c r="I776" s="19"/>
      <c r="J776" s="19"/>
      <c r="K776" s="19"/>
      <c r="L776" s="19"/>
      <c r="M776" s="19"/>
      <c r="N776" s="19"/>
      <c r="O776" s="19"/>
      <c r="P776" s="20"/>
      <c r="Q776" s="20"/>
      <c r="R776" s="22"/>
      <c r="S776" s="22"/>
      <c r="T776" s="20"/>
      <c r="U776" s="20"/>
      <c r="V776" s="20"/>
      <c r="W776" s="19"/>
      <c r="X776" s="19"/>
      <c r="Y776" s="19"/>
      <c r="Z776" s="23"/>
    </row>
    <row r="777" spans="1:26" ht="15.75" customHeight="1" x14ac:dyDescent="0.2">
      <c r="A777" s="34"/>
      <c r="B777" s="34"/>
      <c r="C777" s="34"/>
      <c r="D777" s="34"/>
      <c r="E777" s="19"/>
      <c r="F777" s="19"/>
      <c r="G777" s="19"/>
      <c r="H777" s="19"/>
      <c r="I777" s="19"/>
      <c r="J777" s="19"/>
      <c r="K777" s="19"/>
      <c r="L777" s="19"/>
      <c r="M777" s="19"/>
      <c r="N777" s="19"/>
      <c r="O777" s="19"/>
      <c r="P777" s="20"/>
      <c r="Q777" s="20"/>
      <c r="R777" s="22"/>
      <c r="S777" s="22"/>
      <c r="T777" s="20"/>
      <c r="U777" s="20"/>
      <c r="V777" s="20"/>
      <c r="W777" s="19"/>
      <c r="X777" s="19"/>
      <c r="Y777" s="19"/>
      <c r="Z777" s="23"/>
    </row>
    <row r="778" spans="1:26" ht="15.75" customHeight="1" x14ac:dyDescent="0.2">
      <c r="A778" s="34"/>
      <c r="B778" s="34"/>
      <c r="C778" s="34"/>
      <c r="D778" s="34"/>
      <c r="E778" s="19"/>
      <c r="F778" s="19"/>
      <c r="G778" s="19"/>
      <c r="H778" s="19"/>
      <c r="I778" s="19"/>
      <c r="J778" s="19"/>
      <c r="K778" s="19"/>
      <c r="L778" s="19"/>
      <c r="M778" s="19"/>
      <c r="N778" s="19"/>
      <c r="O778" s="19"/>
      <c r="P778" s="20"/>
      <c r="Q778" s="20"/>
      <c r="R778" s="22"/>
      <c r="S778" s="22"/>
      <c r="T778" s="20"/>
      <c r="U778" s="20"/>
      <c r="V778" s="20"/>
      <c r="W778" s="19"/>
      <c r="X778" s="19"/>
      <c r="Y778" s="19"/>
      <c r="Z778" s="23"/>
    </row>
    <row r="779" spans="1:26" ht="15.75" customHeight="1" x14ac:dyDescent="0.2">
      <c r="A779" s="34"/>
      <c r="B779" s="34"/>
      <c r="C779" s="34"/>
      <c r="D779" s="34"/>
      <c r="E779" s="19"/>
      <c r="F779" s="19"/>
      <c r="G779" s="19"/>
      <c r="H779" s="19"/>
      <c r="I779" s="19"/>
      <c r="J779" s="19"/>
      <c r="K779" s="19"/>
      <c r="L779" s="19"/>
      <c r="M779" s="19"/>
      <c r="N779" s="19"/>
      <c r="O779" s="19"/>
      <c r="P779" s="20"/>
      <c r="Q779" s="20"/>
      <c r="R779" s="22"/>
      <c r="S779" s="22"/>
      <c r="T779" s="20"/>
      <c r="U779" s="20"/>
      <c r="V779" s="20"/>
      <c r="W779" s="19"/>
      <c r="X779" s="19"/>
      <c r="Y779" s="19"/>
      <c r="Z779" s="23"/>
    </row>
    <row r="780" spans="1:26" ht="15.75" customHeight="1" x14ac:dyDescent="0.2">
      <c r="A780" s="34"/>
      <c r="B780" s="34"/>
      <c r="C780" s="34"/>
      <c r="D780" s="34"/>
      <c r="E780" s="19"/>
      <c r="F780" s="19"/>
      <c r="G780" s="19"/>
      <c r="H780" s="19"/>
      <c r="I780" s="19"/>
      <c r="J780" s="19"/>
      <c r="K780" s="19"/>
      <c r="L780" s="19"/>
      <c r="M780" s="19"/>
      <c r="N780" s="19"/>
      <c r="O780" s="19"/>
      <c r="P780" s="20"/>
      <c r="Q780" s="20"/>
      <c r="R780" s="22"/>
      <c r="S780" s="22"/>
      <c r="T780" s="20"/>
      <c r="U780" s="20"/>
      <c r="V780" s="20"/>
      <c r="W780" s="19"/>
      <c r="X780" s="19"/>
      <c r="Y780" s="19"/>
      <c r="Z780" s="23"/>
    </row>
    <row r="781" spans="1:26" ht="15.75" customHeight="1" x14ac:dyDescent="0.2">
      <c r="A781" s="34"/>
      <c r="B781" s="34"/>
      <c r="C781" s="34"/>
      <c r="D781" s="34"/>
      <c r="E781" s="19"/>
      <c r="F781" s="19"/>
      <c r="G781" s="19"/>
      <c r="H781" s="19"/>
      <c r="I781" s="19"/>
      <c r="J781" s="19"/>
      <c r="K781" s="19"/>
      <c r="L781" s="19"/>
      <c r="M781" s="19"/>
      <c r="N781" s="19"/>
      <c r="O781" s="19"/>
      <c r="P781" s="20"/>
      <c r="Q781" s="20"/>
      <c r="R781" s="22"/>
      <c r="S781" s="22"/>
      <c r="T781" s="20"/>
      <c r="U781" s="20"/>
      <c r="V781" s="20"/>
      <c r="W781" s="19"/>
      <c r="X781" s="19"/>
      <c r="Y781" s="19"/>
      <c r="Z781" s="23"/>
    </row>
    <row r="782" spans="1:26" ht="15.75" customHeight="1" x14ac:dyDescent="0.2">
      <c r="A782" s="34"/>
      <c r="B782" s="34"/>
      <c r="C782" s="34"/>
      <c r="D782" s="34"/>
      <c r="E782" s="19"/>
      <c r="F782" s="19"/>
      <c r="G782" s="19"/>
      <c r="H782" s="19"/>
      <c r="I782" s="19"/>
      <c r="J782" s="19"/>
      <c r="K782" s="19"/>
      <c r="L782" s="19"/>
      <c r="M782" s="19"/>
      <c r="N782" s="19"/>
      <c r="O782" s="19"/>
      <c r="P782" s="20"/>
      <c r="Q782" s="20"/>
      <c r="R782" s="22"/>
      <c r="S782" s="22"/>
      <c r="T782" s="20"/>
      <c r="U782" s="20"/>
      <c r="V782" s="20"/>
      <c r="W782" s="19"/>
      <c r="X782" s="19"/>
      <c r="Y782" s="19"/>
      <c r="Z782" s="23"/>
    </row>
    <row r="783" spans="1:26" ht="15.75" customHeight="1" x14ac:dyDescent="0.2">
      <c r="A783" s="34"/>
      <c r="B783" s="34"/>
      <c r="C783" s="34"/>
      <c r="D783" s="34"/>
      <c r="E783" s="19"/>
      <c r="F783" s="19"/>
      <c r="G783" s="19"/>
      <c r="H783" s="19"/>
      <c r="I783" s="19"/>
      <c r="J783" s="19"/>
      <c r="K783" s="19"/>
      <c r="L783" s="19"/>
      <c r="M783" s="19"/>
      <c r="N783" s="19"/>
      <c r="O783" s="19"/>
      <c r="P783" s="20"/>
      <c r="Q783" s="20"/>
      <c r="R783" s="22"/>
      <c r="S783" s="22"/>
      <c r="T783" s="20"/>
      <c r="U783" s="20"/>
      <c r="V783" s="20"/>
      <c r="W783" s="19"/>
      <c r="X783" s="19"/>
      <c r="Y783" s="19"/>
      <c r="Z783" s="23"/>
    </row>
    <row r="784" spans="1:26" ht="15.75" customHeight="1" x14ac:dyDescent="0.2">
      <c r="A784" s="34"/>
      <c r="B784" s="34"/>
      <c r="C784" s="34"/>
      <c r="D784" s="34"/>
      <c r="E784" s="19"/>
      <c r="F784" s="19"/>
      <c r="G784" s="19"/>
      <c r="H784" s="19"/>
      <c r="I784" s="19"/>
      <c r="J784" s="19"/>
      <c r="K784" s="19"/>
      <c r="L784" s="19"/>
      <c r="M784" s="19"/>
      <c r="N784" s="19"/>
      <c r="O784" s="19"/>
      <c r="P784" s="20"/>
      <c r="Q784" s="20"/>
      <c r="R784" s="22"/>
      <c r="S784" s="22"/>
      <c r="T784" s="20"/>
      <c r="U784" s="20"/>
      <c r="V784" s="20"/>
      <c r="W784" s="19"/>
      <c r="X784" s="19"/>
      <c r="Y784" s="19"/>
      <c r="Z784" s="23"/>
    </row>
    <row r="785" spans="1:26" ht="15.75" customHeight="1" x14ac:dyDescent="0.2">
      <c r="A785" s="34"/>
      <c r="B785" s="34"/>
      <c r="C785" s="34"/>
      <c r="D785" s="34"/>
      <c r="E785" s="19"/>
      <c r="F785" s="19"/>
      <c r="G785" s="19"/>
      <c r="H785" s="19"/>
      <c r="I785" s="19"/>
      <c r="J785" s="19"/>
      <c r="K785" s="19"/>
      <c r="L785" s="19"/>
      <c r="M785" s="19"/>
      <c r="N785" s="19"/>
      <c r="O785" s="19"/>
      <c r="P785" s="20"/>
      <c r="Q785" s="20"/>
      <c r="R785" s="22"/>
      <c r="S785" s="22"/>
      <c r="T785" s="20"/>
      <c r="U785" s="20"/>
      <c r="V785" s="20"/>
      <c r="W785" s="19"/>
      <c r="X785" s="19"/>
      <c r="Y785" s="19"/>
      <c r="Z785" s="23"/>
    </row>
    <row r="786" spans="1:26" ht="15.75" customHeight="1" x14ac:dyDescent="0.2">
      <c r="A786" s="34"/>
      <c r="B786" s="34"/>
      <c r="C786" s="34"/>
      <c r="D786" s="34"/>
      <c r="E786" s="19"/>
      <c r="F786" s="19"/>
      <c r="G786" s="19"/>
      <c r="H786" s="19"/>
      <c r="I786" s="19"/>
      <c r="J786" s="19"/>
      <c r="K786" s="19"/>
      <c r="L786" s="19"/>
      <c r="M786" s="19"/>
      <c r="N786" s="19"/>
      <c r="O786" s="19"/>
      <c r="P786" s="20"/>
      <c r="Q786" s="20"/>
      <c r="R786" s="22"/>
      <c r="S786" s="22"/>
      <c r="T786" s="20"/>
      <c r="U786" s="20"/>
      <c r="V786" s="20"/>
      <c r="W786" s="19"/>
      <c r="X786" s="19"/>
      <c r="Y786" s="19"/>
      <c r="Z786" s="23"/>
    </row>
    <row r="787" spans="1:26" ht="15.75" customHeight="1" x14ac:dyDescent="0.2">
      <c r="A787" s="34"/>
      <c r="B787" s="34"/>
      <c r="C787" s="34"/>
      <c r="D787" s="34"/>
      <c r="E787" s="19"/>
      <c r="F787" s="19"/>
      <c r="G787" s="19"/>
      <c r="H787" s="19"/>
      <c r="I787" s="19"/>
      <c r="J787" s="19"/>
      <c r="K787" s="19"/>
      <c r="L787" s="19"/>
      <c r="M787" s="19"/>
      <c r="N787" s="19"/>
      <c r="O787" s="19"/>
      <c r="P787" s="20"/>
      <c r="Q787" s="20"/>
      <c r="R787" s="22"/>
      <c r="S787" s="22"/>
      <c r="T787" s="20"/>
      <c r="U787" s="20"/>
      <c r="V787" s="20"/>
      <c r="W787" s="19"/>
      <c r="X787" s="19"/>
      <c r="Y787" s="19"/>
      <c r="Z787" s="23"/>
    </row>
    <row r="788" spans="1:26" ht="15.75" customHeight="1" x14ac:dyDescent="0.2">
      <c r="A788" s="34"/>
      <c r="B788" s="34"/>
      <c r="C788" s="34"/>
      <c r="D788" s="34"/>
      <c r="E788" s="19"/>
      <c r="F788" s="19"/>
      <c r="G788" s="19"/>
      <c r="H788" s="19"/>
      <c r="I788" s="19"/>
      <c r="J788" s="19"/>
      <c r="K788" s="19"/>
      <c r="L788" s="19"/>
      <c r="M788" s="19"/>
      <c r="N788" s="19"/>
      <c r="O788" s="19"/>
      <c r="P788" s="20"/>
      <c r="Q788" s="20"/>
      <c r="R788" s="22"/>
      <c r="S788" s="22"/>
      <c r="T788" s="20"/>
      <c r="U788" s="20"/>
      <c r="V788" s="20"/>
      <c r="W788" s="19"/>
      <c r="X788" s="19"/>
      <c r="Y788" s="19"/>
      <c r="Z788" s="23"/>
    </row>
    <row r="789" spans="1:26" ht="15.75" customHeight="1" x14ac:dyDescent="0.2">
      <c r="A789" s="34"/>
      <c r="B789" s="34"/>
      <c r="C789" s="34"/>
      <c r="D789" s="34"/>
      <c r="E789" s="19"/>
      <c r="F789" s="19"/>
      <c r="G789" s="19"/>
      <c r="H789" s="19"/>
      <c r="I789" s="19"/>
      <c r="J789" s="19"/>
      <c r="K789" s="19"/>
      <c r="L789" s="19"/>
      <c r="M789" s="19"/>
      <c r="N789" s="19"/>
      <c r="O789" s="19"/>
      <c r="P789" s="20"/>
      <c r="Q789" s="20"/>
      <c r="R789" s="22"/>
      <c r="S789" s="22"/>
      <c r="T789" s="20"/>
      <c r="U789" s="20"/>
      <c r="V789" s="20"/>
      <c r="W789" s="19"/>
      <c r="X789" s="19"/>
      <c r="Y789" s="19"/>
      <c r="Z789" s="23"/>
    </row>
    <row r="790" spans="1:26" ht="15.75" customHeight="1" x14ac:dyDescent="0.2">
      <c r="A790" s="34"/>
      <c r="B790" s="34"/>
      <c r="C790" s="34"/>
      <c r="D790" s="34"/>
      <c r="E790" s="19"/>
      <c r="F790" s="19"/>
      <c r="G790" s="19"/>
      <c r="H790" s="19"/>
      <c r="I790" s="19"/>
      <c r="J790" s="19"/>
      <c r="K790" s="19"/>
      <c r="L790" s="19"/>
      <c r="M790" s="19"/>
      <c r="N790" s="19"/>
      <c r="O790" s="19"/>
      <c r="P790" s="20"/>
      <c r="Q790" s="20"/>
      <c r="R790" s="22"/>
      <c r="S790" s="22"/>
      <c r="T790" s="20"/>
      <c r="U790" s="20"/>
      <c r="V790" s="20"/>
      <c r="W790" s="19"/>
      <c r="X790" s="19"/>
      <c r="Y790" s="19"/>
      <c r="Z790" s="23"/>
    </row>
    <row r="791" spans="1:26" ht="15.75" customHeight="1" x14ac:dyDescent="0.2">
      <c r="A791" s="34"/>
      <c r="B791" s="34"/>
      <c r="C791" s="34"/>
      <c r="D791" s="34"/>
      <c r="E791" s="19"/>
      <c r="F791" s="19"/>
      <c r="G791" s="19"/>
      <c r="H791" s="19"/>
      <c r="I791" s="19"/>
      <c r="J791" s="19"/>
      <c r="K791" s="19"/>
      <c r="L791" s="19"/>
      <c r="M791" s="19"/>
      <c r="N791" s="19"/>
      <c r="O791" s="19"/>
      <c r="P791" s="20"/>
      <c r="Q791" s="20"/>
      <c r="R791" s="22"/>
      <c r="S791" s="22"/>
      <c r="T791" s="20"/>
      <c r="U791" s="20"/>
      <c r="V791" s="20"/>
      <c r="W791" s="19"/>
      <c r="X791" s="19"/>
      <c r="Y791" s="19"/>
      <c r="Z791" s="23"/>
    </row>
    <row r="792" spans="1:26" ht="15.75" customHeight="1" x14ac:dyDescent="0.2">
      <c r="A792" s="34"/>
      <c r="B792" s="34"/>
      <c r="C792" s="34"/>
      <c r="D792" s="34"/>
      <c r="E792" s="19"/>
      <c r="F792" s="19"/>
      <c r="G792" s="19"/>
      <c r="H792" s="19"/>
      <c r="I792" s="19"/>
      <c r="J792" s="19"/>
      <c r="K792" s="19"/>
      <c r="L792" s="19"/>
      <c r="M792" s="19"/>
      <c r="N792" s="19"/>
      <c r="O792" s="19"/>
      <c r="P792" s="20"/>
      <c r="Q792" s="20"/>
      <c r="R792" s="22"/>
      <c r="S792" s="22"/>
      <c r="T792" s="20"/>
      <c r="U792" s="20"/>
      <c r="V792" s="20"/>
      <c r="W792" s="19"/>
      <c r="X792" s="19"/>
      <c r="Y792" s="19"/>
      <c r="Z792" s="23"/>
    </row>
    <row r="793" spans="1:26" ht="15.75" customHeight="1" x14ac:dyDescent="0.2">
      <c r="A793" s="34"/>
      <c r="B793" s="34"/>
      <c r="C793" s="34"/>
      <c r="D793" s="34"/>
      <c r="E793" s="19"/>
      <c r="F793" s="19"/>
      <c r="G793" s="19"/>
      <c r="H793" s="19"/>
      <c r="I793" s="19"/>
      <c r="J793" s="19"/>
      <c r="K793" s="19"/>
      <c r="L793" s="19"/>
      <c r="M793" s="19"/>
      <c r="N793" s="19"/>
      <c r="O793" s="19"/>
      <c r="P793" s="20"/>
      <c r="Q793" s="20"/>
      <c r="R793" s="22"/>
      <c r="S793" s="22"/>
      <c r="T793" s="20"/>
      <c r="U793" s="20"/>
      <c r="V793" s="20"/>
      <c r="W793" s="19"/>
      <c r="X793" s="19"/>
      <c r="Y793" s="19"/>
      <c r="Z793" s="23"/>
    </row>
    <row r="794" spans="1:26" ht="15.75" customHeight="1" x14ac:dyDescent="0.2">
      <c r="A794" s="34"/>
      <c r="B794" s="34"/>
      <c r="C794" s="34"/>
      <c r="D794" s="34"/>
      <c r="E794" s="19"/>
      <c r="F794" s="19"/>
      <c r="G794" s="19"/>
      <c r="H794" s="19"/>
      <c r="I794" s="19"/>
      <c r="J794" s="19"/>
      <c r="K794" s="19"/>
      <c r="L794" s="19"/>
      <c r="M794" s="19"/>
      <c r="N794" s="19"/>
      <c r="O794" s="19"/>
      <c r="P794" s="20"/>
      <c r="Q794" s="20"/>
      <c r="R794" s="22"/>
      <c r="S794" s="22"/>
      <c r="T794" s="20"/>
      <c r="U794" s="20"/>
      <c r="V794" s="20"/>
      <c r="W794" s="19"/>
      <c r="X794" s="19"/>
      <c r="Y794" s="19"/>
      <c r="Z794" s="23"/>
    </row>
    <row r="795" spans="1:26" ht="15.75" customHeight="1" x14ac:dyDescent="0.2">
      <c r="A795" s="34"/>
      <c r="B795" s="34"/>
      <c r="C795" s="34"/>
      <c r="D795" s="34"/>
      <c r="E795" s="19"/>
      <c r="F795" s="19"/>
      <c r="G795" s="19"/>
      <c r="H795" s="19"/>
      <c r="I795" s="19"/>
      <c r="J795" s="19"/>
      <c r="K795" s="19"/>
      <c r="L795" s="19"/>
      <c r="M795" s="19"/>
      <c r="N795" s="19"/>
      <c r="O795" s="19"/>
      <c r="P795" s="20"/>
      <c r="Q795" s="20"/>
      <c r="R795" s="22"/>
      <c r="S795" s="22"/>
      <c r="T795" s="20"/>
      <c r="U795" s="20"/>
      <c r="V795" s="20"/>
      <c r="W795" s="19"/>
      <c r="X795" s="19"/>
      <c r="Y795" s="19"/>
      <c r="Z795" s="23"/>
    </row>
    <row r="796" spans="1:26" ht="15.75" customHeight="1" x14ac:dyDescent="0.2">
      <c r="A796" s="34"/>
      <c r="B796" s="34"/>
      <c r="C796" s="34"/>
      <c r="D796" s="34"/>
      <c r="E796" s="19"/>
      <c r="F796" s="19"/>
      <c r="G796" s="19"/>
      <c r="H796" s="19"/>
      <c r="I796" s="19"/>
      <c r="J796" s="19"/>
      <c r="K796" s="19"/>
      <c r="L796" s="19"/>
      <c r="M796" s="19"/>
      <c r="N796" s="19"/>
      <c r="O796" s="19"/>
      <c r="P796" s="20"/>
      <c r="Q796" s="20"/>
      <c r="R796" s="22"/>
      <c r="S796" s="22"/>
      <c r="T796" s="20"/>
      <c r="U796" s="20"/>
      <c r="V796" s="20"/>
      <c r="W796" s="19"/>
      <c r="X796" s="19"/>
      <c r="Y796" s="19"/>
      <c r="Z796" s="23"/>
    </row>
    <row r="797" spans="1:26" ht="15.75" customHeight="1" x14ac:dyDescent="0.2">
      <c r="A797" s="34"/>
      <c r="B797" s="34"/>
      <c r="C797" s="34"/>
      <c r="D797" s="34"/>
      <c r="E797" s="19"/>
      <c r="F797" s="19"/>
      <c r="G797" s="19"/>
      <c r="H797" s="19"/>
      <c r="I797" s="19"/>
      <c r="J797" s="19"/>
      <c r="K797" s="19"/>
      <c r="L797" s="19"/>
      <c r="M797" s="19"/>
      <c r="N797" s="19"/>
      <c r="O797" s="19"/>
      <c r="P797" s="20"/>
      <c r="Q797" s="20"/>
      <c r="R797" s="22"/>
      <c r="S797" s="22"/>
      <c r="T797" s="20"/>
      <c r="U797" s="20"/>
      <c r="V797" s="20"/>
      <c r="W797" s="19"/>
      <c r="X797" s="19"/>
      <c r="Y797" s="19"/>
      <c r="Z797" s="23"/>
    </row>
    <row r="798" spans="1:26" ht="15.75" customHeight="1" x14ac:dyDescent="0.2">
      <c r="A798" s="34"/>
      <c r="B798" s="34"/>
      <c r="C798" s="34"/>
      <c r="D798" s="34"/>
      <c r="E798" s="19"/>
      <c r="F798" s="19"/>
      <c r="G798" s="19"/>
      <c r="H798" s="19"/>
      <c r="I798" s="19"/>
      <c r="J798" s="19"/>
      <c r="K798" s="19"/>
      <c r="L798" s="19"/>
      <c r="M798" s="19"/>
      <c r="N798" s="19"/>
      <c r="O798" s="19"/>
      <c r="P798" s="20"/>
      <c r="Q798" s="20"/>
      <c r="R798" s="22"/>
      <c r="S798" s="22"/>
      <c r="T798" s="20"/>
      <c r="U798" s="20"/>
      <c r="V798" s="20"/>
      <c r="W798" s="19"/>
      <c r="X798" s="19"/>
      <c r="Y798" s="19"/>
      <c r="Z798" s="23"/>
    </row>
    <row r="799" spans="1:26" ht="15.75" customHeight="1" x14ac:dyDescent="0.2">
      <c r="A799" s="34"/>
      <c r="B799" s="34"/>
      <c r="C799" s="34"/>
      <c r="D799" s="34"/>
      <c r="E799" s="19"/>
      <c r="F799" s="19"/>
      <c r="G799" s="19"/>
      <c r="H799" s="19"/>
      <c r="I799" s="19"/>
      <c r="J799" s="19"/>
      <c r="K799" s="19"/>
      <c r="L799" s="19"/>
      <c r="M799" s="19"/>
      <c r="N799" s="19"/>
      <c r="O799" s="19"/>
      <c r="P799" s="20"/>
      <c r="Q799" s="20"/>
      <c r="R799" s="22"/>
      <c r="S799" s="22"/>
      <c r="T799" s="20"/>
      <c r="U799" s="20"/>
      <c r="V799" s="20"/>
      <c r="W799" s="19"/>
      <c r="X799" s="19"/>
      <c r="Y799" s="19"/>
      <c r="Z799" s="23"/>
    </row>
    <row r="800" spans="1:26" ht="15.75" customHeight="1" x14ac:dyDescent="0.2">
      <c r="A800" s="34"/>
      <c r="B800" s="34"/>
      <c r="C800" s="34"/>
      <c r="D800" s="34"/>
      <c r="E800" s="19"/>
      <c r="F800" s="19"/>
      <c r="G800" s="19"/>
      <c r="H800" s="19"/>
      <c r="I800" s="19"/>
      <c r="J800" s="19"/>
      <c r="K800" s="19"/>
      <c r="L800" s="19"/>
      <c r="M800" s="19"/>
      <c r="N800" s="19"/>
      <c r="O800" s="19"/>
      <c r="P800" s="20"/>
      <c r="Q800" s="20"/>
      <c r="R800" s="22"/>
      <c r="S800" s="22"/>
      <c r="T800" s="20"/>
      <c r="U800" s="20"/>
      <c r="V800" s="20"/>
      <c r="W800" s="19"/>
      <c r="X800" s="19"/>
      <c r="Y800" s="19"/>
      <c r="Z800" s="23"/>
    </row>
    <row r="801" spans="1:26" ht="15.75" customHeight="1" x14ac:dyDescent="0.2">
      <c r="A801" s="34"/>
      <c r="B801" s="34"/>
      <c r="C801" s="34"/>
      <c r="D801" s="34"/>
      <c r="E801" s="19"/>
      <c r="F801" s="19"/>
      <c r="G801" s="19"/>
      <c r="H801" s="19"/>
      <c r="I801" s="19"/>
      <c r="J801" s="19"/>
      <c r="K801" s="19"/>
      <c r="L801" s="19"/>
      <c r="M801" s="19"/>
      <c r="N801" s="19"/>
      <c r="O801" s="19"/>
      <c r="P801" s="20"/>
      <c r="Q801" s="20"/>
      <c r="R801" s="22"/>
      <c r="S801" s="22"/>
      <c r="T801" s="20"/>
      <c r="U801" s="20"/>
      <c r="V801" s="20"/>
      <c r="W801" s="19"/>
      <c r="X801" s="19"/>
      <c r="Y801" s="19"/>
      <c r="Z801" s="23"/>
    </row>
    <row r="802" spans="1:26" ht="15.75" customHeight="1" x14ac:dyDescent="0.2">
      <c r="A802" s="34"/>
      <c r="B802" s="34"/>
      <c r="C802" s="34"/>
      <c r="D802" s="34"/>
      <c r="E802" s="19"/>
      <c r="F802" s="19"/>
      <c r="G802" s="19"/>
      <c r="H802" s="19"/>
      <c r="I802" s="19"/>
      <c r="J802" s="19"/>
      <c r="K802" s="19"/>
      <c r="L802" s="19"/>
      <c r="M802" s="19"/>
      <c r="N802" s="19"/>
      <c r="O802" s="19"/>
      <c r="P802" s="20"/>
      <c r="Q802" s="20"/>
      <c r="R802" s="22"/>
      <c r="S802" s="22"/>
      <c r="T802" s="20"/>
      <c r="U802" s="20"/>
      <c r="V802" s="20"/>
      <c r="W802" s="19"/>
      <c r="X802" s="19"/>
      <c r="Y802" s="19"/>
      <c r="Z802" s="23"/>
    </row>
    <row r="803" spans="1:26" ht="15.75" customHeight="1" x14ac:dyDescent="0.2">
      <c r="A803" s="34"/>
      <c r="B803" s="34"/>
      <c r="C803" s="34"/>
      <c r="D803" s="34"/>
      <c r="E803" s="19"/>
      <c r="F803" s="19"/>
      <c r="G803" s="19"/>
      <c r="H803" s="19"/>
      <c r="I803" s="19"/>
      <c r="J803" s="19"/>
      <c r="K803" s="19"/>
      <c r="L803" s="19"/>
      <c r="M803" s="19"/>
      <c r="N803" s="19"/>
      <c r="O803" s="19"/>
      <c r="P803" s="20"/>
      <c r="Q803" s="20"/>
      <c r="R803" s="22"/>
      <c r="S803" s="22"/>
      <c r="T803" s="20"/>
      <c r="U803" s="20"/>
      <c r="V803" s="20"/>
      <c r="W803" s="19"/>
      <c r="X803" s="19"/>
      <c r="Y803" s="19"/>
      <c r="Z803" s="23"/>
    </row>
    <row r="804" spans="1:26" ht="15.75" customHeight="1" x14ac:dyDescent="0.2">
      <c r="A804" s="34"/>
      <c r="B804" s="34"/>
      <c r="C804" s="34"/>
      <c r="D804" s="34"/>
      <c r="E804" s="19"/>
      <c r="F804" s="19"/>
      <c r="G804" s="19"/>
      <c r="H804" s="19"/>
      <c r="I804" s="19"/>
      <c r="J804" s="19"/>
      <c r="K804" s="19"/>
      <c r="L804" s="19"/>
      <c r="M804" s="19"/>
      <c r="N804" s="19"/>
      <c r="O804" s="19"/>
      <c r="P804" s="20"/>
      <c r="Q804" s="20"/>
      <c r="R804" s="22"/>
      <c r="S804" s="22"/>
      <c r="T804" s="20"/>
      <c r="U804" s="20"/>
      <c r="V804" s="20"/>
      <c r="W804" s="19"/>
      <c r="X804" s="19"/>
      <c r="Y804" s="19"/>
      <c r="Z804" s="23"/>
    </row>
    <row r="805" spans="1:26" ht="15.75" customHeight="1" x14ac:dyDescent="0.2">
      <c r="A805" s="34"/>
      <c r="B805" s="34"/>
      <c r="C805" s="34"/>
      <c r="D805" s="34"/>
      <c r="E805" s="19"/>
      <c r="F805" s="19"/>
      <c r="G805" s="19"/>
      <c r="H805" s="19"/>
      <c r="I805" s="19"/>
      <c r="J805" s="19"/>
      <c r="K805" s="19"/>
      <c r="L805" s="19"/>
      <c r="M805" s="19"/>
      <c r="N805" s="19"/>
      <c r="O805" s="19"/>
      <c r="P805" s="20"/>
      <c r="Q805" s="20"/>
      <c r="R805" s="22"/>
      <c r="S805" s="22"/>
      <c r="T805" s="20"/>
      <c r="U805" s="20"/>
      <c r="V805" s="20"/>
      <c r="W805" s="19"/>
      <c r="X805" s="19"/>
      <c r="Y805" s="19"/>
      <c r="Z805" s="23"/>
    </row>
    <row r="806" spans="1:26" ht="15.75" customHeight="1" x14ac:dyDescent="0.2">
      <c r="A806" s="34"/>
      <c r="B806" s="34"/>
      <c r="C806" s="34"/>
      <c r="D806" s="34"/>
      <c r="E806" s="19"/>
      <c r="F806" s="19"/>
      <c r="G806" s="19"/>
      <c r="H806" s="19"/>
      <c r="I806" s="19"/>
      <c r="J806" s="19"/>
      <c r="K806" s="19"/>
      <c r="L806" s="19"/>
      <c r="M806" s="19"/>
      <c r="N806" s="19"/>
      <c r="O806" s="19"/>
      <c r="P806" s="20"/>
      <c r="Q806" s="20"/>
      <c r="R806" s="22"/>
      <c r="S806" s="22"/>
      <c r="T806" s="20"/>
      <c r="U806" s="20"/>
      <c r="V806" s="20"/>
      <c r="W806" s="19"/>
      <c r="X806" s="19"/>
      <c r="Y806" s="19"/>
      <c r="Z806" s="23"/>
    </row>
    <row r="807" spans="1:26" ht="15.75" customHeight="1" x14ac:dyDescent="0.2">
      <c r="A807" s="34"/>
      <c r="B807" s="34"/>
      <c r="C807" s="34"/>
      <c r="D807" s="34"/>
      <c r="E807" s="19"/>
      <c r="F807" s="19"/>
      <c r="G807" s="19"/>
      <c r="H807" s="19"/>
      <c r="I807" s="19"/>
      <c r="J807" s="19"/>
      <c r="K807" s="19"/>
      <c r="L807" s="19"/>
      <c r="M807" s="19"/>
      <c r="N807" s="19"/>
      <c r="O807" s="19"/>
      <c r="P807" s="20"/>
      <c r="Q807" s="20"/>
      <c r="R807" s="22"/>
      <c r="S807" s="22"/>
      <c r="T807" s="20"/>
      <c r="U807" s="20"/>
      <c r="V807" s="20"/>
      <c r="W807" s="19"/>
      <c r="X807" s="19"/>
      <c r="Y807" s="19"/>
      <c r="Z807" s="23"/>
    </row>
    <row r="808" spans="1:26" ht="15.75" customHeight="1" x14ac:dyDescent="0.2">
      <c r="A808" s="34"/>
      <c r="B808" s="34"/>
      <c r="C808" s="34"/>
      <c r="D808" s="34"/>
      <c r="E808" s="19"/>
      <c r="F808" s="19"/>
      <c r="G808" s="19"/>
      <c r="H808" s="19"/>
      <c r="I808" s="19"/>
      <c r="J808" s="19"/>
      <c r="K808" s="19"/>
      <c r="L808" s="19"/>
      <c r="M808" s="19"/>
      <c r="N808" s="19"/>
      <c r="O808" s="19"/>
      <c r="P808" s="20"/>
      <c r="Q808" s="20"/>
      <c r="R808" s="22"/>
      <c r="S808" s="22"/>
      <c r="T808" s="20"/>
      <c r="U808" s="20"/>
      <c r="V808" s="20"/>
      <c r="W808" s="19"/>
      <c r="X808" s="19"/>
      <c r="Y808" s="19"/>
      <c r="Z808" s="23"/>
    </row>
    <row r="809" spans="1:26" ht="15.75" customHeight="1" x14ac:dyDescent="0.2">
      <c r="A809" s="34"/>
      <c r="B809" s="34"/>
      <c r="C809" s="34"/>
      <c r="D809" s="34"/>
      <c r="E809" s="19"/>
      <c r="F809" s="19"/>
      <c r="G809" s="19"/>
      <c r="H809" s="19"/>
      <c r="I809" s="19"/>
      <c r="J809" s="19"/>
      <c r="K809" s="19"/>
      <c r="L809" s="19"/>
      <c r="M809" s="19"/>
      <c r="N809" s="19"/>
      <c r="O809" s="19"/>
      <c r="P809" s="20"/>
      <c r="Q809" s="20"/>
      <c r="R809" s="22"/>
      <c r="S809" s="22"/>
      <c r="T809" s="20"/>
      <c r="U809" s="20"/>
      <c r="V809" s="20"/>
      <c r="W809" s="19"/>
      <c r="X809" s="19"/>
      <c r="Y809" s="19"/>
      <c r="Z809" s="23"/>
    </row>
    <row r="810" spans="1:26" ht="15.75" customHeight="1" x14ac:dyDescent="0.2">
      <c r="A810" s="34"/>
      <c r="B810" s="34"/>
      <c r="C810" s="34"/>
      <c r="D810" s="34"/>
      <c r="E810" s="19"/>
      <c r="F810" s="19"/>
      <c r="G810" s="19"/>
      <c r="H810" s="19"/>
      <c r="I810" s="19"/>
      <c r="J810" s="19"/>
      <c r="K810" s="19"/>
      <c r="L810" s="19"/>
      <c r="M810" s="19"/>
      <c r="N810" s="19"/>
      <c r="O810" s="19"/>
      <c r="P810" s="20"/>
      <c r="Q810" s="20"/>
      <c r="R810" s="22"/>
      <c r="S810" s="22"/>
      <c r="T810" s="20"/>
      <c r="U810" s="20"/>
      <c r="V810" s="20"/>
      <c r="W810" s="19"/>
      <c r="X810" s="19"/>
      <c r="Y810" s="19"/>
      <c r="Z810" s="23"/>
    </row>
    <row r="811" spans="1:26" ht="15.75" customHeight="1" x14ac:dyDescent="0.2">
      <c r="A811" s="34"/>
      <c r="B811" s="34"/>
      <c r="C811" s="34"/>
      <c r="D811" s="34"/>
      <c r="E811" s="19"/>
      <c r="F811" s="19"/>
      <c r="G811" s="19"/>
      <c r="H811" s="19"/>
      <c r="I811" s="19"/>
      <c r="J811" s="19"/>
      <c r="K811" s="19"/>
      <c r="L811" s="19"/>
      <c r="M811" s="19"/>
      <c r="N811" s="19"/>
      <c r="O811" s="19"/>
      <c r="P811" s="20"/>
      <c r="Q811" s="20"/>
      <c r="R811" s="22"/>
      <c r="S811" s="22"/>
      <c r="T811" s="20"/>
      <c r="U811" s="20"/>
      <c r="V811" s="20"/>
      <c r="W811" s="19"/>
      <c r="X811" s="19"/>
      <c r="Y811" s="19"/>
      <c r="Z811" s="23"/>
    </row>
    <row r="812" spans="1:26" ht="15.75" customHeight="1" x14ac:dyDescent="0.2">
      <c r="A812" s="34"/>
      <c r="B812" s="34"/>
      <c r="C812" s="34"/>
      <c r="D812" s="34"/>
      <c r="E812" s="19"/>
      <c r="F812" s="19"/>
      <c r="G812" s="19"/>
      <c r="H812" s="19"/>
      <c r="I812" s="19"/>
      <c r="J812" s="19"/>
      <c r="K812" s="19"/>
      <c r="L812" s="19"/>
      <c r="M812" s="19"/>
      <c r="N812" s="19"/>
      <c r="O812" s="19"/>
      <c r="P812" s="20"/>
      <c r="Q812" s="20"/>
      <c r="R812" s="22"/>
      <c r="S812" s="22"/>
      <c r="T812" s="20"/>
      <c r="U812" s="20"/>
      <c r="V812" s="20"/>
      <c r="W812" s="19"/>
      <c r="X812" s="19"/>
      <c r="Y812" s="19"/>
      <c r="Z812" s="23"/>
    </row>
    <row r="813" spans="1:26" ht="15.75" customHeight="1" x14ac:dyDescent="0.2">
      <c r="A813" s="34"/>
      <c r="B813" s="34"/>
      <c r="C813" s="34"/>
      <c r="D813" s="34"/>
      <c r="E813" s="19"/>
      <c r="F813" s="19"/>
      <c r="G813" s="19"/>
      <c r="H813" s="19"/>
      <c r="I813" s="19"/>
      <c r="J813" s="19"/>
      <c r="K813" s="19"/>
      <c r="L813" s="19"/>
      <c r="M813" s="19"/>
      <c r="N813" s="19"/>
      <c r="O813" s="19"/>
      <c r="P813" s="20"/>
      <c r="Q813" s="20"/>
      <c r="R813" s="22"/>
      <c r="S813" s="22"/>
      <c r="T813" s="20"/>
      <c r="U813" s="20"/>
      <c r="V813" s="20"/>
      <c r="W813" s="19"/>
      <c r="X813" s="19"/>
      <c r="Y813" s="19"/>
      <c r="Z813" s="23"/>
    </row>
    <row r="814" spans="1:26" ht="15.75" customHeight="1" x14ac:dyDescent="0.2">
      <c r="A814" s="34"/>
      <c r="B814" s="34"/>
      <c r="C814" s="34"/>
      <c r="D814" s="34"/>
      <c r="E814" s="19"/>
      <c r="F814" s="19"/>
      <c r="G814" s="19"/>
      <c r="H814" s="19"/>
      <c r="I814" s="19"/>
      <c r="J814" s="19"/>
      <c r="K814" s="19"/>
      <c r="L814" s="19"/>
      <c r="M814" s="19"/>
      <c r="N814" s="19"/>
      <c r="O814" s="19"/>
      <c r="P814" s="20"/>
      <c r="Q814" s="20"/>
      <c r="R814" s="22"/>
      <c r="S814" s="22"/>
      <c r="T814" s="20"/>
      <c r="U814" s="20"/>
      <c r="V814" s="20"/>
      <c r="W814" s="19"/>
      <c r="X814" s="19"/>
      <c r="Y814" s="19"/>
      <c r="Z814" s="23"/>
    </row>
    <row r="815" spans="1:26" ht="15.75" customHeight="1" x14ac:dyDescent="0.2">
      <c r="A815" s="34"/>
      <c r="B815" s="34"/>
      <c r="C815" s="34"/>
      <c r="D815" s="34"/>
      <c r="E815" s="19"/>
      <c r="F815" s="19"/>
      <c r="G815" s="19"/>
      <c r="H815" s="19"/>
      <c r="I815" s="19"/>
      <c r="J815" s="19"/>
      <c r="K815" s="19"/>
      <c r="L815" s="19"/>
      <c r="M815" s="19"/>
      <c r="N815" s="19"/>
      <c r="O815" s="19"/>
      <c r="P815" s="20"/>
      <c r="Q815" s="20"/>
      <c r="R815" s="22"/>
      <c r="S815" s="22"/>
      <c r="T815" s="20"/>
      <c r="U815" s="20"/>
      <c r="V815" s="20"/>
      <c r="W815" s="19"/>
      <c r="X815" s="19"/>
      <c r="Y815" s="19"/>
      <c r="Z815" s="23"/>
    </row>
    <row r="816" spans="1:26" ht="15.75" customHeight="1" x14ac:dyDescent="0.2">
      <c r="A816" s="34"/>
      <c r="B816" s="34"/>
      <c r="C816" s="34"/>
      <c r="D816" s="34"/>
      <c r="E816" s="19"/>
      <c r="F816" s="19"/>
      <c r="G816" s="19"/>
      <c r="H816" s="19"/>
      <c r="I816" s="19"/>
      <c r="J816" s="19"/>
      <c r="K816" s="19"/>
      <c r="L816" s="19"/>
      <c r="M816" s="19"/>
      <c r="N816" s="19"/>
      <c r="O816" s="19"/>
      <c r="P816" s="20"/>
      <c r="Q816" s="20"/>
      <c r="R816" s="22"/>
      <c r="S816" s="22"/>
      <c r="T816" s="20"/>
      <c r="U816" s="20"/>
      <c r="V816" s="20"/>
      <c r="W816" s="19"/>
      <c r="X816" s="19"/>
      <c r="Y816" s="19"/>
      <c r="Z816" s="23"/>
    </row>
    <row r="817" spans="1:26" ht="15.75" customHeight="1" x14ac:dyDescent="0.2">
      <c r="A817" s="34"/>
      <c r="B817" s="34"/>
      <c r="C817" s="34"/>
      <c r="D817" s="34"/>
      <c r="E817" s="19"/>
      <c r="F817" s="19"/>
      <c r="G817" s="19"/>
      <c r="H817" s="19"/>
      <c r="I817" s="19"/>
      <c r="J817" s="19"/>
      <c r="K817" s="19"/>
      <c r="L817" s="19"/>
      <c r="M817" s="19"/>
      <c r="N817" s="19"/>
      <c r="O817" s="19"/>
      <c r="P817" s="20"/>
      <c r="Q817" s="20"/>
      <c r="R817" s="22"/>
      <c r="S817" s="22"/>
      <c r="T817" s="20"/>
      <c r="U817" s="20"/>
      <c r="V817" s="20"/>
      <c r="W817" s="19"/>
      <c r="X817" s="19"/>
      <c r="Y817" s="19"/>
      <c r="Z817" s="23"/>
    </row>
    <row r="818" spans="1:26" ht="15.75" customHeight="1" x14ac:dyDescent="0.2">
      <c r="A818" s="34"/>
      <c r="B818" s="34"/>
      <c r="C818" s="34"/>
      <c r="D818" s="34"/>
      <c r="E818" s="19"/>
      <c r="F818" s="19"/>
      <c r="G818" s="19"/>
      <c r="H818" s="19"/>
      <c r="I818" s="19"/>
      <c r="J818" s="19"/>
      <c r="K818" s="19"/>
      <c r="L818" s="19"/>
      <c r="M818" s="19"/>
      <c r="N818" s="19"/>
      <c r="O818" s="19"/>
      <c r="P818" s="20"/>
      <c r="Q818" s="20"/>
      <c r="R818" s="22"/>
      <c r="S818" s="22"/>
      <c r="T818" s="20"/>
      <c r="U818" s="20"/>
      <c r="V818" s="20"/>
      <c r="W818" s="19"/>
      <c r="X818" s="19"/>
      <c r="Y818" s="19"/>
      <c r="Z818" s="23"/>
    </row>
    <row r="819" spans="1:26" ht="15.75" customHeight="1" x14ac:dyDescent="0.2">
      <c r="A819" s="34"/>
      <c r="B819" s="34"/>
      <c r="C819" s="34"/>
      <c r="D819" s="34"/>
      <c r="E819" s="19"/>
      <c r="F819" s="19"/>
      <c r="G819" s="19"/>
      <c r="H819" s="19"/>
      <c r="I819" s="19"/>
      <c r="J819" s="19"/>
      <c r="K819" s="19"/>
      <c r="L819" s="19"/>
      <c r="M819" s="19"/>
      <c r="N819" s="19"/>
      <c r="O819" s="19"/>
      <c r="P819" s="20"/>
      <c r="Q819" s="20"/>
      <c r="R819" s="22"/>
      <c r="S819" s="22"/>
      <c r="T819" s="20"/>
      <c r="U819" s="20"/>
      <c r="V819" s="20"/>
      <c r="W819" s="19"/>
      <c r="X819" s="19"/>
      <c r="Y819" s="19"/>
      <c r="Z819" s="23"/>
    </row>
    <row r="820" spans="1:26" ht="15.75" customHeight="1" x14ac:dyDescent="0.2">
      <c r="A820" s="34"/>
      <c r="B820" s="34"/>
      <c r="C820" s="34"/>
      <c r="D820" s="34"/>
      <c r="E820" s="19"/>
      <c r="F820" s="19"/>
      <c r="G820" s="19"/>
      <c r="H820" s="19"/>
      <c r="I820" s="19"/>
      <c r="J820" s="19"/>
      <c r="K820" s="19"/>
      <c r="L820" s="19"/>
      <c r="M820" s="19"/>
      <c r="N820" s="19"/>
      <c r="O820" s="19"/>
      <c r="P820" s="20"/>
      <c r="Q820" s="20"/>
      <c r="R820" s="22"/>
      <c r="S820" s="22"/>
      <c r="T820" s="20"/>
      <c r="U820" s="20"/>
      <c r="V820" s="20"/>
      <c r="W820" s="19"/>
      <c r="X820" s="19"/>
      <c r="Y820" s="19"/>
      <c r="Z820" s="23"/>
    </row>
    <row r="821" spans="1:26" ht="15.75" customHeight="1" x14ac:dyDescent="0.2">
      <c r="A821" s="34"/>
      <c r="B821" s="34"/>
      <c r="C821" s="34"/>
      <c r="D821" s="34"/>
      <c r="E821" s="19"/>
      <c r="F821" s="19"/>
      <c r="G821" s="19"/>
      <c r="H821" s="19"/>
      <c r="I821" s="19"/>
      <c r="J821" s="19"/>
      <c r="K821" s="19"/>
      <c r="L821" s="19"/>
      <c r="M821" s="19"/>
      <c r="N821" s="19"/>
      <c r="O821" s="19"/>
      <c r="P821" s="20"/>
      <c r="Q821" s="20"/>
      <c r="R821" s="22"/>
      <c r="S821" s="22"/>
      <c r="T821" s="20"/>
      <c r="U821" s="20"/>
      <c r="V821" s="20"/>
      <c r="W821" s="19"/>
      <c r="X821" s="19"/>
      <c r="Y821" s="19"/>
      <c r="Z821" s="23"/>
    </row>
    <row r="822" spans="1:26" ht="15.75" customHeight="1" x14ac:dyDescent="0.2">
      <c r="A822" s="34"/>
      <c r="B822" s="34"/>
      <c r="C822" s="34"/>
      <c r="D822" s="34"/>
      <c r="E822" s="19"/>
      <c r="F822" s="19"/>
      <c r="G822" s="19"/>
      <c r="H822" s="19"/>
      <c r="I822" s="19"/>
      <c r="J822" s="19"/>
      <c r="K822" s="19"/>
      <c r="L822" s="19"/>
      <c r="M822" s="19"/>
      <c r="N822" s="19"/>
      <c r="O822" s="19"/>
      <c r="P822" s="20"/>
      <c r="Q822" s="20"/>
      <c r="R822" s="22"/>
      <c r="S822" s="22"/>
      <c r="T822" s="20"/>
      <c r="U822" s="20"/>
      <c r="V822" s="20"/>
      <c r="W822" s="19"/>
      <c r="X822" s="19"/>
      <c r="Y822" s="19"/>
      <c r="Z822" s="23"/>
    </row>
    <row r="823" spans="1:26" ht="15.75" customHeight="1" x14ac:dyDescent="0.2">
      <c r="A823" s="34"/>
      <c r="B823" s="34"/>
      <c r="C823" s="34"/>
      <c r="D823" s="34"/>
      <c r="E823" s="19"/>
      <c r="F823" s="19"/>
      <c r="G823" s="19"/>
      <c r="H823" s="19"/>
      <c r="I823" s="19"/>
      <c r="J823" s="19"/>
      <c r="K823" s="19"/>
      <c r="L823" s="19"/>
      <c r="M823" s="19"/>
      <c r="N823" s="19"/>
      <c r="O823" s="19"/>
      <c r="P823" s="20"/>
      <c r="Q823" s="20"/>
      <c r="R823" s="22"/>
      <c r="S823" s="22"/>
      <c r="T823" s="20"/>
      <c r="U823" s="20"/>
      <c r="V823" s="20"/>
      <c r="W823" s="19"/>
      <c r="X823" s="19"/>
      <c r="Y823" s="19"/>
      <c r="Z823" s="23"/>
    </row>
    <row r="824" spans="1:26" ht="15.75" customHeight="1" x14ac:dyDescent="0.2">
      <c r="A824" s="34"/>
      <c r="B824" s="34"/>
      <c r="C824" s="34"/>
      <c r="D824" s="34"/>
      <c r="E824" s="19"/>
      <c r="F824" s="19"/>
      <c r="G824" s="19"/>
      <c r="H824" s="19"/>
      <c r="I824" s="19"/>
      <c r="J824" s="19"/>
      <c r="K824" s="19"/>
      <c r="L824" s="19"/>
      <c r="M824" s="19"/>
      <c r="N824" s="19"/>
      <c r="O824" s="19"/>
      <c r="P824" s="20"/>
      <c r="Q824" s="20"/>
      <c r="R824" s="22"/>
      <c r="S824" s="22"/>
      <c r="T824" s="20"/>
      <c r="U824" s="20"/>
      <c r="V824" s="20"/>
      <c r="W824" s="19"/>
      <c r="X824" s="19"/>
      <c r="Y824" s="19"/>
      <c r="Z824" s="23"/>
    </row>
    <row r="825" spans="1:26" ht="15.75" customHeight="1" x14ac:dyDescent="0.2">
      <c r="A825" s="34"/>
      <c r="B825" s="34"/>
      <c r="C825" s="34"/>
      <c r="D825" s="34"/>
      <c r="E825" s="19"/>
      <c r="F825" s="19"/>
      <c r="G825" s="19"/>
      <c r="H825" s="19"/>
      <c r="I825" s="19"/>
      <c r="J825" s="19"/>
      <c r="K825" s="19"/>
      <c r="L825" s="19"/>
      <c r="M825" s="19"/>
      <c r="N825" s="19"/>
      <c r="O825" s="19"/>
      <c r="P825" s="20"/>
      <c r="Q825" s="20"/>
      <c r="R825" s="22"/>
      <c r="S825" s="22"/>
      <c r="T825" s="20"/>
      <c r="U825" s="20"/>
      <c r="V825" s="20"/>
      <c r="W825" s="19"/>
      <c r="X825" s="19"/>
      <c r="Y825" s="19"/>
      <c r="Z825" s="23"/>
    </row>
    <row r="826" spans="1:26" ht="15.75" customHeight="1" x14ac:dyDescent="0.2">
      <c r="A826" s="34"/>
      <c r="B826" s="34"/>
      <c r="C826" s="34"/>
      <c r="D826" s="34"/>
      <c r="E826" s="19"/>
      <c r="F826" s="19"/>
      <c r="G826" s="19"/>
      <c r="H826" s="19"/>
      <c r="I826" s="19"/>
      <c r="J826" s="19"/>
      <c r="K826" s="19"/>
      <c r="L826" s="19"/>
      <c r="M826" s="19"/>
      <c r="N826" s="19"/>
      <c r="O826" s="19"/>
      <c r="P826" s="20"/>
      <c r="Q826" s="20"/>
      <c r="R826" s="22"/>
      <c r="S826" s="22"/>
      <c r="T826" s="20"/>
      <c r="U826" s="20"/>
      <c r="V826" s="20"/>
      <c r="W826" s="19"/>
      <c r="X826" s="19"/>
      <c r="Y826" s="19"/>
      <c r="Z826" s="23"/>
    </row>
    <row r="827" spans="1:26" ht="15.75" customHeight="1" x14ac:dyDescent="0.2">
      <c r="A827" s="34"/>
      <c r="B827" s="34"/>
      <c r="C827" s="34"/>
      <c r="D827" s="34"/>
      <c r="E827" s="19"/>
      <c r="F827" s="19"/>
      <c r="G827" s="19"/>
      <c r="H827" s="19"/>
      <c r="I827" s="19"/>
      <c r="J827" s="19"/>
      <c r="K827" s="19"/>
      <c r="L827" s="19"/>
      <c r="M827" s="19"/>
      <c r="N827" s="19"/>
      <c r="O827" s="19"/>
      <c r="P827" s="20"/>
      <c r="Q827" s="20"/>
      <c r="R827" s="22"/>
      <c r="S827" s="22"/>
      <c r="T827" s="20"/>
      <c r="U827" s="20"/>
      <c r="V827" s="20"/>
      <c r="W827" s="19"/>
      <c r="X827" s="19"/>
      <c r="Y827" s="19"/>
      <c r="Z827" s="23"/>
    </row>
    <row r="828" spans="1:26" ht="15.75" customHeight="1" x14ac:dyDescent="0.2">
      <c r="A828" s="34"/>
      <c r="B828" s="34"/>
      <c r="C828" s="34"/>
      <c r="D828" s="34"/>
      <c r="E828" s="19"/>
      <c r="F828" s="19"/>
      <c r="G828" s="19"/>
      <c r="H828" s="19"/>
      <c r="I828" s="19"/>
      <c r="J828" s="19"/>
      <c r="K828" s="19"/>
      <c r="L828" s="19"/>
      <c r="M828" s="19"/>
      <c r="N828" s="19"/>
      <c r="O828" s="19"/>
      <c r="P828" s="20"/>
      <c r="Q828" s="20"/>
      <c r="R828" s="22"/>
      <c r="S828" s="22"/>
      <c r="T828" s="20"/>
      <c r="U828" s="20"/>
      <c r="V828" s="20"/>
      <c r="W828" s="19"/>
      <c r="X828" s="19"/>
      <c r="Y828" s="19"/>
      <c r="Z828" s="23"/>
    </row>
    <row r="829" spans="1:26" ht="15.75" customHeight="1" x14ac:dyDescent="0.2">
      <c r="A829" s="34"/>
      <c r="B829" s="34"/>
      <c r="C829" s="34"/>
      <c r="D829" s="34"/>
      <c r="E829" s="19"/>
      <c r="F829" s="19"/>
      <c r="G829" s="19"/>
      <c r="H829" s="19"/>
      <c r="I829" s="19"/>
      <c r="J829" s="19"/>
      <c r="K829" s="19"/>
      <c r="L829" s="19"/>
      <c r="M829" s="19"/>
      <c r="N829" s="19"/>
      <c r="O829" s="19"/>
      <c r="P829" s="20"/>
      <c r="Q829" s="20"/>
      <c r="R829" s="22"/>
      <c r="S829" s="22"/>
      <c r="T829" s="20"/>
      <c r="U829" s="20"/>
      <c r="V829" s="20"/>
      <c r="W829" s="19"/>
      <c r="X829" s="19"/>
      <c r="Y829" s="19"/>
      <c r="Z829" s="23"/>
    </row>
    <row r="830" spans="1:26" ht="15.75" customHeight="1" x14ac:dyDescent="0.2">
      <c r="A830" s="34"/>
      <c r="B830" s="34"/>
      <c r="C830" s="34"/>
      <c r="D830" s="34"/>
      <c r="E830" s="19"/>
      <c r="F830" s="19"/>
      <c r="G830" s="19"/>
      <c r="H830" s="19"/>
      <c r="I830" s="19"/>
      <c r="J830" s="19"/>
      <c r="K830" s="19"/>
      <c r="L830" s="19"/>
      <c r="M830" s="19"/>
      <c r="N830" s="19"/>
      <c r="O830" s="19"/>
      <c r="P830" s="20"/>
      <c r="Q830" s="20"/>
      <c r="R830" s="22"/>
      <c r="S830" s="22"/>
      <c r="T830" s="20"/>
      <c r="U830" s="20"/>
      <c r="V830" s="20"/>
      <c r="W830" s="19"/>
      <c r="X830" s="19"/>
      <c r="Y830" s="19"/>
      <c r="Z830" s="23"/>
    </row>
    <row r="831" spans="1:26" ht="15.75" customHeight="1" x14ac:dyDescent="0.2">
      <c r="A831" s="34"/>
      <c r="B831" s="34"/>
      <c r="C831" s="34"/>
      <c r="D831" s="34"/>
      <c r="E831" s="19"/>
      <c r="F831" s="19"/>
      <c r="G831" s="19"/>
      <c r="H831" s="19"/>
      <c r="I831" s="19"/>
      <c r="J831" s="19"/>
      <c r="K831" s="19"/>
      <c r="L831" s="19"/>
      <c r="M831" s="19"/>
      <c r="N831" s="19"/>
      <c r="O831" s="19"/>
      <c r="P831" s="20"/>
      <c r="Q831" s="20"/>
      <c r="R831" s="22"/>
      <c r="S831" s="22"/>
      <c r="T831" s="20"/>
      <c r="U831" s="20"/>
      <c r="V831" s="20"/>
      <c r="W831" s="19"/>
      <c r="X831" s="19"/>
      <c r="Y831" s="19"/>
      <c r="Z831" s="23"/>
    </row>
    <row r="832" spans="1:26" ht="15.75" customHeight="1" x14ac:dyDescent="0.2">
      <c r="A832" s="34"/>
      <c r="B832" s="34"/>
      <c r="C832" s="34"/>
      <c r="D832" s="34"/>
      <c r="E832" s="19"/>
      <c r="F832" s="19"/>
      <c r="G832" s="19"/>
      <c r="H832" s="19"/>
      <c r="I832" s="19"/>
      <c r="J832" s="19"/>
      <c r="K832" s="19"/>
      <c r="L832" s="19"/>
      <c r="M832" s="19"/>
      <c r="N832" s="19"/>
      <c r="O832" s="19"/>
      <c r="P832" s="20"/>
      <c r="Q832" s="20"/>
      <c r="R832" s="22"/>
      <c r="S832" s="22"/>
      <c r="T832" s="20"/>
      <c r="U832" s="20"/>
      <c r="V832" s="20"/>
      <c r="W832" s="19"/>
      <c r="X832" s="19"/>
      <c r="Y832" s="19"/>
      <c r="Z832" s="23"/>
    </row>
    <row r="833" spans="1:26" ht="15.75" customHeight="1" x14ac:dyDescent="0.2">
      <c r="A833" s="34"/>
      <c r="B833" s="34"/>
      <c r="C833" s="34"/>
      <c r="D833" s="34"/>
      <c r="E833" s="19"/>
      <c r="F833" s="19"/>
      <c r="G833" s="19"/>
      <c r="H833" s="19"/>
      <c r="I833" s="19"/>
      <c r="J833" s="19"/>
      <c r="K833" s="19"/>
      <c r="L833" s="19"/>
      <c r="M833" s="19"/>
      <c r="N833" s="19"/>
      <c r="O833" s="19"/>
      <c r="P833" s="20"/>
      <c r="Q833" s="20"/>
      <c r="R833" s="22"/>
      <c r="S833" s="22"/>
      <c r="T833" s="20"/>
      <c r="U833" s="20"/>
      <c r="V833" s="20"/>
      <c r="W833" s="19"/>
      <c r="X833" s="19"/>
      <c r="Y833" s="19"/>
      <c r="Z833" s="23"/>
    </row>
    <row r="834" spans="1:26" ht="15.75" customHeight="1" x14ac:dyDescent="0.2">
      <c r="A834" s="34"/>
      <c r="B834" s="34"/>
      <c r="C834" s="34"/>
      <c r="D834" s="34"/>
      <c r="E834" s="19"/>
      <c r="F834" s="19"/>
      <c r="G834" s="19"/>
      <c r="H834" s="19"/>
      <c r="I834" s="19"/>
      <c r="J834" s="19"/>
      <c r="K834" s="19"/>
      <c r="L834" s="19"/>
      <c r="M834" s="19"/>
      <c r="N834" s="19"/>
      <c r="O834" s="19"/>
      <c r="P834" s="20"/>
      <c r="Q834" s="20"/>
      <c r="R834" s="22"/>
      <c r="S834" s="22"/>
      <c r="T834" s="20"/>
      <c r="U834" s="20"/>
      <c r="V834" s="20"/>
      <c r="W834" s="19"/>
      <c r="X834" s="19"/>
      <c r="Y834" s="19"/>
      <c r="Z834" s="23"/>
    </row>
    <row r="835" spans="1:26" ht="15.75" customHeight="1" x14ac:dyDescent="0.2">
      <c r="A835" s="34"/>
      <c r="B835" s="34"/>
      <c r="C835" s="34"/>
      <c r="D835" s="34"/>
      <c r="E835" s="19"/>
      <c r="F835" s="19"/>
      <c r="G835" s="19"/>
      <c r="H835" s="19"/>
      <c r="I835" s="19"/>
      <c r="J835" s="19"/>
      <c r="K835" s="19"/>
      <c r="L835" s="19"/>
      <c r="M835" s="19"/>
      <c r="N835" s="19"/>
      <c r="O835" s="19"/>
      <c r="P835" s="20"/>
      <c r="Q835" s="20"/>
      <c r="R835" s="22"/>
      <c r="S835" s="22"/>
      <c r="T835" s="20"/>
      <c r="U835" s="20"/>
      <c r="V835" s="20"/>
      <c r="W835" s="19"/>
      <c r="X835" s="19"/>
      <c r="Y835" s="19"/>
      <c r="Z835" s="23"/>
    </row>
    <row r="836" spans="1:26" ht="15.75" customHeight="1" x14ac:dyDescent="0.2">
      <c r="A836" s="34"/>
      <c r="B836" s="34"/>
      <c r="C836" s="34"/>
      <c r="D836" s="34"/>
      <c r="E836" s="19"/>
      <c r="F836" s="19"/>
      <c r="G836" s="19"/>
      <c r="H836" s="19"/>
      <c r="I836" s="19"/>
      <c r="J836" s="19"/>
      <c r="K836" s="19"/>
      <c r="L836" s="19"/>
      <c r="M836" s="19"/>
      <c r="N836" s="19"/>
      <c r="O836" s="19"/>
      <c r="P836" s="20"/>
      <c r="Q836" s="20"/>
      <c r="R836" s="22"/>
      <c r="S836" s="22"/>
      <c r="T836" s="20"/>
      <c r="U836" s="20"/>
      <c r="V836" s="20"/>
      <c r="W836" s="19"/>
      <c r="X836" s="19"/>
      <c r="Y836" s="19"/>
      <c r="Z836" s="23"/>
    </row>
    <row r="837" spans="1:26" ht="15.75" customHeight="1" x14ac:dyDescent="0.2">
      <c r="A837" s="34"/>
      <c r="B837" s="34"/>
      <c r="C837" s="34"/>
      <c r="D837" s="34"/>
      <c r="E837" s="19"/>
      <c r="F837" s="19"/>
      <c r="G837" s="19"/>
      <c r="H837" s="19"/>
      <c r="I837" s="19"/>
      <c r="J837" s="19"/>
      <c r="K837" s="19"/>
      <c r="L837" s="19"/>
      <c r="M837" s="19"/>
      <c r="N837" s="19"/>
      <c r="O837" s="19"/>
      <c r="P837" s="20"/>
      <c r="Q837" s="20"/>
      <c r="R837" s="22"/>
      <c r="S837" s="22"/>
      <c r="T837" s="20"/>
      <c r="U837" s="20"/>
      <c r="V837" s="20"/>
      <c r="W837" s="19"/>
      <c r="X837" s="19"/>
      <c r="Y837" s="19"/>
      <c r="Z837" s="23"/>
    </row>
    <row r="838" spans="1:26" ht="15.75" customHeight="1" x14ac:dyDescent="0.2">
      <c r="A838" s="34"/>
      <c r="B838" s="34"/>
      <c r="C838" s="34"/>
      <c r="D838" s="34"/>
      <c r="E838" s="19"/>
      <c r="F838" s="19"/>
      <c r="G838" s="19"/>
      <c r="H838" s="19"/>
      <c r="I838" s="19"/>
      <c r="J838" s="19"/>
      <c r="K838" s="19"/>
      <c r="L838" s="19"/>
      <c r="M838" s="19"/>
      <c r="N838" s="19"/>
      <c r="O838" s="19"/>
      <c r="P838" s="20"/>
      <c r="Q838" s="20"/>
      <c r="R838" s="22"/>
      <c r="S838" s="22"/>
      <c r="T838" s="20"/>
      <c r="U838" s="20"/>
      <c r="V838" s="20"/>
      <c r="W838" s="19"/>
      <c r="X838" s="19"/>
      <c r="Y838" s="19"/>
      <c r="Z838" s="23"/>
    </row>
    <row r="839" spans="1:26" ht="15.75" customHeight="1" x14ac:dyDescent="0.2">
      <c r="A839" s="34"/>
      <c r="B839" s="34"/>
      <c r="C839" s="34"/>
      <c r="D839" s="34"/>
      <c r="E839" s="19"/>
      <c r="F839" s="19"/>
      <c r="G839" s="19"/>
      <c r="H839" s="19"/>
      <c r="I839" s="19"/>
      <c r="J839" s="19"/>
      <c r="K839" s="19"/>
      <c r="L839" s="19"/>
      <c r="M839" s="19"/>
      <c r="N839" s="19"/>
      <c r="O839" s="19"/>
      <c r="P839" s="20"/>
      <c r="Q839" s="20"/>
      <c r="R839" s="22"/>
      <c r="S839" s="22"/>
      <c r="T839" s="20"/>
      <c r="U839" s="20"/>
      <c r="V839" s="20"/>
      <c r="W839" s="19"/>
      <c r="X839" s="19"/>
      <c r="Y839" s="19"/>
      <c r="Z839" s="23"/>
    </row>
    <row r="840" spans="1:26" ht="15.75" customHeight="1" x14ac:dyDescent="0.2">
      <c r="A840" s="34"/>
      <c r="B840" s="34"/>
      <c r="C840" s="34"/>
      <c r="D840" s="34"/>
      <c r="E840" s="19"/>
      <c r="F840" s="19"/>
      <c r="G840" s="19"/>
      <c r="H840" s="19"/>
      <c r="I840" s="19"/>
      <c r="J840" s="19"/>
      <c r="K840" s="19"/>
      <c r="L840" s="19"/>
      <c r="M840" s="19"/>
      <c r="N840" s="19"/>
      <c r="O840" s="19"/>
      <c r="P840" s="20"/>
      <c r="Q840" s="20"/>
      <c r="R840" s="22"/>
      <c r="S840" s="22"/>
      <c r="T840" s="20"/>
      <c r="U840" s="20"/>
      <c r="V840" s="20"/>
      <c r="W840" s="19"/>
      <c r="X840" s="19"/>
      <c r="Y840" s="19"/>
      <c r="Z840" s="23"/>
    </row>
    <row r="841" spans="1:26" ht="15.75" customHeight="1" x14ac:dyDescent="0.2">
      <c r="A841" s="34"/>
      <c r="B841" s="34"/>
      <c r="C841" s="34"/>
      <c r="D841" s="34"/>
      <c r="E841" s="19"/>
      <c r="F841" s="19"/>
      <c r="G841" s="19"/>
      <c r="H841" s="19"/>
      <c r="I841" s="19"/>
      <c r="J841" s="19"/>
      <c r="K841" s="19"/>
      <c r="L841" s="19"/>
      <c r="M841" s="19"/>
      <c r="N841" s="19"/>
      <c r="O841" s="19"/>
      <c r="P841" s="20"/>
      <c r="Q841" s="20"/>
      <c r="R841" s="22"/>
      <c r="S841" s="22"/>
      <c r="T841" s="20"/>
      <c r="U841" s="20"/>
      <c r="V841" s="20"/>
      <c r="W841" s="19"/>
      <c r="X841" s="19"/>
      <c r="Y841" s="19"/>
      <c r="Z841" s="23"/>
    </row>
    <row r="842" spans="1:26" ht="15.75" customHeight="1" x14ac:dyDescent="0.2">
      <c r="A842" s="34"/>
      <c r="B842" s="34"/>
      <c r="C842" s="34"/>
      <c r="D842" s="34"/>
      <c r="E842" s="19"/>
      <c r="F842" s="19"/>
      <c r="G842" s="19"/>
      <c r="H842" s="19"/>
      <c r="I842" s="19"/>
      <c r="J842" s="19"/>
      <c r="K842" s="19"/>
      <c r="L842" s="19"/>
      <c r="M842" s="19"/>
      <c r="N842" s="19"/>
      <c r="O842" s="19"/>
      <c r="P842" s="20"/>
      <c r="Q842" s="20"/>
      <c r="R842" s="22"/>
      <c r="S842" s="22"/>
      <c r="T842" s="20"/>
      <c r="U842" s="20"/>
      <c r="V842" s="20"/>
      <c r="W842" s="19"/>
      <c r="X842" s="19"/>
      <c r="Y842" s="19"/>
      <c r="Z842" s="23"/>
    </row>
    <row r="843" spans="1:26" ht="15.75" customHeight="1" x14ac:dyDescent="0.2">
      <c r="A843" s="34"/>
      <c r="B843" s="34"/>
      <c r="C843" s="34"/>
      <c r="D843" s="34"/>
      <c r="E843" s="19"/>
      <c r="F843" s="19"/>
      <c r="G843" s="19"/>
      <c r="H843" s="19"/>
      <c r="I843" s="19"/>
      <c r="J843" s="19"/>
      <c r="K843" s="19"/>
      <c r="L843" s="19"/>
      <c r="M843" s="19"/>
      <c r="N843" s="19"/>
      <c r="O843" s="19"/>
      <c r="P843" s="20"/>
      <c r="Q843" s="20"/>
      <c r="R843" s="22"/>
      <c r="S843" s="22"/>
      <c r="T843" s="20"/>
      <c r="U843" s="20"/>
      <c r="V843" s="20"/>
      <c r="W843" s="19"/>
      <c r="X843" s="19"/>
      <c r="Y843" s="19"/>
      <c r="Z843" s="23"/>
    </row>
    <row r="844" spans="1:26" ht="15.75" customHeight="1" x14ac:dyDescent="0.2">
      <c r="A844" s="34"/>
      <c r="B844" s="34"/>
      <c r="C844" s="34"/>
      <c r="D844" s="34"/>
      <c r="E844" s="19"/>
      <c r="F844" s="19"/>
      <c r="G844" s="19"/>
      <c r="H844" s="19"/>
      <c r="I844" s="19"/>
      <c r="J844" s="19"/>
      <c r="K844" s="19"/>
      <c r="L844" s="19"/>
      <c r="M844" s="19"/>
      <c r="N844" s="19"/>
      <c r="O844" s="19"/>
      <c r="P844" s="20"/>
      <c r="Q844" s="20"/>
      <c r="R844" s="22"/>
      <c r="S844" s="22"/>
      <c r="T844" s="20"/>
      <c r="U844" s="20"/>
      <c r="V844" s="20"/>
      <c r="W844" s="19"/>
      <c r="X844" s="19"/>
      <c r="Y844" s="19"/>
      <c r="Z844" s="23"/>
    </row>
    <row r="845" spans="1:26" ht="15.75" customHeight="1" x14ac:dyDescent="0.2">
      <c r="A845" s="34"/>
      <c r="B845" s="34"/>
      <c r="C845" s="34"/>
      <c r="D845" s="34"/>
      <c r="E845" s="19"/>
      <c r="F845" s="19"/>
      <c r="G845" s="19"/>
      <c r="H845" s="19"/>
      <c r="I845" s="19"/>
      <c r="J845" s="19"/>
      <c r="K845" s="19"/>
      <c r="L845" s="19"/>
      <c r="M845" s="19"/>
      <c r="N845" s="19"/>
      <c r="O845" s="19"/>
      <c r="P845" s="20"/>
      <c r="Q845" s="20"/>
      <c r="R845" s="22"/>
      <c r="S845" s="22"/>
      <c r="T845" s="20"/>
      <c r="U845" s="20"/>
      <c r="V845" s="20"/>
      <c r="W845" s="19"/>
      <c r="X845" s="19"/>
      <c r="Y845" s="19"/>
      <c r="Z845" s="23"/>
    </row>
    <row r="846" spans="1:26" ht="15.75" customHeight="1" x14ac:dyDescent="0.2">
      <c r="A846" s="34"/>
      <c r="B846" s="34"/>
      <c r="C846" s="34"/>
      <c r="D846" s="34"/>
      <c r="E846" s="19"/>
      <c r="F846" s="19"/>
      <c r="G846" s="19"/>
      <c r="H846" s="19"/>
      <c r="I846" s="19"/>
      <c r="J846" s="19"/>
      <c r="K846" s="19"/>
      <c r="L846" s="19"/>
      <c r="M846" s="19"/>
      <c r="N846" s="19"/>
      <c r="O846" s="19"/>
      <c r="P846" s="20"/>
      <c r="Q846" s="20"/>
      <c r="R846" s="22"/>
      <c r="S846" s="22"/>
      <c r="T846" s="20"/>
      <c r="U846" s="20"/>
      <c r="V846" s="20"/>
      <c r="W846" s="19"/>
      <c r="X846" s="19"/>
      <c r="Y846" s="19"/>
      <c r="Z846" s="23"/>
    </row>
    <row r="847" spans="1:26" ht="15.75" customHeight="1" x14ac:dyDescent="0.2">
      <c r="A847" s="34"/>
      <c r="B847" s="34"/>
      <c r="C847" s="34"/>
      <c r="D847" s="34"/>
      <c r="E847" s="19"/>
      <c r="F847" s="19"/>
      <c r="G847" s="19"/>
      <c r="H847" s="19"/>
      <c r="I847" s="19"/>
      <c r="J847" s="19"/>
      <c r="K847" s="19"/>
      <c r="L847" s="19"/>
      <c r="M847" s="19"/>
      <c r="N847" s="19"/>
      <c r="O847" s="19"/>
      <c r="P847" s="20"/>
      <c r="Q847" s="20"/>
      <c r="R847" s="22"/>
      <c r="S847" s="22"/>
      <c r="T847" s="20"/>
      <c r="U847" s="20"/>
      <c r="V847" s="20"/>
      <c r="W847" s="19"/>
      <c r="X847" s="19"/>
      <c r="Y847" s="19"/>
      <c r="Z847" s="23"/>
    </row>
    <row r="848" spans="1:26" ht="15.75" customHeight="1" x14ac:dyDescent="0.2">
      <c r="A848" s="34"/>
      <c r="B848" s="34"/>
      <c r="C848" s="34"/>
      <c r="D848" s="34"/>
      <c r="E848" s="19"/>
      <c r="F848" s="19"/>
      <c r="G848" s="19"/>
      <c r="H848" s="19"/>
      <c r="I848" s="19"/>
      <c r="J848" s="19"/>
      <c r="K848" s="19"/>
      <c r="L848" s="19"/>
      <c r="M848" s="19"/>
      <c r="N848" s="19"/>
      <c r="O848" s="19"/>
      <c r="P848" s="20"/>
      <c r="Q848" s="20"/>
      <c r="R848" s="22"/>
      <c r="S848" s="22"/>
      <c r="T848" s="20"/>
      <c r="U848" s="20"/>
      <c r="V848" s="20"/>
      <c r="W848" s="19"/>
      <c r="X848" s="19"/>
      <c r="Y848" s="19"/>
      <c r="Z848" s="23"/>
    </row>
    <row r="849" spans="1:26" ht="15.75" customHeight="1" x14ac:dyDescent="0.2">
      <c r="A849" s="34"/>
      <c r="B849" s="34"/>
      <c r="C849" s="34"/>
      <c r="D849" s="34"/>
      <c r="E849" s="19"/>
      <c r="F849" s="19"/>
      <c r="G849" s="19"/>
      <c r="H849" s="19"/>
      <c r="I849" s="19"/>
      <c r="J849" s="19"/>
      <c r="K849" s="19"/>
      <c r="L849" s="19"/>
      <c r="M849" s="19"/>
      <c r="N849" s="19"/>
      <c r="O849" s="19"/>
      <c r="P849" s="20"/>
      <c r="Q849" s="20"/>
      <c r="R849" s="22"/>
      <c r="S849" s="22"/>
      <c r="T849" s="20"/>
      <c r="U849" s="20"/>
      <c r="V849" s="20"/>
      <c r="W849" s="19"/>
      <c r="X849" s="19"/>
      <c r="Y849" s="19"/>
      <c r="Z849" s="23"/>
    </row>
    <row r="850" spans="1:26" ht="15.75" customHeight="1" x14ac:dyDescent="0.2">
      <c r="A850" s="34"/>
      <c r="B850" s="34"/>
      <c r="C850" s="34"/>
      <c r="D850" s="34"/>
      <c r="E850" s="19"/>
      <c r="F850" s="19"/>
      <c r="G850" s="19"/>
      <c r="H850" s="19"/>
      <c r="I850" s="19"/>
      <c r="J850" s="19"/>
      <c r="K850" s="19"/>
      <c r="L850" s="19"/>
      <c r="M850" s="19"/>
      <c r="N850" s="19"/>
      <c r="O850" s="19"/>
      <c r="P850" s="20"/>
      <c r="Q850" s="20"/>
      <c r="R850" s="22"/>
      <c r="S850" s="22"/>
      <c r="T850" s="20"/>
      <c r="U850" s="20"/>
      <c r="V850" s="20"/>
      <c r="W850" s="19"/>
      <c r="X850" s="19"/>
      <c r="Y850" s="19"/>
      <c r="Z850" s="23"/>
    </row>
    <row r="851" spans="1:26" ht="15.75" customHeight="1" x14ac:dyDescent="0.2">
      <c r="A851" s="34"/>
      <c r="B851" s="34"/>
      <c r="C851" s="34"/>
      <c r="D851" s="34"/>
      <c r="E851" s="19"/>
      <c r="F851" s="19"/>
      <c r="G851" s="19"/>
      <c r="H851" s="19"/>
      <c r="I851" s="19"/>
      <c r="J851" s="19"/>
      <c r="K851" s="19"/>
      <c r="L851" s="19"/>
      <c r="M851" s="19"/>
      <c r="N851" s="19"/>
      <c r="O851" s="19"/>
      <c r="P851" s="20"/>
      <c r="Q851" s="20"/>
      <c r="R851" s="22"/>
      <c r="S851" s="22"/>
      <c r="T851" s="20"/>
      <c r="U851" s="20"/>
      <c r="V851" s="20"/>
      <c r="W851" s="19"/>
      <c r="X851" s="19"/>
      <c r="Y851" s="19"/>
      <c r="Z851" s="23"/>
    </row>
    <row r="852" spans="1:26" ht="15.75" customHeight="1" x14ac:dyDescent="0.2">
      <c r="A852" s="34"/>
      <c r="B852" s="34"/>
      <c r="C852" s="34"/>
      <c r="D852" s="34"/>
      <c r="E852" s="19"/>
      <c r="F852" s="19"/>
      <c r="G852" s="19"/>
      <c r="H852" s="19"/>
      <c r="I852" s="19"/>
      <c r="J852" s="19"/>
      <c r="K852" s="19"/>
      <c r="L852" s="19"/>
      <c r="M852" s="19"/>
      <c r="N852" s="19"/>
      <c r="O852" s="19"/>
      <c r="P852" s="20"/>
      <c r="Q852" s="20"/>
      <c r="R852" s="22"/>
      <c r="S852" s="22"/>
      <c r="T852" s="20"/>
      <c r="U852" s="20"/>
      <c r="V852" s="20"/>
      <c r="W852" s="19"/>
      <c r="X852" s="19"/>
      <c r="Y852" s="19"/>
      <c r="Z852" s="23"/>
    </row>
    <row r="853" spans="1:26" ht="15.75" customHeight="1" x14ac:dyDescent="0.2">
      <c r="A853" s="34"/>
      <c r="B853" s="34"/>
      <c r="C853" s="34"/>
      <c r="D853" s="34"/>
      <c r="E853" s="19"/>
      <c r="F853" s="19"/>
      <c r="G853" s="19"/>
      <c r="H853" s="19"/>
      <c r="I853" s="19"/>
      <c r="J853" s="19"/>
      <c r="K853" s="19"/>
      <c r="L853" s="19"/>
      <c r="M853" s="19"/>
      <c r="N853" s="19"/>
      <c r="O853" s="19"/>
      <c r="P853" s="20"/>
      <c r="Q853" s="20"/>
      <c r="R853" s="22"/>
      <c r="S853" s="22"/>
      <c r="T853" s="20"/>
      <c r="U853" s="20"/>
      <c r="V853" s="20"/>
      <c r="W853" s="19"/>
      <c r="X853" s="19"/>
      <c r="Y853" s="19"/>
      <c r="Z853" s="23"/>
    </row>
    <row r="854" spans="1:26" ht="15.75" customHeight="1" x14ac:dyDescent="0.2">
      <c r="A854" s="34"/>
      <c r="B854" s="34"/>
      <c r="C854" s="34"/>
      <c r="D854" s="34"/>
      <c r="E854" s="19"/>
      <c r="F854" s="19"/>
      <c r="G854" s="19"/>
      <c r="H854" s="19"/>
      <c r="I854" s="19"/>
      <c r="J854" s="19"/>
      <c r="K854" s="19"/>
      <c r="L854" s="19"/>
      <c r="M854" s="19"/>
      <c r="N854" s="19"/>
      <c r="O854" s="19"/>
      <c r="P854" s="20"/>
      <c r="Q854" s="20"/>
      <c r="R854" s="22"/>
      <c r="S854" s="22"/>
      <c r="T854" s="20"/>
      <c r="U854" s="20"/>
      <c r="V854" s="20"/>
      <c r="W854" s="19"/>
      <c r="X854" s="19"/>
      <c r="Y854" s="19"/>
      <c r="Z854" s="23"/>
    </row>
    <row r="855" spans="1:26" ht="15.75" customHeight="1" x14ac:dyDescent="0.2">
      <c r="A855" s="34"/>
      <c r="B855" s="34"/>
      <c r="C855" s="34"/>
      <c r="D855" s="34"/>
      <c r="E855" s="19"/>
      <c r="F855" s="19"/>
      <c r="G855" s="19"/>
      <c r="H855" s="19"/>
      <c r="I855" s="19"/>
      <c r="J855" s="19"/>
      <c r="K855" s="19"/>
      <c r="L855" s="19"/>
      <c r="M855" s="19"/>
      <c r="N855" s="19"/>
      <c r="O855" s="19"/>
      <c r="P855" s="20"/>
      <c r="Q855" s="20"/>
      <c r="R855" s="22"/>
      <c r="S855" s="22"/>
      <c r="T855" s="20"/>
      <c r="U855" s="20"/>
      <c r="V855" s="20"/>
      <c r="W855" s="19"/>
      <c r="X855" s="19"/>
      <c r="Y855" s="19"/>
      <c r="Z855" s="23"/>
    </row>
    <row r="856" spans="1:26" ht="15.75" customHeight="1" x14ac:dyDescent="0.2">
      <c r="A856" s="34"/>
      <c r="B856" s="34"/>
      <c r="C856" s="34"/>
      <c r="D856" s="34"/>
      <c r="E856" s="19"/>
      <c r="F856" s="19"/>
      <c r="G856" s="19"/>
      <c r="H856" s="19"/>
      <c r="I856" s="19"/>
      <c r="J856" s="19"/>
      <c r="K856" s="19"/>
      <c r="L856" s="19"/>
      <c r="M856" s="19"/>
      <c r="N856" s="19"/>
      <c r="O856" s="19"/>
      <c r="P856" s="20"/>
      <c r="Q856" s="20"/>
      <c r="R856" s="22"/>
      <c r="S856" s="22"/>
      <c r="T856" s="20"/>
      <c r="U856" s="20"/>
      <c r="V856" s="20"/>
      <c r="W856" s="19"/>
      <c r="X856" s="19"/>
      <c r="Y856" s="19"/>
      <c r="Z856" s="23"/>
    </row>
    <row r="857" spans="1:26" ht="15.75" customHeight="1" x14ac:dyDescent="0.2">
      <c r="A857" s="34"/>
      <c r="B857" s="34"/>
      <c r="C857" s="34"/>
      <c r="D857" s="34"/>
      <c r="E857" s="19"/>
      <c r="F857" s="19"/>
      <c r="G857" s="19"/>
      <c r="H857" s="19"/>
      <c r="I857" s="19"/>
      <c r="J857" s="19"/>
      <c r="K857" s="19"/>
      <c r="L857" s="19"/>
      <c r="M857" s="19"/>
      <c r="N857" s="19"/>
      <c r="O857" s="19"/>
      <c r="P857" s="20"/>
      <c r="Q857" s="20"/>
      <c r="R857" s="22"/>
      <c r="S857" s="22"/>
      <c r="T857" s="20"/>
      <c r="U857" s="20"/>
      <c r="V857" s="20"/>
      <c r="W857" s="19"/>
      <c r="X857" s="19"/>
      <c r="Y857" s="19"/>
      <c r="Z857" s="23"/>
    </row>
    <row r="858" spans="1:26" ht="15.75" customHeight="1" x14ac:dyDescent="0.2">
      <c r="A858" s="34"/>
      <c r="B858" s="34"/>
      <c r="C858" s="34"/>
      <c r="D858" s="34"/>
      <c r="E858" s="19"/>
      <c r="F858" s="19"/>
      <c r="G858" s="19"/>
      <c r="H858" s="19"/>
      <c r="I858" s="19"/>
      <c r="J858" s="19"/>
      <c r="K858" s="19"/>
      <c r="L858" s="19"/>
      <c r="M858" s="19"/>
      <c r="N858" s="19"/>
      <c r="O858" s="19"/>
      <c r="P858" s="20"/>
      <c r="Q858" s="20"/>
      <c r="R858" s="22"/>
      <c r="S858" s="22"/>
      <c r="T858" s="20"/>
      <c r="U858" s="20"/>
      <c r="V858" s="20"/>
      <c r="W858" s="19"/>
      <c r="X858" s="19"/>
      <c r="Y858" s="19"/>
      <c r="Z858" s="23"/>
    </row>
    <row r="859" spans="1:26" ht="15.75" customHeight="1" x14ac:dyDescent="0.2">
      <c r="A859" s="34"/>
      <c r="B859" s="34"/>
      <c r="C859" s="34"/>
      <c r="D859" s="34"/>
      <c r="E859" s="19"/>
      <c r="F859" s="19"/>
      <c r="G859" s="19"/>
      <c r="H859" s="19"/>
      <c r="I859" s="19"/>
      <c r="J859" s="19"/>
      <c r="K859" s="19"/>
      <c r="L859" s="19"/>
      <c r="M859" s="19"/>
      <c r="N859" s="19"/>
      <c r="O859" s="19"/>
      <c r="P859" s="20"/>
      <c r="Q859" s="20"/>
      <c r="R859" s="22"/>
      <c r="S859" s="22"/>
      <c r="T859" s="20"/>
      <c r="U859" s="20"/>
      <c r="V859" s="20"/>
      <c r="W859" s="19"/>
      <c r="X859" s="19"/>
      <c r="Y859" s="19"/>
      <c r="Z859" s="23"/>
    </row>
    <row r="860" spans="1:26" ht="15.75" customHeight="1" x14ac:dyDescent="0.2">
      <c r="A860" s="34"/>
      <c r="B860" s="34"/>
      <c r="C860" s="34"/>
      <c r="D860" s="34"/>
      <c r="E860" s="19"/>
      <c r="F860" s="19"/>
      <c r="G860" s="19"/>
      <c r="H860" s="19"/>
      <c r="I860" s="19"/>
      <c r="J860" s="19"/>
      <c r="K860" s="19"/>
      <c r="L860" s="19"/>
      <c r="M860" s="19"/>
      <c r="N860" s="19"/>
      <c r="O860" s="19"/>
      <c r="P860" s="20"/>
      <c r="Q860" s="20"/>
      <c r="R860" s="22"/>
      <c r="S860" s="22"/>
      <c r="T860" s="20"/>
      <c r="U860" s="20"/>
      <c r="V860" s="20"/>
      <c r="W860" s="19"/>
      <c r="X860" s="19"/>
      <c r="Y860" s="19"/>
      <c r="Z860" s="23"/>
    </row>
    <row r="861" spans="1:26" ht="15.75" customHeight="1" x14ac:dyDescent="0.2">
      <c r="A861" s="34"/>
      <c r="B861" s="34"/>
      <c r="C861" s="34"/>
      <c r="D861" s="34"/>
      <c r="E861" s="19"/>
      <c r="F861" s="19"/>
      <c r="G861" s="19"/>
      <c r="H861" s="19"/>
      <c r="I861" s="19"/>
      <c r="J861" s="19"/>
      <c r="K861" s="19"/>
      <c r="L861" s="19"/>
      <c r="M861" s="19"/>
      <c r="N861" s="19"/>
      <c r="O861" s="19"/>
      <c r="P861" s="20"/>
      <c r="Q861" s="20"/>
      <c r="R861" s="22"/>
      <c r="S861" s="22"/>
      <c r="T861" s="20"/>
      <c r="U861" s="20"/>
      <c r="V861" s="20"/>
      <c r="W861" s="19"/>
      <c r="X861" s="19"/>
      <c r="Y861" s="19"/>
      <c r="Z861" s="23"/>
    </row>
    <row r="862" spans="1:26" ht="15.75" customHeight="1" x14ac:dyDescent="0.2">
      <c r="A862" s="34"/>
      <c r="B862" s="34"/>
      <c r="C862" s="34"/>
      <c r="D862" s="34"/>
      <c r="E862" s="19"/>
      <c r="F862" s="19"/>
      <c r="G862" s="19"/>
      <c r="H862" s="19"/>
      <c r="I862" s="19"/>
      <c r="J862" s="19"/>
      <c r="K862" s="19"/>
      <c r="L862" s="19"/>
      <c r="M862" s="19"/>
      <c r="N862" s="19"/>
      <c r="O862" s="19"/>
      <c r="P862" s="20"/>
      <c r="Q862" s="20"/>
      <c r="R862" s="22"/>
      <c r="S862" s="22"/>
      <c r="T862" s="20"/>
      <c r="U862" s="20"/>
      <c r="V862" s="20"/>
      <c r="W862" s="19"/>
      <c r="X862" s="19"/>
      <c r="Y862" s="19"/>
      <c r="Z862" s="23"/>
    </row>
    <row r="863" spans="1:26" ht="15.75" customHeight="1" x14ac:dyDescent="0.2">
      <c r="A863" s="34"/>
      <c r="B863" s="34"/>
      <c r="C863" s="34"/>
      <c r="D863" s="34"/>
      <c r="E863" s="19"/>
      <c r="F863" s="19"/>
      <c r="G863" s="19"/>
      <c r="H863" s="19"/>
      <c r="I863" s="19"/>
      <c r="J863" s="19"/>
      <c r="K863" s="19"/>
      <c r="L863" s="19"/>
      <c r="M863" s="19"/>
      <c r="N863" s="19"/>
      <c r="O863" s="19"/>
      <c r="P863" s="20"/>
      <c r="Q863" s="20"/>
      <c r="R863" s="22"/>
      <c r="S863" s="22"/>
      <c r="T863" s="20"/>
      <c r="U863" s="20"/>
      <c r="V863" s="20"/>
      <c r="W863" s="19"/>
      <c r="X863" s="19"/>
      <c r="Y863" s="19"/>
      <c r="Z863" s="23"/>
    </row>
    <row r="864" spans="1:26" ht="15.75" customHeight="1" x14ac:dyDescent="0.2">
      <c r="A864" s="34"/>
      <c r="B864" s="34"/>
      <c r="C864" s="34"/>
      <c r="D864" s="34"/>
      <c r="E864" s="19"/>
      <c r="F864" s="19"/>
      <c r="G864" s="19"/>
      <c r="H864" s="19"/>
      <c r="I864" s="19"/>
      <c r="J864" s="19"/>
      <c r="K864" s="19"/>
      <c r="L864" s="19"/>
      <c r="M864" s="19"/>
      <c r="N864" s="19"/>
      <c r="O864" s="19"/>
      <c r="P864" s="20"/>
      <c r="Q864" s="20"/>
      <c r="R864" s="22"/>
      <c r="S864" s="22"/>
      <c r="T864" s="20"/>
      <c r="U864" s="20"/>
      <c r="V864" s="20"/>
      <c r="W864" s="19"/>
      <c r="X864" s="19"/>
      <c r="Y864" s="19"/>
      <c r="Z864" s="23"/>
    </row>
    <row r="865" spans="1:26" ht="15.75" customHeight="1" x14ac:dyDescent="0.2">
      <c r="A865" s="34"/>
      <c r="B865" s="34"/>
      <c r="C865" s="34"/>
      <c r="D865" s="34"/>
      <c r="E865" s="19"/>
      <c r="F865" s="19"/>
      <c r="G865" s="19"/>
      <c r="H865" s="19"/>
      <c r="I865" s="19"/>
      <c r="J865" s="19"/>
      <c r="K865" s="19"/>
      <c r="L865" s="19"/>
      <c r="M865" s="19"/>
      <c r="N865" s="19"/>
      <c r="O865" s="19"/>
      <c r="P865" s="20"/>
      <c r="Q865" s="20"/>
      <c r="R865" s="22"/>
      <c r="S865" s="22"/>
      <c r="T865" s="20"/>
      <c r="U865" s="20"/>
      <c r="V865" s="20"/>
      <c r="W865" s="19"/>
      <c r="X865" s="19"/>
      <c r="Y865" s="19"/>
      <c r="Z865" s="23"/>
    </row>
    <row r="866" spans="1:26" ht="15.75" customHeight="1" x14ac:dyDescent="0.2">
      <c r="A866" s="34"/>
      <c r="B866" s="34"/>
      <c r="C866" s="34"/>
      <c r="D866" s="34"/>
      <c r="E866" s="19"/>
      <c r="F866" s="19"/>
      <c r="G866" s="19"/>
      <c r="H866" s="19"/>
      <c r="I866" s="19"/>
      <c r="J866" s="19"/>
      <c r="K866" s="19"/>
      <c r="L866" s="19"/>
      <c r="M866" s="19"/>
      <c r="N866" s="19"/>
      <c r="O866" s="19"/>
      <c r="P866" s="20"/>
      <c r="Q866" s="20"/>
      <c r="R866" s="22"/>
      <c r="S866" s="22"/>
      <c r="T866" s="20"/>
      <c r="U866" s="20"/>
      <c r="V866" s="20"/>
      <c r="W866" s="19"/>
      <c r="X866" s="19"/>
      <c r="Y866" s="19"/>
      <c r="Z866" s="23"/>
    </row>
    <row r="867" spans="1:26" ht="15.75" customHeight="1" x14ac:dyDescent="0.2">
      <c r="A867" s="34"/>
      <c r="B867" s="34"/>
      <c r="C867" s="34"/>
      <c r="D867" s="34"/>
      <c r="E867" s="19"/>
      <c r="F867" s="19"/>
      <c r="G867" s="19"/>
      <c r="H867" s="19"/>
      <c r="I867" s="19"/>
      <c r="J867" s="19"/>
      <c r="K867" s="19"/>
      <c r="L867" s="19"/>
      <c r="M867" s="19"/>
      <c r="N867" s="19"/>
      <c r="O867" s="19"/>
      <c r="P867" s="20"/>
      <c r="Q867" s="20"/>
      <c r="R867" s="22"/>
      <c r="S867" s="22"/>
      <c r="T867" s="20"/>
      <c r="U867" s="20"/>
      <c r="V867" s="20"/>
      <c r="W867" s="19"/>
      <c r="X867" s="19"/>
      <c r="Y867" s="19"/>
      <c r="Z867" s="23"/>
    </row>
    <row r="868" spans="1:26" ht="15.75" customHeight="1" x14ac:dyDescent="0.2">
      <c r="A868" s="34"/>
      <c r="B868" s="34"/>
      <c r="C868" s="34"/>
      <c r="D868" s="34"/>
      <c r="E868" s="19"/>
      <c r="F868" s="19"/>
      <c r="G868" s="19"/>
      <c r="H868" s="19"/>
      <c r="I868" s="19"/>
      <c r="J868" s="19"/>
      <c r="K868" s="19"/>
      <c r="L868" s="19"/>
      <c r="M868" s="19"/>
      <c r="N868" s="19"/>
      <c r="O868" s="19"/>
      <c r="P868" s="20"/>
      <c r="Q868" s="20"/>
      <c r="R868" s="22"/>
      <c r="S868" s="22"/>
      <c r="T868" s="20"/>
      <c r="U868" s="20"/>
      <c r="V868" s="20"/>
      <c r="W868" s="19"/>
      <c r="X868" s="19"/>
      <c r="Y868" s="19"/>
      <c r="Z868" s="23"/>
    </row>
    <row r="869" spans="1:26" ht="15.75" customHeight="1" x14ac:dyDescent="0.2">
      <c r="A869" s="34"/>
      <c r="B869" s="34"/>
      <c r="C869" s="34"/>
      <c r="D869" s="34"/>
      <c r="E869" s="19"/>
      <c r="F869" s="19"/>
      <c r="G869" s="19"/>
      <c r="H869" s="19"/>
      <c r="I869" s="19"/>
      <c r="J869" s="19"/>
      <c r="K869" s="19"/>
      <c r="L869" s="19"/>
      <c r="M869" s="19"/>
      <c r="N869" s="19"/>
      <c r="O869" s="19"/>
      <c r="P869" s="20"/>
      <c r="Q869" s="20"/>
      <c r="R869" s="22"/>
      <c r="S869" s="22"/>
      <c r="T869" s="20"/>
      <c r="U869" s="20"/>
      <c r="V869" s="20"/>
      <c r="W869" s="19"/>
      <c r="X869" s="19"/>
      <c r="Y869" s="19"/>
      <c r="Z869" s="23"/>
    </row>
    <row r="870" spans="1:26" ht="15.75" customHeight="1" x14ac:dyDescent="0.2">
      <c r="A870" s="34"/>
      <c r="B870" s="34"/>
      <c r="C870" s="34"/>
      <c r="D870" s="34"/>
      <c r="E870" s="19"/>
      <c r="F870" s="19"/>
      <c r="G870" s="19"/>
      <c r="H870" s="19"/>
      <c r="I870" s="19"/>
      <c r="J870" s="19"/>
      <c r="K870" s="19"/>
      <c r="L870" s="19"/>
      <c r="M870" s="19"/>
      <c r="N870" s="19"/>
      <c r="O870" s="19"/>
      <c r="P870" s="20"/>
      <c r="Q870" s="20"/>
      <c r="R870" s="22"/>
      <c r="S870" s="22"/>
      <c r="T870" s="20"/>
      <c r="U870" s="20"/>
      <c r="V870" s="20"/>
      <c r="W870" s="19"/>
      <c r="X870" s="19"/>
      <c r="Y870" s="19"/>
      <c r="Z870" s="23"/>
    </row>
    <row r="871" spans="1:26" ht="15.75" customHeight="1" x14ac:dyDescent="0.2">
      <c r="A871" s="34"/>
      <c r="B871" s="34"/>
      <c r="C871" s="34"/>
      <c r="D871" s="34"/>
      <c r="E871" s="19"/>
      <c r="F871" s="19"/>
      <c r="G871" s="19"/>
      <c r="H871" s="19"/>
      <c r="I871" s="19"/>
      <c r="J871" s="19"/>
      <c r="K871" s="19"/>
      <c r="L871" s="19"/>
      <c r="M871" s="19"/>
      <c r="N871" s="19"/>
      <c r="O871" s="19"/>
      <c r="P871" s="20"/>
      <c r="Q871" s="20"/>
      <c r="R871" s="22"/>
      <c r="S871" s="22"/>
      <c r="T871" s="20"/>
      <c r="U871" s="20"/>
      <c r="V871" s="20"/>
      <c r="W871" s="19"/>
      <c r="X871" s="19"/>
      <c r="Y871" s="19"/>
      <c r="Z871" s="23"/>
    </row>
    <row r="872" spans="1:26" ht="15.75" customHeight="1" x14ac:dyDescent="0.2">
      <c r="A872" s="34"/>
      <c r="B872" s="34"/>
      <c r="C872" s="34"/>
      <c r="D872" s="34"/>
      <c r="E872" s="19"/>
      <c r="F872" s="19"/>
      <c r="G872" s="19"/>
      <c r="H872" s="19"/>
      <c r="I872" s="19"/>
      <c r="J872" s="19"/>
      <c r="K872" s="19"/>
      <c r="L872" s="19"/>
      <c r="M872" s="19"/>
      <c r="N872" s="19"/>
      <c r="O872" s="19"/>
      <c r="P872" s="20"/>
      <c r="Q872" s="20"/>
      <c r="R872" s="22"/>
      <c r="S872" s="22"/>
      <c r="T872" s="20"/>
      <c r="U872" s="20"/>
      <c r="V872" s="20"/>
      <c r="W872" s="19"/>
      <c r="X872" s="19"/>
      <c r="Y872" s="19"/>
      <c r="Z872" s="23"/>
    </row>
    <row r="873" spans="1:26" ht="15.75" customHeight="1" x14ac:dyDescent="0.2">
      <c r="A873" s="34"/>
      <c r="B873" s="34"/>
      <c r="C873" s="34"/>
      <c r="D873" s="34"/>
      <c r="E873" s="19"/>
      <c r="F873" s="19"/>
      <c r="G873" s="19"/>
      <c r="H873" s="19"/>
      <c r="I873" s="19"/>
      <c r="J873" s="19"/>
      <c r="K873" s="19"/>
      <c r="L873" s="19"/>
      <c r="M873" s="19"/>
      <c r="N873" s="19"/>
      <c r="O873" s="19"/>
      <c r="P873" s="20"/>
      <c r="Q873" s="20"/>
      <c r="R873" s="22"/>
      <c r="S873" s="22"/>
      <c r="T873" s="20"/>
      <c r="U873" s="20"/>
      <c r="V873" s="20"/>
      <c r="W873" s="19"/>
      <c r="X873" s="19"/>
      <c r="Y873" s="19"/>
      <c r="Z873" s="23"/>
    </row>
    <row r="874" spans="1:26" ht="15.75" customHeight="1" x14ac:dyDescent="0.2">
      <c r="A874" s="34"/>
      <c r="B874" s="34"/>
      <c r="C874" s="34"/>
      <c r="D874" s="34"/>
      <c r="E874" s="19"/>
      <c r="F874" s="19"/>
      <c r="G874" s="19"/>
      <c r="H874" s="19"/>
      <c r="I874" s="19"/>
      <c r="J874" s="19"/>
      <c r="K874" s="19"/>
      <c r="L874" s="19"/>
      <c r="M874" s="19"/>
      <c r="N874" s="19"/>
      <c r="O874" s="19"/>
      <c r="P874" s="20"/>
      <c r="Q874" s="20"/>
      <c r="R874" s="22"/>
      <c r="S874" s="22"/>
      <c r="T874" s="20"/>
      <c r="U874" s="20"/>
      <c r="V874" s="20"/>
      <c r="W874" s="19"/>
      <c r="X874" s="19"/>
      <c r="Y874" s="19"/>
      <c r="Z874" s="23"/>
    </row>
    <row r="875" spans="1:26" ht="15.75" customHeight="1" x14ac:dyDescent="0.2">
      <c r="A875" s="34"/>
      <c r="B875" s="34"/>
      <c r="C875" s="34"/>
      <c r="D875" s="34"/>
      <c r="E875" s="19"/>
      <c r="F875" s="19"/>
      <c r="G875" s="19"/>
      <c r="H875" s="19"/>
      <c r="I875" s="19"/>
      <c r="J875" s="19"/>
      <c r="K875" s="19"/>
      <c r="L875" s="19"/>
      <c r="M875" s="19"/>
      <c r="N875" s="19"/>
      <c r="O875" s="19"/>
      <c r="P875" s="20"/>
      <c r="Q875" s="20"/>
      <c r="R875" s="22"/>
      <c r="S875" s="22"/>
      <c r="T875" s="20"/>
      <c r="U875" s="20"/>
      <c r="V875" s="20"/>
      <c r="W875" s="19"/>
      <c r="X875" s="19"/>
      <c r="Y875" s="19"/>
      <c r="Z875" s="23"/>
    </row>
    <row r="876" spans="1:26" ht="15.75" customHeight="1" x14ac:dyDescent="0.2">
      <c r="A876" s="34"/>
      <c r="B876" s="34"/>
      <c r="C876" s="34"/>
      <c r="D876" s="34"/>
      <c r="E876" s="19"/>
      <c r="F876" s="19"/>
      <c r="G876" s="19"/>
      <c r="H876" s="19"/>
      <c r="I876" s="19"/>
      <c r="J876" s="19"/>
      <c r="K876" s="19"/>
      <c r="L876" s="19"/>
      <c r="M876" s="19"/>
      <c r="N876" s="19"/>
      <c r="O876" s="19"/>
      <c r="P876" s="20"/>
      <c r="Q876" s="20"/>
      <c r="R876" s="22"/>
      <c r="S876" s="22"/>
      <c r="T876" s="20"/>
      <c r="U876" s="20"/>
      <c r="V876" s="20"/>
      <c r="W876" s="19"/>
      <c r="X876" s="19"/>
      <c r="Y876" s="19"/>
      <c r="Z876" s="23"/>
    </row>
    <row r="877" spans="1:26" ht="15.75" customHeight="1" x14ac:dyDescent="0.2">
      <c r="A877" s="34"/>
      <c r="B877" s="34"/>
      <c r="C877" s="34"/>
      <c r="D877" s="34"/>
      <c r="E877" s="19"/>
      <c r="F877" s="19"/>
      <c r="G877" s="19"/>
      <c r="H877" s="19"/>
      <c r="I877" s="19"/>
      <c r="J877" s="19"/>
      <c r="K877" s="19"/>
      <c r="L877" s="19"/>
      <c r="M877" s="19"/>
      <c r="N877" s="19"/>
      <c r="O877" s="19"/>
      <c r="P877" s="20"/>
      <c r="Q877" s="20"/>
      <c r="R877" s="22"/>
      <c r="S877" s="22"/>
      <c r="T877" s="20"/>
      <c r="U877" s="20"/>
      <c r="V877" s="20"/>
      <c r="W877" s="19"/>
      <c r="X877" s="19"/>
      <c r="Y877" s="19"/>
      <c r="Z877" s="23"/>
    </row>
    <row r="878" spans="1:26" ht="15.75" customHeight="1" x14ac:dyDescent="0.2">
      <c r="A878" s="34"/>
      <c r="B878" s="34"/>
      <c r="C878" s="34"/>
      <c r="D878" s="34"/>
      <c r="E878" s="19"/>
      <c r="F878" s="19"/>
      <c r="G878" s="19"/>
      <c r="H878" s="19"/>
      <c r="I878" s="19"/>
      <c r="J878" s="19"/>
      <c r="K878" s="19"/>
      <c r="L878" s="19"/>
      <c r="M878" s="19"/>
      <c r="N878" s="19"/>
      <c r="O878" s="19"/>
      <c r="P878" s="20"/>
      <c r="Q878" s="20"/>
      <c r="R878" s="22"/>
      <c r="S878" s="22"/>
      <c r="T878" s="20"/>
      <c r="U878" s="20"/>
      <c r="V878" s="20"/>
      <c r="W878" s="19"/>
      <c r="X878" s="19"/>
      <c r="Y878" s="19"/>
      <c r="Z878" s="23"/>
    </row>
    <row r="879" spans="1:26" ht="15.75" customHeight="1" x14ac:dyDescent="0.2">
      <c r="A879" s="34"/>
      <c r="B879" s="34"/>
      <c r="C879" s="34"/>
      <c r="D879" s="34"/>
      <c r="E879" s="19"/>
      <c r="F879" s="19"/>
      <c r="G879" s="19"/>
      <c r="H879" s="19"/>
      <c r="I879" s="19"/>
      <c r="J879" s="19"/>
      <c r="K879" s="19"/>
      <c r="L879" s="19"/>
      <c r="M879" s="19"/>
      <c r="N879" s="19"/>
      <c r="O879" s="19"/>
      <c r="P879" s="20"/>
      <c r="Q879" s="20"/>
      <c r="R879" s="22"/>
      <c r="S879" s="22"/>
      <c r="T879" s="20"/>
      <c r="U879" s="20"/>
      <c r="V879" s="20"/>
      <c r="W879" s="19"/>
      <c r="X879" s="19"/>
      <c r="Y879" s="19"/>
      <c r="Z879" s="23"/>
    </row>
    <row r="880" spans="1:26" ht="15.75" customHeight="1" x14ac:dyDescent="0.2">
      <c r="A880" s="34"/>
      <c r="B880" s="34"/>
      <c r="C880" s="34"/>
      <c r="D880" s="34"/>
      <c r="E880" s="19"/>
      <c r="F880" s="19"/>
      <c r="G880" s="19"/>
      <c r="H880" s="19"/>
      <c r="I880" s="19"/>
      <c r="J880" s="19"/>
      <c r="K880" s="19"/>
      <c r="L880" s="19"/>
      <c r="M880" s="19"/>
      <c r="N880" s="19"/>
      <c r="O880" s="19"/>
      <c r="P880" s="20"/>
      <c r="Q880" s="20"/>
      <c r="R880" s="22"/>
      <c r="S880" s="22"/>
      <c r="T880" s="20"/>
      <c r="U880" s="20"/>
      <c r="V880" s="20"/>
      <c r="W880" s="19"/>
      <c r="X880" s="19"/>
      <c r="Y880" s="19"/>
      <c r="Z880" s="23"/>
    </row>
    <row r="881" spans="1:26" ht="15.75" customHeight="1" x14ac:dyDescent="0.2">
      <c r="A881" s="34"/>
      <c r="B881" s="34"/>
      <c r="C881" s="34"/>
      <c r="D881" s="34"/>
      <c r="E881" s="19"/>
      <c r="F881" s="19"/>
      <c r="G881" s="19"/>
      <c r="H881" s="19"/>
      <c r="I881" s="19"/>
      <c r="J881" s="19"/>
      <c r="K881" s="19"/>
      <c r="L881" s="19"/>
      <c r="M881" s="19"/>
      <c r="N881" s="19"/>
      <c r="O881" s="19"/>
      <c r="P881" s="20"/>
      <c r="Q881" s="20"/>
      <c r="R881" s="22"/>
      <c r="S881" s="22"/>
      <c r="T881" s="20"/>
      <c r="U881" s="20"/>
      <c r="V881" s="20"/>
      <c r="W881" s="19"/>
      <c r="X881" s="19"/>
      <c r="Y881" s="19"/>
      <c r="Z881" s="23"/>
    </row>
    <row r="882" spans="1:26" ht="15.75" customHeight="1" x14ac:dyDescent="0.2">
      <c r="A882" s="34"/>
      <c r="B882" s="34"/>
      <c r="C882" s="34"/>
      <c r="D882" s="34"/>
      <c r="E882" s="19"/>
      <c r="F882" s="19"/>
      <c r="G882" s="19"/>
      <c r="H882" s="19"/>
      <c r="I882" s="19"/>
      <c r="J882" s="19"/>
      <c r="K882" s="19"/>
      <c r="L882" s="19"/>
      <c r="M882" s="19"/>
      <c r="N882" s="19"/>
      <c r="O882" s="19"/>
      <c r="P882" s="20"/>
      <c r="Q882" s="20"/>
      <c r="R882" s="22"/>
      <c r="S882" s="22"/>
      <c r="T882" s="20"/>
      <c r="U882" s="20"/>
      <c r="V882" s="20"/>
      <c r="W882" s="19"/>
      <c r="X882" s="19"/>
      <c r="Y882" s="19"/>
      <c r="Z882" s="23"/>
    </row>
    <row r="883" spans="1:26" ht="15.75" customHeight="1" x14ac:dyDescent="0.2">
      <c r="A883" s="34"/>
      <c r="B883" s="34"/>
      <c r="C883" s="34"/>
      <c r="D883" s="34"/>
      <c r="E883" s="19"/>
      <c r="F883" s="19"/>
      <c r="G883" s="19"/>
      <c r="H883" s="19"/>
      <c r="I883" s="19"/>
      <c r="J883" s="19"/>
      <c r="K883" s="19"/>
      <c r="L883" s="19"/>
      <c r="M883" s="19"/>
      <c r="N883" s="19"/>
      <c r="O883" s="19"/>
      <c r="P883" s="20"/>
      <c r="Q883" s="20"/>
      <c r="R883" s="22"/>
      <c r="S883" s="22"/>
      <c r="T883" s="20"/>
      <c r="U883" s="20"/>
      <c r="V883" s="20"/>
      <c r="W883" s="19"/>
      <c r="X883" s="19"/>
      <c r="Y883" s="19"/>
      <c r="Z883" s="23"/>
    </row>
    <row r="884" spans="1:26" ht="15.75" customHeight="1" x14ac:dyDescent="0.2">
      <c r="A884" s="34"/>
      <c r="B884" s="34"/>
      <c r="C884" s="34"/>
      <c r="D884" s="34"/>
      <c r="E884" s="19"/>
      <c r="F884" s="19"/>
      <c r="G884" s="19"/>
      <c r="H884" s="19"/>
      <c r="I884" s="19"/>
      <c r="J884" s="19"/>
      <c r="K884" s="19"/>
      <c r="L884" s="19"/>
      <c r="M884" s="19"/>
      <c r="N884" s="19"/>
      <c r="O884" s="19"/>
      <c r="P884" s="20"/>
      <c r="Q884" s="20"/>
      <c r="R884" s="22"/>
      <c r="S884" s="22"/>
      <c r="T884" s="20"/>
      <c r="U884" s="20"/>
      <c r="V884" s="20"/>
      <c r="W884" s="19"/>
      <c r="X884" s="19"/>
      <c r="Y884" s="19"/>
      <c r="Z884" s="23"/>
    </row>
    <row r="885" spans="1:26" ht="15.75" customHeight="1" x14ac:dyDescent="0.2">
      <c r="A885" s="34"/>
      <c r="B885" s="34"/>
      <c r="C885" s="34"/>
      <c r="D885" s="34"/>
      <c r="E885" s="19"/>
      <c r="F885" s="19"/>
      <c r="G885" s="19"/>
      <c r="H885" s="19"/>
      <c r="I885" s="19"/>
      <c r="J885" s="19"/>
      <c r="K885" s="19"/>
      <c r="L885" s="19"/>
      <c r="M885" s="19"/>
      <c r="N885" s="19"/>
      <c r="O885" s="19"/>
      <c r="P885" s="20"/>
      <c r="Q885" s="20"/>
      <c r="R885" s="22"/>
      <c r="S885" s="22"/>
      <c r="T885" s="20"/>
      <c r="U885" s="20"/>
      <c r="V885" s="20"/>
      <c r="W885" s="19"/>
      <c r="X885" s="19"/>
      <c r="Y885" s="19"/>
      <c r="Z885" s="23"/>
    </row>
    <row r="886" spans="1:26" ht="15.75" customHeight="1" x14ac:dyDescent="0.2">
      <c r="A886" s="34"/>
      <c r="B886" s="34"/>
      <c r="C886" s="34"/>
      <c r="D886" s="34"/>
      <c r="E886" s="19"/>
      <c r="F886" s="19"/>
      <c r="G886" s="19"/>
      <c r="H886" s="19"/>
      <c r="I886" s="19"/>
      <c r="J886" s="19"/>
      <c r="K886" s="19"/>
      <c r="L886" s="19"/>
      <c r="M886" s="19"/>
      <c r="N886" s="19"/>
      <c r="O886" s="19"/>
      <c r="P886" s="20"/>
      <c r="Q886" s="20"/>
      <c r="R886" s="22"/>
      <c r="S886" s="22"/>
      <c r="T886" s="20"/>
      <c r="U886" s="20"/>
      <c r="V886" s="20"/>
      <c r="W886" s="19"/>
      <c r="X886" s="19"/>
      <c r="Y886" s="19"/>
      <c r="Z886" s="23"/>
    </row>
    <row r="887" spans="1:26" ht="15.75" customHeight="1" x14ac:dyDescent="0.2">
      <c r="A887" s="34"/>
      <c r="B887" s="34"/>
      <c r="C887" s="34"/>
      <c r="D887" s="34"/>
      <c r="E887" s="19"/>
      <c r="F887" s="19"/>
      <c r="G887" s="19"/>
      <c r="H887" s="19"/>
      <c r="I887" s="19"/>
      <c r="J887" s="19"/>
      <c r="K887" s="19"/>
      <c r="L887" s="19"/>
      <c r="M887" s="19"/>
      <c r="N887" s="19"/>
      <c r="O887" s="19"/>
      <c r="P887" s="20"/>
      <c r="Q887" s="20"/>
      <c r="R887" s="22"/>
      <c r="S887" s="22"/>
      <c r="T887" s="20"/>
      <c r="U887" s="20"/>
      <c r="V887" s="20"/>
      <c r="W887" s="19"/>
      <c r="X887" s="19"/>
      <c r="Y887" s="19"/>
      <c r="Z887" s="23"/>
    </row>
    <row r="888" spans="1:26" ht="15.75" customHeight="1" x14ac:dyDescent="0.2">
      <c r="A888" s="34"/>
      <c r="B888" s="34"/>
      <c r="C888" s="34"/>
      <c r="D888" s="34"/>
      <c r="E888" s="19"/>
      <c r="F888" s="19"/>
      <c r="G888" s="19"/>
      <c r="H888" s="19"/>
      <c r="I888" s="19"/>
      <c r="J888" s="19"/>
      <c r="K888" s="19"/>
      <c r="L888" s="19"/>
      <c r="M888" s="19"/>
      <c r="N888" s="19"/>
      <c r="O888" s="19"/>
      <c r="P888" s="20"/>
      <c r="Q888" s="20"/>
      <c r="R888" s="22"/>
      <c r="S888" s="22"/>
      <c r="T888" s="20"/>
      <c r="U888" s="20"/>
      <c r="V888" s="20"/>
      <c r="W888" s="19"/>
      <c r="X888" s="19"/>
      <c r="Y888" s="19"/>
      <c r="Z888" s="23"/>
    </row>
    <row r="889" spans="1:26" ht="15.75" customHeight="1" x14ac:dyDescent="0.2">
      <c r="A889" s="34"/>
      <c r="B889" s="34"/>
      <c r="C889" s="34"/>
      <c r="D889" s="34"/>
      <c r="E889" s="19"/>
      <c r="F889" s="19"/>
      <c r="G889" s="19"/>
      <c r="H889" s="19"/>
      <c r="I889" s="19"/>
      <c r="J889" s="19"/>
      <c r="K889" s="19"/>
      <c r="L889" s="19"/>
      <c r="M889" s="19"/>
      <c r="N889" s="19"/>
      <c r="O889" s="19"/>
      <c r="P889" s="20"/>
      <c r="Q889" s="20"/>
      <c r="R889" s="22"/>
      <c r="S889" s="22"/>
      <c r="T889" s="20"/>
      <c r="U889" s="20"/>
      <c r="V889" s="20"/>
      <c r="W889" s="19"/>
      <c r="X889" s="19"/>
      <c r="Y889" s="19"/>
      <c r="Z889" s="23"/>
    </row>
    <row r="890" spans="1:26" ht="15.75" customHeight="1" x14ac:dyDescent="0.2">
      <c r="A890" s="34"/>
      <c r="B890" s="34"/>
      <c r="C890" s="34"/>
      <c r="D890" s="34"/>
      <c r="E890" s="19"/>
      <c r="F890" s="19"/>
      <c r="G890" s="19"/>
      <c r="H890" s="19"/>
      <c r="I890" s="19"/>
      <c r="J890" s="19"/>
      <c r="K890" s="19"/>
      <c r="L890" s="19"/>
      <c r="M890" s="19"/>
      <c r="N890" s="19"/>
      <c r="O890" s="19"/>
      <c r="P890" s="20"/>
      <c r="Q890" s="20"/>
      <c r="R890" s="22"/>
      <c r="S890" s="22"/>
      <c r="T890" s="20"/>
      <c r="U890" s="20"/>
      <c r="V890" s="20"/>
      <c r="W890" s="19"/>
      <c r="X890" s="19"/>
      <c r="Y890" s="19"/>
      <c r="Z890" s="23"/>
    </row>
    <row r="891" spans="1:26" ht="15.75" customHeight="1" x14ac:dyDescent="0.2">
      <c r="A891" s="34"/>
      <c r="B891" s="34"/>
      <c r="C891" s="34"/>
      <c r="D891" s="34"/>
      <c r="E891" s="19"/>
      <c r="F891" s="19"/>
      <c r="G891" s="19"/>
      <c r="H891" s="19"/>
      <c r="I891" s="19"/>
      <c r="J891" s="19"/>
      <c r="K891" s="19"/>
      <c r="L891" s="19"/>
      <c r="M891" s="19"/>
      <c r="N891" s="19"/>
      <c r="O891" s="19"/>
      <c r="P891" s="20"/>
      <c r="Q891" s="20"/>
      <c r="R891" s="22"/>
      <c r="S891" s="22"/>
      <c r="T891" s="20"/>
      <c r="U891" s="20"/>
      <c r="V891" s="20"/>
      <c r="W891" s="19"/>
      <c r="X891" s="19"/>
      <c r="Y891" s="19"/>
      <c r="Z891" s="23"/>
    </row>
    <row r="892" spans="1:26" ht="15.75" customHeight="1" x14ac:dyDescent="0.2">
      <c r="A892" s="34"/>
      <c r="B892" s="34"/>
      <c r="C892" s="34"/>
      <c r="D892" s="34"/>
      <c r="E892" s="19"/>
      <c r="F892" s="19"/>
      <c r="G892" s="19"/>
      <c r="H892" s="19"/>
      <c r="I892" s="19"/>
      <c r="J892" s="19"/>
      <c r="K892" s="19"/>
      <c r="L892" s="19"/>
      <c r="M892" s="19"/>
      <c r="N892" s="19"/>
      <c r="O892" s="19"/>
      <c r="P892" s="20"/>
      <c r="Q892" s="20"/>
      <c r="R892" s="22"/>
      <c r="S892" s="22"/>
      <c r="T892" s="20"/>
      <c r="U892" s="20"/>
      <c r="V892" s="20"/>
      <c r="W892" s="19"/>
      <c r="X892" s="19"/>
      <c r="Y892" s="19"/>
      <c r="Z892" s="23"/>
    </row>
    <row r="893" spans="1:26" ht="15.75" customHeight="1" x14ac:dyDescent="0.2">
      <c r="A893" s="34"/>
      <c r="B893" s="34"/>
      <c r="C893" s="34"/>
      <c r="D893" s="34"/>
      <c r="E893" s="19"/>
      <c r="F893" s="19"/>
      <c r="G893" s="19"/>
      <c r="H893" s="19"/>
      <c r="I893" s="19"/>
      <c r="J893" s="19"/>
      <c r="K893" s="19"/>
      <c r="L893" s="19"/>
      <c r="M893" s="19"/>
      <c r="N893" s="19"/>
      <c r="O893" s="19"/>
      <c r="P893" s="20"/>
      <c r="Q893" s="20"/>
      <c r="R893" s="22"/>
      <c r="S893" s="22"/>
      <c r="T893" s="20"/>
      <c r="U893" s="20"/>
      <c r="V893" s="20"/>
      <c r="W893" s="19"/>
      <c r="X893" s="19"/>
      <c r="Y893" s="19"/>
      <c r="Z893" s="23"/>
    </row>
    <row r="894" spans="1:26" ht="15.75" customHeight="1" x14ac:dyDescent="0.2">
      <c r="A894" s="34"/>
      <c r="B894" s="34"/>
      <c r="C894" s="34"/>
      <c r="D894" s="34"/>
      <c r="E894" s="19"/>
      <c r="F894" s="19"/>
      <c r="G894" s="19"/>
      <c r="H894" s="19"/>
      <c r="I894" s="19"/>
      <c r="J894" s="19"/>
      <c r="K894" s="19"/>
      <c r="L894" s="19"/>
      <c r="M894" s="19"/>
      <c r="N894" s="19"/>
      <c r="O894" s="19"/>
      <c r="P894" s="20"/>
      <c r="Q894" s="20"/>
      <c r="R894" s="22"/>
      <c r="S894" s="22"/>
      <c r="T894" s="20"/>
      <c r="U894" s="20"/>
      <c r="V894" s="20"/>
      <c r="W894" s="19"/>
      <c r="X894" s="19"/>
      <c r="Y894" s="19"/>
      <c r="Z894" s="23"/>
    </row>
    <row r="895" spans="1:26" ht="15.75" customHeight="1" x14ac:dyDescent="0.2">
      <c r="A895" s="34"/>
      <c r="B895" s="34"/>
      <c r="C895" s="34"/>
      <c r="D895" s="34"/>
      <c r="E895" s="19"/>
      <c r="F895" s="19"/>
      <c r="G895" s="19"/>
      <c r="H895" s="19"/>
      <c r="I895" s="19"/>
      <c r="J895" s="19"/>
      <c r="K895" s="19"/>
      <c r="L895" s="19"/>
      <c r="M895" s="19"/>
      <c r="N895" s="19"/>
      <c r="O895" s="19"/>
      <c r="P895" s="20"/>
      <c r="Q895" s="20"/>
      <c r="R895" s="22"/>
      <c r="S895" s="22"/>
      <c r="T895" s="20"/>
      <c r="U895" s="20"/>
      <c r="V895" s="20"/>
      <c r="W895" s="19"/>
      <c r="X895" s="19"/>
      <c r="Y895" s="19"/>
      <c r="Z895" s="23"/>
    </row>
    <row r="896" spans="1:26" ht="15.75" customHeight="1" x14ac:dyDescent="0.2">
      <c r="A896" s="34"/>
      <c r="B896" s="34"/>
      <c r="C896" s="34"/>
      <c r="D896" s="34"/>
      <c r="E896" s="19"/>
      <c r="F896" s="19"/>
      <c r="G896" s="19"/>
      <c r="H896" s="19"/>
      <c r="I896" s="19"/>
      <c r="J896" s="19"/>
      <c r="K896" s="19"/>
      <c r="L896" s="19"/>
      <c r="M896" s="19"/>
      <c r="N896" s="19"/>
      <c r="O896" s="19"/>
      <c r="P896" s="20"/>
      <c r="Q896" s="20"/>
      <c r="R896" s="22"/>
      <c r="S896" s="22"/>
      <c r="T896" s="20"/>
      <c r="U896" s="20"/>
      <c r="V896" s="20"/>
      <c r="W896" s="19"/>
      <c r="X896" s="19"/>
      <c r="Y896" s="19"/>
      <c r="Z896" s="23"/>
    </row>
    <row r="897" spans="1:26" ht="15.75" customHeight="1" x14ac:dyDescent="0.2">
      <c r="A897" s="34"/>
      <c r="B897" s="34"/>
      <c r="C897" s="34"/>
      <c r="D897" s="34"/>
      <c r="E897" s="19"/>
      <c r="F897" s="19"/>
      <c r="G897" s="19"/>
      <c r="H897" s="19"/>
      <c r="I897" s="19"/>
      <c r="J897" s="19"/>
      <c r="K897" s="19"/>
      <c r="L897" s="19"/>
      <c r="M897" s="19"/>
      <c r="N897" s="19"/>
      <c r="O897" s="19"/>
      <c r="P897" s="20"/>
      <c r="Q897" s="20"/>
      <c r="R897" s="22"/>
      <c r="S897" s="22"/>
      <c r="T897" s="20"/>
      <c r="U897" s="20"/>
      <c r="V897" s="20"/>
      <c r="W897" s="19"/>
      <c r="X897" s="19"/>
      <c r="Y897" s="19"/>
      <c r="Z897" s="23"/>
    </row>
    <row r="898" spans="1:26" ht="15.75" customHeight="1" x14ac:dyDescent="0.2">
      <c r="A898" s="34"/>
      <c r="B898" s="34"/>
      <c r="C898" s="34"/>
      <c r="D898" s="34"/>
      <c r="E898" s="19"/>
      <c r="F898" s="19"/>
      <c r="G898" s="19"/>
      <c r="H898" s="19"/>
      <c r="I898" s="19"/>
      <c r="J898" s="19"/>
      <c r="K898" s="19"/>
      <c r="L898" s="19"/>
      <c r="M898" s="19"/>
      <c r="N898" s="19"/>
      <c r="O898" s="19"/>
      <c r="P898" s="20"/>
      <c r="Q898" s="20"/>
      <c r="R898" s="22"/>
      <c r="S898" s="22"/>
      <c r="T898" s="20"/>
      <c r="U898" s="20"/>
      <c r="V898" s="20"/>
      <c r="W898" s="19"/>
      <c r="X898" s="19"/>
      <c r="Y898" s="19"/>
      <c r="Z898" s="23"/>
    </row>
    <row r="899" spans="1:26" ht="15.75" customHeight="1" x14ac:dyDescent="0.2">
      <c r="A899" s="34"/>
      <c r="B899" s="34"/>
      <c r="C899" s="34"/>
      <c r="D899" s="34"/>
      <c r="E899" s="19"/>
      <c r="F899" s="19"/>
      <c r="G899" s="19"/>
      <c r="H899" s="19"/>
      <c r="I899" s="19"/>
      <c r="J899" s="19"/>
      <c r="K899" s="19"/>
      <c r="L899" s="19"/>
      <c r="M899" s="19"/>
      <c r="N899" s="19"/>
      <c r="O899" s="19"/>
      <c r="P899" s="20"/>
      <c r="Q899" s="20"/>
      <c r="R899" s="22"/>
      <c r="S899" s="22"/>
      <c r="T899" s="20"/>
      <c r="U899" s="20"/>
      <c r="V899" s="20"/>
      <c r="W899" s="19"/>
      <c r="X899" s="19"/>
      <c r="Y899" s="19"/>
      <c r="Z899" s="23"/>
    </row>
    <row r="900" spans="1:26" ht="15.75" customHeight="1" x14ac:dyDescent="0.2">
      <c r="A900" s="34"/>
      <c r="B900" s="34"/>
      <c r="C900" s="34"/>
      <c r="D900" s="34"/>
      <c r="E900" s="19"/>
      <c r="F900" s="19"/>
      <c r="G900" s="19"/>
      <c r="H900" s="19"/>
      <c r="I900" s="19"/>
      <c r="J900" s="19"/>
      <c r="K900" s="19"/>
      <c r="L900" s="19"/>
      <c r="M900" s="19"/>
      <c r="N900" s="19"/>
      <c r="O900" s="19"/>
      <c r="P900" s="20"/>
      <c r="Q900" s="20"/>
      <c r="R900" s="22"/>
      <c r="S900" s="22"/>
      <c r="T900" s="20"/>
      <c r="U900" s="20"/>
      <c r="V900" s="20"/>
      <c r="W900" s="19"/>
      <c r="X900" s="19"/>
      <c r="Y900" s="19"/>
      <c r="Z900" s="23"/>
    </row>
    <row r="901" spans="1:26" ht="15.75" customHeight="1" x14ac:dyDescent="0.2">
      <c r="A901" s="34"/>
      <c r="B901" s="34"/>
      <c r="C901" s="34"/>
      <c r="D901" s="34"/>
      <c r="E901" s="19"/>
      <c r="F901" s="19"/>
      <c r="G901" s="19"/>
      <c r="H901" s="19"/>
      <c r="I901" s="19"/>
      <c r="J901" s="19"/>
      <c r="K901" s="19"/>
      <c r="L901" s="19"/>
      <c r="M901" s="19"/>
      <c r="N901" s="19"/>
      <c r="O901" s="19"/>
      <c r="P901" s="20"/>
      <c r="Q901" s="20"/>
      <c r="R901" s="22"/>
      <c r="S901" s="22"/>
      <c r="T901" s="20"/>
      <c r="U901" s="20"/>
      <c r="V901" s="20"/>
      <c r="W901" s="19"/>
      <c r="X901" s="19"/>
      <c r="Y901" s="19"/>
      <c r="Z901" s="23"/>
    </row>
    <row r="902" spans="1:26" ht="15.75" customHeight="1" x14ac:dyDescent="0.2">
      <c r="A902" s="34"/>
      <c r="B902" s="34"/>
      <c r="C902" s="34"/>
      <c r="D902" s="34"/>
      <c r="E902" s="19"/>
      <c r="F902" s="19"/>
      <c r="G902" s="19"/>
      <c r="H902" s="19"/>
      <c r="I902" s="19"/>
      <c r="J902" s="19"/>
      <c r="K902" s="19"/>
      <c r="L902" s="19"/>
      <c r="M902" s="19"/>
      <c r="N902" s="19"/>
      <c r="O902" s="19"/>
      <c r="P902" s="20"/>
      <c r="Q902" s="20"/>
      <c r="R902" s="22"/>
      <c r="S902" s="22"/>
      <c r="T902" s="20"/>
      <c r="U902" s="20"/>
      <c r="V902" s="20"/>
      <c r="W902" s="19"/>
      <c r="X902" s="19"/>
      <c r="Y902" s="19"/>
      <c r="Z902" s="23"/>
    </row>
    <row r="903" spans="1:26" ht="15.75" customHeight="1" x14ac:dyDescent="0.2">
      <c r="A903" s="34"/>
      <c r="B903" s="34"/>
      <c r="C903" s="34"/>
      <c r="D903" s="34"/>
      <c r="E903" s="19"/>
      <c r="F903" s="19"/>
      <c r="G903" s="19"/>
      <c r="H903" s="19"/>
      <c r="I903" s="19"/>
      <c r="J903" s="19"/>
      <c r="K903" s="19"/>
      <c r="L903" s="19"/>
      <c r="M903" s="19"/>
      <c r="N903" s="19"/>
      <c r="O903" s="19"/>
      <c r="P903" s="20"/>
      <c r="Q903" s="20"/>
      <c r="R903" s="22"/>
      <c r="S903" s="22"/>
      <c r="T903" s="20"/>
      <c r="U903" s="20"/>
      <c r="V903" s="20"/>
      <c r="W903" s="19"/>
      <c r="X903" s="19"/>
      <c r="Y903" s="19"/>
      <c r="Z903" s="23"/>
    </row>
    <row r="904" spans="1:26" ht="15.75" customHeight="1" x14ac:dyDescent="0.2">
      <c r="A904" s="34"/>
      <c r="B904" s="34"/>
      <c r="C904" s="34"/>
      <c r="D904" s="34"/>
      <c r="E904" s="19"/>
      <c r="F904" s="19"/>
      <c r="G904" s="19"/>
      <c r="H904" s="19"/>
      <c r="I904" s="19"/>
      <c r="J904" s="19"/>
      <c r="K904" s="19"/>
      <c r="L904" s="19"/>
      <c r="M904" s="19"/>
      <c r="N904" s="19"/>
      <c r="O904" s="19"/>
      <c r="P904" s="20"/>
      <c r="Q904" s="20"/>
      <c r="R904" s="22"/>
      <c r="S904" s="22"/>
      <c r="T904" s="20"/>
      <c r="U904" s="20"/>
      <c r="V904" s="20"/>
      <c r="W904" s="19"/>
      <c r="X904" s="19"/>
      <c r="Y904" s="19"/>
      <c r="Z904" s="23"/>
    </row>
    <row r="905" spans="1:26" ht="15.75" customHeight="1" x14ac:dyDescent="0.2">
      <c r="A905" s="34"/>
      <c r="B905" s="34"/>
      <c r="C905" s="34"/>
      <c r="D905" s="34"/>
      <c r="E905" s="19"/>
      <c r="F905" s="19"/>
      <c r="G905" s="19"/>
      <c r="H905" s="19"/>
      <c r="I905" s="19"/>
      <c r="J905" s="19"/>
      <c r="K905" s="19"/>
      <c r="L905" s="19"/>
      <c r="M905" s="19"/>
      <c r="N905" s="19"/>
      <c r="O905" s="19"/>
      <c r="P905" s="20"/>
      <c r="Q905" s="20"/>
      <c r="R905" s="22"/>
      <c r="S905" s="22"/>
      <c r="T905" s="20"/>
      <c r="U905" s="20"/>
      <c r="V905" s="20"/>
      <c r="W905" s="19"/>
      <c r="X905" s="19"/>
      <c r="Y905" s="19"/>
      <c r="Z905" s="23"/>
    </row>
    <row r="906" spans="1:26" ht="15.75" customHeight="1" x14ac:dyDescent="0.2">
      <c r="A906" s="34"/>
      <c r="B906" s="34"/>
      <c r="C906" s="34"/>
      <c r="D906" s="34"/>
      <c r="E906" s="19"/>
      <c r="F906" s="19"/>
      <c r="G906" s="19"/>
      <c r="H906" s="19"/>
      <c r="I906" s="19"/>
      <c r="J906" s="19"/>
      <c r="K906" s="19"/>
      <c r="L906" s="19"/>
      <c r="M906" s="19"/>
      <c r="N906" s="19"/>
      <c r="O906" s="19"/>
      <c r="P906" s="20"/>
      <c r="Q906" s="20"/>
      <c r="R906" s="22"/>
      <c r="S906" s="22"/>
      <c r="T906" s="20"/>
      <c r="U906" s="20"/>
      <c r="V906" s="20"/>
      <c r="W906" s="19"/>
      <c r="X906" s="19"/>
      <c r="Y906" s="19"/>
      <c r="Z906" s="23"/>
    </row>
    <row r="907" spans="1:26" ht="15.75" customHeight="1" x14ac:dyDescent="0.2">
      <c r="A907" s="34"/>
      <c r="B907" s="34"/>
      <c r="C907" s="34"/>
      <c r="D907" s="34"/>
      <c r="E907" s="19"/>
      <c r="F907" s="19"/>
      <c r="G907" s="19"/>
      <c r="H907" s="19"/>
      <c r="I907" s="19"/>
      <c r="J907" s="19"/>
      <c r="K907" s="19"/>
      <c r="L907" s="19"/>
      <c r="M907" s="19"/>
      <c r="N907" s="19"/>
      <c r="O907" s="19"/>
      <c r="P907" s="20"/>
      <c r="Q907" s="20"/>
      <c r="R907" s="22"/>
      <c r="S907" s="22"/>
      <c r="T907" s="20"/>
      <c r="U907" s="20"/>
      <c r="V907" s="20"/>
      <c r="W907" s="19"/>
      <c r="X907" s="19"/>
      <c r="Y907" s="19"/>
      <c r="Z907" s="23"/>
    </row>
    <row r="908" spans="1:26" ht="15.75" customHeight="1" x14ac:dyDescent="0.2">
      <c r="A908" s="34"/>
      <c r="B908" s="34"/>
      <c r="C908" s="34"/>
      <c r="D908" s="34"/>
      <c r="E908" s="19"/>
      <c r="F908" s="19"/>
      <c r="G908" s="19"/>
      <c r="H908" s="19"/>
      <c r="I908" s="19"/>
      <c r="J908" s="19"/>
      <c r="K908" s="19"/>
      <c r="L908" s="19"/>
      <c r="M908" s="19"/>
      <c r="N908" s="19"/>
      <c r="O908" s="19"/>
      <c r="P908" s="20"/>
      <c r="Q908" s="20"/>
      <c r="R908" s="22"/>
      <c r="S908" s="22"/>
      <c r="T908" s="20"/>
      <c r="U908" s="20"/>
      <c r="V908" s="20"/>
      <c r="W908" s="19"/>
      <c r="X908" s="19"/>
      <c r="Y908" s="19"/>
      <c r="Z908" s="23"/>
    </row>
    <row r="909" spans="1:26" ht="15.75" customHeight="1" x14ac:dyDescent="0.2">
      <c r="A909" s="34"/>
      <c r="B909" s="34"/>
      <c r="C909" s="34"/>
      <c r="D909" s="34"/>
      <c r="E909" s="19"/>
      <c r="F909" s="19"/>
      <c r="G909" s="19"/>
      <c r="H909" s="19"/>
      <c r="I909" s="19"/>
      <c r="J909" s="19"/>
      <c r="K909" s="19"/>
      <c r="L909" s="19"/>
      <c r="M909" s="19"/>
      <c r="N909" s="19"/>
      <c r="O909" s="19"/>
      <c r="P909" s="20"/>
      <c r="Q909" s="20"/>
      <c r="R909" s="22"/>
      <c r="S909" s="22"/>
      <c r="T909" s="20"/>
      <c r="U909" s="20"/>
      <c r="V909" s="20"/>
      <c r="W909" s="19"/>
      <c r="X909" s="19"/>
      <c r="Y909" s="19"/>
      <c r="Z909" s="23"/>
    </row>
    <row r="910" spans="1:26" ht="15.75" customHeight="1" x14ac:dyDescent="0.2">
      <c r="A910" s="34"/>
      <c r="B910" s="34"/>
      <c r="C910" s="34"/>
      <c r="D910" s="34"/>
      <c r="E910" s="19"/>
      <c r="F910" s="19"/>
      <c r="G910" s="19"/>
      <c r="H910" s="19"/>
      <c r="I910" s="19"/>
      <c r="J910" s="19"/>
      <c r="K910" s="19"/>
      <c r="L910" s="19"/>
      <c r="M910" s="19"/>
      <c r="N910" s="19"/>
      <c r="O910" s="19"/>
      <c r="P910" s="20"/>
      <c r="Q910" s="20"/>
      <c r="R910" s="22"/>
      <c r="S910" s="22"/>
      <c r="T910" s="20"/>
      <c r="U910" s="20"/>
      <c r="V910" s="20"/>
      <c r="W910" s="19"/>
      <c r="X910" s="19"/>
      <c r="Y910" s="19"/>
      <c r="Z910" s="23"/>
    </row>
    <row r="911" spans="1:26" ht="15.75" customHeight="1" x14ac:dyDescent="0.2">
      <c r="A911" s="34"/>
      <c r="B911" s="34"/>
      <c r="C911" s="34"/>
      <c r="D911" s="34"/>
      <c r="E911" s="19"/>
      <c r="F911" s="19"/>
      <c r="G911" s="19"/>
      <c r="H911" s="19"/>
      <c r="I911" s="19"/>
      <c r="J911" s="19"/>
      <c r="K911" s="19"/>
      <c r="L911" s="19"/>
      <c r="M911" s="19"/>
      <c r="N911" s="19"/>
      <c r="O911" s="19"/>
      <c r="P911" s="20"/>
      <c r="Q911" s="20"/>
      <c r="R911" s="22"/>
      <c r="S911" s="22"/>
      <c r="T911" s="20"/>
      <c r="U911" s="20"/>
      <c r="V911" s="20"/>
      <c r="W911" s="19"/>
      <c r="X911" s="19"/>
      <c r="Y911" s="19"/>
      <c r="Z911" s="23"/>
    </row>
    <row r="912" spans="1:26" ht="15.75" customHeight="1" x14ac:dyDescent="0.2">
      <c r="A912" s="34"/>
      <c r="B912" s="34"/>
      <c r="C912" s="34"/>
      <c r="D912" s="34"/>
      <c r="E912" s="19"/>
      <c r="F912" s="19"/>
      <c r="G912" s="19"/>
      <c r="H912" s="19"/>
      <c r="I912" s="19"/>
      <c r="J912" s="19"/>
      <c r="K912" s="19"/>
      <c r="L912" s="19"/>
      <c r="M912" s="19"/>
      <c r="N912" s="19"/>
      <c r="O912" s="19"/>
      <c r="P912" s="20"/>
      <c r="Q912" s="20"/>
      <c r="R912" s="22"/>
      <c r="S912" s="22"/>
      <c r="T912" s="20"/>
      <c r="U912" s="20"/>
      <c r="V912" s="20"/>
      <c r="W912" s="19"/>
      <c r="X912" s="19"/>
      <c r="Y912" s="19"/>
      <c r="Z912" s="23"/>
    </row>
    <row r="913" spans="1:26" ht="15.75" customHeight="1" x14ac:dyDescent="0.2">
      <c r="A913" s="34"/>
      <c r="B913" s="34"/>
      <c r="C913" s="34"/>
      <c r="D913" s="34"/>
      <c r="E913" s="19"/>
      <c r="F913" s="19"/>
      <c r="G913" s="19"/>
      <c r="H913" s="19"/>
      <c r="I913" s="19"/>
      <c r="J913" s="19"/>
      <c r="K913" s="19"/>
      <c r="L913" s="19"/>
      <c r="M913" s="19"/>
      <c r="N913" s="19"/>
      <c r="O913" s="19"/>
      <c r="P913" s="20"/>
      <c r="Q913" s="20"/>
      <c r="R913" s="22"/>
      <c r="S913" s="22"/>
      <c r="T913" s="20"/>
      <c r="U913" s="20"/>
      <c r="V913" s="20"/>
      <c r="W913" s="19"/>
      <c r="X913" s="19"/>
      <c r="Y913" s="19"/>
      <c r="Z913" s="23"/>
    </row>
    <row r="914" spans="1:26" ht="15.75" customHeight="1" x14ac:dyDescent="0.2">
      <c r="A914" s="34"/>
      <c r="B914" s="34"/>
      <c r="C914" s="34"/>
      <c r="D914" s="34"/>
      <c r="E914" s="19"/>
      <c r="F914" s="19"/>
      <c r="G914" s="19"/>
      <c r="H914" s="19"/>
      <c r="I914" s="19"/>
      <c r="J914" s="19"/>
      <c r="K914" s="19"/>
      <c r="L914" s="19"/>
      <c r="M914" s="19"/>
      <c r="N914" s="19"/>
      <c r="O914" s="19"/>
      <c r="P914" s="20"/>
      <c r="Q914" s="20"/>
      <c r="R914" s="22"/>
      <c r="S914" s="22"/>
      <c r="T914" s="20"/>
      <c r="U914" s="20"/>
      <c r="V914" s="20"/>
      <c r="W914" s="19"/>
      <c r="X914" s="19"/>
      <c r="Y914" s="19"/>
      <c r="Z914" s="23"/>
    </row>
    <row r="915" spans="1:26" ht="15.75" customHeight="1" x14ac:dyDescent="0.2">
      <c r="A915" s="34"/>
      <c r="B915" s="34"/>
      <c r="C915" s="34"/>
      <c r="D915" s="34"/>
      <c r="E915" s="19"/>
      <c r="F915" s="19"/>
      <c r="G915" s="19"/>
      <c r="H915" s="19"/>
      <c r="I915" s="19"/>
      <c r="J915" s="19"/>
      <c r="K915" s="19"/>
      <c r="L915" s="19"/>
      <c r="M915" s="19"/>
      <c r="N915" s="19"/>
      <c r="O915" s="19"/>
      <c r="P915" s="20"/>
      <c r="Q915" s="20"/>
      <c r="R915" s="22"/>
      <c r="S915" s="22"/>
      <c r="T915" s="20"/>
      <c r="U915" s="20"/>
      <c r="V915" s="20"/>
      <c r="W915" s="19"/>
      <c r="X915" s="19"/>
      <c r="Y915" s="19"/>
      <c r="Z915" s="23"/>
    </row>
    <row r="916" spans="1:26" ht="15.75" customHeight="1" x14ac:dyDescent="0.2">
      <c r="A916" s="34"/>
      <c r="B916" s="34"/>
      <c r="C916" s="34"/>
      <c r="D916" s="34"/>
      <c r="E916" s="19"/>
      <c r="F916" s="19"/>
      <c r="G916" s="19"/>
      <c r="H916" s="19"/>
      <c r="I916" s="19"/>
      <c r="J916" s="19"/>
      <c r="K916" s="19"/>
      <c r="L916" s="19"/>
      <c r="M916" s="19"/>
      <c r="N916" s="19"/>
      <c r="O916" s="19"/>
      <c r="P916" s="20"/>
      <c r="Q916" s="20"/>
      <c r="R916" s="22"/>
      <c r="S916" s="22"/>
      <c r="T916" s="20"/>
      <c r="U916" s="20"/>
      <c r="V916" s="20"/>
      <c r="W916" s="19"/>
      <c r="X916" s="19"/>
      <c r="Y916" s="19"/>
      <c r="Z916" s="23"/>
    </row>
    <row r="917" spans="1:26" ht="15.75" customHeight="1" x14ac:dyDescent="0.2">
      <c r="A917" s="34"/>
      <c r="B917" s="34"/>
      <c r="C917" s="34"/>
      <c r="D917" s="34"/>
      <c r="E917" s="19"/>
      <c r="F917" s="19"/>
      <c r="G917" s="19"/>
      <c r="H917" s="19"/>
      <c r="I917" s="19"/>
      <c r="J917" s="19"/>
      <c r="K917" s="19"/>
      <c r="L917" s="19"/>
      <c r="M917" s="19"/>
      <c r="N917" s="19"/>
      <c r="O917" s="19"/>
      <c r="P917" s="20"/>
      <c r="Q917" s="20"/>
      <c r="R917" s="22"/>
      <c r="S917" s="22"/>
      <c r="T917" s="20"/>
      <c r="U917" s="20"/>
      <c r="V917" s="20"/>
      <c r="W917" s="19"/>
      <c r="X917" s="19"/>
      <c r="Y917" s="19"/>
      <c r="Z917" s="23"/>
    </row>
    <row r="918" spans="1:26" ht="15.75" customHeight="1" x14ac:dyDescent="0.2">
      <c r="A918" s="34"/>
      <c r="B918" s="34"/>
      <c r="C918" s="34"/>
      <c r="D918" s="34"/>
      <c r="E918" s="19"/>
      <c r="F918" s="19"/>
      <c r="G918" s="19"/>
      <c r="H918" s="19"/>
      <c r="I918" s="19"/>
      <c r="J918" s="19"/>
      <c r="K918" s="19"/>
      <c r="L918" s="19"/>
      <c r="M918" s="19"/>
      <c r="N918" s="19"/>
      <c r="O918" s="19"/>
      <c r="P918" s="20"/>
      <c r="Q918" s="20"/>
      <c r="R918" s="22"/>
      <c r="S918" s="22"/>
      <c r="T918" s="20"/>
      <c r="U918" s="20"/>
      <c r="V918" s="20"/>
      <c r="W918" s="19"/>
      <c r="X918" s="19"/>
      <c r="Y918" s="19"/>
      <c r="Z918" s="23"/>
    </row>
    <row r="919" spans="1:26" ht="15.75" customHeight="1" x14ac:dyDescent="0.2">
      <c r="A919" s="34"/>
      <c r="B919" s="34"/>
      <c r="C919" s="34"/>
      <c r="D919" s="34"/>
      <c r="E919" s="19"/>
      <c r="F919" s="19"/>
      <c r="G919" s="19"/>
      <c r="H919" s="19"/>
      <c r="I919" s="19"/>
      <c r="J919" s="19"/>
      <c r="K919" s="19"/>
      <c r="L919" s="19"/>
      <c r="M919" s="19"/>
      <c r="N919" s="19"/>
      <c r="O919" s="19"/>
      <c r="P919" s="20"/>
      <c r="Q919" s="20"/>
      <c r="R919" s="22"/>
      <c r="S919" s="22"/>
      <c r="T919" s="20"/>
      <c r="U919" s="20"/>
      <c r="V919" s="20"/>
      <c r="W919" s="19"/>
      <c r="X919" s="19"/>
      <c r="Y919" s="19"/>
      <c r="Z919" s="23"/>
    </row>
    <row r="920" spans="1:26" ht="15.75" customHeight="1" x14ac:dyDescent="0.2">
      <c r="A920" s="34"/>
      <c r="B920" s="34"/>
      <c r="C920" s="34"/>
      <c r="D920" s="34"/>
      <c r="E920" s="19"/>
      <c r="F920" s="19"/>
      <c r="G920" s="19"/>
      <c r="H920" s="19"/>
      <c r="I920" s="19"/>
      <c r="J920" s="19"/>
      <c r="K920" s="19"/>
      <c r="L920" s="19"/>
      <c r="M920" s="19"/>
      <c r="N920" s="19"/>
      <c r="O920" s="19"/>
      <c r="P920" s="20"/>
      <c r="Q920" s="20"/>
      <c r="R920" s="22"/>
      <c r="S920" s="22"/>
      <c r="T920" s="20"/>
      <c r="U920" s="20"/>
      <c r="V920" s="20"/>
      <c r="W920" s="19"/>
      <c r="X920" s="19"/>
      <c r="Y920" s="19"/>
      <c r="Z920" s="23"/>
    </row>
    <row r="921" spans="1:26" ht="15.75" customHeight="1" x14ac:dyDescent="0.2">
      <c r="A921" s="34"/>
      <c r="B921" s="34"/>
      <c r="C921" s="34"/>
      <c r="D921" s="34"/>
      <c r="E921" s="19"/>
      <c r="F921" s="19"/>
      <c r="G921" s="19"/>
      <c r="H921" s="19"/>
      <c r="I921" s="19"/>
      <c r="J921" s="19"/>
      <c r="K921" s="19"/>
      <c r="L921" s="19"/>
      <c r="M921" s="19"/>
      <c r="N921" s="19"/>
      <c r="O921" s="19"/>
      <c r="P921" s="20"/>
      <c r="Q921" s="20"/>
      <c r="R921" s="22"/>
      <c r="S921" s="22"/>
      <c r="T921" s="20"/>
      <c r="U921" s="20"/>
      <c r="V921" s="20"/>
      <c r="W921" s="19"/>
      <c r="X921" s="19"/>
      <c r="Y921" s="19"/>
      <c r="Z921" s="23"/>
    </row>
    <row r="922" spans="1:26" ht="15.75" customHeight="1" x14ac:dyDescent="0.2">
      <c r="A922" s="34"/>
      <c r="B922" s="34"/>
      <c r="C922" s="34"/>
      <c r="D922" s="34"/>
      <c r="E922" s="19"/>
      <c r="F922" s="19"/>
      <c r="G922" s="19"/>
      <c r="H922" s="19"/>
      <c r="I922" s="19"/>
      <c r="J922" s="19"/>
      <c r="K922" s="19"/>
      <c r="L922" s="19"/>
      <c r="M922" s="19"/>
      <c r="N922" s="19"/>
      <c r="O922" s="19"/>
      <c r="P922" s="20"/>
      <c r="Q922" s="20"/>
      <c r="R922" s="22"/>
      <c r="S922" s="22"/>
      <c r="T922" s="20"/>
      <c r="U922" s="20"/>
      <c r="V922" s="20"/>
      <c r="W922" s="19"/>
      <c r="X922" s="19"/>
      <c r="Y922" s="19"/>
      <c r="Z922" s="23"/>
    </row>
    <row r="923" spans="1:26" ht="15.75" customHeight="1" x14ac:dyDescent="0.2">
      <c r="A923" s="34"/>
      <c r="B923" s="34"/>
      <c r="C923" s="34"/>
      <c r="D923" s="34"/>
      <c r="E923" s="19"/>
      <c r="F923" s="19"/>
      <c r="G923" s="19"/>
      <c r="H923" s="19"/>
      <c r="I923" s="19"/>
      <c r="J923" s="19"/>
      <c r="K923" s="19"/>
      <c r="L923" s="19"/>
      <c r="M923" s="19"/>
      <c r="N923" s="19"/>
      <c r="O923" s="19"/>
      <c r="P923" s="20"/>
      <c r="Q923" s="20"/>
      <c r="R923" s="22"/>
      <c r="S923" s="22"/>
      <c r="T923" s="20"/>
      <c r="U923" s="20"/>
      <c r="V923" s="20"/>
      <c r="W923" s="19"/>
      <c r="X923" s="19"/>
      <c r="Y923" s="19"/>
      <c r="Z923" s="23"/>
    </row>
    <row r="924" spans="1:26" ht="15.75" customHeight="1" x14ac:dyDescent="0.2">
      <c r="A924" s="34"/>
      <c r="B924" s="34"/>
      <c r="C924" s="34"/>
      <c r="D924" s="34"/>
      <c r="E924" s="19"/>
      <c r="F924" s="19"/>
      <c r="G924" s="19"/>
      <c r="H924" s="19"/>
      <c r="I924" s="19"/>
      <c r="J924" s="19"/>
      <c r="K924" s="19"/>
      <c r="L924" s="19"/>
      <c r="M924" s="19"/>
      <c r="N924" s="19"/>
      <c r="O924" s="19"/>
      <c r="P924" s="20"/>
      <c r="Q924" s="20"/>
      <c r="R924" s="22"/>
      <c r="S924" s="22"/>
      <c r="T924" s="20"/>
      <c r="U924" s="20"/>
      <c r="V924" s="20"/>
      <c r="W924" s="19"/>
      <c r="X924" s="19"/>
      <c r="Y924" s="19"/>
      <c r="Z924" s="23"/>
    </row>
    <row r="925" spans="1:26" ht="15.75" customHeight="1" x14ac:dyDescent="0.2">
      <c r="A925" s="34"/>
      <c r="B925" s="34"/>
      <c r="C925" s="34"/>
      <c r="D925" s="34"/>
      <c r="E925" s="19"/>
      <c r="F925" s="19"/>
      <c r="G925" s="19"/>
      <c r="H925" s="19"/>
      <c r="I925" s="19"/>
      <c r="J925" s="19"/>
      <c r="K925" s="19"/>
      <c r="L925" s="19"/>
      <c r="M925" s="19"/>
      <c r="N925" s="19"/>
      <c r="O925" s="19"/>
      <c r="P925" s="20"/>
      <c r="Q925" s="20"/>
      <c r="R925" s="22"/>
      <c r="S925" s="22"/>
      <c r="T925" s="20"/>
      <c r="U925" s="20"/>
      <c r="V925" s="20"/>
      <c r="W925" s="19"/>
      <c r="X925" s="19"/>
      <c r="Y925" s="19"/>
      <c r="Z925" s="23"/>
    </row>
    <row r="926" spans="1:26" ht="15.75" customHeight="1" x14ac:dyDescent="0.2">
      <c r="A926" s="34"/>
      <c r="B926" s="34"/>
      <c r="C926" s="34"/>
      <c r="D926" s="34"/>
      <c r="E926" s="19"/>
      <c r="F926" s="19"/>
      <c r="G926" s="19"/>
      <c r="H926" s="19"/>
      <c r="I926" s="19"/>
      <c r="J926" s="19"/>
      <c r="K926" s="19"/>
      <c r="L926" s="19"/>
      <c r="M926" s="19"/>
      <c r="N926" s="19"/>
      <c r="O926" s="19"/>
      <c r="P926" s="20"/>
      <c r="Q926" s="20"/>
      <c r="R926" s="22"/>
      <c r="S926" s="22"/>
      <c r="T926" s="20"/>
      <c r="U926" s="20"/>
      <c r="V926" s="20"/>
      <c r="W926" s="19"/>
      <c r="X926" s="19"/>
      <c r="Y926" s="19"/>
      <c r="Z926" s="23"/>
    </row>
    <row r="927" spans="1:26" ht="15.75" customHeight="1" x14ac:dyDescent="0.2">
      <c r="A927" s="34"/>
      <c r="B927" s="34"/>
      <c r="C927" s="34"/>
      <c r="D927" s="34"/>
      <c r="E927" s="19"/>
      <c r="F927" s="19"/>
      <c r="G927" s="19"/>
      <c r="H927" s="19"/>
      <c r="I927" s="19"/>
      <c r="J927" s="19"/>
      <c r="K927" s="19"/>
      <c r="L927" s="19"/>
      <c r="M927" s="19"/>
      <c r="N927" s="19"/>
      <c r="O927" s="19"/>
      <c r="P927" s="20"/>
      <c r="Q927" s="20"/>
      <c r="R927" s="22"/>
      <c r="S927" s="22"/>
      <c r="T927" s="20"/>
      <c r="U927" s="20"/>
      <c r="V927" s="20"/>
      <c r="W927" s="19"/>
      <c r="X927" s="19"/>
      <c r="Y927" s="19"/>
      <c r="Z927" s="23"/>
    </row>
    <row r="928" spans="1:26" ht="15.75" customHeight="1" x14ac:dyDescent="0.2">
      <c r="A928" s="34"/>
      <c r="B928" s="34"/>
      <c r="C928" s="34"/>
      <c r="D928" s="34"/>
      <c r="E928" s="19"/>
      <c r="F928" s="19"/>
      <c r="G928" s="19"/>
      <c r="H928" s="19"/>
      <c r="I928" s="19"/>
      <c r="J928" s="19"/>
      <c r="K928" s="19"/>
      <c r="L928" s="19"/>
      <c r="M928" s="19"/>
      <c r="N928" s="19"/>
      <c r="O928" s="19"/>
      <c r="P928" s="20"/>
      <c r="Q928" s="20"/>
      <c r="R928" s="22"/>
      <c r="S928" s="22"/>
      <c r="T928" s="20"/>
      <c r="U928" s="20"/>
      <c r="V928" s="20"/>
      <c r="W928" s="19"/>
      <c r="X928" s="19"/>
      <c r="Y928" s="19"/>
      <c r="Z928" s="23"/>
    </row>
    <row r="929" spans="1:26" ht="15.75" customHeight="1" x14ac:dyDescent="0.2">
      <c r="A929" s="34"/>
      <c r="B929" s="34"/>
      <c r="C929" s="34"/>
      <c r="D929" s="34"/>
      <c r="E929" s="19"/>
      <c r="F929" s="19"/>
      <c r="G929" s="19"/>
      <c r="H929" s="19"/>
      <c r="I929" s="19"/>
      <c r="J929" s="19"/>
      <c r="K929" s="19"/>
      <c r="L929" s="19"/>
      <c r="M929" s="19"/>
      <c r="N929" s="19"/>
      <c r="O929" s="19"/>
      <c r="P929" s="20"/>
      <c r="Q929" s="20"/>
      <c r="R929" s="22"/>
      <c r="S929" s="22"/>
      <c r="T929" s="20"/>
      <c r="U929" s="20"/>
      <c r="V929" s="20"/>
      <c r="W929" s="19"/>
      <c r="X929" s="19"/>
      <c r="Y929" s="19"/>
      <c r="Z929" s="23"/>
    </row>
    <row r="930" spans="1:26" ht="15.75" customHeight="1" x14ac:dyDescent="0.2">
      <c r="A930" s="34"/>
      <c r="B930" s="34"/>
      <c r="C930" s="34"/>
      <c r="D930" s="34"/>
      <c r="E930" s="19"/>
      <c r="F930" s="19"/>
      <c r="G930" s="19"/>
      <c r="H930" s="19"/>
      <c r="I930" s="19"/>
      <c r="J930" s="19"/>
      <c r="K930" s="19"/>
      <c r="L930" s="19"/>
      <c r="M930" s="19"/>
      <c r="N930" s="19"/>
      <c r="O930" s="19"/>
      <c r="P930" s="20"/>
      <c r="Q930" s="20"/>
      <c r="R930" s="22"/>
      <c r="S930" s="22"/>
      <c r="T930" s="20"/>
      <c r="U930" s="20"/>
      <c r="V930" s="20"/>
      <c r="W930" s="19"/>
      <c r="X930" s="19"/>
      <c r="Y930" s="19"/>
      <c r="Z930" s="23"/>
    </row>
    <row r="931" spans="1:26" ht="15.75" customHeight="1" x14ac:dyDescent="0.2">
      <c r="A931" s="34"/>
      <c r="B931" s="34"/>
      <c r="C931" s="34"/>
      <c r="D931" s="34"/>
      <c r="E931" s="19"/>
      <c r="F931" s="19"/>
      <c r="G931" s="19"/>
      <c r="H931" s="19"/>
      <c r="I931" s="19"/>
      <c r="J931" s="19"/>
      <c r="K931" s="19"/>
      <c r="L931" s="19"/>
      <c r="M931" s="19"/>
      <c r="N931" s="19"/>
      <c r="O931" s="19"/>
      <c r="P931" s="20"/>
      <c r="Q931" s="20"/>
      <c r="R931" s="22"/>
      <c r="S931" s="22"/>
      <c r="T931" s="20"/>
      <c r="U931" s="20"/>
      <c r="V931" s="20"/>
      <c r="W931" s="19"/>
      <c r="X931" s="19"/>
      <c r="Y931" s="19"/>
      <c r="Z931" s="23"/>
    </row>
    <row r="932" spans="1:26" ht="15.75" customHeight="1" x14ac:dyDescent="0.2">
      <c r="A932" s="34"/>
      <c r="B932" s="34"/>
      <c r="C932" s="34"/>
      <c r="D932" s="34"/>
      <c r="E932" s="19"/>
      <c r="F932" s="19"/>
      <c r="G932" s="19"/>
      <c r="H932" s="19"/>
      <c r="I932" s="19"/>
      <c r="J932" s="19"/>
      <c r="K932" s="19"/>
      <c r="L932" s="19"/>
      <c r="M932" s="19"/>
      <c r="N932" s="19"/>
      <c r="O932" s="19"/>
      <c r="P932" s="20"/>
      <c r="Q932" s="20"/>
      <c r="R932" s="22"/>
      <c r="S932" s="22"/>
      <c r="T932" s="20"/>
      <c r="U932" s="20"/>
      <c r="V932" s="20"/>
      <c r="W932" s="19"/>
      <c r="X932" s="19"/>
      <c r="Y932" s="19"/>
      <c r="Z932" s="23"/>
    </row>
    <row r="933" spans="1:26" ht="15.75" customHeight="1" x14ac:dyDescent="0.2">
      <c r="A933" s="34"/>
      <c r="B933" s="34"/>
      <c r="C933" s="34"/>
      <c r="D933" s="34"/>
      <c r="E933" s="19"/>
      <c r="F933" s="19"/>
      <c r="G933" s="19"/>
      <c r="H933" s="19"/>
      <c r="I933" s="19"/>
      <c r="J933" s="19"/>
      <c r="K933" s="19"/>
      <c r="L933" s="19"/>
      <c r="M933" s="19"/>
      <c r="N933" s="19"/>
      <c r="O933" s="19"/>
      <c r="P933" s="20"/>
      <c r="Q933" s="20"/>
      <c r="R933" s="22"/>
      <c r="S933" s="22"/>
      <c r="T933" s="20"/>
      <c r="U933" s="20"/>
      <c r="V933" s="20"/>
      <c r="W933" s="19"/>
      <c r="X933" s="19"/>
      <c r="Y933" s="19"/>
      <c r="Z933" s="23"/>
    </row>
    <row r="934" spans="1:26" ht="15.75" customHeight="1" x14ac:dyDescent="0.2">
      <c r="A934" s="34"/>
      <c r="B934" s="34"/>
      <c r="C934" s="34"/>
      <c r="D934" s="34"/>
      <c r="E934" s="19"/>
      <c r="F934" s="19"/>
      <c r="G934" s="19"/>
      <c r="H934" s="19"/>
      <c r="I934" s="19"/>
      <c r="J934" s="19"/>
      <c r="K934" s="19"/>
      <c r="L934" s="19"/>
      <c r="M934" s="19"/>
      <c r="N934" s="19"/>
      <c r="O934" s="19"/>
      <c r="P934" s="20"/>
      <c r="Q934" s="20"/>
      <c r="R934" s="22"/>
      <c r="S934" s="22"/>
      <c r="T934" s="20"/>
      <c r="U934" s="20"/>
      <c r="V934" s="20"/>
      <c r="W934" s="19"/>
      <c r="X934" s="19"/>
      <c r="Y934" s="19"/>
      <c r="Z934" s="23"/>
    </row>
    <row r="935" spans="1:26" ht="15.75" customHeight="1" x14ac:dyDescent="0.2">
      <c r="A935" s="34"/>
      <c r="B935" s="34"/>
      <c r="C935" s="34"/>
      <c r="D935" s="34"/>
      <c r="E935" s="19"/>
      <c r="F935" s="19"/>
      <c r="G935" s="19"/>
      <c r="H935" s="19"/>
      <c r="I935" s="19"/>
      <c r="J935" s="19"/>
      <c r="K935" s="19"/>
      <c r="L935" s="19"/>
      <c r="M935" s="19"/>
      <c r="N935" s="19"/>
      <c r="O935" s="19"/>
      <c r="P935" s="20"/>
      <c r="Q935" s="20"/>
      <c r="R935" s="22"/>
      <c r="S935" s="22"/>
      <c r="T935" s="20"/>
      <c r="U935" s="20"/>
      <c r="V935" s="20"/>
      <c r="W935" s="19"/>
      <c r="X935" s="19"/>
      <c r="Y935" s="19"/>
      <c r="Z935" s="23"/>
    </row>
    <row r="936" spans="1:26" ht="15.75" customHeight="1" x14ac:dyDescent="0.2">
      <c r="A936" s="34"/>
      <c r="B936" s="34"/>
      <c r="C936" s="34"/>
      <c r="D936" s="34"/>
      <c r="E936" s="19"/>
      <c r="F936" s="19"/>
      <c r="G936" s="19"/>
      <c r="H936" s="19"/>
      <c r="I936" s="19"/>
      <c r="J936" s="19"/>
      <c r="K936" s="19"/>
      <c r="L936" s="19"/>
      <c r="M936" s="19"/>
      <c r="N936" s="19"/>
      <c r="O936" s="19"/>
      <c r="P936" s="20"/>
      <c r="Q936" s="20"/>
      <c r="R936" s="22"/>
      <c r="S936" s="22"/>
      <c r="T936" s="20"/>
      <c r="U936" s="20"/>
      <c r="V936" s="20"/>
      <c r="W936" s="19"/>
      <c r="X936" s="19"/>
      <c r="Y936" s="19"/>
      <c r="Z936" s="23"/>
    </row>
    <row r="937" spans="1:26" ht="15.75" customHeight="1" x14ac:dyDescent="0.2">
      <c r="A937" s="34"/>
      <c r="B937" s="34"/>
      <c r="C937" s="34"/>
      <c r="D937" s="34"/>
      <c r="E937" s="19"/>
      <c r="F937" s="19"/>
      <c r="G937" s="19"/>
      <c r="H937" s="19"/>
      <c r="I937" s="19"/>
      <c r="J937" s="19"/>
      <c r="K937" s="19"/>
      <c r="L937" s="19"/>
      <c r="M937" s="19"/>
      <c r="N937" s="19"/>
      <c r="O937" s="19"/>
      <c r="P937" s="20"/>
      <c r="Q937" s="20"/>
      <c r="R937" s="22"/>
      <c r="S937" s="22"/>
      <c r="T937" s="20"/>
      <c r="U937" s="20"/>
      <c r="V937" s="20"/>
      <c r="W937" s="19"/>
      <c r="X937" s="19"/>
      <c r="Y937" s="19"/>
      <c r="Z937" s="23"/>
    </row>
    <row r="938" spans="1:26" ht="15.75" customHeight="1" x14ac:dyDescent="0.2">
      <c r="A938" s="34"/>
      <c r="B938" s="34"/>
      <c r="C938" s="34"/>
      <c r="D938" s="34"/>
      <c r="E938" s="19"/>
      <c r="F938" s="19"/>
      <c r="G938" s="19"/>
      <c r="H938" s="19"/>
      <c r="I938" s="19"/>
      <c r="J938" s="19"/>
      <c r="K938" s="19"/>
      <c r="L938" s="19"/>
      <c r="M938" s="19"/>
      <c r="N938" s="19"/>
      <c r="O938" s="19"/>
      <c r="P938" s="20"/>
      <c r="Q938" s="20"/>
      <c r="R938" s="22"/>
      <c r="S938" s="22"/>
      <c r="T938" s="20"/>
      <c r="U938" s="20"/>
      <c r="V938" s="20"/>
      <c r="W938" s="19"/>
      <c r="X938" s="19"/>
      <c r="Y938" s="19"/>
      <c r="Z938" s="23"/>
    </row>
    <row r="939" spans="1:26" ht="15.75" customHeight="1" x14ac:dyDescent="0.2">
      <c r="A939" s="34"/>
      <c r="B939" s="34"/>
      <c r="C939" s="34"/>
      <c r="D939" s="34"/>
      <c r="E939" s="19"/>
      <c r="F939" s="19"/>
      <c r="G939" s="19"/>
      <c r="H939" s="19"/>
      <c r="I939" s="19"/>
      <c r="J939" s="19"/>
      <c r="K939" s="19"/>
      <c r="L939" s="19"/>
      <c r="M939" s="19"/>
      <c r="N939" s="19"/>
      <c r="O939" s="19"/>
      <c r="P939" s="20"/>
      <c r="Q939" s="20"/>
      <c r="R939" s="22"/>
      <c r="S939" s="22"/>
      <c r="T939" s="20"/>
      <c r="U939" s="20"/>
      <c r="V939" s="20"/>
      <c r="W939" s="19"/>
      <c r="X939" s="19"/>
      <c r="Y939" s="19"/>
      <c r="Z939" s="23"/>
    </row>
    <row r="940" spans="1:26" ht="15.75" customHeight="1" x14ac:dyDescent="0.2">
      <c r="A940" s="34"/>
      <c r="B940" s="34"/>
      <c r="C940" s="34"/>
      <c r="D940" s="34"/>
      <c r="E940" s="19"/>
      <c r="F940" s="19"/>
      <c r="G940" s="19"/>
      <c r="H940" s="19"/>
      <c r="I940" s="19"/>
      <c r="J940" s="19"/>
      <c r="K940" s="19"/>
      <c r="L940" s="19"/>
      <c r="M940" s="19"/>
      <c r="N940" s="19"/>
      <c r="O940" s="19"/>
      <c r="P940" s="20"/>
      <c r="Q940" s="20"/>
      <c r="R940" s="22"/>
      <c r="S940" s="22"/>
      <c r="T940" s="20"/>
      <c r="U940" s="20"/>
      <c r="V940" s="20"/>
      <c r="W940" s="19"/>
      <c r="X940" s="19"/>
      <c r="Y940" s="19"/>
      <c r="Z940" s="23"/>
    </row>
    <row r="941" spans="1:26" ht="15.75" customHeight="1" x14ac:dyDescent="0.2">
      <c r="A941" s="34"/>
      <c r="B941" s="34"/>
      <c r="C941" s="34"/>
      <c r="D941" s="34"/>
      <c r="E941" s="19"/>
      <c r="F941" s="19"/>
      <c r="G941" s="19"/>
      <c r="H941" s="19"/>
      <c r="I941" s="19"/>
      <c r="J941" s="19"/>
      <c r="K941" s="19"/>
      <c r="L941" s="19"/>
      <c r="M941" s="19"/>
      <c r="N941" s="19"/>
      <c r="O941" s="19"/>
      <c r="P941" s="20"/>
      <c r="Q941" s="20"/>
      <c r="R941" s="22"/>
      <c r="S941" s="22"/>
      <c r="T941" s="20"/>
      <c r="U941" s="20"/>
      <c r="V941" s="20"/>
      <c r="W941" s="19"/>
      <c r="X941" s="19"/>
      <c r="Y941" s="19"/>
      <c r="Z941" s="23"/>
    </row>
    <row r="942" spans="1:26" ht="15.75" customHeight="1" x14ac:dyDescent="0.2">
      <c r="A942" s="34"/>
      <c r="B942" s="34"/>
      <c r="C942" s="34"/>
      <c r="D942" s="34"/>
      <c r="E942" s="19"/>
      <c r="F942" s="19"/>
      <c r="G942" s="19"/>
      <c r="H942" s="19"/>
      <c r="I942" s="19"/>
      <c r="J942" s="19"/>
      <c r="K942" s="19"/>
      <c r="L942" s="19"/>
      <c r="M942" s="19"/>
      <c r="N942" s="19"/>
      <c r="O942" s="19"/>
      <c r="P942" s="20"/>
      <c r="Q942" s="20"/>
      <c r="R942" s="22"/>
      <c r="S942" s="22"/>
      <c r="T942" s="20"/>
      <c r="U942" s="20"/>
      <c r="V942" s="20"/>
      <c r="W942" s="19"/>
      <c r="X942" s="19"/>
      <c r="Y942" s="19"/>
      <c r="Z942" s="23"/>
    </row>
    <row r="943" spans="1:26" ht="15.75" customHeight="1" x14ac:dyDescent="0.2">
      <c r="A943" s="34"/>
      <c r="B943" s="34"/>
      <c r="C943" s="34"/>
      <c r="D943" s="34"/>
      <c r="E943" s="19"/>
      <c r="F943" s="19"/>
      <c r="G943" s="19"/>
      <c r="H943" s="19"/>
      <c r="I943" s="19"/>
      <c r="J943" s="19"/>
      <c r="K943" s="19"/>
      <c r="L943" s="19"/>
      <c r="M943" s="19"/>
      <c r="N943" s="19"/>
      <c r="O943" s="19"/>
      <c r="P943" s="20"/>
      <c r="Q943" s="20"/>
      <c r="R943" s="22"/>
      <c r="S943" s="22"/>
      <c r="T943" s="20"/>
      <c r="U943" s="20"/>
      <c r="V943" s="20"/>
      <c r="W943" s="19"/>
      <c r="X943" s="19"/>
      <c r="Y943" s="19"/>
      <c r="Z943" s="23"/>
    </row>
    <row r="944" spans="1:26" ht="15.75" customHeight="1" x14ac:dyDescent="0.2">
      <c r="A944" s="34"/>
      <c r="B944" s="34"/>
      <c r="C944" s="34"/>
      <c r="D944" s="34"/>
      <c r="E944" s="19"/>
      <c r="F944" s="19"/>
      <c r="G944" s="19"/>
      <c r="H944" s="19"/>
      <c r="I944" s="19"/>
      <c r="J944" s="19"/>
      <c r="K944" s="19"/>
      <c r="L944" s="19"/>
      <c r="M944" s="19"/>
      <c r="N944" s="19"/>
      <c r="O944" s="19"/>
      <c r="P944" s="20"/>
      <c r="Q944" s="20"/>
      <c r="R944" s="22"/>
      <c r="S944" s="22"/>
      <c r="T944" s="20"/>
      <c r="U944" s="20"/>
      <c r="V944" s="20"/>
      <c r="W944" s="19"/>
      <c r="X944" s="19"/>
      <c r="Y944" s="19"/>
      <c r="Z944" s="23"/>
    </row>
    <row r="945" spans="1:26" ht="15.75" customHeight="1" x14ac:dyDescent="0.2">
      <c r="A945" s="34"/>
      <c r="B945" s="34"/>
      <c r="C945" s="34"/>
      <c r="D945" s="34"/>
      <c r="E945" s="19"/>
      <c r="F945" s="19"/>
      <c r="G945" s="19"/>
      <c r="H945" s="19"/>
      <c r="I945" s="19"/>
      <c r="J945" s="19"/>
      <c r="K945" s="19"/>
      <c r="L945" s="19"/>
      <c r="M945" s="19"/>
      <c r="N945" s="19"/>
      <c r="O945" s="19"/>
      <c r="P945" s="20"/>
      <c r="Q945" s="20"/>
      <c r="R945" s="22"/>
      <c r="S945" s="22"/>
      <c r="T945" s="20"/>
      <c r="U945" s="20"/>
      <c r="V945" s="20"/>
      <c r="W945" s="19"/>
      <c r="X945" s="19"/>
      <c r="Y945" s="19"/>
      <c r="Z945" s="23"/>
    </row>
    <row r="946" spans="1:26" ht="15.75" customHeight="1" x14ac:dyDescent="0.2">
      <c r="A946" s="34"/>
      <c r="B946" s="34"/>
      <c r="C946" s="34"/>
      <c r="D946" s="34"/>
      <c r="E946" s="19"/>
      <c r="F946" s="19"/>
      <c r="G946" s="19"/>
      <c r="H946" s="19"/>
      <c r="I946" s="19"/>
      <c r="J946" s="19"/>
      <c r="K946" s="19"/>
      <c r="L946" s="19"/>
      <c r="M946" s="19"/>
      <c r="N946" s="19"/>
      <c r="O946" s="19"/>
      <c r="P946" s="20"/>
      <c r="Q946" s="20"/>
      <c r="R946" s="22"/>
      <c r="S946" s="22"/>
      <c r="T946" s="20"/>
      <c r="U946" s="20"/>
      <c r="V946" s="20"/>
      <c r="W946" s="19"/>
      <c r="X946" s="19"/>
      <c r="Y946" s="19"/>
      <c r="Z946" s="23"/>
    </row>
    <row r="947" spans="1:26" ht="15.75" customHeight="1" x14ac:dyDescent="0.2">
      <c r="A947" s="34"/>
      <c r="B947" s="34"/>
      <c r="C947" s="34"/>
      <c r="D947" s="34"/>
      <c r="E947" s="19"/>
      <c r="F947" s="19"/>
      <c r="G947" s="19"/>
      <c r="H947" s="19"/>
      <c r="I947" s="19"/>
      <c r="J947" s="19"/>
      <c r="K947" s="19"/>
      <c r="L947" s="19"/>
      <c r="M947" s="19"/>
      <c r="N947" s="19"/>
      <c r="O947" s="19"/>
      <c r="P947" s="20"/>
      <c r="Q947" s="20"/>
      <c r="R947" s="22"/>
      <c r="S947" s="22"/>
      <c r="T947" s="20"/>
      <c r="U947" s="20"/>
      <c r="V947" s="20"/>
      <c r="W947" s="19"/>
      <c r="X947" s="19"/>
      <c r="Y947" s="19"/>
      <c r="Z947" s="23"/>
    </row>
    <row r="948" spans="1:26" ht="15.75" customHeight="1" x14ac:dyDescent="0.2">
      <c r="A948" s="34"/>
      <c r="B948" s="34"/>
      <c r="C948" s="34"/>
      <c r="D948" s="34"/>
      <c r="E948" s="19"/>
      <c r="F948" s="19"/>
      <c r="G948" s="19"/>
      <c r="H948" s="19"/>
      <c r="I948" s="19"/>
      <c r="J948" s="19"/>
      <c r="K948" s="19"/>
      <c r="L948" s="19"/>
      <c r="M948" s="19"/>
      <c r="N948" s="19"/>
      <c r="O948" s="19"/>
      <c r="P948" s="20"/>
      <c r="Q948" s="20"/>
      <c r="R948" s="22"/>
      <c r="S948" s="22"/>
      <c r="T948" s="20"/>
      <c r="U948" s="20"/>
      <c r="V948" s="20"/>
      <c r="W948" s="19"/>
      <c r="X948" s="19"/>
      <c r="Y948" s="19"/>
      <c r="Z948" s="23"/>
    </row>
    <row r="949" spans="1:26" ht="15.75" customHeight="1" x14ac:dyDescent="0.2">
      <c r="A949" s="34"/>
      <c r="B949" s="34"/>
      <c r="C949" s="34"/>
      <c r="D949" s="34"/>
      <c r="E949" s="19"/>
      <c r="F949" s="19"/>
      <c r="G949" s="19"/>
      <c r="H949" s="19"/>
      <c r="I949" s="19"/>
      <c r="J949" s="19"/>
      <c r="K949" s="19"/>
      <c r="L949" s="19"/>
      <c r="M949" s="19"/>
      <c r="N949" s="19"/>
      <c r="O949" s="19"/>
      <c r="P949" s="20"/>
      <c r="Q949" s="20"/>
      <c r="R949" s="22"/>
      <c r="S949" s="22"/>
      <c r="T949" s="20"/>
      <c r="U949" s="20"/>
      <c r="V949" s="20"/>
      <c r="W949" s="19"/>
      <c r="X949" s="19"/>
      <c r="Y949" s="19"/>
      <c r="Z949" s="23"/>
    </row>
    <row r="950" spans="1:26" ht="15.75" customHeight="1" x14ac:dyDescent="0.2">
      <c r="A950" s="34"/>
      <c r="B950" s="34"/>
      <c r="C950" s="34"/>
      <c r="D950" s="34"/>
      <c r="E950" s="19"/>
      <c r="F950" s="19"/>
      <c r="G950" s="19"/>
      <c r="H950" s="19"/>
      <c r="I950" s="19"/>
      <c r="J950" s="19"/>
      <c r="K950" s="19"/>
      <c r="L950" s="19"/>
      <c r="M950" s="19"/>
      <c r="N950" s="19"/>
      <c r="O950" s="19"/>
      <c r="P950" s="20"/>
      <c r="Q950" s="20"/>
      <c r="R950" s="22"/>
      <c r="S950" s="22"/>
      <c r="T950" s="20"/>
      <c r="U950" s="20"/>
      <c r="V950" s="20"/>
      <c r="W950" s="19"/>
      <c r="X950" s="19"/>
      <c r="Y950" s="19"/>
      <c r="Z950" s="23"/>
    </row>
    <row r="951" spans="1:26" ht="15.75" customHeight="1" x14ac:dyDescent="0.2">
      <c r="A951" s="34"/>
      <c r="B951" s="34"/>
      <c r="C951" s="34"/>
      <c r="D951" s="34"/>
      <c r="E951" s="19"/>
      <c r="F951" s="19"/>
      <c r="G951" s="19"/>
      <c r="H951" s="19"/>
      <c r="I951" s="19"/>
      <c r="J951" s="19"/>
      <c r="K951" s="19"/>
      <c r="L951" s="19"/>
      <c r="M951" s="19"/>
      <c r="N951" s="19"/>
      <c r="O951" s="19"/>
      <c r="P951" s="20"/>
      <c r="Q951" s="20"/>
      <c r="R951" s="22"/>
      <c r="S951" s="22"/>
      <c r="T951" s="20"/>
      <c r="U951" s="20"/>
      <c r="V951" s="20"/>
      <c r="W951" s="19"/>
      <c r="X951" s="19"/>
      <c r="Y951" s="19"/>
      <c r="Z951" s="23"/>
    </row>
    <row r="952" spans="1:26" ht="15.75" customHeight="1" x14ac:dyDescent="0.2">
      <c r="A952" s="34"/>
      <c r="B952" s="34"/>
      <c r="C952" s="34"/>
      <c r="D952" s="34"/>
      <c r="E952" s="19"/>
      <c r="F952" s="19"/>
      <c r="G952" s="19"/>
      <c r="H952" s="19"/>
      <c r="I952" s="19"/>
      <c r="J952" s="19"/>
      <c r="K952" s="19"/>
      <c r="L952" s="19"/>
      <c r="M952" s="19"/>
      <c r="N952" s="19"/>
      <c r="O952" s="19"/>
      <c r="P952" s="20"/>
      <c r="Q952" s="20"/>
      <c r="R952" s="22"/>
      <c r="S952" s="22"/>
      <c r="T952" s="20"/>
      <c r="U952" s="20"/>
      <c r="V952" s="20"/>
      <c r="W952" s="19"/>
      <c r="X952" s="19"/>
      <c r="Y952" s="19"/>
      <c r="Z952" s="23"/>
    </row>
    <row r="953" spans="1:26" ht="15.75" customHeight="1" x14ac:dyDescent="0.2">
      <c r="A953" s="34"/>
      <c r="B953" s="34"/>
      <c r="C953" s="34"/>
      <c r="D953" s="34"/>
      <c r="E953" s="19"/>
      <c r="F953" s="19"/>
      <c r="G953" s="19"/>
      <c r="H953" s="19"/>
      <c r="I953" s="19"/>
      <c r="J953" s="19"/>
      <c r="K953" s="19"/>
      <c r="L953" s="19"/>
      <c r="M953" s="19"/>
      <c r="N953" s="19"/>
      <c r="O953" s="19"/>
      <c r="P953" s="20"/>
      <c r="Q953" s="20"/>
      <c r="R953" s="22"/>
      <c r="S953" s="22"/>
      <c r="T953" s="20"/>
      <c r="U953" s="20"/>
      <c r="V953" s="20"/>
      <c r="W953" s="19"/>
      <c r="X953" s="19"/>
      <c r="Y953" s="19"/>
      <c r="Z953" s="23"/>
    </row>
    <row r="954" spans="1:26" ht="15.75" customHeight="1" x14ac:dyDescent="0.2">
      <c r="A954" s="34"/>
      <c r="B954" s="34"/>
      <c r="C954" s="34"/>
      <c r="D954" s="34"/>
      <c r="E954" s="19"/>
      <c r="F954" s="19"/>
      <c r="G954" s="19"/>
      <c r="H954" s="19"/>
      <c r="I954" s="19"/>
      <c r="J954" s="19"/>
      <c r="K954" s="19"/>
      <c r="L954" s="19"/>
      <c r="M954" s="19"/>
      <c r="N954" s="19"/>
      <c r="O954" s="19"/>
      <c r="P954" s="20"/>
      <c r="Q954" s="20"/>
      <c r="R954" s="22"/>
      <c r="S954" s="22"/>
      <c r="T954" s="20"/>
      <c r="U954" s="20"/>
      <c r="V954" s="20"/>
      <c r="W954" s="19"/>
      <c r="X954" s="19"/>
      <c r="Y954" s="19"/>
      <c r="Z954" s="23"/>
    </row>
    <row r="955" spans="1:26" ht="15.75" customHeight="1" x14ac:dyDescent="0.2">
      <c r="A955" s="34"/>
      <c r="B955" s="34"/>
      <c r="C955" s="34"/>
      <c r="D955" s="34"/>
      <c r="E955" s="19"/>
      <c r="F955" s="19"/>
      <c r="G955" s="19"/>
      <c r="H955" s="19"/>
      <c r="I955" s="19"/>
      <c r="J955" s="19"/>
      <c r="K955" s="19"/>
      <c r="L955" s="19"/>
      <c r="M955" s="19"/>
      <c r="N955" s="19"/>
      <c r="O955" s="19"/>
      <c r="P955" s="20"/>
      <c r="Q955" s="20"/>
      <c r="R955" s="22"/>
      <c r="S955" s="22"/>
      <c r="T955" s="20"/>
      <c r="U955" s="20"/>
      <c r="V955" s="20"/>
      <c r="W955" s="19"/>
      <c r="X955" s="19"/>
      <c r="Y955" s="19"/>
      <c r="Z955" s="23"/>
    </row>
    <row r="956" spans="1:26" ht="15.75" customHeight="1" x14ac:dyDescent="0.2">
      <c r="A956" s="34"/>
      <c r="B956" s="34"/>
      <c r="C956" s="34"/>
      <c r="D956" s="34"/>
      <c r="E956" s="19"/>
      <c r="F956" s="19"/>
      <c r="G956" s="19"/>
      <c r="H956" s="19"/>
      <c r="I956" s="19"/>
      <c r="J956" s="19"/>
      <c r="K956" s="19"/>
      <c r="L956" s="19"/>
      <c r="M956" s="19"/>
      <c r="N956" s="19"/>
      <c r="O956" s="19"/>
      <c r="P956" s="20"/>
      <c r="Q956" s="20"/>
      <c r="R956" s="22"/>
      <c r="S956" s="22"/>
      <c r="T956" s="20"/>
      <c r="U956" s="20"/>
      <c r="V956" s="20"/>
      <c r="W956" s="19"/>
      <c r="X956" s="19"/>
      <c r="Y956" s="19"/>
      <c r="Z956" s="23"/>
    </row>
    <row r="957" spans="1:26" ht="15.75" customHeight="1" x14ac:dyDescent="0.2">
      <c r="A957" s="34"/>
      <c r="B957" s="34"/>
      <c r="C957" s="34"/>
      <c r="D957" s="34"/>
      <c r="E957" s="19"/>
      <c r="F957" s="19"/>
      <c r="G957" s="19"/>
      <c r="H957" s="19"/>
      <c r="I957" s="19"/>
      <c r="J957" s="19"/>
      <c r="K957" s="19"/>
      <c r="L957" s="19"/>
      <c r="M957" s="19"/>
      <c r="N957" s="19"/>
      <c r="O957" s="19"/>
      <c r="P957" s="20"/>
      <c r="Q957" s="20"/>
      <c r="R957" s="22"/>
      <c r="S957" s="22"/>
      <c r="T957" s="20"/>
      <c r="U957" s="20"/>
      <c r="V957" s="20"/>
      <c r="W957" s="19"/>
      <c r="X957" s="19"/>
      <c r="Y957" s="19"/>
      <c r="Z957" s="23"/>
    </row>
    <row r="958" spans="1:26" ht="15.75" customHeight="1" x14ac:dyDescent="0.2">
      <c r="A958" s="34"/>
      <c r="B958" s="34"/>
      <c r="C958" s="34"/>
      <c r="D958" s="34"/>
      <c r="E958" s="19"/>
      <c r="F958" s="19"/>
      <c r="G958" s="19"/>
      <c r="H958" s="19"/>
      <c r="I958" s="19"/>
      <c r="J958" s="19"/>
      <c r="K958" s="19"/>
      <c r="L958" s="19"/>
      <c r="M958" s="19"/>
      <c r="N958" s="19"/>
      <c r="O958" s="19"/>
      <c r="P958" s="20"/>
      <c r="Q958" s="20"/>
      <c r="R958" s="22"/>
      <c r="S958" s="22"/>
      <c r="T958" s="20"/>
      <c r="U958" s="20"/>
      <c r="V958" s="20"/>
      <c r="W958" s="19"/>
      <c r="X958" s="19"/>
      <c r="Y958" s="19"/>
      <c r="Z958" s="23"/>
    </row>
    <row r="959" spans="1:26" ht="15.75" customHeight="1" x14ac:dyDescent="0.2">
      <c r="A959" s="34"/>
      <c r="B959" s="34"/>
      <c r="C959" s="34"/>
      <c r="D959" s="34"/>
      <c r="E959" s="19"/>
      <c r="F959" s="19"/>
      <c r="G959" s="19"/>
      <c r="H959" s="19"/>
      <c r="I959" s="19"/>
      <c r="J959" s="19"/>
      <c r="K959" s="19"/>
      <c r="L959" s="19"/>
      <c r="M959" s="19"/>
      <c r="N959" s="19"/>
      <c r="O959" s="19"/>
      <c r="P959" s="20"/>
      <c r="Q959" s="20"/>
      <c r="R959" s="22"/>
      <c r="S959" s="22"/>
      <c r="T959" s="20"/>
      <c r="U959" s="20"/>
      <c r="V959" s="20"/>
      <c r="W959" s="19"/>
      <c r="X959" s="19"/>
      <c r="Y959" s="19"/>
      <c r="Z959" s="23"/>
    </row>
    <row r="960" spans="1:26" ht="15.75" customHeight="1" x14ac:dyDescent="0.2">
      <c r="A960" s="34"/>
      <c r="B960" s="34"/>
      <c r="C960" s="34"/>
      <c r="D960" s="34"/>
      <c r="E960" s="19"/>
      <c r="F960" s="19"/>
      <c r="G960" s="19"/>
      <c r="H960" s="19"/>
      <c r="I960" s="19"/>
      <c r="J960" s="19"/>
      <c r="K960" s="19"/>
      <c r="L960" s="19"/>
      <c r="M960" s="19"/>
      <c r="N960" s="19"/>
      <c r="O960" s="19"/>
      <c r="P960" s="20"/>
      <c r="Q960" s="20"/>
      <c r="R960" s="22"/>
      <c r="S960" s="22"/>
      <c r="T960" s="20"/>
      <c r="U960" s="20"/>
      <c r="V960" s="20"/>
      <c r="W960" s="19"/>
      <c r="X960" s="19"/>
      <c r="Y960" s="19"/>
      <c r="Z960" s="23"/>
    </row>
    <row r="961" spans="1:26" ht="15.75" customHeight="1" x14ac:dyDescent="0.2">
      <c r="A961" s="34"/>
      <c r="B961" s="34"/>
      <c r="C961" s="34"/>
      <c r="D961" s="34"/>
      <c r="E961" s="19"/>
      <c r="F961" s="19"/>
      <c r="G961" s="19"/>
      <c r="H961" s="19"/>
      <c r="I961" s="19"/>
      <c r="J961" s="19"/>
      <c r="K961" s="19"/>
      <c r="L961" s="19"/>
      <c r="M961" s="19"/>
      <c r="N961" s="19"/>
      <c r="O961" s="19"/>
      <c r="P961" s="20"/>
      <c r="Q961" s="20"/>
      <c r="R961" s="22"/>
      <c r="S961" s="22"/>
      <c r="T961" s="20"/>
      <c r="U961" s="20"/>
      <c r="V961" s="20"/>
      <c r="W961" s="19"/>
      <c r="X961" s="19"/>
      <c r="Y961" s="19"/>
      <c r="Z961" s="23"/>
    </row>
    <row r="962" spans="1:26" ht="15.75" customHeight="1" x14ac:dyDescent="0.2">
      <c r="A962" s="34"/>
      <c r="B962" s="34"/>
      <c r="C962" s="34"/>
      <c r="D962" s="34"/>
      <c r="E962" s="19"/>
      <c r="F962" s="19"/>
      <c r="G962" s="19"/>
      <c r="H962" s="19"/>
      <c r="I962" s="19"/>
      <c r="J962" s="19"/>
      <c r="K962" s="19"/>
      <c r="L962" s="19"/>
      <c r="M962" s="19"/>
      <c r="N962" s="19"/>
      <c r="O962" s="19"/>
      <c r="P962" s="20"/>
      <c r="Q962" s="20"/>
      <c r="R962" s="22"/>
      <c r="S962" s="22"/>
      <c r="T962" s="20"/>
      <c r="U962" s="20"/>
      <c r="V962" s="20"/>
      <c r="W962" s="19"/>
      <c r="X962" s="19"/>
      <c r="Y962" s="19"/>
      <c r="Z962" s="23"/>
    </row>
    <row r="963" spans="1:26" ht="15.75" customHeight="1" x14ac:dyDescent="0.2">
      <c r="A963" s="34"/>
      <c r="B963" s="34"/>
      <c r="C963" s="34"/>
      <c r="D963" s="34"/>
      <c r="E963" s="19"/>
      <c r="F963" s="19"/>
      <c r="G963" s="19"/>
      <c r="H963" s="19"/>
      <c r="I963" s="19"/>
      <c r="J963" s="19"/>
      <c r="K963" s="19"/>
      <c r="L963" s="19"/>
      <c r="M963" s="19"/>
      <c r="N963" s="19"/>
      <c r="O963" s="19"/>
      <c r="P963" s="20"/>
      <c r="Q963" s="20"/>
      <c r="R963" s="22"/>
      <c r="S963" s="22"/>
      <c r="T963" s="20"/>
      <c r="U963" s="20"/>
      <c r="V963" s="20"/>
      <c r="W963" s="19"/>
      <c r="X963" s="19"/>
      <c r="Y963" s="19"/>
      <c r="Z963" s="23"/>
    </row>
    <row r="964" spans="1:26" ht="15.75" customHeight="1" x14ac:dyDescent="0.2">
      <c r="A964" s="34"/>
      <c r="B964" s="34"/>
      <c r="C964" s="34"/>
      <c r="D964" s="34"/>
      <c r="E964" s="19"/>
      <c r="F964" s="19"/>
      <c r="G964" s="19"/>
      <c r="H964" s="19"/>
      <c r="I964" s="19"/>
      <c r="J964" s="19"/>
      <c r="K964" s="19"/>
      <c r="L964" s="19"/>
      <c r="M964" s="19"/>
      <c r="N964" s="19"/>
      <c r="O964" s="19"/>
      <c r="P964" s="20"/>
      <c r="Q964" s="20"/>
      <c r="R964" s="22"/>
      <c r="S964" s="22"/>
      <c r="T964" s="20"/>
      <c r="U964" s="20"/>
      <c r="V964" s="20"/>
      <c r="W964" s="19"/>
      <c r="X964" s="19"/>
      <c r="Y964" s="19"/>
      <c r="Z964" s="23"/>
    </row>
    <row r="965" spans="1:26" ht="15.75" customHeight="1" x14ac:dyDescent="0.2">
      <c r="A965" s="34"/>
      <c r="B965" s="34"/>
      <c r="C965" s="34"/>
      <c r="D965" s="34"/>
      <c r="E965" s="19"/>
      <c r="F965" s="19"/>
      <c r="G965" s="19"/>
      <c r="H965" s="19"/>
      <c r="I965" s="19"/>
      <c r="J965" s="19"/>
      <c r="K965" s="19"/>
      <c r="L965" s="19"/>
      <c r="M965" s="19"/>
      <c r="N965" s="19"/>
      <c r="O965" s="19"/>
      <c r="P965" s="20"/>
      <c r="Q965" s="20"/>
      <c r="R965" s="22"/>
      <c r="S965" s="22"/>
      <c r="T965" s="20"/>
      <c r="U965" s="20"/>
      <c r="V965" s="20"/>
      <c r="W965" s="19"/>
      <c r="X965" s="19"/>
      <c r="Y965" s="19"/>
      <c r="Z965" s="23"/>
    </row>
    <row r="966" spans="1:26" ht="15.75" customHeight="1" x14ac:dyDescent="0.2">
      <c r="A966" s="34"/>
      <c r="B966" s="34"/>
      <c r="C966" s="34"/>
      <c r="D966" s="34"/>
      <c r="E966" s="19"/>
      <c r="F966" s="19"/>
      <c r="G966" s="19"/>
      <c r="H966" s="19"/>
      <c r="I966" s="19"/>
      <c r="J966" s="19"/>
      <c r="K966" s="19"/>
      <c r="L966" s="19"/>
      <c r="M966" s="19"/>
      <c r="N966" s="19"/>
      <c r="O966" s="19"/>
      <c r="P966" s="20"/>
      <c r="Q966" s="20"/>
      <c r="R966" s="22"/>
      <c r="S966" s="22"/>
      <c r="T966" s="20"/>
      <c r="U966" s="20"/>
      <c r="V966" s="20"/>
      <c r="W966" s="19"/>
      <c r="X966" s="19"/>
      <c r="Y966" s="19"/>
      <c r="Z966" s="23"/>
    </row>
    <row r="967" spans="1:26" ht="15.75" customHeight="1" x14ac:dyDescent="0.2">
      <c r="A967" s="34"/>
      <c r="B967" s="34"/>
      <c r="C967" s="34"/>
      <c r="D967" s="34"/>
      <c r="E967" s="19"/>
      <c r="F967" s="19"/>
      <c r="G967" s="19"/>
      <c r="H967" s="19"/>
      <c r="I967" s="19"/>
      <c r="J967" s="19"/>
      <c r="K967" s="19"/>
      <c r="L967" s="19"/>
      <c r="M967" s="19"/>
      <c r="N967" s="19"/>
      <c r="O967" s="19"/>
      <c r="P967" s="20"/>
      <c r="Q967" s="20"/>
      <c r="R967" s="22"/>
      <c r="S967" s="22"/>
      <c r="T967" s="20"/>
      <c r="U967" s="20"/>
      <c r="V967" s="20"/>
      <c r="W967" s="19"/>
      <c r="X967" s="19"/>
      <c r="Y967" s="19"/>
      <c r="Z967" s="23"/>
    </row>
    <row r="968" spans="1:26" ht="15.75" customHeight="1" x14ac:dyDescent="0.2">
      <c r="A968" s="34"/>
      <c r="B968" s="34"/>
      <c r="C968" s="34"/>
      <c r="D968" s="34"/>
      <c r="E968" s="19"/>
      <c r="F968" s="19"/>
      <c r="G968" s="19"/>
      <c r="H968" s="19"/>
      <c r="I968" s="19"/>
      <c r="J968" s="19"/>
      <c r="K968" s="19"/>
      <c r="L968" s="19"/>
      <c r="M968" s="19"/>
      <c r="N968" s="19"/>
      <c r="O968" s="19"/>
      <c r="P968" s="20"/>
      <c r="Q968" s="20"/>
      <c r="R968" s="22"/>
      <c r="S968" s="22"/>
      <c r="T968" s="20"/>
      <c r="U968" s="20"/>
      <c r="V968" s="20"/>
      <c r="W968" s="19"/>
      <c r="X968" s="19"/>
      <c r="Y968" s="19"/>
      <c r="Z968" s="23"/>
    </row>
    <row r="969" spans="1:26" ht="15.75" customHeight="1" x14ac:dyDescent="0.2">
      <c r="A969" s="34"/>
      <c r="B969" s="34"/>
      <c r="C969" s="34"/>
      <c r="D969" s="34"/>
      <c r="E969" s="19"/>
      <c r="F969" s="19"/>
      <c r="G969" s="19"/>
      <c r="H969" s="19"/>
      <c r="I969" s="19"/>
      <c r="J969" s="19"/>
      <c r="K969" s="19"/>
      <c r="L969" s="19"/>
      <c r="M969" s="19"/>
      <c r="N969" s="19"/>
      <c r="O969" s="19"/>
      <c r="P969" s="20"/>
      <c r="Q969" s="20"/>
      <c r="R969" s="22"/>
      <c r="S969" s="22"/>
      <c r="T969" s="20"/>
      <c r="U969" s="20"/>
      <c r="V969" s="20"/>
      <c r="W969" s="19"/>
      <c r="X969" s="19"/>
      <c r="Y969" s="19"/>
      <c r="Z969" s="23"/>
    </row>
    <row r="970" spans="1:26" ht="15.75" customHeight="1" x14ac:dyDescent="0.2">
      <c r="A970" s="34"/>
      <c r="B970" s="34"/>
      <c r="C970" s="34"/>
      <c r="D970" s="34"/>
      <c r="E970" s="19"/>
      <c r="F970" s="19"/>
      <c r="G970" s="19"/>
      <c r="H970" s="19"/>
      <c r="I970" s="19"/>
      <c r="J970" s="19"/>
      <c r="K970" s="19"/>
      <c r="L970" s="19"/>
      <c r="M970" s="19"/>
      <c r="N970" s="19"/>
      <c r="O970" s="19"/>
      <c r="P970" s="20"/>
      <c r="Q970" s="20"/>
      <c r="R970" s="22"/>
      <c r="S970" s="22"/>
      <c r="T970" s="20"/>
      <c r="U970" s="20"/>
      <c r="V970" s="20"/>
      <c r="W970" s="19"/>
      <c r="X970" s="19"/>
      <c r="Y970" s="19"/>
      <c r="Z970" s="23"/>
    </row>
    <row r="971" spans="1:26" ht="15.75" customHeight="1" x14ac:dyDescent="0.2">
      <c r="A971" s="34"/>
      <c r="B971" s="34"/>
      <c r="C971" s="34"/>
      <c r="D971" s="34"/>
      <c r="E971" s="19"/>
      <c r="F971" s="19"/>
      <c r="G971" s="19"/>
      <c r="H971" s="19"/>
      <c r="I971" s="19"/>
      <c r="J971" s="19"/>
      <c r="K971" s="19"/>
      <c r="L971" s="19"/>
      <c r="M971" s="19"/>
      <c r="N971" s="19"/>
      <c r="O971" s="19"/>
      <c r="P971" s="20"/>
      <c r="Q971" s="20"/>
      <c r="R971" s="22"/>
      <c r="S971" s="22"/>
      <c r="T971" s="20"/>
      <c r="U971" s="20"/>
      <c r="V971" s="20"/>
      <c r="W971" s="19"/>
      <c r="X971" s="19"/>
      <c r="Y971" s="19"/>
      <c r="Z971" s="23"/>
    </row>
    <row r="972" spans="1:26" ht="15.75" customHeight="1" x14ac:dyDescent="0.2">
      <c r="A972" s="34"/>
      <c r="B972" s="34"/>
      <c r="C972" s="34"/>
      <c r="D972" s="34"/>
      <c r="E972" s="19"/>
      <c r="F972" s="19"/>
      <c r="G972" s="19"/>
      <c r="H972" s="19"/>
      <c r="I972" s="19"/>
      <c r="J972" s="19"/>
      <c r="K972" s="19"/>
      <c r="L972" s="19"/>
      <c r="M972" s="19"/>
      <c r="N972" s="19"/>
      <c r="O972" s="19"/>
      <c r="P972" s="20"/>
      <c r="Q972" s="20"/>
      <c r="R972" s="22"/>
      <c r="S972" s="22"/>
      <c r="T972" s="20"/>
      <c r="U972" s="20"/>
      <c r="V972" s="20"/>
      <c r="W972" s="19"/>
      <c r="X972" s="19"/>
      <c r="Y972" s="19"/>
      <c r="Z972" s="23"/>
    </row>
    <row r="973" spans="1:26" ht="15.75" customHeight="1" x14ac:dyDescent="0.2">
      <c r="A973" s="34"/>
      <c r="B973" s="34"/>
      <c r="C973" s="34"/>
      <c r="D973" s="34"/>
      <c r="E973" s="19"/>
      <c r="F973" s="19"/>
      <c r="G973" s="19"/>
      <c r="H973" s="19"/>
      <c r="I973" s="19"/>
      <c r="J973" s="19"/>
      <c r="K973" s="19"/>
      <c r="L973" s="19"/>
      <c r="M973" s="19"/>
      <c r="N973" s="19"/>
      <c r="O973" s="19"/>
      <c r="P973" s="20"/>
      <c r="Q973" s="20"/>
      <c r="R973" s="22"/>
      <c r="S973" s="22"/>
      <c r="T973" s="20"/>
      <c r="U973" s="20"/>
      <c r="V973" s="20"/>
      <c r="W973" s="19"/>
      <c r="X973" s="19"/>
      <c r="Y973" s="19"/>
      <c r="Z973" s="23"/>
    </row>
    <row r="974" spans="1:26" ht="15.75" customHeight="1" x14ac:dyDescent="0.2">
      <c r="A974" s="34"/>
      <c r="B974" s="34"/>
      <c r="C974" s="34"/>
      <c r="D974" s="34"/>
      <c r="E974" s="19"/>
      <c r="F974" s="19"/>
      <c r="G974" s="19"/>
      <c r="H974" s="19"/>
      <c r="I974" s="19"/>
      <c r="J974" s="19"/>
      <c r="K974" s="19"/>
      <c r="L974" s="19"/>
      <c r="M974" s="19"/>
      <c r="N974" s="19"/>
      <c r="O974" s="19"/>
      <c r="P974" s="20"/>
      <c r="Q974" s="20"/>
      <c r="R974" s="22"/>
      <c r="S974" s="22"/>
      <c r="T974" s="20"/>
      <c r="U974" s="20"/>
      <c r="V974" s="20"/>
      <c r="W974" s="19"/>
      <c r="X974" s="19"/>
      <c r="Y974" s="19"/>
      <c r="Z974" s="23"/>
    </row>
    <row r="975" spans="1:26" ht="15.75" customHeight="1" x14ac:dyDescent="0.2">
      <c r="A975" s="34"/>
      <c r="B975" s="34"/>
      <c r="C975" s="34"/>
      <c r="D975" s="34"/>
      <c r="E975" s="19"/>
      <c r="F975" s="19"/>
      <c r="G975" s="19"/>
      <c r="H975" s="19"/>
      <c r="I975" s="19"/>
      <c r="J975" s="19"/>
      <c r="K975" s="19"/>
      <c r="L975" s="19"/>
      <c r="M975" s="19"/>
      <c r="N975" s="19"/>
      <c r="O975" s="19"/>
      <c r="P975" s="20"/>
      <c r="Q975" s="20"/>
      <c r="R975" s="22"/>
      <c r="S975" s="22"/>
      <c r="T975" s="20"/>
      <c r="U975" s="20"/>
      <c r="V975" s="20"/>
      <c r="W975" s="19"/>
      <c r="X975" s="19"/>
      <c r="Y975" s="19"/>
      <c r="Z975" s="23"/>
    </row>
    <row r="976" spans="1:26" ht="15.75" customHeight="1" x14ac:dyDescent="0.2">
      <c r="A976" s="34"/>
      <c r="B976" s="34"/>
      <c r="C976" s="34"/>
      <c r="D976" s="34"/>
      <c r="E976" s="19"/>
      <c r="F976" s="19"/>
      <c r="G976" s="19"/>
      <c r="H976" s="19"/>
      <c r="I976" s="19"/>
      <c r="J976" s="19"/>
      <c r="K976" s="19"/>
      <c r="L976" s="19"/>
      <c r="M976" s="19"/>
      <c r="N976" s="19"/>
      <c r="O976" s="19"/>
      <c r="P976" s="20"/>
      <c r="Q976" s="20"/>
      <c r="R976" s="22"/>
      <c r="S976" s="22"/>
      <c r="T976" s="20"/>
      <c r="U976" s="20"/>
      <c r="V976" s="20"/>
      <c r="W976" s="19"/>
      <c r="X976" s="19"/>
      <c r="Y976" s="19"/>
      <c r="Z976" s="23"/>
    </row>
    <row r="977" spans="1:26" ht="15.75" customHeight="1" x14ac:dyDescent="0.2">
      <c r="A977" s="34"/>
      <c r="B977" s="34"/>
      <c r="C977" s="34"/>
      <c r="D977" s="34"/>
      <c r="E977" s="19"/>
      <c r="F977" s="19"/>
      <c r="G977" s="19"/>
      <c r="H977" s="19"/>
      <c r="I977" s="19"/>
      <c r="J977" s="19"/>
      <c r="K977" s="19"/>
      <c r="L977" s="19"/>
      <c r="M977" s="19"/>
      <c r="N977" s="19"/>
      <c r="O977" s="19"/>
      <c r="P977" s="20"/>
      <c r="Q977" s="20"/>
      <c r="R977" s="22"/>
      <c r="S977" s="22"/>
      <c r="T977" s="20"/>
      <c r="U977" s="20"/>
      <c r="V977" s="20"/>
      <c r="W977" s="19"/>
      <c r="X977" s="19"/>
      <c r="Y977" s="19"/>
      <c r="Z977" s="23"/>
    </row>
    <row r="978" spans="1:26" ht="15.75" customHeight="1" x14ac:dyDescent="0.2">
      <c r="A978" s="34"/>
      <c r="B978" s="34"/>
      <c r="C978" s="34"/>
      <c r="D978" s="34"/>
      <c r="E978" s="19"/>
      <c r="F978" s="19"/>
      <c r="G978" s="19"/>
      <c r="H978" s="19"/>
      <c r="I978" s="19"/>
      <c r="J978" s="19"/>
      <c r="K978" s="19"/>
      <c r="L978" s="19"/>
      <c r="M978" s="19"/>
      <c r="N978" s="19"/>
      <c r="O978" s="19"/>
      <c r="P978" s="20"/>
      <c r="Q978" s="20"/>
      <c r="R978" s="22"/>
      <c r="S978" s="22"/>
      <c r="T978" s="20"/>
      <c r="U978" s="20"/>
      <c r="V978" s="20"/>
      <c r="W978" s="19"/>
      <c r="X978" s="19"/>
      <c r="Y978" s="19"/>
      <c r="Z978" s="23"/>
    </row>
    <row r="979" spans="1:26" ht="15.75" customHeight="1" x14ac:dyDescent="0.2">
      <c r="A979" s="34"/>
      <c r="B979" s="34"/>
      <c r="C979" s="34"/>
      <c r="D979" s="34"/>
      <c r="E979" s="19"/>
      <c r="F979" s="19"/>
      <c r="G979" s="19"/>
      <c r="H979" s="19"/>
      <c r="I979" s="19"/>
      <c r="J979" s="19"/>
      <c r="K979" s="19"/>
      <c r="L979" s="19"/>
      <c r="M979" s="19"/>
      <c r="N979" s="19"/>
      <c r="O979" s="19"/>
      <c r="P979" s="20"/>
      <c r="Q979" s="20"/>
      <c r="R979" s="22"/>
      <c r="S979" s="22"/>
      <c r="T979" s="20"/>
      <c r="U979" s="20"/>
      <c r="V979" s="20"/>
      <c r="W979" s="19"/>
      <c r="X979" s="19"/>
      <c r="Y979" s="19"/>
      <c r="Z979" s="23"/>
    </row>
    <row r="980" spans="1:26" ht="15.75" customHeight="1" x14ac:dyDescent="0.2">
      <c r="A980" s="34"/>
      <c r="B980" s="34"/>
      <c r="C980" s="34"/>
      <c r="D980" s="34"/>
      <c r="E980" s="19"/>
      <c r="F980" s="19"/>
      <c r="G980" s="19"/>
      <c r="H980" s="19"/>
      <c r="I980" s="19"/>
      <c r="J980" s="19"/>
      <c r="K980" s="19"/>
      <c r="L980" s="19"/>
      <c r="M980" s="19"/>
      <c r="N980" s="19"/>
      <c r="O980" s="19"/>
      <c r="P980" s="20"/>
      <c r="Q980" s="20"/>
      <c r="R980" s="22"/>
      <c r="S980" s="22"/>
      <c r="T980" s="20"/>
      <c r="U980" s="20"/>
      <c r="V980" s="20"/>
      <c r="W980" s="19"/>
      <c r="X980" s="19"/>
      <c r="Y980" s="19"/>
      <c r="Z980" s="23"/>
    </row>
    <row r="981" spans="1:26" ht="15.75" customHeight="1" x14ac:dyDescent="0.2">
      <c r="A981" s="34"/>
      <c r="B981" s="34"/>
      <c r="C981" s="34"/>
      <c r="D981" s="34"/>
      <c r="E981" s="19"/>
      <c r="F981" s="19"/>
      <c r="G981" s="19"/>
      <c r="H981" s="19"/>
      <c r="I981" s="19"/>
      <c r="J981" s="19"/>
      <c r="K981" s="19"/>
      <c r="L981" s="19"/>
      <c r="M981" s="19"/>
      <c r="N981" s="19"/>
      <c r="O981" s="19"/>
      <c r="P981" s="20"/>
      <c r="Q981" s="20"/>
      <c r="R981" s="22"/>
      <c r="S981" s="22"/>
      <c r="T981" s="20"/>
      <c r="U981" s="20"/>
      <c r="V981" s="20"/>
      <c r="W981" s="19"/>
      <c r="X981" s="19"/>
      <c r="Y981" s="19"/>
      <c r="Z981" s="23"/>
    </row>
    <row r="982" spans="1:26" ht="15.75" customHeight="1" x14ac:dyDescent="0.2">
      <c r="A982" s="34"/>
      <c r="B982" s="34"/>
      <c r="C982" s="34"/>
      <c r="D982" s="34"/>
      <c r="E982" s="19"/>
      <c r="F982" s="19"/>
      <c r="G982" s="19"/>
      <c r="H982" s="19"/>
      <c r="I982" s="19"/>
      <c r="J982" s="19"/>
      <c r="K982" s="19"/>
      <c r="L982" s="19"/>
      <c r="M982" s="19"/>
      <c r="N982" s="19"/>
      <c r="O982" s="19"/>
      <c r="P982" s="20"/>
      <c r="Q982" s="20"/>
      <c r="R982" s="22"/>
      <c r="S982" s="22"/>
      <c r="T982" s="20"/>
      <c r="U982" s="20"/>
      <c r="V982" s="20"/>
      <c r="W982" s="19"/>
      <c r="X982" s="19"/>
      <c r="Y982" s="19"/>
      <c r="Z982" s="23"/>
    </row>
    <row r="983" spans="1:26" ht="15.75" customHeight="1" x14ac:dyDescent="0.2">
      <c r="A983" s="34"/>
      <c r="B983" s="34"/>
      <c r="C983" s="34"/>
      <c r="D983" s="34"/>
      <c r="E983" s="19"/>
      <c r="F983" s="19"/>
      <c r="G983" s="19"/>
      <c r="H983" s="19"/>
      <c r="I983" s="19"/>
      <c r="J983" s="19"/>
      <c r="K983" s="19"/>
      <c r="L983" s="19"/>
      <c r="M983" s="19"/>
      <c r="N983" s="19"/>
      <c r="O983" s="19"/>
      <c r="P983" s="20"/>
      <c r="Q983" s="20"/>
      <c r="R983" s="22"/>
      <c r="S983" s="22"/>
      <c r="T983" s="20"/>
      <c r="U983" s="20"/>
      <c r="V983" s="20"/>
      <c r="W983" s="19"/>
      <c r="X983" s="19"/>
      <c r="Y983" s="19"/>
      <c r="Z983" s="23"/>
    </row>
    <row r="984" spans="1:26" ht="15.75" customHeight="1" x14ac:dyDescent="0.2">
      <c r="A984" s="34"/>
      <c r="B984" s="34"/>
      <c r="C984" s="34"/>
      <c r="D984" s="34"/>
      <c r="E984" s="19"/>
      <c r="F984" s="19"/>
      <c r="G984" s="19"/>
      <c r="H984" s="19"/>
      <c r="I984" s="19"/>
      <c r="J984" s="19"/>
      <c r="K984" s="19"/>
      <c r="L984" s="19"/>
      <c r="M984" s="19"/>
      <c r="N984" s="19"/>
      <c r="O984" s="19"/>
      <c r="P984" s="20"/>
      <c r="Q984" s="20"/>
      <c r="R984" s="22"/>
      <c r="S984" s="22"/>
      <c r="T984" s="20"/>
      <c r="U984" s="20"/>
      <c r="V984" s="20"/>
      <c r="W984" s="19"/>
      <c r="X984" s="19"/>
      <c r="Y984" s="19"/>
      <c r="Z984" s="23"/>
    </row>
    <row r="985" spans="1:26" ht="15.75" customHeight="1" x14ac:dyDescent="0.2">
      <c r="A985" s="34"/>
      <c r="B985" s="34"/>
      <c r="C985" s="34"/>
      <c r="D985" s="34"/>
      <c r="E985" s="19"/>
      <c r="F985" s="19"/>
      <c r="G985" s="19"/>
      <c r="H985" s="19"/>
      <c r="I985" s="19"/>
      <c r="J985" s="19"/>
      <c r="K985" s="19"/>
      <c r="L985" s="19"/>
      <c r="M985" s="19"/>
      <c r="N985" s="19"/>
      <c r="O985" s="19"/>
      <c r="P985" s="20"/>
      <c r="Q985" s="20"/>
      <c r="R985" s="22"/>
      <c r="S985" s="22"/>
      <c r="T985" s="20"/>
      <c r="U985" s="20"/>
      <c r="V985" s="20"/>
      <c r="W985" s="19"/>
      <c r="X985" s="19"/>
      <c r="Y985" s="19"/>
      <c r="Z985" s="23"/>
    </row>
    <row r="986" spans="1:26" ht="15.75" customHeight="1" x14ac:dyDescent="0.2">
      <c r="A986" s="34"/>
      <c r="B986" s="34"/>
      <c r="C986" s="34"/>
      <c r="D986" s="34"/>
      <c r="E986" s="19"/>
      <c r="F986" s="19"/>
      <c r="G986" s="19"/>
      <c r="H986" s="19"/>
      <c r="I986" s="19"/>
      <c r="J986" s="19"/>
      <c r="K986" s="19"/>
      <c r="L986" s="19"/>
      <c r="M986" s="19"/>
      <c r="N986" s="19"/>
      <c r="O986" s="19"/>
      <c r="P986" s="20"/>
      <c r="Q986" s="20"/>
      <c r="R986" s="22"/>
      <c r="S986" s="22"/>
      <c r="T986" s="20"/>
      <c r="U986" s="20"/>
      <c r="V986" s="20"/>
      <c r="W986" s="19"/>
      <c r="X986" s="19"/>
      <c r="Y986" s="19"/>
      <c r="Z986" s="23"/>
    </row>
    <row r="987" spans="1:26" ht="15.75" customHeight="1" x14ac:dyDescent="0.2">
      <c r="A987" s="34"/>
      <c r="B987" s="34"/>
      <c r="C987" s="34"/>
      <c r="D987" s="34"/>
      <c r="E987" s="19"/>
      <c r="F987" s="19"/>
      <c r="G987" s="19"/>
      <c r="H987" s="19"/>
      <c r="I987" s="19"/>
      <c r="J987" s="19"/>
      <c r="K987" s="19"/>
      <c r="L987" s="19"/>
      <c r="M987" s="19"/>
      <c r="N987" s="19"/>
      <c r="O987" s="19"/>
      <c r="P987" s="20"/>
      <c r="Q987" s="20"/>
      <c r="R987" s="22"/>
      <c r="S987" s="22"/>
      <c r="T987" s="20"/>
      <c r="U987" s="20"/>
      <c r="V987" s="20"/>
      <c r="W987" s="19"/>
      <c r="X987" s="19"/>
      <c r="Y987" s="19"/>
      <c r="Z987" s="23"/>
    </row>
    <row r="988" spans="1:26" ht="15.75" customHeight="1" x14ac:dyDescent="0.2">
      <c r="A988" s="34"/>
      <c r="B988" s="34"/>
      <c r="C988" s="34"/>
      <c r="D988" s="34"/>
      <c r="E988" s="19"/>
      <c r="F988" s="19"/>
      <c r="G988" s="19"/>
      <c r="H988" s="19"/>
      <c r="I988" s="19"/>
      <c r="J988" s="19"/>
      <c r="K988" s="19"/>
      <c r="L988" s="19"/>
      <c r="M988" s="19"/>
      <c r="N988" s="19"/>
      <c r="O988" s="19"/>
      <c r="P988" s="20"/>
      <c r="Q988" s="20"/>
      <c r="R988" s="22"/>
      <c r="S988" s="22"/>
      <c r="T988" s="20"/>
      <c r="U988" s="20"/>
      <c r="V988" s="20"/>
      <c r="W988" s="19"/>
      <c r="X988" s="19"/>
      <c r="Y988" s="19"/>
      <c r="Z988" s="23"/>
    </row>
    <row r="989" spans="1:26" ht="15.75" customHeight="1" x14ac:dyDescent="0.2">
      <c r="A989" s="34"/>
      <c r="B989" s="34"/>
      <c r="C989" s="34"/>
      <c r="D989" s="34"/>
      <c r="E989" s="19"/>
      <c r="F989" s="19"/>
      <c r="G989" s="19"/>
      <c r="H989" s="19"/>
      <c r="I989" s="19"/>
      <c r="J989" s="19"/>
      <c r="K989" s="19"/>
      <c r="L989" s="19"/>
      <c r="M989" s="19"/>
      <c r="N989" s="19"/>
      <c r="O989" s="19"/>
      <c r="P989" s="20"/>
      <c r="Q989" s="20"/>
      <c r="R989" s="22"/>
      <c r="S989" s="22"/>
      <c r="T989" s="20"/>
      <c r="U989" s="20"/>
      <c r="V989" s="20"/>
      <c r="W989" s="19"/>
      <c r="X989" s="19"/>
      <c r="Y989" s="19"/>
      <c r="Z989" s="23"/>
    </row>
    <row r="990" spans="1:26" ht="15.75" customHeight="1" x14ac:dyDescent="0.2">
      <c r="A990" s="34"/>
      <c r="B990" s="34"/>
      <c r="C990" s="34"/>
      <c r="D990" s="34"/>
      <c r="E990" s="19"/>
      <c r="F990" s="19"/>
      <c r="G990" s="19"/>
      <c r="H990" s="19"/>
      <c r="I990" s="19"/>
      <c r="J990" s="19"/>
      <c r="K990" s="19"/>
      <c r="L990" s="19"/>
      <c r="M990" s="19"/>
      <c r="N990" s="19"/>
      <c r="O990" s="19"/>
      <c r="P990" s="20"/>
      <c r="Q990" s="20"/>
      <c r="R990" s="22"/>
      <c r="S990" s="22"/>
      <c r="T990" s="20"/>
      <c r="U990" s="20"/>
      <c r="V990" s="20"/>
      <c r="W990" s="19"/>
      <c r="X990" s="19"/>
      <c r="Y990" s="19"/>
      <c r="Z990" s="23"/>
    </row>
    <row r="991" spans="1:26" ht="15.75" customHeight="1" x14ac:dyDescent="0.2">
      <c r="A991" s="34"/>
      <c r="B991" s="34"/>
      <c r="C991" s="34"/>
      <c r="D991" s="34"/>
      <c r="E991" s="19"/>
      <c r="F991" s="19"/>
      <c r="G991" s="19"/>
      <c r="H991" s="19"/>
      <c r="I991" s="19"/>
      <c r="J991" s="19"/>
      <c r="K991" s="19"/>
      <c r="L991" s="19"/>
      <c r="M991" s="19"/>
      <c r="N991" s="19"/>
      <c r="O991" s="19"/>
      <c r="P991" s="20"/>
      <c r="Q991" s="20"/>
      <c r="R991" s="22"/>
      <c r="S991" s="22"/>
      <c r="T991" s="20"/>
      <c r="U991" s="20"/>
      <c r="V991" s="20"/>
      <c r="W991" s="19"/>
      <c r="X991" s="19"/>
      <c r="Y991" s="19"/>
      <c r="Z991" s="23"/>
    </row>
    <row r="992" spans="1:26" ht="15.75" customHeight="1" x14ac:dyDescent="0.2">
      <c r="A992" s="34"/>
      <c r="B992" s="34"/>
      <c r="C992" s="34"/>
      <c r="D992" s="34"/>
      <c r="E992" s="19"/>
      <c r="F992" s="19"/>
      <c r="G992" s="19"/>
      <c r="H992" s="19"/>
      <c r="I992" s="19"/>
      <c r="J992" s="19"/>
      <c r="K992" s="19"/>
      <c r="L992" s="19"/>
      <c r="M992" s="19"/>
      <c r="N992" s="19"/>
      <c r="O992" s="19"/>
      <c r="P992" s="20"/>
      <c r="Q992" s="20"/>
      <c r="R992" s="22"/>
      <c r="S992" s="22"/>
      <c r="T992" s="20"/>
      <c r="U992" s="20"/>
      <c r="V992" s="20"/>
      <c r="W992" s="19"/>
      <c r="X992" s="19"/>
      <c r="Y992" s="19"/>
      <c r="Z992" s="23"/>
    </row>
    <row r="993" spans="1:26" ht="15.75" customHeight="1" x14ac:dyDescent="0.2">
      <c r="A993" s="34"/>
      <c r="B993" s="34"/>
      <c r="C993" s="34"/>
      <c r="D993" s="34"/>
      <c r="E993" s="19"/>
      <c r="F993" s="19"/>
      <c r="G993" s="19"/>
      <c r="H993" s="19"/>
      <c r="I993" s="19"/>
      <c r="J993" s="19"/>
      <c r="K993" s="19"/>
      <c r="L993" s="19"/>
      <c r="M993" s="19"/>
      <c r="N993" s="19"/>
      <c r="O993" s="19"/>
      <c r="P993" s="20"/>
      <c r="Q993" s="20"/>
      <c r="R993" s="22"/>
      <c r="S993" s="22"/>
      <c r="T993" s="20"/>
      <c r="U993" s="20"/>
      <c r="V993" s="20"/>
      <c r="W993" s="19"/>
      <c r="X993" s="19"/>
      <c r="Y993" s="19"/>
      <c r="Z993" s="23"/>
    </row>
    <row r="994" spans="1:26" ht="15.75" customHeight="1" x14ac:dyDescent="0.2">
      <c r="A994" s="34"/>
      <c r="B994" s="34"/>
      <c r="C994" s="34"/>
      <c r="D994" s="34"/>
      <c r="E994" s="19"/>
      <c r="F994" s="19"/>
      <c r="G994" s="19"/>
      <c r="H994" s="19"/>
      <c r="I994" s="19"/>
      <c r="J994" s="19"/>
      <c r="K994" s="19"/>
      <c r="L994" s="19"/>
      <c r="M994" s="19"/>
      <c r="N994" s="19"/>
      <c r="O994" s="19"/>
      <c r="P994" s="20"/>
      <c r="Q994" s="20"/>
      <c r="R994" s="22"/>
      <c r="S994" s="22"/>
      <c r="T994" s="20"/>
      <c r="U994" s="20"/>
      <c r="V994" s="20"/>
      <c r="W994" s="19"/>
      <c r="X994" s="19"/>
      <c r="Y994" s="19"/>
      <c r="Z994" s="23"/>
    </row>
    <row r="995" spans="1:26" ht="15.75" customHeight="1" x14ac:dyDescent="0.2">
      <c r="A995" s="34"/>
      <c r="B995" s="34"/>
      <c r="C995" s="34"/>
      <c r="D995" s="34"/>
      <c r="E995" s="19"/>
      <c r="F995" s="19"/>
      <c r="G995" s="19"/>
      <c r="H995" s="19"/>
      <c r="I995" s="19"/>
      <c r="J995" s="19"/>
      <c r="K995" s="19"/>
      <c r="L995" s="19"/>
      <c r="M995" s="19"/>
      <c r="N995" s="19"/>
      <c r="O995" s="19"/>
      <c r="P995" s="20"/>
      <c r="Q995" s="20"/>
      <c r="R995" s="22"/>
      <c r="S995" s="22"/>
      <c r="T995" s="20"/>
      <c r="U995" s="20"/>
      <c r="V995" s="20"/>
      <c r="W995" s="19"/>
      <c r="X995" s="19"/>
      <c r="Y995" s="19"/>
      <c r="Z995" s="23"/>
    </row>
    <row r="996" spans="1:26" ht="15.75" customHeight="1" x14ac:dyDescent="0.2">
      <c r="A996" s="34"/>
      <c r="B996" s="34"/>
      <c r="C996" s="34"/>
      <c r="D996" s="34"/>
      <c r="E996" s="19"/>
      <c r="F996" s="19"/>
      <c r="G996" s="19"/>
      <c r="H996" s="19"/>
      <c r="I996" s="19"/>
      <c r="J996" s="19"/>
      <c r="K996" s="19"/>
      <c r="L996" s="19"/>
      <c r="M996" s="19"/>
      <c r="N996" s="19"/>
      <c r="O996" s="19"/>
      <c r="P996" s="20"/>
      <c r="Q996" s="20"/>
      <c r="R996" s="22"/>
      <c r="S996" s="22"/>
      <c r="T996" s="20"/>
      <c r="U996" s="20"/>
      <c r="V996" s="20"/>
      <c r="W996" s="19"/>
      <c r="X996" s="19"/>
      <c r="Y996" s="19"/>
      <c r="Z996" s="23"/>
    </row>
    <row r="997" spans="1:26" ht="15.75" customHeight="1" x14ac:dyDescent="0.2">
      <c r="A997" s="34"/>
      <c r="B997" s="34"/>
      <c r="C997" s="34"/>
      <c r="D997" s="34"/>
      <c r="E997" s="19"/>
      <c r="F997" s="19"/>
      <c r="G997" s="19"/>
      <c r="H997" s="19"/>
      <c r="I997" s="19"/>
      <c r="J997" s="19"/>
      <c r="K997" s="19"/>
      <c r="L997" s="19"/>
      <c r="M997" s="19"/>
      <c r="N997" s="19"/>
      <c r="O997" s="19"/>
      <c r="P997" s="20"/>
      <c r="Q997" s="20"/>
      <c r="R997" s="22"/>
      <c r="S997" s="22"/>
      <c r="T997" s="20"/>
      <c r="U997" s="20"/>
      <c r="V997" s="20"/>
      <c r="W997" s="19"/>
      <c r="X997" s="19"/>
      <c r="Y997" s="19"/>
      <c r="Z997" s="23"/>
    </row>
    <row r="998" spans="1:26" ht="15.75" customHeight="1" x14ac:dyDescent="0.2">
      <c r="A998" s="34"/>
      <c r="B998" s="34"/>
      <c r="C998" s="34"/>
      <c r="D998" s="34"/>
      <c r="E998" s="19"/>
      <c r="F998" s="19"/>
      <c r="G998" s="19"/>
      <c r="H998" s="19"/>
      <c r="I998" s="19"/>
      <c r="J998" s="19"/>
      <c r="K998" s="19"/>
      <c r="L998" s="19"/>
      <c r="M998" s="19"/>
      <c r="N998" s="19"/>
      <c r="O998" s="19"/>
      <c r="P998" s="20"/>
      <c r="Q998" s="20"/>
      <c r="R998" s="22"/>
      <c r="S998" s="22"/>
      <c r="T998" s="20"/>
      <c r="U998" s="20"/>
      <c r="V998" s="20"/>
      <c r="W998" s="19"/>
      <c r="X998" s="19"/>
      <c r="Y998" s="19"/>
      <c r="Z998" s="23"/>
    </row>
    <row r="999" spans="1:26" ht="15.75" customHeight="1" x14ac:dyDescent="0.2">
      <c r="A999" s="34"/>
      <c r="B999" s="34"/>
      <c r="C999" s="34"/>
      <c r="D999" s="34"/>
      <c r="E999" s="19"/>
      <c r="F999" s="19"/>
      <c r="G999" s="19"/>
      <c r="H999" s="19"/>
      <c r="I999" s="19"/>
      <c r="J999" s="19"/>
      <c r="K999" s="19"/>
      <c r="L999" s="19"/>
      <c r="M999" s="19"/>
      <c r="N999" s="19"/>
      <c r="O999" s="19"/>
      <c r="P999" s="20"/>
      <c r="Q999" s="20"/>
      <c r="R999" s="22"/>
      <c r="S999" s="22"/>
      <c r="T999" s="20"/>
      <c r="U999" s="20"/>
      <c r="V999" s="20"/>
      <c r="W999" s="19"/>
      <c r="X999" s="19"/>
      <c r="Y999" s="19"/>
      <c r="Z999" s="23"/>
    </row>
    <row r="1000" spans="1:26" ht="15.75" customHeight="1" x14ac:dyDescent="0.2">
      <c r="A1000" s="34"/>
      <c r="B1000" s="34"/>
      <c r="C1000" s="34"/>
      <c r="D1000" s="34"/>
      <c r="E1000" s="19"/>
      <c r="F1000" s="19"/>
      <c r="G1000" s="19"/>
      <c r="H1000" s="19"/>
      <c r="I1000" s="19"/>
      <c r="J1000" s="19"/>
      <c r="K1000" s="19"/>
      <c r="L1000" s="19"/>
      <c r="M1000" s="19"/>
      <c r="N1000" s="19"/>
      <c r="O1000" s="19"/>
      <c r="P1000" s="20"/>
      <c r="Q1000" s="20"/>
      <c r="R1000" s="22"/>
      <c r="S1000" s="22"/>
      <c r="T1000" s="20"/>
      <c r="U1000" s="20"/>
      <c r="V1000" s="20"/>
      <c r="W1000" s="19"/>
      <c r="X1000" s="19"/>
      <c r="Y1000" s="19"/>
      <c r="Z1000" s="23"/>
    </row>
  </sheetData>
  <autoFilter ref="A2:Z289" xr:uid="{00000000-0009-0000-0000-000004000000}"/>
  <mergeCells count="4">
    <mergeCell ref="E1:F1"/>
    <mergeCell ref="G1:I1"/>
    <mergeCell ref="J1:O1"/>
    <mergeCell ref="P1:V1"/>
  </mergeCell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5" width="12.1640625" customWidth="1"/>
    <col min="16" max="16" width="12.83203125" customWidth="1"/>
    <col min="17" max="17" width="17.5" customWidth="1"/>
    <col min="18" max="19" width="16.83203125" customWidth="1"/>
    <col min="20" max="20" width="14.33203125" customWidth="1"/>
    <col min="21" max="21" width="17.5" customWidth="1"/>
    <col min="22" max="23" width="10.6640625" customWidth="1"/>
    <col min="24" max="24" width="9.33203125" customWidth="1"/>
    <col min="25" max="25" width="13" customWidth="1"/>
    <col min="26" max="26" width="9.5" customWidth="1"/>
  </cols>
  <sheetData>
    <row r="1" spans="1:26" x14ac:dyDescent="0.2">
      <c r="A1" s="1" t="s">
        <v>543</v>
      </c>
      <c r="B1" s="3"/>
      <c r="C1" s="3"/>
      <c r="D1" s="3"/>
      <c r="E1" s="63" t="s">
        <v>1</v>
      </c>
      <c r="F1" s="64"/>
      <c r="G1" s="65" t="s">
        <v>2</v>
      </c>
      <c r="H1" s="66"/>
      <c r="I1" s="64"/>
      <c r="J1" s="67" t="s">
        <v>3</v>
      </c>
      <c r="K1" s="66"/>
      <c r="L1" s="66"/>
      <c r="M1" s="66"/>
      <c r="N1" s="66"/>
      <c r="O1" s="64"/>
      <c r="P1" s="68" t="s">
        <v>4</v>
      </c>
      <c r="Q1" s="66"/>
      <c r="R1" s="66"/>
      <c r="S1" s="66"/>
      <c r="T1" s="66"/>
      <c r="U1" s="66"/>
      <c r="V1" s="64"/>
      <c r="W1" s="3"/>
      <c r="X1" s="4"/>
      <c r="Y1" s="3"/>
      <c r="Z1" s="3"/>
    </row>
    <row r="2" spans="1:26" ht="55.5" customHeight="1" x14ac:dyDescent="0.15">
      <c r="A2" s="5" t="s">
        <v>5</v>
      </c>
      <c r="B2" s="5" t="s">
        <v>6</v>
      </c>
      <c r="C2" s="5" t="s">
        <v>7</v>
      </c>
      <c r="D2" s="5" t="s">
        <v>8</v>
      </c>
      <c r="E2" s="6" t="s">
        <v>9</v>
      </c>
      <c r="F2" s="6" t="s">
        <v>10</v>
      </c>
      <c r="G2" s="7" t="s">
        <v>11</v>
      </c>
      <c r="H2" s="7" t="s">
        <v>12</v>
      </c>
      <c r="I2" s="7" t="s">
        <v>13</v>
      </c>
      <c r="J2" s="8" t="s">
        <v>14</v>
      </c>
      <c r="K2" s="8" t="s">
        <v>15</v>
      </c>
      <c r="L2" s="8" t="s">
        <v>16</v>
      </c>
      <c r="M2" s="8" t="s">
        <v>17</v>
      </c>
      <c r="N2" s="8" t="s">
        <v>18</v>
      </c>
      <c r="O2" s="8" t="s">
        <v>19</v>
      </c>
      <c r="P2" s="9" t="s">
        <v>20</v>
      </c>
      <c r="Q2" s="9" t="s">
        <v>21</v>
      </c>
      <c r="R2" s="9" t="s">
        <v>22</v>
      </c>
      <c r="S2" s="9" t="s">
        <v>23</v>
      </c>
      <c r="T2" s="9" t="s">
        <v>24</v>
      </c>
      <c r="U2" s="12" t="s">
        <v>25</v>
      </c>
      <c r="V2" s="13" t="s">
        <v>26</v>
      </c>
      <c r="W2" s="14" t="s">
        <v>27</v>
      </c>
      <c r="X2" s="15" t="s">
        <v>29</v>
      </c>
      <c r="Y2" s="15" t="s">
        <v>30</v>
      </c>
      <c r="Z2" s="16" t="s">
        <v>31</v>
      </c>
    </row>
    <row r="3" spans="1:26" x14ac:dyDescent="0.2">
      <c r="A3" s="17" t="str">
        <f>HYPERLINK("https://www.adams.edu", "Adams State University")</f>
        <v>Adams State University</v>
      </c>
      <c r="B3" s="18" t="s">
        <v>49</v>
      </c>
      <c r="C3" s="18" t="s">
        <v>87</v>
      </c>
      <c r="D3" s="18" t="s">
        <v>544</v>
      </c>
      <c r="E3" s="18">
        <v>1005</v>
      </c>
      <c r="F3" s="18" t="s">
        <v>35</v>
      </c>
      <c r="J3" s="19">
        <v>0.28520000000000001</v>
      </c>
      <c r="K3" s="19">
        <v>9.6153846000000001E-2</v>
      </c>
      <c r="L3" s="19">
        <v>0.2949</v>
      </c>
      <c r="M3" s="19">
        <v>0.14630000000000001</v>
      </c>
      <c r="N3" s="19">
        <v>0.30809999999999998</v>
      </c>
      <c r="O3" s="19">
        <v>0.2</v>
      </c>
      <c r="P3" s="20">
        <v>33911</v>
      </c>
      <c r="Q3" s="21" t="str">
        <f>HYPERLINK("https://www.adams.edu/finaid/costs-to-attend.php", "$23210")</f>
        <v>$23210</v>
      </c>
      <c r="R3" s="22">
        <v>27199</v>
      </c>
      <c r="S3" s="22">
        <v>30946</v>
      </c>
      <c r="T3" s="20">
        <v>4825</v>
      </c>
      <c r="U3" s="20">
        <v>18385.02127659574</v>
      </c>
      <c r="W3" s="19">
        <v>0.51649999999999996</v>
      </c>
      <c r="X3" s="19">
        <v>0.58319999999999994</v>
      </c>
      <c r="Z3" s="23">
        <v>1876</v>
      </c>
    </row>
    <row r="4" spans="1:26" x14ac:dyDescent="0.2">
      <c r="A4" s="17" t="str">
        <f>HYPERLINK("https://www.adelphi.edu/", "Adelphi University")</f>
        <v>Adelphi University</v>
      </c>
      <c r="B4" s="18" t="s">
        <v>32</v>
      </c>
      <c r="C4" s="18" t="s">
        <v>38</v>
      </c>
      <c r="D4" s="18" t="s">
        <v>545</v>
      </c>
      <c r="E4" s="18">
        <v>1164</v>
      </c>
      <c r="F4" s="18" t="s">
        <v>35</v>
      </c>
      <c r="J4" s="19">
        <v>0.67520000000000002</v>
      </c>
      <c r="K4" s="19">
        <v>0.57828282799999997</v>
      </c>
      <c r="L4" s="19">
        <v>0.71650000000000003</v>
      </c>
      <c r="M4" s="19">
        <v>0.52810000000000001</v>
      </c>
      <c r="N4" s="19">
        <v>0.58779999999999999</v>
      </c>
      <c r="O4" s="19">
        <v>0.73529999999999995</v>
      </c>
      <c r="P4" s="20">
        <v>56358</v>
      </c>
      <c r="Q4" s="21" t="str">
        <f>HYPERLINK("https://financial-aid.adelphi.edu/net-price-calculator/", "$24564")</f>
        <v>$24564</v>
      </c>
      <c r="R4" s="22">
        <v>28180</v>
      </c>
      <c r="S4" s="22">
        <v>31759</v>
      </c>
      <c r="T4" s="20">
        <v>4068</v>
      </c>
      <c r="U4" s="20">
        <v>20496</v>
      </c>
      <c r="W4" s="19">
        <v>0.3226</v>
      </c>
      <c r="X4" s="19">
        <v>0.48509999999999998</v>
      </c>
      <c r="Z4" s="23">
        <v>5162</v>
      </c>
    </row>
    <row r="5" spans="1:26" x14ac:dyDescent="0.2">
      <c r="A5" s="17" t="str">
        <f>HYPERLINK("https://www.adrian.edu", "Adrian College")</f>
        <v>Adrian College</v>
      </c>
      <c r="B5" s="18" t="s">
        <v>32</v>
      </c>
      <c r="C5" s="18" t="s">
        <v>226</v>
      </c>
      <c r="D5" s="18" t="s">
        <v>546</v>
      </c>
      <c r="E5" s="18">
        <v>1070</v>
      </c>
      <c r="F5" s="18" t="s">
        <v>35</v>
      </c>
      <c r="J5" s="19">
        <v>0.52490000000000003</v>
      </c>
      <c r="K5" s="19">
        <v>0.43877550999999998</v>
      </c>
      <c r="L5" s="19">
        <v>0.56269999999999998</v>
      </c>
      <c r="M5" s="19">
        <v>0.41670000000000001</v>
      </c>
      <c r="N5" s="19">
        <v>0.38100000000000001</v>
      </c>
      <c r="O5" s="19">
        <v>0.5</v>
      </c>
      <c r="P5" s="20">
        <v>52074</v>
      </c>
      <c r="Q5" s="21" t="str">
        <f>HYPERLINK("https://adrian.edu/admissions/financial-aid/financial-aid-calculator/", "$23824")</f>
        <v>$23824</v>
      </c>
      <c r="R5" s="22">
        <v>26197</v>
      </c>
      <c r="S5" s="22">
        <v>29067</v>
      </c>
      <c r="T5" s="20">
        <v>5076</v>
      </c>
      <c r="U5" s="20">
        <v>18748</v>
      </c>
      <c r="W5" s="19">
        <v>0.35449999999999998</v>
      </c>
      <c r="X5" s="19">
        <v>0.29270000000000002</v>
      </c>
      <c r="Z5" s="23">
        <v>1609</v>
      </c>
    </row>
    <row r="6" spans="1:26" x14ac:dyDescent="0.2">
      <c r="A6" s="17" t="str">
        <f>HYPERLINK("https://www.ahu.edu", "Adventist University of Health Sciences")</f>
        <v>Adventist University of Health Sciences</v>
      </c>
      <c r="B6" s="18" t="s">
        <v>32</v>
      </c>
      <c r="C6" s="18" t="s">
        <v>162</v>
      </c>
      <c r="D6" s="18" t="s">
        <v>501</v>
      </c>
      <c r="E6" s="18">
        <v>1019</v>
      </c>
      <c r="F6" s="18" t="s">
        <v>35</v>
      </c>
      <c r="J6" s="19">
        <v>0.1923</v>
      </c>
      <c r="K6" s="19">
        <v>0.379421222</v>
      </c>
      <c r="L6" s="19">
        <v>0.25</v>
      </c>
      <c r="M6" s="19">
        <v>0.1</v>
      </c>
      <c r="N6" s="19">
        <v>0.28570000000000001</v>
      </c>
      <c r="O6" s="19" t="s">
        <v>36</v>
      </c>
      <c r="P6" s="20">
        <v>27476</v>
      </c>
      <c r="Q6" s="21" t="str">
        <f>HYPERLINK("https://npc.collegeboard.org/student/app/fhchs", "$18059")</f>
        <v>$18059</v>
      </c>
      <c r="R6" s="22">
        <v>21012</v>
      </c>
      <c r="S6" s="22">
        <v>21942</v>
      </c>
      <c r="T6" s="20">
        <v>6950</v>
      </c>
      <c r="U6" s="20">
        <v>11109</v>
      </c>
      <c r="W6" s="19">
        <v>0.36830000000000002</v>
      </c>
      <c r="X6" s="19">
        <v>0.6018</v>
      </c>
      <c r="Z6" s="23">
        <v>1316</v>
      </c>
    </row>
    <row r="7" spans="1:26" x14ac:dyDescent="0.2">
      <c r="A7" s="17" t="str">
        <f>HYPERLINK("https://www.aamu.edu/", "Alabama A &amp; M University")</f>
        <v>Alabama A &amp; M University</v>
      </c>
      <c r="B7" s="18" t="s">
        <v>49</v>
      </c>
      <c r="C7" s="18" t="s">
        <v>300</v>
      </c>
      <c r="D7" s="18" t="s">
        <v>383</v>
      </c>
      <c r="E7" s="18">
        <v>929</v>
      </c>
      <c r="F7" s="18" t="s">
        <v>35</v>
      </c>
      <c r="J7" s="19">
        <v>0.23960000000000001</v>
      </c>
      <c r="K7" s="19">
        <v>0.30882352899999999</v>
      </c>
      <c r="L7" s="19">
        <v>0.1875</v>
      </c>
      <c r="M7" s="19">
        <v>0.24160000000000001</v>
      </c>
      <c r="N7" s="19">
        <v>0.16669999999999999</v>
      </c>
      <c r="O7" s="19">
        <v>0</v>
      </c>
      <c r="P7" s="20">
        <v>31436</v>
      </c>
      <c r="Q7" s="21" t="str">
        <f>HYPERLINK("https://galileo.aamu.edu/NetPriceCalculator/npcalc.htm", "$23197")</f>
        <v>$23197</v>
      </c>
      <c r="R7" s="22">
        <v>25296</v>
      </c>
      <c r="S7" s="22">
        <v>25677</v>
      </c>
      <c r="T7" s="20">
        <v>4180</v>
      </c>
      <c r="U7" s="20">
        <v>19017.371772805509</v>
      </c>
      <c r="W7" s="19">
        <v>0.71</v>
      </c>
      <c r="X7" s="19">
        <v>0.97470000000000001</v>
      </c>
      <c r="Z7" s="23">
        <v>4824</v>
      </c>
    </row>
    <row r="8" spans="1:26" x14ac:dyDescent="0.2">
      <c r="A8" s="17" t="str">
        <f>HYPERLINK("https://www.alasu.edu", "Alabama State University")</f>
        <v>Alabama State University</v>
      </c>
      <c r="B8" s="18" t="s">
        <v>49</v>
      </c>
      <c r="C8" s="18" t="s">
        <v>300</v>
      </c>
      <c r="D8" s="18" t="s">
        <v>547</v>
      </c>
      <c r="E8" s="18">
        <v>935</v>
      </c>
      <c r="F8" s="18" t="s">
        <v>35</v>
      </c>
      <c r="J8" s="19">
        <v>0.27689999999999998</v>
      </c>
      <c r="K8" s="19">
        <v>0.22530329299999999</v>
      </c>
      <c r="L8" s="19">
        <v>0.2727</v>
      </c>
      <c r="M8" s="19">
        <v>0.27289999999999998</v>
      </c>
      <c r="N8" s="19">
        <v>0.52939999999999998</v>
      </c>
      <c r="O8" s="19">
        <v>0</v>
      </c>
      <c r="P8" s="20">
        <v>29810</v>
      </c>
      <c r="Q8" s="21" t="str">
        <f>HYPERLINK("https://www.alasu.edu/cost-aid/forms/calculator/index.aspx", "$22694")</f>
        <v>$22694</v>
      </c>
      <c r="R8" s="22">
        <v>26504</v>
      </c>
      <c r="S8" s="22">
        <v>27047</v>
      </c>
      <c r="T8" s="20">
        <v>4992</v>
      </c>
      <c r="U8" s="20">
        <v>17702.667342799188</v>
      </c>
      <c r="W8" s="19">
        <v>0.73770000000000002</v>
      </c>
      <c r="X8" s="19">
        <v>0.98540000000000005</v>
      </c>
      <c r="Z8" s="23">
        <v>4189</v>
      </c>
    </row>
    <row r="9" spans="1:26" x14ac:dyDescent="0.2">
      <c r="A9" s="17" t="str">
        <f>HYPERLINK("https://www.alaskapacific.edu", "Alaska Pacific University")</f>
        <v>Alaska Pacific University</v>
      </c>
      <c r="B9" s="18" t="s">
        <v>32</v>
      </c>
      <c r="C9" s="18" t="s">
        <v>548</v>
      </c>
      <c r="D9" s="18" t="s">
        <v>549</v>
      </c>
      <c r="E9" s="18" t="s">
        <v>36</v>
      </c>
      <c r="F9" s="18" t="s">
        <v>90</v>
      </c>
      <c r="J9" s="19">
        <v>0.52939999999999998</v>
      </c>
      <c r="K9" s="19" t="s">
        <v>36</v>
      </c>
      <c r="L9" s="19">
        <v>0.61539999999999995</v>
      </c>
      <c r="M9" s="19">
        <v>1</v>
      </c>
      <c r="N9" s="19" t="s">
        <v>36</v>
      </c>
      <c r="O9" s="19" t="s">
        <v>36</v>
      </c>
      <c r="P9" s="20">
        <v>34210</v>
      </c>
      <c r="Q9" s="21" t="str">
        <f>HYPERLINK("https://npc.collegeboard.org/student/app/alaskapacific", "$15017")</f>
        <v>$15017</v>
      </c>
      <c r="R9" s="22">
        <v>21037</v>
      </c>
      <c r="S9" s="22">
        <v>21001</v>
      </c>
      <c r="T9" s="20">
        <v>5550</v>
      </c>
      <c r="U9" s="20">
        <v>9467</v>
      </c>
      <c r="W9" s="19">
        <v>0.3054</v>
      </c>
      <c r="X9" s="19">
        <v>0.52229999999999999</v>
      </c>
      <c r="Z9" s="23">
        <v>247</v>
      </c>
    </row>
    <row r="10" spans="1:26" x14ac:dyDescent="0.2">
      <c r="A10" s="17" t="str">
        <f>HYPERLINK("https://www.acphs.edu", "Albany College of Pharmacy and Health Sciences")</f>
        <v>Albany College of Pharmacy and Health Sciences</v>
      </c>
      <c r="B10" s="18" t="s">
        <v>32</v>
      </c>
      <c r="C10" s="18" t="s">
        <v>38</v>
      </c>
      <c r="D10" s="18" t="s">
        <v>550</v>
      </c>
      <c r="E10" s="18">
        <v>1200</v>
      </c>
      <c r="F10" s="18" t="s">
        <v>35</v>
      </c>
      <c r="J10" s="19">
        <v>0.76190000000000002</v>
      </c>
      <c r="K10" s="19">
        <v>0.73214285700000004</v>
      </c>
      <c r="L10" s="19">
        <v>0.7671</v>
      </c>
      <c r="M10" s="19">
        <v>0.33329999999999999</v>
      </c>
      <c r="N10" s="19">
        <v>0.8</v>
      </c>
      <c r="O10" s="19">
        <v>0.7</v>
      </c>
      <c r="P10" s="20">
        <v>48019</v>
      </c>
      <c r="Q10" s="21" t="str">
        <f>HYPERLINK("https://acphs.edu/net-price-calculator", "$22747")</f>
        <v>$22747</v>
      </c>
      <c r="R10" s="22">
        <v>28801</v>
      </c>
      <c r="S10" s="22">
        <v>32516</v>
      </c>
      <c r="T10" s="20">
        <v>3598</v>
      </c>
      <c r="U10" s="20">
        <v>19149</v>
      </c>
      <c r="W10" s="19">
        <v>0.24940000000000001</v>
      </c>
      <c r="X10" s="19">
        <v>0.39500000000000002</v>
      </c>
      <c r="Z10" s="23">
        <v>886</v>
      </c>
    </row>
    <row r="11" spans="1:26" x14ac:dyDescent="0.2">
      <c r="A11" s="17" t="str">
        <f>HYPERLINK("https://www.asurams.edu/", "Albany State University")</f>
        <v>Albany State University</v>
      </c>
      <c r="B11" s="18" t="s">
        <v>49</v>
      </c>
      <c r="C11" s="18" t="s">
        <v>107</v>
      </c>
      <c r="D11" s="18" t="s">
        <v>550</v>
      </c>
      <c r="E11" s="18" t="s">
        <v>36</v>
      </c>
      <c r="F11" s="18" t="s">
        <v>36</v>
      </c>
      <c r="J11" s="19">
        <v>0.2233</v>
      </c>
      <c r="K11" s="19">
        <v>0.306220096</v>
      </c>
      <c r="L11" s="19">
        <v>0.18740000000000001</v>
      </c>
      <c r="M11" s="19">
        <v>0.23069999999999999</v>
      </c>
      <c r="N11" s="19">
        <v>0.1212</v>
      </c>
      <c r="O11" s="19">
        <v>0.15379999999999999</v>
      </c>
      <c r="P11" s="20">
        <v>29530</v>
      </c>
      <c r="Q11" s="21" t="str">
        <f>HYPERLINK("https://gateway.asurams.edu/calculator", "$22995")</f>
        <v>$22995</v>
      </c>
      <c r="R11" s="22">
        <v>27068</v>
      </c>
      <c r="S11" s="22">
        <v>28332</v>
      </c>
      <c r="T11" s="20">
        <v>4520</v>
      </c>
      <c r="U11" s="20">
        <v>18475.970021413279</v>
      </c>
      <c r="W11" s="19">
        <v>0.58460000000000001</v>
      </c>
      <c r="X11" s="19">
        <v>0.79530000000000001</v>
      </c>
      <c r="Z11" s="23">
        <v>5761</v>
      </c>
    </row>
    <row r="12" spans="1:26" x14ac:dyDescent="0.2">
      <c r="A12" s="17" t="str">
        <f>HYPERLINK("https://www.albright.edu", "Albright College")</f>
        <v>Albright College</v>
      </c>
      <c r="B12" s="18" t="s">
        <v>32</v>
      </c>
      <c r="C12" s="18" t="s">
        <v>65</v>
      </c>
      <c r="D12" s="18" t="s">
        <v>551</v>
      </c>
      <c r="E12" s="18" t="s">
        <v>36</v>
      </c>
      <c r="F12" s="18" t="s">
        <v>90</v>
      </c>
      <c r="J12" s="19">
        <v>0.53180000000000005</v>
      </c>
      <c r="K12" s="19">
        <v>0.39607843100000001</v>
      </c>
      <c r="L12" s="19">
        <v>0.59109999999999996</v>
      </c>
      <c r="M12" s="19">
        <v>0.36259999999999998</v>
      </c>
      <c r="N12" s="19">
        <v>0.50849999999999995</v>
      </c>
      <c r="O12" s="19">
        <v>0.90910000000000002</v>
      </c>
      <c r="P12" s="20">
        <v>58320</v>
      </c>
      <c r="Q12" s="21" t="str">
        <f>HYPERLINK("https://albright.studentaidcalculator.com/survey.aspx", "$19769")</f>
        <v>$19769</v>
      </c>
      <c r="R12" s="22">
        <v>21640</v>
      </c>
      <c r="S12" s="22">
        <v>25990</v>
      </c>
      <c r="T12" s="20">
        <v>3260</v>
      </c>
      <c r="U12" s="20">
        <v>16509</v>
      </c>
      <c r="W12" s="19">
        <v>0.44590000000000002</v>
      </c>
      <c r="X12" s="19">
        <v>0.48770000000000002</v>
      </c>
      <c r="Z12" s="23">
        <v>1999</v>
      </c>
    </row>
    <row r="13" spans="1:26" x14ac:dyDescent="0.2">
      <c r="A13" s="17" t="str">
        <f>HYPERLINK("https://www.alcorn.edu", "Alcorn State University")</f>
        <v>Alcorn State University</v>
      </c>
      <c r="B13" s="18" t="s">
        <v>49</v>
      </c>
      <c r="C13" s="18" t="s">
        <v>59</v>
      </c>
      <c r="D13" s="18" t="s">
        <v>552</v>
      </c>
      <c r="E13" s="18">
        <v>1005</v>
      </c>
      <c r="F13" s="18" t="s">
        <v>35</v>
      </c>
      <c r="J13" s="19">
        <v>0.32779999999999998</v>
      </c>
      <c r="K13" s="19">
        <v>0.25387870200000001</v>
      </c>
      <c r="L13" s="19">
        <v>0.125</v>
      </c>
      <c r="M13" s="19">
        <v>0.3306</v>
      </c>
      <c r="N13" s="19">
        <v>0</v>
      </c>
      <c r="O13" s="19" t="s">
        <v>36</v>
      </c>
      <c r="P13" s="20">
        <v>23413</v>
      </c>
      <c r="Q13" s="21" t="str">
        <f>HYPERLINK("https://www.alcorn.edu/admissions/financial-aid/consumer-information-disclosures", "$16408")</f>
        <v>$16408</v>
      </c>
      <c r="R13" s="22">
        <v>16153</v>
      </c>
      <c r="S13" s="22">
        <v>16692</v>
      </c>
      <c r="T13" s="20">
        <v>6794</v>
      </c>
      <c r="U13" s="20">
        <v>9614.3239074550147</v>
      </c>
      <c r="W13" s="19">
        <v>0.75470000000000004</v>
      </c>
      <c r="X13" s="19">
        <v>0.96779999999999999</v>
      </c>
      <c r="Z13" s="23">
        <v>3172</v>
      </c>
    </row>
    <row r="14" spans="1:26" x14ac:dyDescent="0.2">
      <c r="A14" s="17" t="str">
        <f>HYPERLINK("https://www.alvernia.edu", "Alvernia University")</f>
        <v>Alvernia University</v>
      </c>
      <c r="B14" s="18" t="s">
        <v>32</v>
      </c>
      <c r="C14" s="18" t="s">
        <v>65</v>
      </c>
      <c r="D14" s="18" t="s">
        <v>551</v>
      </c>
      <c r="E14" s="18">
        <v>1052</v>
      </c>
      <c r="F14" s="18" t="s">
        <v>35</v>
      </c>
      <c r="J14" s="19">
        <v>0.59840000000000004</v>
      </c>
      <c r="K14" s="19">
        <v>0.49549549599999998</v>
      </c>
      <c r="L14" s="19">
        <v>0.63719999999999999</v>
      </c>
      <c r="M14" s="19">
        <v>0.30769999999999997</v>
      </c>
      <c r="N14" s="19">
        <v>0.45450000000000002</v>
      </c>
      <c r="O14" s="19">
        <v>0.66669999999999996</v>
      </c>
      <c r="P14" s="20">
        <v>49330</v>
      </c>
      <c r="Q14" s="21" t="str">
        <f>HYPERLINK("https://www.alvernia.edu/admissions-aid/financial-aid/financial-aid-net-price-calculator", "$21490")</f>
        <v>$21490</v>
      </c>
      <c r="R14" s="22">
        <v>23107</v>
      </c>
      <c r="S14" s="22">
        <v>26618</v>
      </c>
      <c r="T14" s="20">
        <v>4000</v>
      </c>
      <c r="U14" s="20">
        <v>17490</v>
      </c>
      <c r="W14" s="19">
        <v>0.36420000000000002</v>
      </c>
      <c r="X14" s="19">
        <v>0.32809999999999989</v>
      </c>
      <c r="Z14" s="23">
        <v>2231</v>
      </c>
    </row>
    <row r="15" spans="1:26" x14ac:dyDescent="0.2">
      <c r="A15" s="17" t="str">
        <f>HYPERLINK("https://www.alverno.edu", "Alverno College")</f>
        <v>Alverno College</v>
      </c>
      <c r="B15" s="18" t="s">
        <v>32</v>
      </c>
      <c r="C15" s="18" t="s">
        <v>196</v>
      </c>
      <c r="D15" s="18" t="s">
        <v>410</v>
      </c>
      <c r="E15" s="18" t="s">
        <v>36</v>
      </c>
      <c r="F15" s="18" t="s">
        <v>90</v>
      </c>
      <c r="J15" s="19">
        <v>0.45079999999999998</v>
      </c>
      <c r="K15" s="19">
        <v>0.38924050599999999</v>
      </c>
      <c r="L15" s="19">
        <v>0.50680000000000003</v>
      </c>
      <c r="M15" s="19">
        <v>0.38300000000000001</v>
      </c>
      <c r="N15" s="19">
        <v>0.44440000000000002</v>
      </c>
      <c r="O15" s="19">
        <v>0.42859999999999998</v>
      </c>
      <c r="P15" s="20">
        <v>40418</v>
      </c>
      <c r="Q15" s="21" t="str">
        <f>HYPERLINK("https://www.alverno.edu/npc", "$15244")</f>
        <v>$15244</v>
      </c>
      <c r="R15" s="22">
        <v>16852</v>
      </c>
      <c r="S15" s="22">
        <v>21892</v>
      </c>
      <c r="T15" s="20">
        <v>3845</v>
      </c>
      <c r="U15" s="20">
        <v>11399</v>
      </c>
      <c r="W15" s="19">
        <v>0.56330000000000002</v>
      </c>
      <c r="X15" s="19">
        <v>0.51119999999999999</v>
      </c>
      <c r="Z15" s="23">
        <v>1289</v>
      </c>
    </row>
    <row r="16" spans="1:26" x14ac:dyDescent="0.2">
      <c r="A16" s="17" t="str">
        <f>HYPERLINK("https://anderson.edu", "Anderson University")</f>
        <v>Anderson University</v>
      </c>
      <c r="B16" s="18" t="s">
        <v>32</v>
      </c>
      <c r="C16" s="18" t="s">
        <v>148</v>
      </c>
      <c r="D16" s="18" t="s">
        <v>553</v>
      </c>
      <c r="E16" s="18">
        <v>1045</v>
      </c>
      <c r="F16" s="18" t="s">
        <v>35</v>
      </c>
      <c r="J16" s="19">
        <v>0.5746</v>
      </c>
      <c r="K16" s="19">
        <v>0.37121212100000001</v>
      </c>
      <c r="L16" s="19">
        <v>0.58979999999999999</v>
      </c>
      <c r="M16" s="19">
        <v>0.28000000000000003</v>
      </c>
      <c r="N16" s="19">
        <v>0.6</v>
      </c>
      <c r="O16" s="19">
        <v>0.66669999999999996</v>
      </c>
      <c r="P16" s="20">
        <v>43450</v>
      </c>
      <c r="Q16" s="21" t="str">
        <f>HYPERLINK("https://anderson.edu/net-calculator", "$20770")</f>
        <v>$20770</v>
      </c>
      <c r="R16" s="22">
        <v>21150</v>
      </c>
      <c r="S16" s="22">
        <v>25428</v>
      </c>
      <c r="T16" s="20">
        <v>4000</v>
      </c>
      <c r="U16" s="20">
        <v>16770</v>
      </c>
      <c r="W16" s="19">
        <v>0.37509999999999999</v>
      </c>
      <c r="X16" s="19">
        <v>0.19120000000000001</v>
      </c>
      <c r="Z16" s="23">
        <v>1506</v>
      </c>
    </row>
    <row r="17" spans="1:26" x14ac:dyDescent="0.2">
      <c r="A17" s="17" t="str">
        <f>HYPERLINK("https://www.andersonuniversity.edu", "Anderson University")</f>
        <v>Anderson University</v>
      </c>
      <c r="B17" s="18" t="s">
        <v>32</v>
      </c>
      <c r="C17" s="18" t="s">
        <v>208</v>
      </c>
      <c r="D17" s="18" t="s">
        <v>553</v>
      </c>
      <c r="E17" s="18">
        <v>1149</v>
      </c>
      <c r="F17" s="18" t="s">
        <v>35</v>
      </c>
      <c r="J17" s="19">
        <v>0.56730000000000003</v>
      </c>
      <c r="K17" s="19">
        <v>0.40437158499999998</v>
      </c>
      <c r="L17" s="19">
        <v>0.58479999999999999</v>
      </c>
      <c r="M17" s="19">
        <v>0.48149999999999998</v>
      </c>
      <c r="N17" s="19">
        <v>0.57140000000000002</v>
      </c>
      <c r="O17" s="19">
        <v>0</v>
      </c>
      <c r="P17" s="20">
        <v>42550</v>
      </c>
      <c r="Q17" s="21" t="str">
        <f>HYPERLINK("https://au-sc.com/calculator/", "$18104")</f>
        <v>$18104</v>
      </c>
      <c r="R17" s="22">
        <v>21246</v>
      </c>
      <c r="S17" s="22">
        <v>22951</v>
      </c>
      <c r="T17" s="20">
        <v>5900</v>
      </c>
      <c r="U17" s="20">
        <v>12204</v>
      </c>
      <c r="W17" s="19">
        <v>0.29399999999999998</v>
      </c>
      <c r="X17" s="19">
        <v>0.15780000000000011</v>
      </c>
      <c r="Z17" s="23">
        <v>2776</v>
      </c>
    </row>
    <row r="18" spans="1:26" x14ac:dyDescent="0.2">
      <c r="A18" s="17" t="str">
        <f>HYPERLINK("https://www.andrews.edu", "Andrews University")</f>
        <v>Andrews University</v>
      </c>
      <c r="B18" s="18" t="s">
        <v>32</v>
      </c>
      <c r="C18" s="18" t="s">
        <v>226</v>
      </c>
      <c r="D18" s="18" t="s">
        <v>554</v>
      </c>
      <c r="E18" s="18">
        <v>1203</v>
      </c>
      <c r="F18" s="18" t="s">
        <v>35</v>
      </c>
      <c r="J18" s="19">
        <v>0.54859999999999998</v>
      </c>
      <c r="K18" s="19">
        <v>0.47945205499999999</v>
      </c>
      <c r="L18" s="19">
        <v>0.5524</v>
      </c>
      <c r="M18" s="19">
        <v>0.4945</v>
      </c>
      <c r="N18" s="19">
        <v>0.4375</v>
      </c>
      <c r="O18" s="19">
        <v>0.77780000000000005</v>
      </c>
      <c r="P18" s="20">
        <v>39714</v>
      </c>
      <c r="Q18" s="21" t="str">
        <f>HYPERLINK("https://www.andrews.edu/go/npc", "$18140")</f>
        <v>$18140</v>
      </c>
      <c r="R18" s="22">
        <v>19836</v>
      </c>
      <c r="S18" s="22">
        <v>21995</v>
      </c>
      <c r="T18" s="20">
        <v>2200</v>
      </c>
      <c r="U18" s="20">
        <v>15940</v>
      </c>
      <c r="W18" s="19">
        <v>0.26900000000000002</v>
      </c>
      <c r="X18" s="19">
        <v>0.73309999999999997</v>
      </c>
      <c r="Z18" s="23">
        <v>1439</v>
      </c>
    </row>
    <row r="19" spans="1:26" x14ac:dyDescent="0.2">
      <c r="A19" s="17" t="str">
        <f>HYPERLINK("https://www.aquinas.edu", "Aquinas College")</f>
        <v>Aquinas College</v>
      </c>
      <c r="B19" s="18" t="s">
        <v>32</v>
      </c>
      <c r="C19" s="18" t="s">
        <v>226</v>
      </c>
      <c r="D19" s="18" t="s">
        <v>321</v>
      </c>
      <c r="E19" s="18">
        <v>1143</v>
      </c>
      <c r="F19" s="18" t="s">
        <v>35</v>
      </c>
      <c r="J19" s="19">
        <v>0.59470000000000001</v>
      </c>
      <c r="K19" s="19">
        <v>0.270676692</v>
      </c>
      <c r="L19" s="19">
        <v>0.6149</v>
      </c>
      <c r="M19" s="19">
        <v>0.30769999999999997</v>
      </c>
      <c r="N19" s="19">
        <v>0.45450000000000002</v>
      </c>
      <c r="O19" s="19">
        <v>0.6</v>
      </c>
      <c r="P19" s="20">
        <v>42952</v>
      </c>
      <c r="Q19" s="21" t="str">
        <f>HYPERLINK("https://www.aquinas.edu/resources/student-resources/financial-aid/net-price-calculator", "$12587")</f>
        <v>$12587</v>
      </c>
      <c r="R19" s="22">
        <v>15560</v>
      </c>
      <c r="S19" s="22">
        <v>18870</v>
      </c>
      <c r="T19" s="20">
        <v>2638</v>
      </c>
      <c r="U19" s="20">
        <v>9949</v>
      </c>
      <c r="W19" s="19">
        <v>0.30049999999999999</v>
      </c>
      <c r="X19" s="19">
        <v>0.24410000000000001</v>
      </c>
      <c r="Z19" s="23">
        <v>1434</v>
      </c>
    </row>
    <row r="20" spans="1:26" x14ac:dyDescent="0.2">
      <c r="A20" s="17" t="str">
        <f>HYPERLINK("https://www.arcadia.edu", "Arcadia University")</f>
        <v>Arcadia University</v>
      </c>
      <c r="B20" s="18" t="s">
        <v>32</v>
      </c>
      <c r="C20" s="18" t="s">
        <v>65</v>
      </c>
      <c r="D20" s="18" t="s">
        <v>555</v>
      </c>
      <c r="E20" s="18">
        <v>1160</v>
      </c>
      <c r="F20" s="18" t="s">
        <v>35</v>
      </c>
      <c r="J20" s="19">
        <v>0.66269999999999996</v>
      </c>
      <c r="K20" s="19">
        <v>0.49714285699999999</v>
      </c>
      <c r="L20" s="19">
        <v>0.71200000000000008</v>
      </c>
      <c r="M20" s="19">
        <v>0.51519999999999999</v>
      </c>
      <c r="N20" s="19">
        <v>0.57140000000000002</v>
      </c>
      <c r="O20" s="19">
        <v>0.5484</v>
      </c>
      <c r="P20" s="20">
        <v>58590</v>
      </c>
      <c r="Q20" s="21" t="str">
        <f>HYPERLINK("https://arcadia.studentaidcalculator.com/welcome.aspx", "$21019")</f>
        <v>$21019</v>
      </c>
      <c r="R20" s="22">
        <v>26942</v>
      </c>
      <c r="S20" s="22">
        <v>27112</v>
      </c>
      <c r="T20" s="20">
        <v>2600</v>
      </c>
      <c r="U20" s="20">
        <v>18419</v>
      </c>
      <c r="W20" s="19">
        <v>0.33360000000000001</v>
      </c>
      <c r="X20" s="19">
        <v>0.32200000000000012</v>
      </c>
      <c r="Z20" s="23">
        <v>2233</v>
      </c>
    </row>
    <row r="21" spans="1:26" ht="15.75" customHeight="1" x14ac:dyDescent="0.2">
      <c r="A21" s="17" t="str">
        <f>HYPERLINK("https://www.asu.edu/", "Arizona State University-Downtown Phoenix")</f>
        <v>Arizona State University-Downtown Phoenix</v>
      </c>
      <c r="B21" s="18" t="s">
        <v>49</v>
      </c>
      <c r="C21" s="18" t="s">
        <v>354</v>
      </c>
      <c r="D21" s="18" t="s">
        <v>369</v>
      </c>
      <c r="E21" s="18">
        <v>1165</v>
      </c>
      <c r="F21" s="18" t="s">
        <v>35</v>
      </c>
      <c r="J21" s="19">
        <v>0.65599999999999992</v>
      </c>
      <c r="K21" s="19">
        <v>0.57497716899999995</v>
      </c>
      <c r="L21" s="19">
        <v>0.7036</v>
      </c>
      <c r="M21" s="19">
        <v>0.47370000000000001</v>
      </c>
      <c r="N21" s="19">
        <v>0.60360000000000003</v>
      </c>
      <c r="O21" s="19">
        <v>0.77359999999999995</v>
      </c>
      <c r="P21" s="20">
        <v>45743</v>
      </c>
      <c r="Q21" s="21" t="str">
        <f>HYPERLINK("https://students.asu.edu/financialaid/net-price", "$27847")</f>
        <v>$27847</v>
      </c>
      <c r="R21" s="22">
        <v>34602</v>
      </c>
      <c r="S21" s="22">
        <v>37194</v>
      </c>
      <c r="T21" s="20">
        <v>4529</v>
      </c>
      <c r="U21" s="20">
        <v>23318.812307692311</v>
      </c>
      <c r="W21" s="19">
        <v>0.3921</v>
      </c>
      <c r="X21" s="19">
        <v>0.51170000000000004</v>
      </c>
      <c r="Z21" s="23">
        <v>8898</v>
      </c>
    </row>
    <row r="22" spans="1:26" ht="15.75" customHeight="1" x14ac:dyDescent="0.2">
      <c r="A22" s="17" t="str">
        <f>HYPERLINK("https://www.asu.edu/", "Arizona State University-Polytechnic")</f>
        <v>Arizona State University-Polytechnic</v>
      </c>
      <c r="B22" s="18" t="s">
        <v>49</v>
      </c>
      <c r="C22" s="18" t="s">
        <v>354</v>
      </c>
      <c r="D22" s="18" t="s">
        <v>556</v>
      </c>
      <c r="E22" s="18">
        <v>1193</v>
      </c>
      <c r="F22" s="18" t="s">
        <v>35</v>
      </c>
      <c r="J22" s="19">
        <v>0.59060000000000001</v>
      </c>
      <c r="K22" s="19">
        <v>0.57497716899999995</v>
      </c>
      <c r="L22" s="19">
        <v>0.65259999999999996</v>
      </c>
      <c r="M22" s="19">
        <v>0.23530000000000001</v>
      </c>
      <c r="N22" s="19">
        <v>0.5</v>
      </c>
      <c r="O22" s="19">
        <v>0.77780000000000005</v>
      </c>
      <c r="P22" s="20">
        <v>42660</v>
      </c>
      <c r="Q22" s="21" t="str">
        <f>HYPERLINK("https://students.asu.edu/financialaid/net-price", "$27412")</f>
        <v>$27412</v>
      </c>
      <c r="R22" s="22">
        <v>32496</v>
      </c>
      <c r="S22" s="22">
        <v>35806</v>
      </c>
      <c r="T22" s="20">
        <v>4529</v>
      </c>
      <c r="U22" s="20">
        <v>22883.196261682238</v>
      </c>
      <c r="W22" s="19">
        <v>0.35930000000000001</v>
      </c>
      <c r="X22" s="19">
        <v>0.47210000000000002</v>
      </c>
      <c r="Z22" s="23">
        <v>4224</v>
      </c>
    </row>
    <row r="23" spans="1:26" ht="15.75" customHeight="1" x14ac:dyDescent="0.2">
      <c r="A23" s="17" t="str">
        <f>HYPERLINK("https://www.asu.edu/", "Arizona State University-Skysong")</f>
        <v>Arizona State University-Skysong</v>
      </c>
      <c r="B23" s="18" t="s">
        <v>49</v>
      </c>
      <c r="C23" s="18" t="s">
        <v>354</v>
      </c>
      <c r="D23" s="18" t="s">
        <v>557</v>
      </c>
      <c r="E23" s="18" t="s">
        <v>36</v>
      </c>
      <c r="F23" s="18" t="s">
        <v>90</v>
      </c>
      <c r="J23" s="19">
        <v>0.1389</v>
      </c>
      <c r="K23" s="19">
        <v>0.57497716899999995</v>
      </c>
      <c r="L23" s="19">
        <v>0.15379999999999999</v>
      </c>
      <c r="M23" s="19">
        <v>0.33329999999999999</v>
      </c>
      <c r="N23" s="19">
        <v>0</v>
      </c>
      <c r="O23" s="19">
        <v>0</v>
      </c>
      <c r="P23" s="20">
        <v>32275</v>
      </c>
      <c r="Q23" s="21" t="str">
        <f>HYPERLINK("https://students.asu.edu/financialaid/net-price", "$20235")</f>
        <v>$20235</v>
      </c>
      <c r="R23" s="22">
        <v>23444</v>
      </c>
      <c r="S23" s="22">
        <v>29290</v>
      </c>
      <c r="T23" s="20">
        <v>4529</v>
      </c>
      <c r="U23" s="20">
        <v>15706.051575931229</v>
      </c>
      <c r="W23" s="19">
        <v>0.39600000000000002</v>
      </c>
      <c r="X23" s="19">
        <v>0.3619</v>
      </c>
      <c r="Z23" s="23">
        <v>24244</v>
      </c>
    </row>
    <row r="24" spans="1:26" ht="15.75" customHeight="1" x14ac:dyDescent="0.2">
      <c r="A24" s="17" t="str">
        <f>HYPERLINK("https://www.asu.edu/", "Arizona State University-Tempe")</f>
        <v>Arizona State University-Tempe</v>
      </c>
      <c r="B24" s="18" t="s">
        <v>49</v>
      </c>
      <c r="C24" s="18" t="s">
        <v>354</v>
      </c>
      <c r="D24" s="18" t="s">
        <v>558</v>
      </c>
      <c r="E24" s="18">
        <v>1235</v>
      </c>
      <c r="F24" s="18" t="s">
        <v>35</v>
      </c>
      <c r="J24" s="19">
        <v>0.63349999999999995</v>
      </c>
      <c r="K24" s="19">
        <v>0.57497716899999995</v>
      </c>
      <c r="L24" s="19">
        <v>0.65849999999999997</v>
      </c>
      <c r="M24" s="19">
        <v>0.44519999999999998</v>
      </c>
      <c r="N24" s="19">
        <v>0.55310000000000004</v>
      </c>
      <c r="O24" s="19">
        <v>0.7732</v>
      </c>
      <c r="P24" s="20">
        <v>44110</v>
      </c>
      <c r="Q24" s="21" t="str">
        <f>HYPERLINK("https://students.asu.edu/financialaid/net-price", "$26976")</f>
        <v>$26976</v>
      </c>
      <c r="R24" s="22">
        <v>32726</v>
      </c>
      <c r="S24" s="22">
        <v>35684</v>
      </c>
      <c r="T24" s="20">
        <v>4529</v>
      </c>
      <c r="U24" s="20">
        <v>22447.829787234041</v>
      </c>
      <c r="W24" s="19">
        <v>0.2928</v>
      </c>
      <c r="X24" s="19">
        <v>0.5</v>
      </c>
      <c r="Z24" s="23">
        <v>42181</v>
      </c>
    </row>
    <row r="25" spans="1:26" ht="15.75" customHeight="1" x14ac:dyDescent="0.2">
      <c r="A25" s="17" t="str">
        <f>HYPERLINK("https://www.asu.edu/", "Arizona State University-West")</f>
        <v>Arizona State University-West</v>
      </c>
      <c r="B25" s="18" t="s">
        <v>49</v>
      </c>
      <c r="C25" s="18" t="s">
        <v>354</v>
      </c>
      <c r="D25" s="18" t="s">
        <v>559</v>
      </c>
      <c r="E25" s="18">
        <v>1132</v>
      </c>
      <c r="F25" s="18" t="s">
        <v>35</v>
      </c>
      <c r="J25" s="19">
        <v>0.57720000000000005</v>
      </c>
      <c r="K25" s="19">
        <v>0.57497716899999995</v>
      </c>
      <c r="L25" s="19">
        <v>0.6</v>
      </c>
      <c r="M25" s="19">
        <v>0.35289999999999999</v>
      </c>
      <c r="N25" s="19">
        <v>0.56520000000000004</v>
      </c>
      <c r="O25" s="19">
        <v>0.75</v>
      </c>
      <c r="P25" s="20">
        <v>41779</v>
      </c>
      <c r="Q25" s="21" t="str">
        <f>HYPERLINK("https://students.asu.edu/financialaid/net-price", "$26324")</f>
        <v>$26324</v>
      </c>
      <c r="R25" s="22">
        <v>30688</v>
      </c>
      <c r="S25" s="22">
        <v>34143</v>
      </c>
      <c r="T25" s="20">
        <v>4529</v>
      </c>
      <c r="U25" s="20">
        <v>21795.983050847459</v>
      </c>
      <c r="W25" s="19">
        <v>0.46510000000000001</v>
      </c>
      <c r="X25" s="19">
        <v>0.53439999999999999</v>
      </c>
      <c r="Z25" s="23">
        <v>3563</v>
      </c>
    </row>
    <row r="26" spans="1:26" ht="15.75" customHeight="1" x14ac:dyDescent="0.2">
      <c r="A26" s="17" t="str">
        <f>HYPERLINK("https://www.astate.edu/", "Arkansas State University-Main Campus")</f>
        <v>Arkansas State University-Main Campus</v>
      </c>
      <c r="B26" s="18" t="s">
        <v>49</v>
      </c>
      <c r="C26" s="18" t="s">
        <v>371</v>
      </c>
      <c r="D26" s="18" t="s">
        <v>560</v>
      </c>
      <c r="E26" s="18">
        <v>1165</v>
      </c>
      <c r="F26" s="18" t="s">
        <v>35</v>
      </c>
      <c r="J26" s="19">
        <v>0.47499999999999998</v>
      </c>
      <c r="K26" s="19">
        <v>0.34322642399999997</v>
      </c>
      <c r="L26" s="19">
        <v>0.50090000000000001</v>
      </c>
      <c r="M26" s="19">
        <v>0.39340000000000003</v>
      </c>
      <c r="N26" s="19">
        <v>0.43480000000000002</v>
      </c>
      <c r="O26" s="19">
        <v>0.5</v>
      </c>
      <c r="P26" s="20">
        <v>28786</v>
      </c>
      <c r="Q26" s="21" t="str">
        <f>HYPERLINK("https://www.astate.edu/a/finaid/tuition-fees/net-price-calculator/index.dot", "$19524")</f>
        <v>$19524</v>
      </c>
      <c r="R26" s="22">
        <v>22531</v>
      </c>
      <c r="S26" s="22">
        <v>24169</v>
      </c>
      <c r="T26" s="20">
        <v>5268</v>
      </c>
      <c r="U26" s="20">
        <v>14256.78145695364</v>
      </c>
      <c r="W26" s="19">
        <v>0.41199999999999998</v>
      </c>
      <c r="X26" s="19">
        <v>0.25359999999999999</v>
      </c>
      <c r="Z26" s="23">
        <v>8856</v>
      </c>
    </row>
    <row r="27" spans="1:26" ht="15.75" customHeight="1" x14ac:dyDescent="0.2">
      <c r="A27" s="17" t="str">
        <f>HYPERLINK("https://www.atu.edu", "Arkansas Tech University")</f>
        <v>Arkansas Tech University</v>
      </c>
      <c r="B27" s="18" t="s">
        <v>49</v>
      </c>
      <c r="C27" s="18" t="s">
        <v>371</v>
      </c>
      <c r="D27" s="18" t="s">
        <v>561</v>
      </c>
      <c r="E27" s="18" t="s">
        <v>36</v>
      </c>
      <c r="F27" s="18" t="s">
        <v>90</v>
      </c>
      <c r="J27" s="19">
        <v>0.39</v>
      </c>
      <c r="K27" s="19">
        <v>0.35735294099999998</v>
      </c>
      <c r="L27" s="19">
        <v>0.40960000000000002</v>
      </c>
      <c r="M27" s="19">
        <v>0.189</v>
      </c>
      <c r="N27" s="19">
        <v>0.2833</v>
      </c>
      <c r="O27" s="19">
        <v>0.46150000000000002</v>
      </c>
      <c r="P27" s="20">
        <v>24129</v>
      </c>
      <c r="Q27" s="21" t="str">
        <f>HYPERLINK("https://www.atu.edu/finaid/npcalc.htm", "$16917")</f>
        <v>$16917</v>
      </c>
      <c r="R27" s="22">
        <v>19048</v>
      </c>
      <c r="S27" s="22">
        <v>20117</v>
      </c>
      <c r="T27" s="20">
        <v>3947</v>
      </c>
      <c r="U27" s="20">
        <v>12970.483061480551</v>
      </c>
      <c r="W27" s="19">
        <v>0.3931</v>
      </c>
      <c r="X27" s="19">
        <v>0.24809999999999999</v>
      </c>
      <c r="Z27" s="23">
        <v>8247</v>
      </c>
    </row>
    <row r="28" spans="1:26" ht="15.75" customHeight="1" x14ac:dyDescent="0.2">
      <c r="A28" s="17" t="str">
        <f>HYPERLINK("https://www.georgiasouthern.edu/", "Armstrong State University")</f>
        <v>Armstrong State University</v>
      </c>
      <c r="B28" s="18" t="s">
        <v>49</v>
      </c>
      <c r="C28" s="18" t="s">
        <v>107</v>
      </c>
      <c r="D28" s="18" t="s">
        <v>562</v>
      </c>
      <c r="E28" s="18">
        <v>1054</v>
      </c>
      <c r="F28" s="18" t="s">
        <v>35</v>
      </c>
      <c r="J28" s="19">
        <v>0.32079999999999997</v>
      </c>
      <c r="K28" s="19">
        <v>0.34386973199999998</v>
      </c>
      <c r="L28" s="19">
        <v>0.31330000000000002</v>
      </c>
      <c r="M28" s="19">
        <v>0.32679999999999998</v>
      </c>
      <c r="N28" s="19">
        <v>0.32940000000000003</v>
      </c>
      <c r="O28" s="19">
        <v>0.29630000000000001</v>
      </c>
      <c r="P28" s="20">
        <v>31236</v>
      </c>
      <c r="Q28" s="21" t="str">
        <f>HYPERLINK("https://em.georgiasouthern.edu/finaid/how-to-apply/estimated-cost-of-attendance/", "$23324")</f>
        <v>$23324</v>
      </c>
      <c r="R28" s="22">
        <v>26406</v>
      </c>
      <c r="S28" s="22">
        <v>28352</v>
      </c>
      <c r="T28" s="20">
        <v>5160</v>
      </c>
      <c r="U28" s="20">
        <v>18164.811074918569</v>
      </c>
      <c r="W28" s="19">
        <v>0.43909999999999999</v>
      </c>
      <c r="X28" s="19">
        <v>0.46489999999999998</v>
      </c>
      <c r="Z28" s="23">
        <v>5965</v>
      </c>
    </row>
    <row r="29" spans="1:26" ht="15.75" customHeight="1" x14ac:dyDescent="0.2">
      <c r="A29" s="17" t="str">
        <f>HYPERLINK("https://www.artcenter.edu", "Art Center College of Design")</f>
        <v>Art Center College of Design</v>
      </c>
      <c r="B29" s="18" t="s">
        <v>32</v>
      </c>
      <c r="C29" s="18" t="s">
        <v>68</v>
      </c>
      <c r="D29" s="18" t="s">
        <v>69</v>
      </c>
      <c r="E29" s="18" t="s">
        <v>36</v>
      </c>
      <c r="F29" s="18" t="s">
        <v>90</v>
      </c>
      <c r="J29" s="19">
        <v>0.67589999999999995</v>
      </c>
      <c r="K29" s="19">
        <v>0.66860465099999999</v>
      </c>
      <c r="L29" s="19">
        <v>0.6</v>
      </c>
      <c r="M29" s="19">
        <v>0</v>
      </c>
      <c r="N29" s="19">
        <v>0.73909999999999998</v>
      </c>
      <c r="O29" s="19">
        <v>0.63490000000000002</v>
      </c>
      <c r="P29" s="20">
        <v>66030</v>
      </c>
      <c r="Q29" s="21" t="str">
        <f>HYPERLINK("https://www.artcenter.edu/admissions/tuition-and-aid/net-price-calculator.html", "$39277")</f>
        <v>$39277</v>
      </c>
      <c r="R29" s="22">
        <v>43172</v>
      </c>
      <c r="S29" s="22">
        <v>44962</v>
      </c>
      <c r="T29" s="20">
        <v>10492</v>
      </c>
      <c r="U29" s="20">
        <v>28785</v>
      </c>
      <c r="W29" s="19">
        <v>0.32550000000000001</v>
      </c>
      <c r="X29" s="19">
        <v>0.83589999999999998</v>
      </c>
      <c r="Z29" s="23">
        <v>1974</v>
      </c>
    </row>
    <row r="30" spans="1:26" ht="15.75" customHeight="1" x14ac:dyDescent="0.2">
      <c r="A30" s="17" t="str">
        <f>HYPERLINK("https://www.ashford.edu", "Ashford University")</f>
        <v>Ashford University</v>
      </c>
      <c r="B30" s="18" t="s">
        <v>368</v>
      </c>
      <c r="C30" s="18" t="s">
        <v>68</v>
      </c>
      <c r="D30" s="18" t="s">
        <v>288</v>
      </c>
      <c r="E30" s="18" t="s">
        <v>36</v>
      </c>
      <c r="F30" s="18" t="s">
        <v>36</v>
      </c>
      <c r="J30" s="19">
        <v>7.6499999999999999E-2</v>
      </c>
      <c r="K30" s="19">
        <v>0.19486094500000001</v>
      </c>
      <c r="L30" s="19">
        <v>9.6799999999999997E-2</v>
      </c>
      <c r="M30" s="19">
        <v>3.9100000000000003E-2</v>
      </c>
      <c r="N30" s="19">
        <v>9.4399999999999998E-2</v>
      </c>
      <c r="O30" s="19">
        <v>0.17499999999999999</v>
      </c>
      <c r="P30" s="20">
        <v>23787</v>
      </c>
      <c r="Q30" s="21" t="str">
        <f>HYPERLINK("https://ashford.studentaidcalculator.com/survey.aspx", "$18590")</f>
        <v>$18590</v>
      </c>
      <c r="R30" s="22">
        <v>20724</v>
      </c>
      <c r="S30" s="22">
        <v>20425</v>
      </c>
      <c r="T30" s="20">
        <v>5430</v>
      </c>
      <c r="U30" s="20">
        <v>13160</v>
      </c>
      <c r="W30" s="19">
        <v>0.59189999999999998</v>
      </c>
      <c r="X30" s="19">
        <v>0.57630000000000003</v>
      </c>
      <c r="Z30" s="23">
        <v>31046</v>
      </c>
    </row>
    <row r="31" spans="1:26" ht="15.75" customHeight="1" x14ac:dyDescent="0.2">
      <c r="A31" s="17" t="str">
        <f>HYPERLINK("https://www.ashland.edu", "Ashland University")</f>
        <v>Ashland University</v>
      </c>
      <c r="B31" s="18" t="s">
        <v>32</v>
      </c>
      <c r="C31" s="18" t="s">
        <v>75</v>
      </c>
      <c r="D31" s="18" t="s">
        <v>563</v>
      </c>
      <c r="E31" s="18">
        <v>1121</v>
      </c>
      <c r="F31" s="18" t="s">
        <v>35</v>
      </c>
      <c r="J31" s="19">
        <v>0.59870000000000001</v>
      </c>
      <c r="K31" s="19">
        <v>0.30670926500000001</v>
      </c>
      <c r="L31" s="19">
        <v>0.63239999999999996</v>
      </c>
      <c r="M31" s="19">
        <v>0.35420000000000001</v>
      </c>
      <c r="N31" s="19">
        <v>0.3</v>
      </c>
      <c r="O31" s="19">
        <v>1</v>
      </c>
      <c r="P31" s="20">
        <v>33954</v>
      </c>
      <c r="Q31" s="21" t="str">
        <f>HYPERLINK("https://www.ashland.edu/administration/financial-aid/future-undergraduates/calculate-your-costs", "$16063")</f>
        <v>$16063</v>
      </c>
      <c r="R31" s="22">
        <v>20248</v>
      </c>
      <c r="S31" s="22">
        <v>22852</v>
      </c>
      <c r="T31" s="20">
        <v>3508</v>
      </c>
      <c r="U31" s="20">
        <v>12555</v>
      </c>
      <c r="W31" s="19">
        <v>0.30549999999999999</v>
      </c>
      <c r="X31" s="19">
        <v>0.22839999999999999</v>
      </c>
      <c r="Z31" s="23">
        <v>3660</v>
      </c>
    </row>
    <row r="32" spans="1:26" ht="15.75" customHeight="1" x14ac:dyDescent="0.2">
      <c r="A32" s="17" t="str">
        <f>HYPERLINK("https://www.aum.edu", "Auburn University at Montgomery")</f>
        <v>Auburn University at Montgomery</v>
      </c>
      <c r="B32" s="18" t="s">
        <v>49</v>
      </c>
      <c r="C32" s="18" t="s">
        <v>300</v>
      </c>
      <c r="D32" s="18" t="s">
        <v>547</v>
      </c>
      <c r="E32" s="18">
        <v>1083</v>
      </c>
      <c r="F32" s="18" t="s">
        <v>35</v>
      </c>
      <c r="J32" s="19">
        <v>0.27650000000000002</v>
      </c>
      <c r="K32" s="19">
        <v>0.229508197</v>
      </c>
      <c r="L32" s="19">
        <v>0.32479999999999998</v>
      </c>
      <c r="M32" s="19">
        <v>0.22700000000000001</v>
      </c>
      <c r="N32" s="19">
        <v>0.2</v>
      </c>
      <c r="O32" s="19">
        <v>0.21429999999999999</v>
      </c>
      <c r="P32" s="20">
        <v>28910</v>
      </c>
      <c r="Q32" s="21" t="str">
        <f>HYPERLINK("https://www.aum.edu/current-students/financial-information/net-price-calculator", "$23085")</f>
        <v>$23085</v>
      </c>
      <c r="R32" s="22">
        <v>25953</v>
      </c>
      <c r="S32" s="22">
        <v>27074</v>
      </c>
      <c r="T32" s="20">
        <v>4790</v>
      </c>
      <c r="U32" s="20">
        <v>18295.663934426229</v>
      </c>
      <c r="W32" s="19">
        <v>0.44159999999999999</v>
      </c>
      <c r="X32" s="19">
        <v>0.50370000000000004</v>
      </c>
      <c r="Z32" s="23">
        <v>4211</v>
      </c>
    </row>
    <row r="33" spans="1:26" ht="15.75" customHeight="1" x14ac:dyDescent="0.2">
      <c r="A33" s="17" t="str">
        <f>HYPERLINK("https://www.augsburg.edu", "Augsburg College")</f>
        <v>Augsburg College</v>
      </c>
      <c r="B33" s="18" t="s">
        <v>32</v>
      </c>
      <c r="C33" s="18" t="s">
        <v>72</v>
      </c>
      <c r="D33" s="18" t="s">
        <v>283</v>
      </c>
      <c r="E33" s="18">
        <v>1085</v>
      </c>
      <c r="F33" s="18" t="s">
        <v>35</v>
      </c>
      <c r="J33" s="19">
        <v>0.62109999999999999</v>
      </c>
      <c r="K33" s="19">
        <v>0.40684410700000001</v>
      </c>
      <c r="L33" s="19">
        <v>0.64129999999999998</v>
      </c>
      <c r="M33" s="19">
        <v>0.53659999999999997</v>
      </c>
      <c r="N33" s="19">
        <v>0.5625</v>
      </c>
      <c r="O33" s="19">
        <v>0.6409999999999999</v>
      </c>
      <c r="P33" s="20">
        <v>51254</v>
      </c>
      <c r="Q33" s="21" t="str">
        <f>HYPERLINK("https://augsburg.studentaidcalculator.com/survey.aspx", "$18895")</f>
        <v>$18895</v>
      </c>
      <c r="R33" s="22">
        <v>20858</v>
      </c>
      <c r="S33" s="22">
        <v>25176</v>
      </c>
      <c r="T33" s="20">
        <v>3700</v>
      </c>
      <c r="U33" s="20">
        <v>15195</v>
      </c>
      <c r="W33" s="19">
        <v>0.42430000000000001</v>
      </c>
      <c r="X33" s="19">
        <v>0.53760000000000008</v>
      </c>
      <c r="Z33" s="23">
        <v>2405</v>
      </c>
    </row>
    <row r="34" spans="1:26" ht="15.75" customHeight="1" x14ac:dyDescent="0.2">
      <c r="A34" s="17" t="str">
        <f>HYPERLINK("https://aurora.edu", "Aurora University")</f>
        <v>Aurora University</v>
      </c>
      <c r="B34" s="18" t="s">
        <v>32</v>
      </c>
      <c r="C34" s="18" t="s">
        <v>137</v>
      </c>
      <c r="D34" s="18" t="s">
        <v>537</v>
      </c>
      <c r="E34" s="18">
        <v>1062</v>
      </c>
      <c r="F34" s="18" t="s">
        <v>35</v>
      </c>
      <c r="J34" s="19">
        <v>0.5323</v>
      </c>
      <c r="K34" s="19">
        <v>0.57414448699999998</v>
      </c>
      <c r="L34" s="19">
        <v>0.58560000000000001</v>
      </c>
      <c r="M34" s="19">
        <v>0.21740000000000001</v>
      </c>
      <c r="N34" s="19">
        <v>0.52439999999999998</v>
      </c>
      <c r="O34" s="19">
        <v>0.625</v>
      </c>
      <c r="P34" s="20">
        <v>37028</v>
      </c>
      <c r="Q34" s="21" t="str">
        <f>HYPERLINK("https://aurora.edu/admission/financialaid/calculator", "$14111")</f>
        <v>$14111</v>
      </c>
      <c r="R34" s="22">
        <v>16260</v>
      </c>
      <c r="S34" s="22">
        <v>19289</v>
      </c>
      <c r="T34" s="20">
        <v>3872</v>
      </c>
      <c r="U34" s="20">
        <v>10239</v>
      </c>
      <c r="W34" s="19">
        <v>0.41620000000000001</v>
      </c>
      <c r="X34" s="19">
        <v>0.50150000000000006</v>
      </c>
      <c r="Z34" s="23">
        <v>3912</v>
      </c>
    </row>
    <row r="35" spans="1:26" ht="15.75" customHeight="1" x14ac:dyDescent="0.2">
      <c r="A35" s="17" t="str">
        <f>HYPERLINK("https://www.apsu.edu", "Austin Peay State University")</f>
        <v>Austin Peay State University</v>
      </c>
      <c r="B35" s="18" t="s">
        <v>49</v>
      </c>
      <c r="C35" s="18" t="s">
        <v>174</v>
      </c>
      <c r="D35" s="18" t="s">
        <v>564</v>
      </c>
      <c r="E35" s="18">
        <v>1085</v>
      </c>
      <c r="F35" s="18" t="s">
        <v>35</v>
      </c>
      <c r="J35" s="19">
        <v>0.37519999999999998</v>
      </c>
      <c r="K35" s="19">
        <v>0.26098360700000001</v>
      </c>
      <c r="L35" s="19">
        <v>0.39610000000000001</v>
      </c>
      <c r="M35" s="19">
        <v>0.3034</v>
      </c>
      <c r="N35" s="19">
        <v>0.42</v>
      </c>
      <c r="O35" s="19">
        <v>0.5</v>
      </c>
      <c r="P35" s="20">
        <v>39464</v>
      </c>
      <c r="Q35" s="21" t="str">
        <f>HYPERLINK("https://www.apsu.edu/financialaid/cost-of-attendance/net-price-calculator/", "$28755")</f>
        <v>$28755</v>
      </c>
      <c r="R35" s="22">
        <v>33689</v>
      </c>
      <c r="S35" s="22">
        <v>35183</v>
      </c>
      <c r="T35" s="20">
        <v>6088</v>
      </c>
      <c r="U35" s="20">
        <v>22667.15820029028</v>
      </c>
      <c r="W35" s="19">
        <v>0.51149999999999995</v>
      </c>
      <c r="X35" s="19">
        <v>0.40460000000000002</v>
      </c>
      <c r="Z35" s="23">
        <v>9090</v>
      </c>
    </row>
    <row r="36" spans="1:26" ht="15.75" customHeight="1" x14ac:dyDescent="0.2">
      <c r="A36" s="17" t="str">
        <f>HYPERLINK("https://www.avemaria.edu", "Ave Maria University")</f>
        <v>Ave Maria University</v>
      </c>
      <c r="B36" s="18" t="s">
        <v>32</v>
      </c>
      <c r="C36" s="18" t="s">
        <v>162</v>
      </c>
      <c r="D36" s="18" t="s">
        <v>565</v>
      </c>
      <c r="E36" s="18">
        <v>1142</v>
      </c>
      <c r="F36" s="18" t="s">
        <v>35</v>
      </c>
      <c r="J36" s="19">
        <v>0.54590000000000005</v>
      </c>
      <c r="K36" s="19">
        <v>0.221238938</v>
      </c>
      <c r="L36" s="19">
        <v>0.54600000000000004</v>
      </c>
      <c r="M36" s="19">
        <v>0.5</v>
      </c>
      <c r="N36" s="19">
        <v>0.55559999999999998</v>
      </c>
      <c r="O36" s="19">
        <v>0</v>
      </c>
      <c r="P36" s="20">
        <v>34901</v>
      </c>
      <c r="Q36" s="21" t="str">
        <f>HYPERLINK("https://avemaria.studentaidcalculator.com/survey.aspx", "$16071")</f>
        <v>$16071</v>
      </c>
      <c r="R36" s="22">
        <v>17217</v>
      </c>
      <c r="S36" s="22">
        <v>19846</v>
      </c>
      <c r="T36" s="20">
        <v>3976</v>
      </c>
      <c r="U36" s="20">
        <v>12095</v>
      </c>
      <c r="W36" s="19">
        <v>0.24049999999999999</v>
      </c>
      <c r="X36" s="19">
        <v>0.36980000000000002</v>
      </c>
      <c r="Z36" s="23">
        <v>1052</v>
      </c>
    </row>
    <row r="37" spans="1:26" ht="15.75" customHeight="1" x14ac:dyDescent="0.2">
      <c r="A37" s="17" t="str">
        <f>HYPERLINK("https://www.averett.edu", "Averett University-Non-Traditional Programs")</f>
        <v>Averett University-Non-Traditional Programs</v>
      </c>
      <c r="B37" s="18" t="s">
        <v>32</v>
      </c>
      <c r="C37" s="18" t="s">
        <v>83</v>
      </c>
      <c r="D37" s="18" t="s">
        <v>206</v>
      </c>
      <c r="E37" s="18">
        <v>959</v>
      </c>
      <c r="F37" s="18" t="s">
        <v>35</v>
      </c>
      <c r="J37" s="19">
        <v>0.40479999999999999</v>
      </c>
      <c r="K37" s="19">
        <v>0.39366515800000002</v>
      </c>
      <c r="L37" s="19">
        <v>0.43330000000000002</v>
      </c>
      <c r="M37" s="19">
        <v>0.30359999999999998</v>
      </c>
      <c r="N37" s="19">
        <v>0.25</v>
      </c>
      <c r="O37" s="19">
        <v>0</v>
      </c>
      <c r="P37" s="20">
        <v>46344</v>
      </c>
      <c r="Q37" s="21" t="str">
        <f>HYPERLINK("https://www.averett.edu/financial-aid/netprice-calculator/", "$19124")</f>
        <v>$19124</v>
      </c>
      <c r="R37" s="22">
        <v>23159</v>
      </c>
      <c r="S37" s="22">
        <v>21513</v>
      </c>
      <c r="T37" s="20">
        <v>3310</v>
      </c>
      <c r="U37" s="20">
        <v>15814</v>
      </c>
      <c r="W37" s="19">
        <v>0.48080000000000001</v>
      </c>
      <c r="X37" s="19">
        <v>0.43940000000000001</v>
      </c>
      <c r="Z37" s="23">
        <v>908</v>
      </c>
    </row>
    <row r="38" spans="1:26" ht="15.75" customHeight="1" x14ac:dyDescent="0.2">
      <c r="A38" s="17" t="str">
        <f>HYPERLINK("https://gps.averett.edu", "Averett University")</f>
        <v>Averett University</v>
      </c>
      <c r="B38" s="18" t="s">
        <v>32</v>
      </c>
      <c r="C38" s="18" t="s">
        <v>83</v>
      </c>
      <c r="D38" s="18" t="s">
        <v>206</v>
      </c>
      <c r="E38" s="18" t="s">
        <v>36</v>
      </c>
      <c r="F38" s="18" t="s">
        <v>45</v>
      </c>
      <c r="J38" s="19" t="s">
        <v>36</v>
      </c>
      <c r="K38" s="19">
        <v>0.39366515800000002</v>
      </c>
      <c r="L38" s="19" t="s">
        <v>36</v>
      </c>
      <c r="M38" s="19" t="s">
        <v>36</v>
      </c>
      <c r="N38" s="19" t="s">
        <v>36</v>
      </c>
      <c r="O38" s="19" t="s">
        <v>36</v>
      </c>
      <c r="P38" s="20">
        <v>28650</v>
      </c>
      <c r="Q38" s="21" t="str">
        <f>HYPERLINK("https://www.averett.edu/financial-aid/netprice-calculator/", "$19810")</f>
        <v>$19810</v>
      </c>
      <c r="R38" s="22" t="s">
        <v>36</v>
      </c>
      <c r="S38" s="22" t="s">
        <v>36</v>
      </c>
      <c r="T38" s="20">
        <v>1450</v>
      </c>
      <c r="U38" s="20">
        <v>18360</v>
      </c>
      <c r="W38" s="19">
        <v>0.3367</v>
      </c>
      <c r="X38" s="19">
        <v>0.51449999999999996</v>
      </c>
      <c r="Z38" s="23">
        <v>344</v>
      </c>
    </row>
    <row r="39" spans="1:26" ht="15.75" customHeight="1" x14ac:dyDescent="0.2">
      <c r="A39" s="17" t="str">
        <f>HYPERLINK("https://www.Avila.edu", "Avila University")</f>
        <v>Avila University</v>
      </c>
      <c r="B39" s="18" t="s">
        <v>32</v>
      </c>
      <c r="C39" s="18" t="s">
        <v>164</v>
      </c>
      <c r="D39" s="18" t="s">
        <v>515</v>
      </c>
      <c r="E39" s="18">
        <v>1060</v>
      </c>
      <c r="F39" s="18" t="s">
        <v>35</v>
      </c>
      <c r="J39" s="19">
        <v>0.41610000000000003</v>
      </c>
      <c r="K39" s="19">
        <v>0.42622950799999998</v>
      </c>
      <c r="L39" s="19">
        <v>0.50600000000000001</v>
      </c>
      <c r="M39" s="19">
        <v>0.15629999999999999</v>
      </c>
      <c r="N39" s="19">
        <v>0.57140000000000002</v>
      </c>
      <c r="O39" s="19">
        <v>0.5</v>
      </c>
      <c r="P39" s="20">
        <v>39656</v>
      </c>
      <c r="Q39" s="21" t="str">
        <f>HYPERLINK("https://www.avila.edu/admission-aid/financial-aid/npc", "$21042")</f>
        <v>$21042</v>
      </c>
      <c r="R39" s="22">
        <v>19890</v>
      </c>
      <c r="S39" s="22">
        <v>20817</v>
      </c>
      <c r="T39" s="20">
        <v>3090</v>
      </c>
      <c r="U39" s="20">
        <v>17952</v>
      </c>
      <c r="W39" s="19">
        <v>0.3826</v>
      </c>
      <c r="X39" s="19">
        <v>0.45400000000000001</v>
      </c>
      <c r="Z39" s="23">
        <v>1229</v>
      </c>
    </row>
    <row r="40" spans="1:26" ht="15.75" customHeight="1" x14ac:dyDescent="0.2">
      <c r="A40" s="17" t="str">
        <f>HYPERLINK("https://www.apu.edu", "Azusa Pacific University")</f>
        <v>Azusa Pacific University</v>
      </c>
      <c r="B40" s="18" t="s">
        <v>32</v>
      </c>
      <c r="C40" s="18" t="s">
        <v>68</v>
      </c>
      <c r="D40" s="18" t="s">
        <v>566</v>
      </c>
      <c r="E40" s="18">
        <v>1131</v>
      </c>
      <c r="F40" s="18" t="s">
        <v>35</v>
      </c>
      <c r="J40" s="19">
        <v>0.66810000000000003</v>
      </c>
      <c r="K40" s="19">
        <v>0.27482678999999999</v>
      </c>
      <c r="L40" s="19">
        <v>0.68479999999999996</v>
      </c>
      <c r="M40" s="19">
        <v>0.3659</v>
      </c>
      <c r="N40" s="19">
        <v>0.66379999999999995</v>
      </c>
      <c r="O40" s="19">
        <v>0.71589999999999998</v>
      </c>
      <c r="P40" s="20">
        <v>52396</v>
      </c>
      <c r="Q40" s="21" t="str">
        <f>HYPERLINK("https://tcc.noellevitz.com/(S(iix2icgohagysn3bimk03d2z))/Azusa%20Pacific%20University/Freshman%20Students", "$23387")</f>
        <v>$23387</v>
      </c>
      <c r="R40" s="22">
        <v>24761</v>
      </c>
      <c r="S40" s="22">
        <v>28843</v>
      </c>
      <c r="T40" s="20">
        <v>5096</v>
      </c>
      <c r="U40" s="20">
        <v>18291</v>
      </c>
      <c r="W40" s="19">
        <v>0.33739999999999998</v>
      </c>
      <c r="X40" s="19">
        <v>0.60499999999999998</v>
      </c>
      <c r="Z40" s="23">
        <v>5560</v>
      </c>
    </row>
    <row r="41" spans="1:26" ht="15.75" customHeight="1" x14ac:dyDescent="0.2">
      <c r="A41" s="17" t="str">
        <f>HYPERLINK("https://www.bakeru.edu", "Baker University")</f>
        <v>Baker University</v>
      </c>
      <c r="B41" s="18" t="s">
        <v>32</v>
      </c>
      <c r="C41" s="18" t="s">
        <v>307</v>
      </c>
      <c r="D41" s="18" t="s">
        <v>567</v>
      </c>
      <c r="E41" s="18">
        <v>1137</v>
      </c>
      <c r="F41" s="18" t="s">
        <v>35</v>
      </c>
      <c r="J41" s="19">
        <v>0.56779999999999997</v>
      </c>
      <c r="K41" s="19">
        <v>0.48823529399999999</v>
      </c>
      <c r="L41" s="19">
        <v>0.60870000000000002</v>
      </c>
      <c r="M41" s="19">
        <v>0.4667</v>
      </c>
      <c r="N41" s="19">
        <v>0.33329999999999999</v>
      </c>
      <c r="O41" s="19">
        <v>1</v>
      </c>
      <c r="P41" s="20">
        <v>43444</v>
      </c>
      <c r="Q41" s="21" t="str">
        <f>HYPERLINK("https://www.bakeru.edu/fa-calculator/npcalc.htm", "$18083")</f>
        <v>$18083</v>
      </c>
      <c r="R41" s="22">
        <v>18836</v>
      </c>
      <c r="S41" s="22">
        <v>23782</v>
      </c>
      <c r="T41" s="20">
        <v>6174</v>
      </c>
      <c r="U41" s="20">
        <v>11909</v>
      </c>
      <c r="W41" s="19">
        <v>0.27210000000000001</v>
      </c>
      <c r="X41" s="19">
        <v>0.28939999999999999</v>
      </c>
      <c r="Z41" s="23">
        <v>1465</v>
      </c>
    </row>
    <row r="42" spans="1:26" ht="15.75" customHeight="1" x14ac:dyDescent="0.2">
      <c r="A42" s="17" t="str">
        <f>HYPERLINK("https://www.bsu.edu", "Ball State University")</f>
        <v>Ball State University</v>
      </c>
      <c r="B42" s="18" t="s">
        <v>49</v>
      </c>
      <c r="C42" s="18" t="s">
        <v>148</v>
      </c>
      <c r="D42" s="18" t="s">
        <v>568</v>
      </c>
      <c r="E42" s="18">
        <v>1138</v>
      </c>
      <c r="F42" s="18" t="s">
        <v>35</v>
      </c>
      <c r="J42" s="19">
        <v>0.61570000000000003</v>
      </c>
      <c r="K42" s="19">
        <v>0.45706371200000001</v>
      </c>
      <c r="L42" s="19">
        <v>0.63119999999999998</v>
      </c>
      <c r="M42" s="19">
        <v>0.53480000000000005</v>
      </c>
      <c r="N42" s="19">
        <v>0.51019999999999999</v>
      </c>
      <c r="O42" s="19">
        <v>0.63639999999999997</v>
      </c>
      <c r="P42" s="20">
        <v>40448</v>
      </c>
      <c r="Q42" s="21" t="str">
        <f>HYPERLINK("https://bsu.studentaidcalculator.com/survey.aspx", "$26359")</f>
        <v>$26359</v>
      </c>
      <c r="R42" s="22">
        <v>32009</v>
      </c>
      <c r="S42" s="22">
        <v>35608</v>
      </c>
      <c r="T42" s="20">
        <v>4472</v>
      </c>
      <c r="U42" s="20">
        <v>21887.558011049721</v>
      </c>
      <c r="W42" s="19">
        <v>0.3286</v>
      </c>
      <c r="X42" s="19">
        <v>0.2054</v>
      </c>
      <c r="Z42" s="23">
        <v>16277</v>
      </c>
    </row>
    <row r="43" spans="1:26" ht="15.75" customHeight="1" x14ac:dyDescent="0.2">
      <c r="A43" s="17" t="str">
        <f>HYPERLINK("https://www.barry.edu", "Barry University")</f>
        <v>Barry University</v>
      </c>
      <c r="B43" s="18" t="s">
        <v>32</v>
      </c>
      <c r="C43" s="18" t="s">
        <v>162</v>
      </c>
      <c r="D43" s="18" t="s">
        <v>359</v>
      </c>
      <c r="E43" s="18">
        <v>970</v>
      </c>
      <c r="F43" s="18" t="s">
        <v>35</v>
      </c>
      <c r="J43" s="19">
        <v>0.34889999999999999</v>
      </c>
      <c r="K43" s="19">
        <v>0.46765039700000011</v>
      </c>
      <c r="L43" s="19">
        <v>0.33329999999999999</v>
      </c>
      <c r="M43" s="19">
        <v>0.4667</v>
      </c>
      <c r="N43" s="19">
        <v>0.30769999999999997</v>
      </c>
      <c r="O43" s="19" t="s">
        <v>36</v>
      </c>
      <c r="P43" s="20">
        <v>46734</v>
      </c>
      <c r="Q43" s="21" t="str">
        <f>HYPERLINK("https://www.barry.edu/netpricecalculator/default.htm", "$18293")</f>
        <v>$18293</v>
      </c>
      <c r="R43" s="22">
        <v>20273</v>
      </c>
      <c r="S43" s="22">
        <v>23970</v>
      </c>
      <c r="T43" s="20">
        <v>5784</v>
      </c>
      <c r="U43" s="20">
        <v>12509</v>
      </c>
      <c r="W43" s="19">
        <v>0.46260000000000001</v>
      </c>
      <c r="X43" s="19">
        <v>0.80569999999999997</v>
      </c>
      <c r="Z43" s="23">
        <v>3459</v>
      </c>
    </row>
    <row r="44" spans="1:26" ht="15.75" customHeight="1" x14ac:dyDescent="0.2">
      <c r="A44" s="17" t="str">
        <f>HYPERLINK("https://www.barry.edu/law/", "Barry University Law School")</f>
        <v>Barry University Law School</v>
      </c>
      <c r="B44" s="18" t="s">
        <v>32</v>
      </c>
      <c r="C44" s="18" t="s">
        <v>162</v>
      </c>
      <c r="D44" s="18" t="s">
        <v>501</v>
      </c>
      <c r="E44" s="18" t="s">
        <v>36</v>
      </c>
      <c r="F44" s="18" t="s">
        <v>36</v>
      </c>
      <c r="J44" s="19" t="s">
        <v>36</v>
      </c>
      <c r="K44" s="19">
        <v>0.46765039700000011</v>
      </c>
      <c r="L44" s="19" t="s">
        <v>36</v>
      </c>
      <c r="M44" s="19" t="s">
        <v>36</v>
      </c>
      <c r="N44" s="19" t="s">
        <v>36</v>
      </c>
      <c r="O44" s="19" t="s">
        <v>36</v>
      </c>
      <c r="P44" s="20" t="s">
        <v>36</v>
      </c>
      <c r="Q44" s="35" t="s">
        <v>36</v>
      </c>
      <c r="R44" s="22" t="s">
        <v>36</v>
      </c>
      <c r="S44" s="22" t="s">
        <v>36</v>
      </c>
      <c r="T44" s="20" t="s">
        <v>36</v>
      </c>
      <c r="U44" s="20" t="s">
        <v>36</v>
      </c>
      <c r="W44" s="19" t="s">
        <v>36</v>
      </c>
      <c r="X44" s="19" t="s">
        <v>36</v>
      </c>
      <c r="Z44" s="23" t="s">
        <v>36</v>
      </c>
    </row>
    <row r="45" spans="1:26" ht="15.75" customHeight="1" x14ac:dyDescent="0.2">
      <c r="A45" s="17" t="str">
        <f>HYPERLINK("https://www.barton.edu/", "Barton College")</f>
        <v>Barton College</v>
      </c>
      <c r="B45" s="18" t="s">
        <v>32</v>
      </c>
      <c r="C45" s="18" t="s">
        <v>103</v>
      </c>
      <c r="D45" s="18" t="s">
        <v>569</v>
      </c>
      <c r="E45" s="18">
        <v>1045</v>
      </c>
      <c r="F45" s="18" t="s">
        <v>35</v>
      </c>
      <c r="J45" s="19">
        <v>0.52559999999999996</v>
      </c>
      <c r="K45" s="19">
        <v>0.41242937899999998</v>
      </c>
      <c r="L45" s="19">
        <v>0.59709999999999996</v>
      </c>
      <c r="M45" s="19">
        <v>0.42309999999999998</v>
      </c>
      <c r="N45" s="19">
        <v>0.5</v>
      </c>
      <c r="O45" s="19">
        <v>1</v>
      </c>
      <c r="P45" s="20">
        <v>45454</v>
      </c>
      <c r="Q45" s="21" t="str">
        <f>HYPERLINK("https://www.barton.edu/financial-aid/calculator/", "$21669")</f>
        <v>$21669</v>
      </c>
      <c r="R45" s="22">
        <v>24400</v>
      </c>
      <c r="S45" s="22">
        <v>25536</v>
      </c>
      <c r="T45" s="20">
        <v>5600</v>
      </c>
      <c r="U45" s="20">
        <v>16069</v>
      </c>
      <c r="W45" s="19">
        <v>0.5081</v>
      </c>
      <c r="X45" s="19">
        <v>0.44929999999999998</v>
      </c>
      <c r="Z45" s="23">
        <v>877</v>
      </c>
    </row>
    <row r="46" spans="1:26" ht="15.75" customHeight="1" x14ac:dyDescent="0.2">
      <c r="A46" s="17" t="str">
        <f>HYPERLINK("https://www.baypath.edu", "Bay Path University")</f>
        <v>Bay Path University</v>
      </c>
      <c r="B46" s="18" t="s">
        <v>32</v>
      </c>
      <c r="C46" s="18" t="s">
        <v>33</v>
      </c>
      <c r="D46" s="18" t="s">
        <v>570</v>
      </c>
      <c r="E46" s="18">
        <v>1086</v>
      </c>
      <c r="F46" s="18" t="s">
        <v>115</v>
      </c>
      <c r="J46" s="19">
        <v>0.56759999999999999</v>
      </c>
      <c r="K46" s="19">
        <v>0.55609756099999996</v>
      </c>
      <c r="L46" s="19">
        <v>0.6</v>
      </c>
      <c r="M46" s="19">
        <v>0.47370000000000001</v>
      </c>
      <c r="N46" s="19">
        <v>0.4783</v>
      </c>
      <c r="O46" s="19">
        <v>0.25</v>
      </c>
      <c r="P46" s="20">
        <v>49356</v>
      </c>
      <c r="Q46" s="21" t="str">
        <f>HYPERLINK("https://www.baypath.edu/undergraduate-experience/financial-aid/net-price-calculator", "$19289")</f>
        <v>$19289</v>
      </c>
      <c r="R46" s="22">
        <v>20105</v>
      </c>
      <c r="S46" s="22">
        <v>26899</v>
      </c>
      <c r="T46" s="20">
        <v>3000</v>
      </c>
      <c r="U46" s="20">
        <v>16289</v>
      </c>
      <c r="W46" s="19">
        <v>0.63129999999999997</v>
      </c>
      <c r="X46" s="19">
        <v>0.42749999999999999</v>
      </c>
      <c r="Z46" s="23">
        <v>1944</v>
      </c>
    </row>
    <row r="47" spans="1:26" ht="15.75" customHeight="1" x14ac:dyDescent="0.2">
      <c r="A47" s="17" t="str">
        <f>HYPERLINK("https://www.belhaven.edu", "Belhaven University")</f>
        <v>Belhaven University</v>
      </c>
      <c r="B47" s="18" t="s">
        <v>32</v>
      </c>
      <c r="C47" s="18" t="s">
        <v>59</v>
      </c>
      <c r="D47" s="18" t="s">
        <v>419</v>
      </c>
      <c r="E47" s="18" t="s">
        <v>36</v>
      </c>
      <c r="F47" s="18" t="s">
        <v>90</v>
      </c>
      <c r="J47" s="19">
        <v>0.49320000000000003</v>
      </c>
      <c r="K47" s="19">
        <v>0.46280991700000002</v>
      </c>
      <c r="L47" s="19">
        <v>0.58930000000000005</v>
      </c>
      <c r="M47" s="19">
        <v>0.27939999999999998</v>
      </c>
      <c r="N47" s="19">
        <v>0.33329999999999999</v>
      </c>
      <c r="O47" s="19">
        <v>1</v>
      </c>
      <c r="P47" s="20">
        <v>34400</v>
      </c>
      <c r="Q47" s="21" t="str">
        <f>HYPERLINK("https://www.belhaven.edu/admission/high_school.htm", "$15033")</f>
        <v>$15033</v>
      </c>
      <c r="R47" s="22">
        <v>17522</v>
      </c>
      <c r="S47" s="22">
        <v>21523</v>
      </c>
      <c r="T47" s="20">
        <v>2150</v>
      </c>
      <c r="U47" s="20">
        <v>12883</v>
      </c>
      <c r="W47" s="19">
        <v>0.58620000000000005</v>
      </c>
      <c r="X47" s="19">
        <v>0.61739999999999995</v>
      </c>
      <c r="Z47" s="23">
        <v>2410</v>
      </c>
    </row>
    <row r="48" spans="1:26" ht="15.75" customHeight="1" x14ac:dyDescent="0.2">
      <c r="A48" s="17" t="str">
        <f>HYPERLINK("https://www.belmontabbeycollege.edu", "Belmont Abbey College")</f>
        <v>Belmont Abbey College</v>
      </c>
      <c r="B48" s="18" t="s">
        <v>32</v>
      </c>
      <c r="C48" s="18" t="s">
        <v>103</v>
      </c>
      <c r="D48" s="18" t="s">
        <v>571</v>
      </c>
      <c r="E48" s="18">
        <v>1065</v>
      </c>
      <c r="F48" s="18" t="s">
        <v>115</v>
      </c>
      <c r="J48" s="19">
        <v>0.42920000000000003</v>
      </c>
      <c r="K48" s="19">
        <v>0.39097744400000001</v>
      </c>
      <c r="L48" s="19">
        <v>0.16669999999999999</v>
      </c>
      <c r="M48" s="19">
        <v>9.0899999999999995E-2</v>
      </c>
      <c r="N48" s="19" t="s">
        <v>36</v>
      </c>
      <c r="O48" s="19">
        <v>0</v>
      </c>
      <c r="P48" s="20">
        <v>32894</v>
      </c>
      <c r="Q48" s="21" t="str">
        <f>HYPERLINK("https://belmontabbeycollege.edu/admissions/apply-for-financial-aid/net-price-calculator/", "$19591")</f>
        <v>$19591</v>
      </c>
      <c r="R48" s="22">
        <v>21112</v>
      </c>
      <c r="S48" s="22">
        <v>23627</v>
      </c>
      <c r="T48" s="20">
        <v>4100</v>
      </c>
      <c r="U48" s="20">
        <v>15491</v>
      </c>
      <c r="W48" s="19">
        <v>0.40379999999999999</v>
      </c>
      <c r="X48" s="19">
        <v>0.47770000000000001</v>
      </c>
      <c r="Z48" s="23">
        <v>1501</v>
      </c>
    </row>
    <row r="49" spans="1:26" ht="15.75" customHeight="1" x14ac:dyDescent="0.2">
      <c r="A49" s="17" t="str">
        <f>HYPERLINK("https://www.bemidjistate.edu", "Bemidji State University")</f>
        <v>Bemidji State University</v>
      </c>
      <c r="B49" s="18" t="s">
        <v>49</v>
      </c>
      <c r="C49" s="18" t="s">
        <v>72</v>
      </c>
      <c r="D49" s="18" t="s">
        <v>572</v>
      </c>
      <c r="E49" s="18">
        <v>1105</v>
      </c>
      <c r="F49" s="18" t="s">
        <v>35</v>
      </c>
      <c r="J49" s="19">
        <v>0.46600000000000003</v>
      </c>
      <c r="K49" s="19">
        <v>0.36818181799999999</v>
      </c>
      <c r="L49" s="19">
        <v>0.4803</v>
      </c>
      <c r="M49" s="19">
        <v>0.4</v>
      </c>
      <c r="N49" s="19">
        <v>0.375</v>
      </c>
      <c r="O49" s="19">
        <v>0.4</v>
      </c>
      <c r="P49" s="20">
        <v>20729</v>
      </c>
      <c r="Q49" s="21" t="str">
        <f>HYPERLINK("https://www.mnscu.edu/admissions/calculator/bemidji.html", "$11261")</f>
        <v>$11261</v>
      </c>
      <c r="R49" s="22">
        <v>14661</v>
      </c>
      <c r="S49" s="22">
        <v>18300</v>
      </c>
      <c r="T49" s="20">
        <v>3890</v>
      </c>
      <c r="U49" s="20">
        <v>7371.461538461539</v>
      </c>
      <c r="W49" s="19">
        <v>0.3105</v>
      </c>
      <c r="X49" s="19">
        <v>0.15840000000000001</v>
      </c>
      <c r="Z49" s="23">
        <v>4399</v>
      </c>
    </row>
    <row r="50" spans="1:26" ht="15.75" customHeight="1" x14ac:dyDescent="0.2">
      <c r="A50" s="17" t="str">
        <f>HYPERLINK("https://www.ben.edu", "Benedictine University")</f>
        <v>Benedictine University</v>
      </c>
      <c r="B50" s="18" t="s">
        <v>32</v>
      </c>
      <c r="C50" s="18" t="s">
        <v>137</v>
      </c>
      <c r="D50" s="18" t="s">
        <v>573</v>
      </c>
      <c r="E50" s="18">
        <v>1093</v>
      </c>
      <c r="F50" s="18" t="s">
        <v>35</v>
      </c>
      <c r="J50" s="19">
        <v>0.49809999999999999</v>
      </c>
      <c r="K50" s="19">
        <v>0.28482972099999998</v>
      </c>
      <c r="L50" s="19">
        <v>0.50419999999999998</v>
      </c>
      <c r="M50" s="19">
        <v>0.2041</v>
      </c>
      <c r="N50" s="19">
        <v>0.45240000000000002</v>
      </c>
      <c r="O50" s="19">
        <v>0.63329999999999997</v>
      </c>
      <c r="P50" s="20">
        <v>48016</v>
      </c>
      <c r="Q50" s="21" t="str">
        <f>HYPERLINK("https://www.ben.edu/admissions/undergraduate/freshman/net-price.cfm", "$20604")</f>
        <v>$20604</v>
      </c>
      <c r="R50" s="22">
        <v>23334</v>
      </c>
      <c r="S50" s="22">
        <v>26008</v>
      </c>
      <c r="T50" s="20">
        <v>4110</v>
      </c>
      <c r="U50" s="20">
        <v>16494</v>
      </c>
      <c r="W50" s="19">
        <v>0.37090000000000001</v>
      </c>
      <c r="X50" s="19">
        <v>0.56079999999999997</v>
      </c>
      <c r="Z50" s="23">
        <v>2864</v>
      </c>
    </row>
    <row r="51" spans="1:26" ht="15.75" customHeight="1" x14ac:dyDescent="0.2">
      <c r="A51" s="17" t="str">
        <f>HYPERLINK("https://www.bfit.edu/", "Benjamin Franklin Institute of Technology")</f>
        <v>Benjamin Franklin Institute of Technology</v>
      </c>
      <c r="B51" s="18" t="s">
        <v>49</v>
      </c>
      <c r="C51" s="18" t="s">
        <v>33</v>
      </c>
      <c r="D51" s="18" t="s">
        <v>136</v>
      </c>
      <c r="E51" s="18" t="s">
        <v>36</v>
      </c>
      <c r="F51" s="18" t="s">
        <v>36</v>
      </c>
      <c r="J51" s="19">
        <v>0.4773</v>
      </c>
      <c r="K51" s="19">
        <v>0.39613526599999999</v>
      </c>
      <c r="L51" s="19">
        <v>0.64810000000000001</v>
      </c>
      <c r="M51" s="19">
        <v>0.3548</v>
      </c>
      <c r="N51" s="19">
        <v>0.37930000000000003</v>
      </c>
      <c r="O51" s="19">
        <v>0.85709999999999997</v>
      </c>
      <c r="P51" s="20">
        <v>40250</v>
      </c>
      <c r="Q51" s="21" t="str">
        <f>HYPERLINK("https://www.bfit.edu/_forms/npcalc.htm", "$27895")</f>
        <v>$27895</v>
      </c>
      <c r="R51" s="22">
        <v>29637</v>
      </c>
      <c r="S51" s="22">
        <v>34379</v>
      </c>
      <c r="T51" s="20">
        <v>3000</v>
      </c>
      <c r="U51" s="20">
        <v>24895.191666666669</v>
      </c>
      <c r="W51" s="19">
        <v>0.52610000000000001</v>
      </c>
      <c r="X51" s="19">
        <v>0.75639999999999996</v>
      </c>
      <c r="Z51" s="23">
        <v>550</v>
      </c>
    </row>
    <row r="52" spans="1:26" ht="15.75" customHeight="1" x14ac:dyDescent="0.2">
      <c r="A52" s="17" t="str">
        <f>HYPERLINK("https://www.berklee.edu", "Berklee College of Music")</f>
        <v>Berklee College of Music</v>
      </c>
      <c r="B52" s="18" t="s">
        <v>32</v>
      </c>
      <c r="C52" s="18" t="s">
        <v>33</v>
      </c>
      <c r="D52" s="18" t="s">
        <v>136</v>
      </c>
      <c r="E52" s="18" t="s">
        <v>36</v>
      </c>
      <c r="F52" s="18" t="s">
        <v>45</v>
      </c>
      <c r="J52" s="19">
        <v>0.64029999999999998</v>
      </c>
      <c r="K52" s="19">
        <v>0.43231441100000001</v>
      </c>
      <c r="L52" s="19">
        <v>0.63870000000000005</v>
      </c>
      <c r="M52" s="19">
        <v>0.43940000000000001</v>
      </c>
      <c r="N52" s="19">
        <v>0.54790000000000005</v>
      </c>
      <c r="O52" s="19">
        <v>0.44829999999999998</v>
      </c>
      <c r="P52" s="20">
        <v>63574</v>
      </c>
      <c r="Q52" s="21" t="str">
        <f>HYPERLINK("https://www.berklee.edu/paying-for-your-education/net-price-calculator", "$41090")</f>
        <v>$41090</v>
      </c>
      <c r="R52" s="22">
        <v>46390</v>
      </c>
      <c r="S52" s="22">
        <v>47290</v>
      </c>
      <c r="T52" s="20">
        <v>2644</v>
      </c>
      <c r="U52" s="20">
        <v>38446</v>
      </c>
      <c r="W52" s="19">
        <v>0.16259999999999999</v>
      </c>
      <c r="X52" s="19">
        <v>0.56509999999999994</v>
      </c>
      <c r="Z52" s="23">
        <v>6197</v>
      </c>
    </row>
    <row r="53" spans="1:26" ht="15.75" customHeight="1" x14ac:dyDescent="0.2">
      <c r="A53" s="17" t="str">
        <f>HYPERLINK("https://www.bethanywv.edu", "Bethany College")</f>
        <v>Bethany College</v>
      </c>
      <c r="B53" s="18" t="s">
        <v>32</v>
      </c>
      <c r="C53" s="18" t="s">
        <v>574</v>
      </c>
      <c r="D53" s="18" t="s">
        <v>575</v>
      </c>
      <c r="E53" s="18">
        <v>1012</v>
      </c>
      <c r="F53" s="18" t="s">
        <v>35</v>
      </c>
      <c r="J53" s="19">
        <v>0.45789999999999997</v>
      </c>
      <c r="K53" s="19">
        <v>0.248</v>
      </c>
      <c r="L53" s="19">
        <v>0.61899999999999999</v>
      </c>
      <c r="M53" s="19">
        <v>0.2727</v>
      </c>
      <c r="N53" s="19">
        <v>0.57140000000000002</v>
      </c>
      <c r="O53" s="19">
        <v>0.5</v>
      </c>
      <c r="P53" s="20">
        <v>42674</v>
      </c>
      <c r="Q53" s="21" t="str">
        <f>HYPERLINK("https://www.bethanywv.edu/admissions-aid/scholarships-financial-aid/scholarships/", "$18733")</f>
        <v>$18733</v>
      </c>
      <c r="R53" s="22">
        <v>19568</v>
      </c>
      <c r="S53" s="22">
        <v>22249</v>
      </c>
      <c r="T53" s="20">
        <v>3800</v>
      </c>
      <c r="U53" s="20">
        <v>14933</v>
      </c>
      <c r="W53" s="19">
        <v>0.45429999999999998</v>
      </c>
      <c r="X53" s="19">
        <v>0.4556</v>
      </c>
      <c r="Z53" s="23">
        <v>597</v>
      </c>
    </row>
    <row r="54" spans="1:26" ht="15.75" customHeight="1" x14ac:dyDescent="0.2">
      <c r="A54" s="17" t="str">
        <f>HYPERLINK("https://www.betheluniversity.edu", "Bethel College-Indiana")</f>
        <v>Bethel College-Indiana</v>
      </c>
      <c r="B54" s="18" t="s">
        <v>32</v>
      </c>
      <c r="C54" s="18" t="s">
        <v>148</v>
      </c>
      <c r="D54" s="18" t="s">
        <v>576</v>
      </c>
      <c r="E54" s="18">
        <v>1077</v>
      </c>
      <c r="F54" s="18" t="s">
        <v>35</v>
      </c>
      <c r="J54" s="19">
        <v>0.6421</v>
      </c>
      <c r="K54" s="19">
        <v>0.17670682700000001</v>
      </c>
      <c r="L54" s="19">
        <v>0.66959999999999997</v>
      </c>
      <c r="M54" s="19">
        <v>0.35</v>
      </c>
      <c r="N54" s="19">
        <v>0.73329999999999995</v>
      </c>
      <c r="O54" s="19">
        <v>0.5</v>
      </c>
      <c r="P54" s="20">
        <v>40730</v>
      </c>
      <c r="Q54" s="21" t="str">
        <f>HYPERLINK("https://www.betheluniversity.edu/admission-aid/financial-aid/aid-for-traditional-undergraduate-students/net-price-calculator", "$14934")</f>
        <v>$14934</v>
      </c>
      <c r="R54" s="22">
        <v>16577</v>
      </c>
      <c r="S54" s="22">
        <v>20837</v>
      </c>
      <c r="T54" s="20">
        <v>3900</v>
      </c>
      <c r="U54" s="20">
        <v>11034</v>
      </c>
      <c r="W54" s="19">
        <v>0.44159999999999999</v>
      </c>
      <c r="X54" s="19">
        <v>0.28069999999999989</v>
      </c>
      <c r="Z54" s="23">
        <v>1254</v>
      </c>
    </row>
    <row r="55" spans="1:26" ht="15.75" customHeight="1" x14ac:dyDescent="0.2">
      <c r="A55" s="17" t="str">
        <f>HYPERLINK("https://www.bethelu.edu/", "Bethel University")</f>
        <v>Bethel University</v>
      </c>
      <c r="B55" s="18" t="s">
        <v>32</v>
      </c>
      <c r="C55" s="18" t="s">
        <v>174</v>
      </c>
      <c r="D55" s="18" t="s">
        <v>577</v>
      </c>
      <c r="E55" s="18">
        <v>970</v>
      </c>
      <c r="F55" s="18" t="s">
        <v>35</v>
      </c>
      <c r="J55" s="19">
        <v>0.27150000000000002</v>
      </c>
      <c r="K55" s="19">
        <v>0.24698795200000001</v>
      </c>
      <c r="L55" s="19">
        <v>0.31559999999999999</v>
      </c>
      <c r="M55" s="19">
        <v>0.17560000000000001</v>
      </c>
      <c r="N55" s="19">
        <v>0.25</v>
      </c>
      <c r="O55" s="19">
        <v>1</v>
      </c>
      <c r="P55" s="20">
        <v>31570</v>
      </c>
      <c r="Q55" s="21" t="str">
        <f>HYPERLINK("https://www.bethelu.edu/fa_calc/", "$13635")</f>
        <v>$13635</v>
      </c>
      <c r="R55" s="22">
        <v>15329</v>
      </c>
      <c r="S55" s="22">
        <v>17276</v>
      </c>
      <c r="T55" s="20">
        <v>5820</v>
      </c>
      <c r="U55" s="20">
        <v>7815</v>
      </c>
      <c r="W55" s="19">
        <v>0.50509999999999999</v>
      </c>
      <c r="X55" s="19">
        <v>0.49059999999999998</v>
      </c>
      <c r="Z55" s="23">
        <v>3975</v>
      </c>
    </row>
    <row r="56" spans="1:26" ht="15.75" customHeight="1" x14ac:dyDescent="0.2">
      <c r="A56" s="17" t="str">
        <f>HYPERLINK("https://www.cookman.edu", "Bethune-Cookman University")</f>
        <v>Bethune-Cookman University</v>
      </c>
      <c r="B56" s="18" t="s">
        <v>32</v>
      </c>
      <c r="C56" s="18" t="s">
        <v>162</v>
      </c>
      <c r="D56" s="18" t="s">
        <v>578</v>
      </c>
      <c r="E56" s="18" t="s">
        <v>36</v>
      </c>
      <c r="F56" s="18" t="s">
        <v>36</v>
      </c>
      <c r="J56" s="19">
        <v>0.36570000000000003</v>
      </c>
      <c r="K56" s="19">
        <v>0.28531468500000001</v>
      </c>
      <c r="L56" s="19">
        <v>0.125</v>
      </c>
      <c r="M56" s="19">
        <v>0.3599</v>
      </c>
      <c r="N56" s="19">
        <v>0.4667</v>
      </c>
      <c r="O56" s="19">
        <v>1</v>
      </c>
      <c r="P56" s="20">
        <v>29172</v>
      </c>
      <c r="Q56" s="21" t="str">
        <f>HYPERLINK("https://nces.ed.gov/ipeds/netpricecalculator/", "$18445")</f>
        <v>$18445</v>
      </c>
      <c r="R56" s="22">
        <v>21768</v>
      </c>
      <c r="S56" s="22">
        <v>22349</v>
      </c>
      <c r="T56" s="20">
        <v>5850</v>
      </c>
      <c r="U56" s="20">
        <v>12595</v>
      </c>
      <c r="W56" s="19">
        <v>0.75870000000000004</v>
      </c>
      <c r="X56" s="19">
        <v>0.98850000000000005</v>
      </c>
      <c r="Z56" s="23">
        <v>3905</v>
      </c>
    </row>
    <row r="57" spans="1:26" ht="15.75" customHeight="1" x14ac:dyDescent="0.2">
      <c r="A57" s="17" t="str">
        <f>HYPERLINK("https://www.blackburn.edu", "Blackburn College")</f>
        <v>Blackburn College</v>
      </c>
      <c r="B57" s="18" t="s">
        <v>32</v>
      </c>
      <c r="C57" s="18" t="s">
        <v>137</v>
      </c>
      <c r="D57" s="18" t="s">
        <v>579</v>
      </c>
      <c r="E57" s="18">
        <v>1041</v>
      </c>
      <c r="F57" s="18" t="s">
        <v>35</v>
      </c>
      <c r="J57" s="19">
        <v>0.47520000000000001</v>
      </c>
      <c r="K57" s="19">
        <v>0.25352112700000001</v>
      </c>
      <c r="L57" s="19">
        <v>0.52590000000000003</v>
      </c>
      <c r="M57" s="19">
        <v>0.1</v>
      </c>
      <c r="N57" s="19">
        <v>0.66669999999999996</v>
      </c>
      <c r="O57" s="19">
        <v>0</v>
      </c>
      <c r="P57" s="20">
        <v>31302</v>
      </c>
      <c r="Q57" s="21" t="str">
        <f>HYPERLINK("https://blackburn.edu/prospective-students/net-price-calculator/", "$9959")</f>
        <v>$9959</v>
      </c>
      <c r="R57" s="22">
        <v>13294</v>
      </c>
      <c r="S57" s="22">
        <v>15588</v>
      </c>
      <c r="T57" s="20">
        <v>1650</v>
      </c>
      <c r="U57" s="20">
        <v>8309</v>
      </c>
      <c r="W57" s="19">
        <v>0.60070000000000001</v>
      </c>
      <c r="X57" s="19">
        <v>0.2437</v>
      </c>
      <c r="Z57" s="23">
        <v>554</v>
      </c>
    </row>
    <row r="58" spans="1:26" ht="15.75" customHeight="1" x14ac:dyDescent="0.2">
      <c r="A58" s="17" t="str">
        <f>HYPERLINK("https://www.bloomfield.edu/", "Bloomfield College")</f>
        <v>Bloomfield College</v>
      </c>
      <c r="B58" s="18" t="s">
        <v>32</v>
      </c>
      <c r="C58" s="18" t="s">
        <v>141</v>
      </c>
      <c r="D58" s="18" t="s">
        <v>580</v>
      </c>
      <c r="E58" s="18">
        <v>934</v>
      </c>
      <c r="F58" s="18" t="s">
        <v>115</v>
      </c>
      <c r="J58" s="19">
        <v>0.31979999999999997</v>
      </c>
      <c r="K58" s="19">
        <v>0.279898219</v>
      </c>
      <c r="L58" s="19">
        <v>0.42109999999999997</v>
      </c>
      <c r="M58" s="19">
        <v>0.30580000000000002</v>
      </c>
      <c r="N58" s="19">
        <v>0.25</v>
      </c>
      <c r="O58" s="19">
        <v>0.5</v>
      </c>
      <c r="P58" s="20">
        <v>45670</v>
      </c>
      <c r="Q58" s="21" t="str">
        <f>HYPERLINK("https://bloomfield.studentaidcalculator.com/survey.aspx", "$17644")</f>
        <v>$17644</v>
      </c>
      <c r="R58" s="22">
        <v>20908</v>
      </c>
      <c r="S58" s="22">
        <v>25142</v>
      </c>
      <c r="T58" s="20">
        <v>4670</v>
      </c>
      <c r="U58" s="20">
        <v>12974</v>
      </c>
      <c r="W58" s="19">
        <v>0.68379999999999996</v>
      </c>
      <c r="X58" s="19">
        <v>0.91</v>
      </c>
      <c r="Z58" s="23">
        <v>1833</v>
      </c>
    </row>
    <row r="59" spans="1:26" ht="15.75" customHeight="1" x14ac:dyDescent="0.2">
      <c r="A59" s="17" t="str">
        <f>HYPERLINK("https://www.bluefield.edu", "Bluefield College")</f>
        <v>Bluefield College</v>
      </c>
      <c r="B59" s="18" t="s">
        <v>32</v>
      </c>
      <c r="C59" s="18" t="s">
        <v>83</v>
      </c>
      <c r="D59" s="18" t="s">
        <v>581</v>
      </c>
      <c r="E59" s="18">
        <v>986</v>
      </c>
      <c r="F59" s="18" t="s">
        <v>35</v>
      </c>
      <c r="J59" s="19">
        <v>0.20530000000000001</v>
      </c>
      <c r="K59" s="19">
        <v>0.357798165</v>
      </c>
      <c r="L59" s="19">
        <v>0.28410000000000002</v>
      </c>
      <c r="M59" s="19">
        <v>5.7700000000000001E-2</v>
      </c>
      <c r="N59" s="19">
        <v>0</v>
      </c>
      <c r="O59" s="19" t="s">
        <v>36</v>
      </c>
      <c r="P59" s="20">
        <v>37403</v>
      </c>
      <c r="Q59" s="21" t="str">
        <f>HYPERLINK("https://www.bluefield.edu/admissions-and-aid/bc-central/financial-aid/net-price-calculator/", "$20165")</f>
        <v>$20165</v>
      </c>
      <c r="R59" s="22">
        <v>22111</v>
      </c>
      <c r="S59" s="22">
        <v>23122</v>
      </c>
      <c r="T59" s="20">
        <v>3760</v>
      </c>
      <c r="U59" s="20">
        <v>16405</v>
      </c>
      <c r="W59" s="19">
        <v>0.50449999999999995</v>
      </c>
      <c r="X59" s="19">
        <v>0.38560000000000011</v>
      </c>
      <c r="Z59" s="23">
        <v>874</v>
      </c>
    </row>
    <row r="60" spans="1:26" ht="15.75" customHeight="1" x14ac:dyDescent="0.2">
      <c r="A60" s="17" t="str">
        <f>HYPERLINK("https://www.bluffton.edu", "Bluffton University")</f>
        <v>Bluffton University</v>
      </c>
      <c r="B60" s="18" t="s">
        <v>32</v>
      </c>
      <c r="C60" s="18" t="s">
        <v>75</v>
      </c>
      <c r="D60" s="18" t="s">
        <v>582</v>
      </c>
      <c r="E60" s="18">
        <v>1057</v>
      </c>
      <c r="F60" s="18" t="s">
        <v>35</v>
      </c>
      <c r="J60" s="19">
        <v>0.50800000000000001</v>
      </c>
      <c r="K60" s="19">
        <v>0.43298969100000001</v>
      </c>
      <c r="L60" s="19">
        <v>0.58379999999999999</v>
      </c>
      <c r="M60" s="19">
        <v>0.1724</v>
      </c>
      <c r="N60" s="19">
        <v>0.58330000000000004</v>
      </c>
      <c r="O60" s="19" t="s">
        <v>36</v>
      </c>
      <c r="P60" s="20">
        <v>46156</v>
      </c>
      <c r="Q60" s="21" t="str">
        <f>HYPERLINK("https://www.bluffton.edu/admissions/financialaid/calculator.html", "$21487")</f>
        <v>$21487</v>
      </c>
      <c r="R60" s="22">
        <v>22809</v>
      </c>
      <c r="S60" s="22">
        <v>26476</v>
      </c>
      <c r="T60" s="20">
        <v>4000</v>
      </c>
      <c r="U60" s="20">
        <v>17487</v>
      </c>
      <c r="W60" s="19">
        <v>0.36990000000000001</v>
      </c>
      <c r="X60" s="19">
        <v>0.21190000000000001</v>
      </c>
      <c r="Z60" s="23">
        <v>703</v>
      </c>
    </row>
    <row r="61" spans="1:26" ht="15.75" customHeight="1" x14ac:dyDescent="0.2">
      <c r="A61" s="17" t="str">
        <f>HYPERLINK("https://www.bju.edu", "Bob Jones University")</f>
        <v>Bob Jones University</v>
      </c>
      <c r="B61" s="18" t="s">
        <v>368</v>
      </c>
      <c r="C61" s="18" t="s">
        <v>208</v>
      </c>
      <c r="D61" s="18" t="s">
        <v>220</v>
      </c>
      <c r="E61" s="18">
        <v>1146</v>
      </c>
      <c r="F61" s="18" t="s">
        <v>35</v>
      </c>
      <c r="J61" s="19">
        <v>0.66949999999999998</v>
      </c>
      <c r="K61" s="19">
        <v>0.40414507799999999</v>
      </c>
      <c r="L61" s="19">
        <v>0.69410000000000005</v>
      </c>
      <c r="M61" s="19">
        <v>0.5</v>
      </c>
      <c r="N61" s="19">
        <v>0.61539999999999995</v>
      </c>
      <c r="O61" s="19">
        <v>0.72219999999999995</v>
      </c>
      <c r="P61" s="20">
        <v>25950</v>
      </c>
      <c r="Q61" s="21" t="str">
        <f>HYPERLINK("https://www.bju.edu/admission/tuition-aid/net-price-calculator.php", "$11533")</f>
        <v>$11533</v>
      </c>
      <c r="R61" s="22">
        <v>13119</v>
      </c>
      <c r="S61" s="22">
        <v>16488</v>
      </c>
      <c r="T61" s="20">
        <v>2800</v>
      </c>
      <c r="U61" s="20">
        <v>8733</v>
      </c>
      <c r="W61" s="19">
        <v>0.36280000000000001</v>
      </c>
      <c r="X61" s="19">
        <v>0.23949999999999999</v>
      </c>
      <c r="Z61" s="23">
        <v>2367</v>
      </c>
    </row>
    <row r="62" spans="1:26" ht="15.75" customHeight="1" x14ac:dyDescent="0.2">
      <c r="A62" s="17" t="str">
        <f>HYPERLINK("https://www.boisestate.edu", "Boise State University")</f>
        <v>Boise State University</v>
      </c>
      <c r="B62" s="18" t="s">
        <v>49</v>
      </c>
      <c r="C62" s="18" t="s">
        <v>486</v>
      </c>
      <c r="D62" s="18" t="s">
        <v>583</v>
      </c>
      <c r="E62" s="18">
        <v>1093</v>
      </c>
      <c r="F62" s="18" t="s">
        <v>35</v>
      </c>
      <c r="J62" s="19">
        <v>0.43940000000000001</v>
      </c>
      <c r="K62" s="19">
        <v>0.32139253299999998</v>
      </c>
      <c r="L62" s="19">
        <v>0.42899999999999999</v>
      </c>
      <c r="M62" s="19">
        <v>0.33329999999999999</v>
      </c>
      <c r="N62" s="19">
        <v>0.38550000000000001</v>
      </c>
      <c r="O62" s="19">
        <v>0.4884</v>
      </c>
      <c r="P62" s="20">
        <v>37248</v>
      </c>
      <c r="Q62" s="21" t="str">
        <f>HYPERLINK("https://financialaid.boisestate.edu/net-price-calculator/", "$30337")</f>
        <v>$30337</v>
      </c>
      <c r="R62" s="22">
        <v>32936</v>
      </c>
      <c r="S62" s="22">
        <v>35300</v>
      </c>
      <c r="T62" s="20">
        <v>4564</v>
      </c>
      <c r="U62" s="20">
        <v>25773.98568019093</v>
      </c>
      <c r="W62" s="19">
        <v>0.27510000000000001</v>
      </c>
      <c r="X62" s="19">
        <v>0.25879999999999997</v>
      </c>
      <c r="Z62" s="23">
        <v>16265</v>
      </c>
    </row>
    <row r="63" spans="1:26" ht="15.75" customHeight="1" x14ac:dyDescent="0.2">
      <c r="A63" s="17" t="str">
        <f>HYPERLINK("https://www.the-bac.edu", "Boston Architectural College")</f>
        <v>Boston Architectural College</v>
      </c>
      <c r="B63" s="18" t="s">
        <v>32</v>
      </c>
      <c r="C63" s="18" t="s">
        <v>33</v>
      </c>
      <c r="D63" s="18" t="s">
        <v>136</v>
      </c>
      <c r="E63" s="18" t="s">
        <v>36</v>
      </c>
      <c r="F63" s="18" t="s">
        <v>36</v>
      </c>
      <c r="J63" s="19">
        <v>0.10340000000000001</v>
      </c>
      <c r="K63" s="19" t="s">
        <v>36</v>
      </c>
      <c r="L63" s="19">
        <v>0.16669999999999999</v>
      </c>
      <c r="M63" s="19">
        <v>0</v>
      </c>
      <c r="N63" s="19">
        <v>0</v>
      </c>
      <c r="O63" s="19">
        <v>0</v>
      </c>
      <c r="P63" s="20">
        <v>40654</v>
      </c>
      <c r="Q63" s="21" t="str">
        <f>HYPERLINK("https://www.the-bac.edu/admissions-and-financial-aid/financial-aid/net-price-calculator", "$24327")</f>
        <v>$24327</v>
      </c>
      <c r="R63" s="22" t="s">
        <v>36</v>
      </c>
      <c r="S63" s="22">
        <v>34048</v>
      </c>
      <c r="T63" s="20">
        <v>4234</v>
      </c>
      <c r="U63" s="20">
        <v>20093</v>
      </c>
      <c r="W63" s="19">
        <v>0.29320000000000002</v>
      </c>
      <c r="X63" s="19">
        <v>0.61640000000000006</v>
      </c>
      <c r="Z63" s="23">
        <v>318</v>
      </c>
    </row>
    <row r="64" spans="1:26" ht="15.75" customHeight="1" x14ac:dyDescent="0.2">
      <c r="A64" s="17" t="str">
        <f>HYPERLINK("https://www.bowiestate.edu", "Bowie State University")</f>
        <v>Bowie State University</v>
      </c>
      <c r="B64" s="18" t="s">
        <v>49</v>
      </c>
      <c r="C64" s="18" t="s">
        <v>124</v>
      </c>
      <c r="D64" s="18" t="s">
        <v>584</v>
      </c>
      <c r="E64" s="18">
        <v>950</v>
      </c>
      <c r="F64" s="18" t="s">
        <v>115</v>
      </c>
      <c r="J64" s="19">
        <v>0.3962</v>
      </c>
      <c r="K64" s="19">
        <v>0.23868312799999999</v>
      </c>
      <c r="L64" s="19">
        <v>0.33329999999999999</v>
      </c>
      <c r="M64" s="19">
        <v>0.3916</v>
      </c>
      <c r="N64" s="19">
        <v>0.4375</v>
      </c>
      <c r="O64" s="19">
        <v>0.6</v>
      </c>
      <c r="P64" s="20">
        <v>33299</v>
      </c>
      <c r="Q64" s="21" t="str">
        <f>HYPERLINK("https://www.bowiestate.edu/admissions/financial_aid/", "$23931")</f>
        <v>$23931</v>
      </c>
      <c r="R64" s="22">
        <v>29761</v>
      </c>
      <c r="S64" s="22">
        <v>31780</v>
      </c>
      <c r="T64" s="20">
        <v>4100</v>
      </c>
      <c r="U64" s="20">
        <v>19831.349333333332</v>
      </c>
      <c r="W64" s="19">
        <v>0.50290000000000001</v>
      </c>
      <c r="X64" s="19">
        <v>0.97850000000000004</v>
      </c>
      <c r="Z64" s="23">
        <v>5107</v>
      </c>
    </row>
    <row r="65" spans="1:26" ht="15.75" customHeight="1" x14ac:dyDescent="0.2">
      <c r="A65" s="17" t="str">
        <f>HYPERLINK("https://www.bgsu.edu", "Bowling Green State University-Main Campus")</f>
        <v>Bowling Green State University-Main Campus</v>
      </c>
      <c r="B65" s="18" t="s">
        <v>49</v>
      </c>
      <c r="C65" s="18" t="s">
        <v>75</v>
      </c>
      <c r="D65" s="18" t="s">
        <v>585</v>
      </c>
      <c r="E65" s="18">
        <v>1088</v>
      </c>
      <c r="F65" s="18" t="s">
        <v>35</v>
      </c>
      <c r="J65" s="19">
        <v>0.53059999999999996</v>
      </c>
      <c r="K65" s="19">
        <v>0.32996632999999997</v>
      </c>
      <c r="L65" s="19">
        <v>0.5746</v>
      </c>
      <c r="M65" s="19">
        <v>0.37</v>
      </c>
      <c r="N65" s="19">
        <v>0.42</v>
      </c>
      <c r="O65" s="19">
        <v>0.5484</v>
      </c>
      <c r="P65" s="20">
        <v>32105</v>
      </c>
      <c r="Q65" s="21" t="str">
        <f>HYPERLINK("https://sfa.bgsu.edu/net_price_calculator/main/", "$24048")</f>
        <v>$24048</v>
      </c>
      <c r="R65" s="22">
        <v>27383</v>
      </c>
      <c r="S65" s="22">
        <v>29184</v>
      </c>
      <c r="T65" s="20">
        <v>4614</v>
      </c>
      <c r="U65" s="20">
        <v>19434.901065449008</v>
      </c>
      <c r="W65" s="19">
        <v>0.2787</v>
      </c>
      <c r="X65" s="19">
        <v>0.21759999999999999</v>
      </c>
      <c r="Z65" s="23">
        <v>13790</v>
      </c>
    </row>
    <row r="66" spans="1:26" ht="15.75" customHeight="1" x14ac:dyDescent="0.2">
      <c r="A66" s="17" t="str">
        <f>HYPERLINK("https://www.brenau.edu", "Brenau University")</f>
        <v>Brenau University</v>
      </c>
      <c r="B66" s="18" t="s">
        <v>32</v>
      </c>
      <c r="C66" s="18" t="s">
        <v>107</v>
      </c>
      <c r="D66" s="18" t="s">
        <v>277</v>
      </c>
      <c r="E66" s="18">
        <v>1004</v>
      </c>
      <c r="F66" s="18" t="s">
        <v>115</v>
      </c>
      <c r="J66" s="19">
        <v>0.49440000000000001</v>
      </c>
      <c r="K66" s="19">
        <v>0.47535211300000002</v>
      </c>
      <c r="L66" s="19">
        <v>0.51429999999999998</v>
      </c>
      <c r="M66" s="19">
        <v>0.64</v>
      </c>
      <c r="N66" s="19">
        <v>0.40739999999999998</v>
      </c>
      <c r="O66" s="19">
        <v>0.5</v>
      </c>
      <c r="P66" s="20">
        <v>44878</v>
      </c>
      <c r="Q66" s="21" t="str">
        <f>HYPERLINK("https://brenau.studentaidcalculator.com/survey.aspx", "$17042")</f>
        <v>$17042</v>
      </c>
      <c r="R66" s="22">
        <v>21820</v>
      </c>
      <c r="S66" s="22">
        <v>19486</v>
      </c>
      <c r="T66" s="20">
        <v>3950</v>
      </c>
      <c r="U66" s="20">
        <v>13092</v>
      </c>
      <c r="W66" s="19">
        <v>0.4985</v>
      </c>
      <c r="X66" s="19">
        <v>0.54010000000000002</v>
      </c>
      <c r="Z66" s="23">
        <v>1722</v>
      </c>
    </row>
    <row r="67" spans="1:26" ht="15.75" customHeight="1" x14ac:dyDescent="0.2">
      <c r="A67" s="17" t="str">
        <f>HYPERLINK("https://www.brescia.edu", "Brescia University")</f>
        <v>Brescia University</v>
      </c>
      <c r="B67" s="18" t="s">
        <v>32</v>
      </c>
      <c r="C67" s="18" t="s">
        <v>205</v>
      </c>
      <c r="D67" s="18" t="s">
        <v>586</v>
      </c>
      <c r="E67" s="18">
        <v>1065</v>
      </c>
      <c r="F67" s="18" t="s">
        <v>115</v>
      </c>
      <c r="J67" s="19">
        <v>0.38669999999999999</v>
      </c>
      <c r="K67" s="19">
        <v>0.30612244900000002</v>
      </c>
      <c r="L67" s="19">
        <v>0.37290000000000001</v>
      </c>
      <c r="M67" s="19">
        <v>0.41670000000000001</v>
      </c>
      <c r="N67" s="19">
        <v>0.66669999999999996</v>
      </c>
      <c r="O67" s="19">
        <v>1</v>
      </c>
      <c r="P67" s="20">
        <v>34150</v>
      </c>
      <c r="Q67" s="21" t="str">
        <f>HYPERLINK("https://www.brescia.edu/net-price-calculator/", "$11895")</f>
        <v>$11895</v>
      </c>
      <c r="R67" s="22">
        <v>11351</v>
      </c>
      <c r="S67" s="22">
        <v>15869</v>
      </c>
      <c r="T67" s="20">
        <v>3450</v>
      </c>
      <c r="U67" s="20">
        <v>8445</v>
      </c>
      <c r="W67" s="19">
        <v>0.57509999999999994</v>
      </c>
      <c r="X67" s="19">
        <v>0.39410000000000001</v>
      </c>
      <c r="Z67" s="23">
        <v>911</v>
      </c>
    </row>
    <row r="68" spans="1:26" ht="15.75" customHeight="1" x14ac:dyDescent="0.2">
      <c r="A68" s="17" t="str">
        <f>HYPERLINK("https://www.brevard.edu", "Brevard College")</f>
        <v>Brevard College</v>
      </c>
      <c r="B68" s="18" t="s">
        <v>32</v>
      </c>
      <c r="C68" s="18" t="s">
        <v>103</v>
      </c>
      <c r="D68" s="18" t="s">
        <v>587</v>
      </c>
      <c r="E68" s="18" t="s">
        <v>36</v>
      </c>
      <c r="F68" s="18" t="s">
        <v>90</v>
      </c>
      <c r="J68" s="19">
        <v>0.3211</v>
      </c>
      <c r="K68" s="19">
        <v>0.33823529400000002</v>
      </c>
      <c r="L68" s="19">
        <v>0.36840000000000001</v>
      </c>
      <c r="M68" s="19">
        <v>8.3299999999999999E-2</v>
      </c>
      <c r="N68" s="19">
        <v>0</v>
      </c>
      <c r="O68" s="19">
        <v>0</v>
      </c>
      <c r="P68" s="20">
        <v>42005</v>
      </c>
      <c r="Q68" s="21" t="str">
        <f>HYPERLINK("https://brevard.edu/net-price-calculator", "$17320")</f>
        <v>$17320</v>
      </c>
      <c r="R68" s="22">
        <v>20054</v>
      </c>
      <c r="S68" s="22">
        <v>24501</v>
      </c>
      <c r="T68" s="20">
        <v>3000</v>
      </c>
      <c r="U68" s="20">
        <v>14320</v>
      </c>
      <c r="W68" s="19">
        <v>0.42759999999999998</v>
      </c>
      <c r="X68" s="19">
        <v>0.33979999999999999</v>
      </c>
      <c r="Z68" s="23">
        <v>668</v>
      </c>
    </row>
    <row r="69" spans="1:26" ht="15.75" customHeight="1" x14ac:dyDescent="0.2">
      <c r="A69" s="17" t="str">
        <f>HYPERLINK("https://www.briarcliff.edu", "Briar Cliff University")</f>
        <v>Briar Cliff University</v>
      </c>
      <c r="B69" s="18" t="s">
        <v>32</v>
      </c>
      <c r="C69" s="18" t="s">
        <v>211</v>
      </c>
      <c r="D69" s="18" t="s">
        <v>588</v>
      </c>
      <c r="E69" s="18" t="s">
        <v>36</v>
      </c>
      <c r="F69" s="18" t="s">
        <v>36</v>
      </c>
      <c r="J69" s="19">
        <v>0.42370000000000002</v>
      </c>
      <c r="K69" s="19">
        <v>0.29787234000000001</v>
      </c>
      <c r="L69" s="19">
        <v>0.48470000000000002</v>
      </c>
      <c r="M69" s="19">
        <v>0.21740000000000001</v>
      </c>
      <c r="N69" s="19">
        <v>0.26919999999999999</v>
      </c>
      <c r="O69" s="19">
        <v>0.4</v>
      </c>
      <c r="P69" s="20">
        <v>42980</v>
      </c>
      <c r="Q69" s="21" t="str">
        <f>HYPERLINK("https://www.briarcliff.edu/financial-aid/net-price-calculator/", "$19353")</f>
        <v>$19353</v>
      </c>
      <c r="R69" s="22">
        <v>18891</v>
      </c>
      <c r="S69" s="22">
        <v>24229</v>
      </c>
      <c r="T69" s="20">
        <v>4554</v>
      </c>
      <c r="U69" s="20">
        <v>14799</v>
      </c>
      <c r="W69" s="19">
        <v>0.37869999999999998</v>
      </c>
      <c r="X69" s="19">
        <v>0.35780000000000001</v>
      </c>
      <c r="Z69" s="23">
        <v>928</v>
      </c>
    </row>
    <row r="70" spans="1:26" ht="15.75" customHeight="1" x14ac:dyDescent="0.2">
      <c r="A70" s="17" t="str">
        <f>HYPERLINK("https://www.bridgewater.edu/about-us", "Bridgewater College")</f>
        <v>Bridgewater College</v>
      </c>
      <c r="B70" s="18" t="s">
        <v>32</v>
      </c>
      <c r="C70" s="18" t="s">
        <v>83</v>
      </c>
      <c r="D70" s="18" t="s">
        <v>589</v>
      </c>
      <c r="E70" s="18">
        <v>1073</v>
      </c>
      <c r="F70" s="18" t="s">
        <v>35</v>
      </c>
      <c r="J70" s="19">
        <v>0.61150000000000004</v>
      </c>
      <c r="K70" s="19">
        <v>0.42045454599999998</v>
      </c>
      <c r="L70" s="19">
        <v>0.626</v>
      </c>
      <c r="M70" s="19">
        <v>0.63829999999999998</v>
      </c>
      <c r="N70" s="19">
        <v>0.47060000000000002</v>
      </c>
      <c r="O70" s="19">
        <v>0.4</v>
      </c>
      <c r="P70" s="20">
        <v>49690</v>
      </c>
      <c r="Q70" s="21" t="str">
        <f>HYPERLINK("https://web.bridgewater.edu/netprice/", "$16831")</f>
        <v>$16831</v>
      </c>
      <c r="R70" s="22">
        <v>17242</v>
      </c>
      <c r="S70" s="22">
        <v>19765</v>
      </c>
      <c r="T70" s="20">
        <v>3430</v>
      </c>
      <c r="U70" s="20">
        <v>13401</v>
      </c>
      <c r="W70" s="19">
        <v>0.2944</v>
      </c>
      <c r="X70" s="19">
        <v>0.33620000000000011</v>
      </c>
      <c r="Z70" s="23">
        <v>1874</v>
      </c>
    </row>
    <row r="71" spans="1:26" ht="15.75" customHeight="1" x14ac:dyDescent="0.2">
      <c r="A71" s="17" t="str">
        <f>HYPERLINK("https://www.bridgew.edu", "Bridgewater State University")</f>
        <v>Bridgewater State University</v>
      </c>
      <c r="B71" s="18" t="s">
        <v>49</v>
      </c>
      <c r="C71" s="18" t="s">
        <v>33</v>
      </c>
      <c r="D71" s="18" t="s">
        <v>589</v>
      </c>
      <c r="E71" s="18">
        <v>1070</v>
      </c>
      <c r="F71" s="18" t="s">
        <v>35</v>
      </c>
      <c r="J71" s="19">
        <v>0.59409999999999996</v>
      </c>
      <c r="K71" s="19">
        <v>0.5</v>
      </c>
      <c r="L71" s="19">
        <v>0.62519999999999998</v>
      </c>
      <c r="M71" s="19">
        <v>0.42480000000000001</v>
      </c>
      <c r="N71" s="19">
        <v>0.47310000000000002</v>
      </c>
      <c r="O71" s="19">
        <v>0.4839</v>
      </c>
      <c r="P71" s="20">
        <v>32346</v>
      </c>
      <c r="Q71" s="21" t="str">
        <f>HYPERLINK("https://microsites.bridgew.edu/financialaid/net-price-calculator", "$22891")</f>
        <v>$22891</v>
      </c>
      <c r="R71" s="22">
        <v>28306</v>
      </c>
      <c r="S71" s="22">
        <v>30024</v>
      </c>
      <c r="T71" s="20">
        <v>3444</v>
      </c>
      <c r="U71" s="20">
        <v>19447.795121951222</v>
      </c>
      <c r="W71" s="19">
        <v>0.3503</v>
      </c>
      <c r="X71" s="19">
        <v>0.26069999999999999</v>
      </c>
      <c r="Z71" s="23">
        <v>9390</v>
      </c>
    </row>
    <row r="72" spans="1:26" ht="15.75" customHeight="1" x14ac:dyDescent="0.2">
      <c r="A72" s="17" t="str">
        <f>HYPERLINK("https://www.byui.edu", "Brigham Young University-Idaho")</f>
        <v>Brigham Young University-Idaho</v>
      </c>
      <c r="B72" s="18" t="s">
        <v>32</v>
      </c>
      <c r="C72" s="18" t="s">
        <v>486</v>
      </c>
      <c r="D72" s="18" t="s">
        <v>590</v>
      </c>
      <c r="E72" s="18">
        <v>1115</v>
      </c>
      <c r="F72" s="18" t="s">
        <v>35</v>
      </c>
      <c r="J72" s="19">
        <v>0.59499999999999997</v>
      </c>
      <c r="K72" s="19">
        <v>0.48632900000000001</v>
      </c>
      <c r="L72" s="19">
        <v>0.60640000000000005</v>
      </c>
      <c r="M72" s="19">
        <v>0.44440000000000002</v>
      </c>
      <c r="N72" s="19">
        <v>0.4</v>
      </c>
      <c r="O72" s="19">
        <v>0.44440000000000002</v>
      </c>
      <c r="P72" s="20">
        <v>12322</v>
      </c>
      <c r="Q72" s="21" t="str">
        <f>HYPERLINK("https://www.byui.edu/FinancialAid/", "$5352")</f>
        <v>$5352</v>
      </c>
      <c r="R72" s="22">
        <v>7598</v>
      </c>
      <c r="S72" s="22">
        <v>10374</v>
      </c>
      <c r="T72" s="20">
        <v>3712</v>
      </c>
      <c r="U72" s="20">
        <v>1640</v>
      </c>
      <c r="W72" s="19">
        <v>0.27029999999999998</v>
      </c>
      <c r="X72" s="19">
        <v>0.25040000000000001</v>
      </c>
      <c r="Z72" s="23">
        <v>35038</v>
      </c>
    </row>
    <row r="73" spans="1:26" ht="15.75" customHeight="1" x14ac:dyDescent="0.2">
      <c r="A73" s="17" t="str">
        <f>HYPERLINK("https://www.brynathyn.edu", "Bryn Athyn College of the New Church")</f>
        <v>Bryn Athyn College of the New Church</v>
      </c>
      <c r="B73" s="18" t="s">
        <v>32</v>
      </c>
      <c r="C73" s="18" t="s">
        <v>65</v>
      </c>
      <c r="D73" s="18" t="s">
        <v>591</v>
      </c>
      <c r="E73" s="18">
        <v>1045</v>
      </c>
      <c r="F73" s="18" t="s">
        <v>35</v>
      </c>
      <c r="J73" s="19">
        <v>0.50619999999999998</v>
      </c>
      <c r="K73" s="19" t="s">
        <v>36</v>
      </c>
      <c r="L73" s="19">
        <v>0.58179999999999998</v>
      </c>
      <c r="M73" s="19">
        <v>0.33329999999999999</v>
      </c>
      <c r="N73" s="19">
        <v>0.66669999999999996</v>
      </c>
      <c r="O73" s="19">
        <v>0.5</v>
      </c>
      <c r="P73" s="20">
        <v>34414</v>
      </c>
      <c r="Q73" s="21" t="str">
        <f>HYPERLINK("https://www.brynathyn.edu/costs-and-financial-aid/", "$11550")</f>
        <v>$11550</v>
      </c>
      <c r="R73" s="22">
        <v>16265</v>
      </c>
      <c r="S73" s="22">
        <v>17635</v>
      </c>
      <c r="T73" s="20">
        <v>1750</v>
      </c>
      <c r="U73" s="20">
        <v>9800</v>
      </c>
      <c r="W73" s="19">
        <v>0.44069999999999998</v>
      </c>
      <c r="X73" s="19">
        <v>0.30959999999999999</v>
      </c>
      <c r="Z73" s="23">
        <v>323</v>
      </c>
    </row>
    <row r="74" spans="1:26" ht="15.75" customHeight="1" x14ac:dyDescent="0.2">
      <c r="A74" s="17" t="str">
        <f>HYPERLINK("https://www.bvu.edu", "Buena Vista University")</f>
        <v>Buena Vista University</v>
      </c>
      <c r="B74" s="18" t="s">
        <v>32</v>
      </c>
      <c r="C74" s="18" t="s">
        <v>211</v>
      </c>
      <c r="D74" s="18" t="s">
        <v>592</v>
      </c>
      <c r="E74" s="18">
        <v>1083</v>
      </c>
      <c r="F74" s="18" t="s">
        <v>35</v>
      </c>
      <c r="J74" s="19">
        <v>0.60099999999999998</v>
      </c>
      <c r="K74" s="19">
        <v>0.46578366500000001</v>
      </c>
      <c r="L74" s="19">
        <v>0.63639999999999997</v>
      </c>
      <c r="M74" s="19">
        <v>0</v>
      </c>
      <c r="N74" s="19">
        <v>0.45450000000000002</v>
      </c>
      <c r="O74" s="19">
        <v>0.6</v>
      </c>
      <c r="P74" s="20">
        <v>45619</v>
      </c>
      <c r="Q74" s="21" t="str">
        <f>HYPERLINK("https://www.bvu.edu/admissions/financial-assistance/calculator", "$15459")</f>
        <v>$15459</v>
      </c>
      <c r="R74" s="22">
        <v>17797</v>
      </c>
      <c r="S74" s="22">
        <v>19632</v>
      </c>
      <c r="T74" s="20">
        <v>3275</v>
      </c>
      <c r="U74" s="20">
        <v>12184</v>
      </c>
      <c r="W74" s="19">
        <v>0.4466</v>
      </c>
      <c r="X74" s="19">
        <v>0.20799999999999999</v>
      </c>
      <c r="Z74" s="23">
        <v>1692</v>
      </c>
    </row>
    <row r="75" spans="1:26" ht="15.75" customHeight="1" x14ac:dyDescent="0.2">
      <c r="A75" s="17" t="str">
        <f>HYPERLINK("https://www.brooklyn.cuny.edu", "CUNY Brooklyn College")</f>
        <v>CUNY Brooklyn College</v>
      </c>
      <c r="B75" s="18" t="s">
        <v>49</v>
      </c>
      <c r="C75" s="18" t="s">
        <v>38</v>
      </c>
      <c r="D75" s="18" t="s">
        <v>593</v>
      </c>
      <c r="E75" s="18">
        <v>1130</v>
      </c>
      <c r="F75" s="18" t="s">
        <v>35</v>
      </c>
      <c r="G75" s="18" t="s">
        <v>201</v>
      </c>
      <c r="H75" s="18" t="s">
        <v>594</v>
      </c>
      <c r="I75" s="18" t="s">
        <v>595</v>
      </c>
      <c r="J75" s="19">
        <v>0.58120000000000005</v>
      </c>
      <c r="K75" s="19">
        <v>0.43213897899999998</v>
      </c>
      <c r="L75" s="19">
        <v>0.61750000000000005</v>
      </c>
      <c r="M75" s="19">
        <v>0.46539999999999998</v>
      </c>
      <c r="N75" s="19">
        <v>0.48209999999999997</v>
      </c>
      <c r="O75" s="19">
        <v>0.66449999999999998</v>
      </c>
      <c r="P75" s="20">
        <v>12512</v>
      </c>
      <c r="Q75" s="21" t="str">
        <f>HYPERLINK("https://portal0.uapc.cuny.edu/uapc/public/fin_aid/financial_aid_estimator/FinAidEstimator.jsp", "$1408")</f>
        <v>$1408</v>
      </c>
      <c r="R75" s="22">
        <v>8298</v>
      </c>
      <c r="S75" s="22">
        <v>11863</v>
      </c>
      <c r="T75" s="20">
        <v>5472</v>
      </c>
      <c r="U75" s="20">
        <v>-4064</v>
      </c>
      <c r="W75" s="19">
        <v>0.50519999999999998</v>
      </c>
      <c r="X75" s="19">
        <v>0.69599999999999995</v>
      </c>
      <c r="Z75" s="23">
        <v>13712</v>
      </c>
    </row>
    <row r="76" spans="1:26" ht="15.75" customHeight="1" x14ac:dyDescent="0.2">
      <c r="A76" s="17" t="str">
        <f>HYPERLINK("https://www.qc.cuny.edu", "CUNY Queens College")</f>
        <v>CUNY Queens College</v>
      </c>
      <c r="B76" s="18" t="s">
        <v>49</v>
      </c>
      <c r="C76" s="18" t="s">
        <v>38</v>
      </c>
      <c r="D76" s="18" t="s">
        <v>596</v>
      </c>
      <c r="E76" s="18">
        <v>1140</v>
      </c>
      <c r="F76" s="18" t="s">
        <v>35</v>
      </c>
      <c r="G76" s="18" t="s">
        <v>201</v>
      </c>
      <c r="H76" s="18" t="s">
        <v>597</v>
      </c>
      <c r="I76" s="18" t="s">
        <v>598</v>
      </c>
      <c r="J76" s="19">
        <v>0.53839999999999999</v>
      </c>
      <c r="K76" s="19">
        <v>0.43031266600000001</v>
      </c>
      <c r="L76" s="19">
        <v>0.60029999999999994</v>
      </c>
      <c r="M76" s="19">
        <v>0.48149999999999998</v>
      </c>
      <c r="N76" s="19">
        <v>0.49740000000000001</v>
      </c>
      <c r="O76" s="19">
        <v>0.48970000000000002</v>
      </c>
      <c r="P76" s="20">
        <v>12610</v>
      </c>
      <c r="Q76" s="21" t="str">
        <f>HYPERLINK("https://portal0.uapc.cuny.edu/uapc/public/fin_aid/financial_aid_estimator/FinAidEstimator.jsp", "$1804")</f>
        <v>$1804</v>
      </c>
      <c r="R76" s="22">
        <v>8025</v>
      </c>
      <c r="S76" s="22">
        <v>11722</v>
      </c>
      <c r="T76" s="20">
        <v>5472</v>
      </c>
      <c r="U76" s="20">
        <v>-3668</v>
      </c>
      <c r="W76" s="19">
        <v>0.42249999999999999</v>
      </c>
      <c r="X76" s="19">
        <v>0.73709999999999998</v>
      </c>
      <c r="Z76" s="23">
        <v>15762</v>
      </c>
    </row>
    <row r="77" spans="1:26" ht="15.75" customHeight="1" x14ac:dyDescent="0.2">
      <c r="A77" s="17" t="str">
        <f>HYPERLINK("https://www.cairn.edu", "Cairn University-Langhorne")</f>
        <v>Cairn University-Langhorne</v>
      </c>
      <c r="B77" s="18" t="s">
        <v>32</v>
      </c>
      <c r="C77" s="18" t="s">
        <v>65</v>
      </c>
      <c r="D77" s="18" t="s">
        <v>599</v>
      </c>
      <c r="E77" s="18">
        <v>1046</v>
      </c>
      <c r="F77" s="18" t="s">
        <v>35</v>
      </c>
      <c r="J77" s="19">
        <v>0.6048</v>
      </c>
      <c r="K77" s="19">
        <v>0.58333333300000001</v>
      </c>
      <c r="L77" s="19">
        <v>0.65959999999999996</v>
      </c>
      <c r="M77" s="19">
        <v>0.35709999999999997</v>
      </c>
      <c r="N77" s="19">
        <v>0.625</v>
      </c>
      <c r="O77" s="19">
        <v>0.4</v>
      </c>
      <c r="P77" s="20">
        <v>39304</v>
      </c>
      <c r="Q77" s="21" t="str">
        <f>HYPERLINK("https://cairn.edu/admissions/undergrad/aid/#calculator", "$14331")</f>
        <v>$14331</v>
      </c>
      <c r="R77" s="22">
        <v>14317</v>
      </c>
      <c r="S77" s="22">
        <v>20200</v>
      </c>
      <c r="T77" s="20">
        <v>3008</v>
      </c>
      <c r="U77" s="20">
        <v>11323</v>
      </c>
      <c r="W77" s="19">
        <v>0.42570000000000002</v>
      </c>
      <c r="X77" s="19">
        <v>0.28399999999999997</v>
      </c>
      <c r="Z77" s="23">
        <v>757</v>
      </c>
    </row>
    <row r="78" spans="1:26" ht="15.75" customHeight="1" x14ac:dyDescent="0.2">
      <c r="A78" s="17" t="str">
        <f>HYPERLINK("https://www.calbaptist.edu", "California Baptist University")</f>
        <v>California Baptist University</v>
      </c>
      <c r="B78" s="18" t="s">
        <v>32</v>
      </c>
      <c r="C78" s="18" t="s">
        <v>68</v>
      </c>
      <c r="D78" s="18" t="s">
        <v>392</v>
      </c>
      <c r="E78" s="18">
        <v>1092</v>
      </c>
      <c r="F78" s="18" t="s">
        <v>35</v>
      </c>
      <c r="J78" s="19">
        <v>0.58660000000000001</v>
      </c>
      <c r="K78" s="19">
        <v>0.347394541</v>
      </c>
      <c r="L78" s="19">
        <v>0.6472</v>
      </c>
      <c r="M78" s="19">
        <v>0.29849999999999999</v>
      </c>
      <c r="N78" s="19">
        <v>0.55610000000000004</v>
      </c>
      <c r="O78" s="19">
        <v>0.51019999999999999</v>
      </c>
      <c r="P78" s="20">
        <v>45982</v>
      </c>
      <c r="Q78" s="21" t="str">
        <f>HYPERLINK("https://calbaptist.studentaidcalculator.com/welcome.aspx", "$27214")</f>
        <v>$27214</v>
      </c>
      <c r="R78" s="22">
        <v>31323</v>
      </c>
      <c r="S78" s="22">
        <v>33250</v>
      </c>
      <c r="T78" s="20">
        <v>5096</v>
      </c>
      <c r="U78" s="20">
        <v>22118</v>
      </c>
      <c r="W78" s="19">
        <v>0.44879999999999998</v>
      </c>
      <c r="X78" s="19">
        <v>0.61480000000000001</v>
      </c>
      <c r="Z78" s="23">
        <v>7397</v>
      </c>
    </row>
    <row r="79" spans="1:26" ht="15.75" customHeight="1" x14ac:dyDescent="0.2">
      <c r="A79" s="17" t="str">
        <f>HYPERLINK("https://www.cca.edu", "California College of the Arts")</f>
        <v>California College of the Arts</v>
      </c>
      <c r="B79" s="18" t="s">
        <v>32</v>
      </c>
      <c r="C79" s="18" t="s">
        <v>68</v>
      </c>
      <c r="D79" s="18" t="s">
        <v>522</v>
      </c>
      <c r="E79" s="18" t="s">
        <v>36</v>
      </c>
      <c r="F79" s="18" t="s">
        <v>45</v>
      </c>
      <c r="J79" s="19">
        <v>0.61209999999999998</v>
      </c>
      <c r="K79" s="19">
        <v>0.53043478300000002</v>
      </c>
      <c r="L79" s="19">
        <v>0.56759999999999999</v>
      </c>
      <c r="M79" s="19">
        <v>0.38890000000000002</v>
      </c>
      <c r="N79" s="19">
        <v>0.3846</v>
      </c>
      <c r="O79" s="19">
        <v>0.76919999999999999</v>
      </c>
      <c r="P79" s="20">
        <v>64906</v>
      </c>
      <c r="Q79" s="21" t="str">
        <f>HYPERLINK("https://www.cca.edu/admissions/financialaid/calculator", "$26720")</f>
        <v>$26720</v>
      </c>
      <c r="R79" s="22">
        <v>32258</v>
      </c>
      <c r="S79" s="22">
        <v>34442</v>
      </c>
      <c r="T79" s="20">
        <v>4950</v>
      </c>
      <c r="U79" s="20">
        <v>21770</v>
      </c>
      <c r="W79" s="19">
        <v>0.29320000000000002</v>
      </c>
      <c r="X79" s="19">
        <v>0.77560000000000007</v>
      </c>
      <c r="Z79" s="23">
        <v>1475</v>
      </c>
    </row>
    <row r="80" spans="1:26" ht="15.75" customHeight="1" x14ac:dyDescent="0.2">
      <c r="A80" s="17" t="str">
        <f>HYPERLINK("https://www.calarts.edu", "California Institute of the Arts")</f>
        <v>California Institute of the Arts</v>
      </c>
      <c r="B80" s="18" t="s">
        <v>32</v>
      </c>
      <c r="C80" s="18" t="s">
        <v>68</v>
      </c>
      <c r="D80" s="18" t="s">
        <v>600</v>
      </c>
      <c r="E80" s="18" t="s">
        <v>36</v>
      </c>
      <c r="F80" s="18" t="s">
        <v>45</v>
      </c>
      <c r="J80" s="19">
        <v>0.66920000000000002</v>
      </c>
      <c r="K80" s="19">
        <v>0.56060606099999999</v>
      </c>
      <c r="L80" s="19">
        <v>0.625</v>
      </c>
      <c r="M80" s="19">
        <v>0.66669999999999996</v>
      </c>
      <c r="N80" s="19">
        <v>0.57889999999999997</v>
      </c>
      <c r="O80" s="19">
        <v>0.77780000000000005</v>
      </c>
      <c r="P80" s="20">
        <v>68993</v>
      </c>
      <c r="Q80" s="21" t="str">
        <f>HYPERLINK("https://calarts.edu/financial-aid/net-price-calculator", "$39730")</f>
        <v>$39730</v>
      </c>
      <c r="R80" s="22">
        <v>45303</v>
      </c>
      <c r="S80" s="22">
        <v>43761</v>
      </c>
      <c r="T80" s="20">
        <v>9790</v>
      </c>
      <c r="U80" s="20">
        <v>29940</v>
      </c>
      <c r="W80" s="19">
        <v>0.24740000000000001</v>
      </c>
      <c r="X80" s="19">
        <v>0.58430000000000004</v>
      </c>
      <c r="Z80" s="23">
        <v>979</v>
      </c>
    </row>
    <row r="81" spans="1:26" ht="15.75" customHeight="1" x14ac:dyDescent="0.2">
      <c r="A81" s="17" t="str">
        <f>HYPERLINK("https://www.callutheran.edu/", "California Lutheran University")</f>
        <v>California Lutheran University</v>
      </c>
      <c r="B81" s="18" t="s">
        <v>32</v>
      </c>
      <c r="C81" s="18" t="s">
        <v>68</v>
      </c>
      <c r="D81" s="18" t="s">
        <v>601</v>
      </c>
      <c r="E81" s="18">
        <v>1158</v>
      </c>
      <c r="F81" s="18" t="s">
        <v>35</v>
      </c>
      <c r="J81" s="19">
        <v>0.70799999999999996</v>
      </c>
      <c r="K81" s="19">
        <v>0.54395604399999997</v>
      </c>
      <c r="L81" s="19">
        <v>0.69679999999999997</v>
      </c>
      <c r="M81" s="19">
        <v>0.72219999999999995</v>
      </c>
      <c r="N81" s="19">
        <v>0.76319999999999999</v>
      </c>
      <c r="O81" s="19">
        <v>0.65959999999999996</v>
      </c>
      <c r="P81" s="20">
        <v>59877</v>
      </c>
      <c r="Q81" s="21" t="str">
        <f>HYPERLINK("https://www.callutheran.edu/financial-aid/tuition-fees/net-price-calculator.html", "$17357")</f>
        <v>$17357</v>
      </c>
      <c r="R81" s="22">
        <v>23343</v>
      </c>
      <c r="S81" s="22">
        <v>29356</v>
      </c>
      <c r="T81" s="20">
        <v>5194</v>
      </c>
      <c r="U81" s="20">
        <v>12163</v>
      </c>
      <c r="W81" s="19">
        <v>0.25590000000000002</v>
      </c>
      <c r="X81" s="19">
        <v>0.55459999999999998</v>
      </c>
      <c r="Z81" s="23">
        <v>2959</v>
      </c>
    </row>
    <row r="82" spans="1:26" ht="15.75" customHeight="1" x14ac:dyDescent="0.2">
      <c r="A82" s="17" t="str">
        <f>HYPERLINK("https://www.cpp.edu", "California State Polytechnic University-Pomona")</f>
        <v>California State Polytechnic University-Pomona</v>
      </c>
      <c r="B82" s="18" t="s">
        <v>49</v>
      </c>
      <c r="C82" s="18" t="s">
        <v>68</v>
      </c>
      <c r="D82" s="18" t="s">
        <v>602</v>
      </c>
      <c r="E82" s="18">
        <v>1129</v>
      </c>
      <c r="F82" s="18" t="s">
        <v>35</v>
      </c>
      <c r="J82" s="19">
        <v>0.6593</v>
      </c>
      <c r="K82" s="19">
        <v>0.56012084600000001</v>
      </c>
      <c r="L82" s="19">
        <v>0.7036</v>
      </c>
      <c r="M82" s="19">
        <v>0.45950000000000002</v>
      </c>
      <c r="N82" s="19">
        <v>0.59050000000000002</v>
      </c>
      <c r="O82" s="19">
        <v>0.74229999999999996</v>
      </c>
      <c r="P82" s="20">
        <v>37937</v>
      </c>
      <c r="Q82" s="21" t="str">
        <f>HYPERLINK("https://www.cpp.edu/~financial-aid/net-price-calculator/npcalc.htm", "$26608")</f>
        <v>$26608</v>
      </c>
      <c r="R82" s="22">
        <v>30861</v>
      </c>
      <c r="S82" s="22">
        <v>34676</v>
      </c>
      <c r="T82" s="20">
        <v>4204</v>
      </c>
      <c r="U82" s="20">
        <v>22404.044776119401</v>
      </c>
      <c r="W82" s="19">
        <v>0.46289999999999998</v>
      </c>
      <c r="X82" s="19">
        <v>0.83230000000000004</v>
      </c>
      <c r="Z82" s="23">
        <v>24205</v>
      </c>
    </row>
    <row r="83" spans="1:26" ht="15.75" customHeight="1" x14ac:dyDescent="0.2">
      <c r="A83" s="17" t="str">
        <f>HYPERLINK("https://www.csum.edu", "The California Maritime Academy")</f>
        <v>The California Maritime Academy</v>
      </c>
      <c r="B83" s="18" t="s">
        <v>49</v>
      </c>
      <c r="C83" s="18" t="s">
        <v>68</v>
      </c>
      <c r="D83" s="18" t="s">
        <v>603</v>
      </c>
      <c r="E83" s="18" t="s">
        <v>36</v>
      </c>
      <c r="F83" s="18" t="s">
        <v>90</v>
      </c>
      <c r="J83" s="19">
        <v>0.64080000000000004</v>
      </c>
      <c r="K83" s="19">
        <v>0.53749999999999998</v>
      </c>
      <c r="L83" s="19">
        <v>0.6835</v>
      </c>
      <c r="M83" s="19">
        <v>0</v>
      </c>
      <c r="N83" s="19">
        <v>0.58620000000000005</v>
      </c>
      <c r="O83" s="19">
        <v>0.76919999999999999</v>
      </c>
      <c r="P83" s="20">
        <v>39962</v>
      </c>
      <c r="Q83" s="21" t="str">
        <f>HYPERLINK("https://www2.calstate.edu/attend/paying-for-college/Pages/csu-costs.aspx", "$27414")</f>
        <v>$27414</v>
      </c>
      <c r="R83" s="22">
        <v>32749</v>
      </c>
      <c r="S83" s="22">
        <v>36970</v>
      </c>
      <c r="T83" s="20">
        <v>8219</v>
      </c>
      <c r="U83" s="20">
        <v>19195.81632653061</v>
      </c>
      <c r="W83" s="19">
        <v>0.29449999999999998</v>
      </c>
      <c r="X83" s="19">
        <v>0.51429999999999998</v>
      </c>
      <c r="Z83" s="23">
        <v>1048</v>
      </c>
    </row>
    <row r="84" spans="1:26" ht="15.75" customHeight="1" x14ac:dyDescent="0.2">
      <c r="A84" s="17" t="str">
        <f>HYPERLINK("https://www.csuci.edu", "California State University-Channel Islands")</f>
        <v>California State University-Channel Islands</v>
      </c>
      <c r="B84" s="18" t="s">
        <v>49</v>
      </c>
      <c r="C84" s="18" t="s">
        <v>68</v>
      </c>
      <c r="D84" s="18" t="s">
        <v>604</v>
      </c>
      <c r="E84" s="18" t="s">
        <v>36</v>
      </c>
      <c r="F84" s="18" t="s">
        <v>90</v>
      </c>
      <c r="J84" s="19">
        <v>0.59470000000000001</v>
      </c>
      <c r="K84" s="19">
        <v>0.46770025799999998</v>
      </c>
      <c r="L84" s="19">
        <v>0.65939999999999999</v>
      </c>
      <c r="M84" s="19">
        <v>0.69569999999999999</v>
      </c>
      <c r="N84" s="19">
        <v>0.55869999999999997</v>
      </c>
      <c r="O84" s="19">
        <v>0.48780000000000001</v>
      </c>
      <c r="P84" s="20">
        <v>40501</v>
      </c>
      <c r="Q84" s="21" t="str">
        <f>HYPERLINK("https://www2.calstate.edu/attend/paying-for-college/Pages/csu-costs.aspx", "$28609")</f>
        <v>$28609</v>
      </c>
      <c r="R84" s="22">
        <v>33167</v>
      </c>
      <c r="S84" s="22">
        <v>37541</v>
      </c>
      <c r="T84" s="20">
        <v>4850</v>
      </c>
      <c r="U84" s="20">
        <v>23759.479591836731</v>
      </c>
      <c r="W84" s="19">
        <v>0.50649999999999995</v>
      </c>
      <c r="X84" s="19">
        <v>0.71360000000000001</v>
      </c>
      <c r="Z84" s="23">
        <v>7047</v>
      </c>
    </row>
    <row r="85" spans="1:26" ht="15.75" customHeight="1" x14ac:dyDescent="0.2">
      <c r="A85" s="17" t="str">
        <f>HYPERLINK("https://www.csuchico.edu", "California State University-Chico")</f>
        <v>California State University-Chico</v>
      </c>
      <c r="B85" s="18" t="s">
        <v>49</v>
      </c>
      <c r="C85" s="18" t="s">
        <v>68</v>
      </c>
      <c r="D85" s="18" t="s">
        <v>605</v>
      </c>
      <c r="E85" s="18">
        <v>1088</v>
      </c>
      <c r="F85" s="18" t="s">
        <v>35</v>
      </c>
      <c r="J85" s="19">
        <v>0.65529999999999999</v>
      </c>
      <c r="K85" s="19">
        <v>0.56825396799999994</v>
      </c>
      <c r="L85" s="19">
        <v>0.69289999999999996</v>
      </c>
      <c r="M85" s="19">
        <v>0.51919999999999999</v>
      </c>
      <c r="N85" s="19">
        <v>0.59670000000000001</v>
      </c>
      <c r="O85" s="19">
        <v>0.61070000000000002</v>
      </c>
      <c r="P85" s="20">
        <v>36300</v>
      </c>
      <c r="Q85" s="33" t="str">
        <f>HYPERLINK("https://www2.calstate.edu/attend/paying-for-college/Pages/csu-costs.aspx", "$24006")</f>
        <v>$24006</v>
      </c>
      <c r="R85" s="22">
        <v>29213</v>
      </c>
      <c r="S85" s="22">
        <v>33323</v>
      </c>
      <c r="T85" s="20">
        <v>4360</v>
      </c>
      <c r="U85" s="20">
        <v>19646.777319587629</v>
      </c>
      <c r="W85" s="19">
        <v>0.44929999999999998</v>
      </c>
      <c r="X85" s="19">
        <v>0.57519999999999993</v>
      </c>
      <c r="Z85" s="18">
        <v>16546</v>
      </c>
    </row>
    <row r="86" spans="1:26" ht="15.75" customHeight="1" x14ac:dyDescent="0.2">
      <c r="A86" s="17" t="str">
        <f>HYPERLINK("https://www.csueastbay.edu", "California State University-East Bay")</f>
        <v>California State University-East Bay</v>
      </c>
      <c r="B86" s="18" t="s">
        <v>49</v>
      </c>
      <c r="C86" s="18" t="s">
        <v>68</v>
      </c>
      <c r="D86" s="18" t="s">
        <v>606</v>
      </c>
      <c r="E86" s="18" t="s">
        <v>36</v>
      </c>
      <c r="F86" s="18" t="s">
        <v>90</v>
      </c>
      <c r="J86" s="19">
        <v>0.42370000000000002</v>
      </c>
      <c r="K86" s="19">
        <v>0.47098765399999998</v>
      </c>
      <c r="L86" s="19">
        <v>0.57350000000000001</v>
      </c>
      <c r="M86" s="19">
        <v>0.22900000000000001</v>
      </c>
      <c r="N86" s="19">
        <v>0.3967</v>
      </c>
      <c r="O86" s="19">
        <v>0.52790000000000004</v>
      </c>
      <c r="P86" s="20">
        <v>36990</v>
      </c>
      <c r="Q86" s="33" t="str">
        <f>HYPERLINK("https://www.csueastbay.edu/financialaid/files/images/net-price-calculator/npcalc.htm", "$24294")</f>
        <v>$24294</v>
      </c>
      <c r="R86" s="22">
        <v>29899</v>
      </c>
      <c r="S86" s="22">
        <v>33945</v>
      </c>
      <c r="T86" s="20">
        <v>4092</v>
      </c>
      <c r="U86" s="20">
        <v>20202.51988217968</v>
      </c>
      <c r="W86" s="19">
        <v>0.47099999999999997</v>
      </c>
      <c r="X86" s="19">
        <v>0.84709999999999996</v>
      </c>
      <c r="Z86" s="18">
        <v>13433</v>
      </c>
    </row>
    <row r="87" spans="1:26" ht="15.75" customHeight="1" x14ac:dyDescent="0.2">
      <c r="A87" s="17" t="str">
        <f>HYPERLINK("https://www.fullerton.edu", "California State University-Fullerton")</f>
        <v>California State University-Fullerton</v>
      </c>
      <c r="B87" s="18" t="s">
        <v>49</v>
      </c>
      <c r="C87" s="18" t="s">
        <v>68</v>
      </c>
      <c r="D87" s="18" t="s">
        <v>607</v>
      </c>
      <c r="E87" s="18">
        <v>1096</v>
      </c>
      <c r="F87" s="18" t="s">
        <v>35</v>
      </c>
      <c r="J87" s="19">
        <v>0.66239999999999999</v>
      </c>
      <c r="K87" s="19">
        <v>0.58623087600000001</v>
      </c>
      <c r="L87" s="19">
        <v>0.70169999999999999</v>
      </c>
      <c r="M87" s="19">
        <v>0.59179999999999999</v>
      </c>
      <c r="N87" s="19">
        <v>0.62549999999999994</v>
      </c>
      <c r="O87" s="19">
        <v>0.70569999999999999</v>
      </c>
      <c r="P87" s="20">
        <v>39222</v>
      </c>
      <c r="Q87" s="33" t="str">
        <f>HYPERLINK("https://www.fullerton.edu/financialaid/calculator/", "$26979")</f>
        <v>$26979</v>
      </c>
      <c r="R87" s="22">
        <v>31713</v>
      </c>
      <c r="S87" s="22">
        <v>35880</v>
      </c>
      <c r="T87" s="20">
        <v>4850</v>
      </c>
      <c r="U87" s="20">
        <v>22129.295410471881</v>
      </c>
      <c r="W87" s="19">
        <v>0.46889999999999998</v>
      </c>
      <c r="X87" s="19">
        <v>0.80899999999999994</v>
      </c>
      <c r="Z87" s="18">
        <v>35045</v>
      </c>
    </row>
    <row r="88" spans="1:26" ht="15.75" customHeight="1" x14ac:dyDescent="0.2">
      <c r="A88" s="17" t="str">
        <f>HYPERLINK("https://www.csulb.edu", "California State University-Long Beach")</f>
        <v>California State University-Long Beach</v>
      </c>
      <c r="B88" s="18" t="s">
        <v>49</v>
      </c>
      <c r="C88" s="18" t="s">
        <v>68</v>
      </c>
      <c r="D88" s="18" t="s">
        <v>608</v>
      </c>
      <c r="E88" s="18">
        <v>1130</v>
      </c>
      <c r="F88" s="18" t="s">
        <v>35</v>
      </c>
      <c r="J88" s="19">
        <v>0.68740000000000001</v>
      </c>
      <c r="K88" s="19">
        <v>0.65034364299999992</v>
      </c>
      <c r="L88" s="19">
        <v>0.72660000000000002</v>
      </c>
      <c r="M88" s="19">
        <v>0.52800000000000002</v>
      </c>
      <c r="N88" s="19">
        <v>0.65690000000000004</v>
      </c>
      <c r="O88" s="19">
        <v>0.73839999999999995</v>
      </c>
      <c r="P88" s="20">
        <v>35946</v>
      </c>
      <c r="Q88" s="33" t="str">
        <f>HYPERLINK("https://www2.calstate.edu/attend/paying-for-college/Pages/csu-costs.aspx", "$23960")</f>
        <v>$23960</v>
      </c>
      <c r="R88" s="22">
        <v>28420</v>
      </c>
      <c r="S88" s="22">
        <v>32847</v>
      </c>
      <c r="T88" s="20">
        <v>4852</v>
      </c>
      <c r="U88" s="20">
        <v>19108.545095457539</v>
      </c>
      <c r="W88" s="19">
        <v>0.50800000000000001</v>
      </c>
      <c r="X88" s="19">
        <v>0.82850000000000001</v>
      </c>
      <c r="Z88" s="18">
        <v>31402</v>
      </c>
    </row>
    <row r="89" spans="1:26" ht="15.75" customHeight="1" x14ac:dyDescent="0.2">
      <c r="A89" s="17" t="str">
        <f>HYPERLINK("https://www.calstatela.edu", "California State University-Los Angeles")</f>
        <v>California State University-Los Angeles</v>
      </c>
      <c r="B89" s="18" t="s">
        <v>49</v>
      </c>
      <c r="C89" s="18" t="s">
        <v>68</v>
      </c>
      <c r="D89" s="18" t="s">
        <v>140</v>
      </c>
      <c r="E89" s="18">
        <v>968</v>
      </c>
      <c r="F89" s="18" t="s">
        <v>35</v>
      </c>
      <c r="J89" s="19">
        <v>0.4713</v>
      </c>
      <c r="K89" s="19">
        <v>0.43377063100000002</v>
      </c>
      <c r="L89" s="19">
        <v>0.56840000000000002</v>
      </c>
      <c r="M89" s="19">
        <v>0.40770000000000001</v>
      </c>
      <c r="N89" s="19">
        <v>0.44479999999999997</v>
      </c>
      <c r="O89" s="19">
        <v>0.62280000000000002</v>
      </c>
      <c r="P89" s="20">
        <v>36726</v>
      </c>
      <c r="Q89" s="33" t="str">
        <f>HYPERLINK("https://www2.calstate.edu/attend/paying-for-college/Pages/csu-costs.aspx", "$25356")</f>
        <v>$25356</v>
      </c>
      <c r="R89" s="22">
        <v>29572</v>
      </c>
      <c r="S89" s="22">
        <v>33667</v>
      </c>
      <c r="T89" s="20">
        <v>4851</v>
      </c>
      <c r="U89" s="20">
        <v>20505.0027100271</v>
      </c>
      <c r="W89" s="19">
        <v>0.66990000000000005</v>
      </c>
      <c r="X89" s="19">
        <v>0.94020000000000004</v>
      </c>
      <c r="Z89" s="18">
        <v>24780</v>
      </c>
    </row>
    <row r="90" spans="1:26" ht="15.75" customHeight="1" x14ac:dyDescent="0.2">
      <c r="A90" s="17" t="str">
        <f>HYPERLINK("https://www.csus.edu", "California State University-Sacramento")</f>
        <v>California State University-Sacramento</v>
      </c>
      <c r="B90" s="18" t="s">
        <v>49</v>
      </c>
      <c r="C90" s="18" t="s">
        <v>68</v>
      </c>
      <c r="D90" s="18" t="s">
        <v>609</v>
      </c>
      <c r="E90" s="18">
        <v>1036</v>
      </c>
      <c r="F90" s="18" t="s">
        <v>35</v>
      </c>
      <c r="J90" s="19">
        <v>0.48070000000000002</v>
      </c>
      <c r="K90" s="19">
        <v>0.49470899499999998</v>
      </c>
      <c r="L90" s="19">
        <v>0.5</v>
      </c>
      <c r="M90" s="19">
        <v>0.3679</v>
      </c>
      <c r="N90" s="19">
        <v>0.49459999999999998</v>
      </c>
      <c r="O90" s="19">
        <v>0.4647</v>
      </c>
      <c r="P90" s="20">
        <v>37622</v>
      </c>
      <c r="Q90" s="33" t="str">
        <f>HYPERLINK("https://www2.calstate.edu/attend/paying-for-college/Pages/csu-costs.aspx", "$25259")</f>
        <v>$25259</v>
      </c>
      <c r="R90" s="22">
        <v>29956</v>
      </c>
      <c r="S90" s="22">
        <v>34582</v>
      </c>
      <c r="T90" s="20">
        <v>4142</v>
      </c>
      <c r="U90" s="20">
        <v>21117.277124183009</v>
      </c>
      <c r="W90" s="19">
        <v>0.5242</v>
      </c>
      <c r="X90" s="19">
        <v>0.73950000000000005</v>
      </c>
      <c r="Z90" s="18">
        <v>28410</v>
      </c>
    </row>
    <row r="91" spans="1:26" ht="15.75" customHeight="1" x14ac:dyDescent="0.2">
      <c r="A91" s="17" t="str">
        <f>HYPERLINK("https://www.csusb.edu", "California State University-San Bernardino")</f>
        <v>California State University-San Bernardino</v>
      </c>
      <c r="B91" s="18" t="s">
        <v>49</v>
      </c>
      <c r="C91" s="18" t="s">
        <v>68</v>
      </c>
      <c r="D91" s="18" t="s">
        <v>610</v>
      </c>
      <c r="E91" s="18">
        <v>991</v>
      </c>
      <c r="F91" s="18" t="s">
        <v>35</v>
      </c>
      <c r="J91" s="19">
        <v>0.54159999999999997</v>
      </c>
      <c r="K91" s="19">
        <v>0.58034235200000006</v>
      </c>
      <c r="L91" s="19">
        <v>0.58560000000000001</v>
      </c>
      <c r="M91" s="19">
        <v>0.4768</v>
      </c>
      <c r="N91" s="19">
        <v>0.53269999999999995</v>
      </c>
      <c r="O91" s="19">
        <v>0.53990000000000005</v>
      </c>
      <c r="P91" s="20">
        <v>36127</v>
      </c>
      <c r="Q91" s="33" t="str">
        <f>HYPERLINK("https://www2.calstate.edu/attend/paying-for-college/Pages/csu-costs.aspx", "$24420")</f>
        <v>$24420</v>
      </c>
      <c r="R91" s="22">
        <v>28040</v>
      </c>
      <c r="S91" s="22">
        <v>32190</v>
      </c>
      <c r="T91" s="20">
        <v>4141</v>
      </c>
      <c r="U91" s="20">
        <v>20279.189801699711</v>
      </c>
      <c r="W91" s="19">
        <v>0.63759999999999994</v>
      </c>
      <c r="X91" s="19">
        <v>0.87949999999999995</v>
      </c>
      <c r="Z91" s="18">
        <v>18088</v>
      </c>
    </row>
    <row r="92" spans="1:26" ht="15.75" customHeight="1" x14ac:dyDescent="0.2">
      <c r="A92" s="17" t="str">
        <f>HYPERLINK("https://www.csusm.edu", "California State University-San Marcos")</f>
        <v>California State University-San Marcos</v>
      </c>
      <c r="B92" s="18" t="s">
        <v>49</v>
      </c>
      <c r="C92" s="18" t="s">
        <v>68</v>
      </c>
      <c r="D92" s="18" t="s">
        <v>612</v>
      </c>
      <c r="E92" s="18">
        <v>1041</v>
      </c>
      <c r="F92" s="18" t="s">
        <v>35</v>
      </c>
      <c r="J92" s="19">
        <v>0.53129999999999999</v>
      </c>
      <c r="K92" s="19">
        <v>0.30806608400000002</v>
      </c>
      <c r="L92" s="19">
        <v>0.55530000000000002</v>
      </c>
      <c r="M92" s="19">
        <v>0.48570000000000002</v>
      </c>
      <c r="N92" s="19">
        <v>0.51449999999999996</v>
      </c>
      <c r="O92" s="19">
        <v>0.62039999999999995</v>
      </c>
      <c r="P92" s="20">
        <v>37196</v>
      </c>
      <c r="Q92" s="33" t="str">
        <f>HYPERLINK("https://www2.calstate.edu/attend/paying-for-college/Pages/csu-costs.aspx", "$25010")</f>
        <v>$25010</v>
      </c>
      <c r="R92" s="22">
        <v>30421</v>
      </c>
      <c r="S92" s="22">
        <v>34321</v>
      </c>
      <c r="T92" s="20">
        <v>4436</v>
      </c>
      <c r="U92" s="20">
        <v>20574.879120879119</v>
      </c>
      <c r="W92" s="19">
        <v>0.4849</v>
      </c>
      <c r="X92" s="19">
        <v>0.74009999999999998</v>
      </c>
      <c r="Z92" s="18">
        <v>14516</v>
      </c>
    </row>
    <row r="93" spans="1:26" ht="15.75" customHeight="1" x14ac:dyDescent="0.2">
      <c r="A93" s="17" t="str">
        <f>HYPERLINK("https://www.csustan.edu", "California State University-Stanislaus")</f>
        <v>California State University-Stanislaus</v>
      </c>
      <c r="B93" s="18" t="s">
        <v>49</v>
      </c>
      <c r="C93" s="18" t="s">
        <v>68</v>
      </c>
      <c r="D93" s="18" t="s">
        <v>613</v>
      </c>
      <c r="E93" s="18" t="s">
        <v>36</v>
      </c>
      <c r="F93" s="18" t="s">
        <v>90</v>
      </c>
      <c r="J93" s="19">
        <v>0.52769999999999995</v>
      </c>
      <c r="K93" s="19">
        <v>0.40100882700000001</v>
      </c>
      <c r="L93" s="19">
        <v>0.53690000000000004</v>
      </c>
      <c r="M93" s="19">
        <v>0.40820000000000001</v>
      </c>
      <c r="N93" s="19">
        <v>0.53700000000000003</v>
      </c>
      <c r="O93" s="19">
        <v>0.56120000000000003</v>
      </c>
      <c r="P93" s="20">
        <v>32434</v>
      </c>
      <c r="Q93" s="33" t="str">
        <f>HYPERLINK("https://www2.calstate.edu/attend/paying-for-college/Pages/csu-costs.aspx", "$20279")</f>
        <v>$20279</v>
      </c>
      <c r="R93" s="22">
        <v>25006</v>
      </c>
      <c r="S93" s="22">
        <v>29436</v>
      </c>
      <c r="T93" s="20">
        <v>3750</v>
      </c>
      <c r="U93" s="20">
        <v>16529.908948194661</v>
      </c>
      <c r="W93" s="19">
        <v>0.60060000000000002</v>
      </c>
      <c r="X93" s="19">
        <v>0.77929999999999999</v>
      </c>
      <c r="Z93" s="18">
        <v>9054</v>
      </c>
    </row>
    <row r="94" spans="1:26" ht="15.75" customHeight="1" x14ac:dyDescent="0.2">
      <c r="A94" s="17" t="str">
        <f>HYPERLINK("https://www.calu.edu", "California University of Pennsylvania")</f>
        <v>California University of Pennsylvania</v>
      </c>
      <c r="B94" s="18" t="s">
        <v>49</v>
      </c>
      <c r="C94" s="18" t="s">
        <v>65</v>
      </c>
      <c r="D94" s="18" t="s">
        <v>614</v>
      </c>
      <c r="E94" s="18">
        <v>1005</v>
      </c>
      <c r="F94" s="18" t="s">
        <v>35</v>
      </c>
      <c r="J94" s="19">
        <v>0.51570000000000005</v>
      </c>
      <c r="K94" s="19">
        <v>0.48250728900000001</v>
      </c>
      <c r="L94" s="19">
        <v>0.53779999999999994</v>
      </c>
      <c r="M94" s="19">
        <v>0.39800000000000002</v>
      </c>
      <c r="N94" s="19">
        <v>0.5484</v>
      </c>
      <c r="O94" s="19">
        <v>1</v>
      </c>
      <c r="P94" s="20">
        <v>30842</v>
      </c>
      <c r="Q94" s="33" t="str">
        <f>HYPERLINK("https://www.passhe.edu/answers/Calculator/CA/npcalc-211361.htm", "$22291")</f>
        <v>$22291</v>
      </c>
      <c r="R94" s="22">
        <v>26720</v>
      </c>
      <c r="S94" s="22">
        <v>29259</v>
      </c>
      <c r="T94" s="20">
        <v>5350</v>
      </c>
      <c r="U94" s="20">
        <v>16941.41883116883</v>
      </c>
      <c r="W94" s="19">
        <v>0.40179999999999999</v>
      </c>
      <c r="X94" s="19">
        <v>0.24079999999999999</v>
      </c>
      <c r="Z94" s="18">
        <v>5435</v>
      </c>
    </row>
    <row r="95" spans="1:26" ht="15.75" customHeight="1" x14ac:dyDescent="0.2">
      <c r="A95" s="17" t="str">
        <f>HYPERLINK("https://www.cambridgecollege.edu", "Cambridge College")</f>
        <v>Cambridge College</v>
      </c>
      <c r="B95" s="18" t="s">
        <v>32</v>
      </c>
      <c r="C95" s="18" t="s">
        <v>33</v>
      </c>
      <c r="D95" s="18" t="s">
        <v>136</v>
      </c>
      <c r="E95" s="18" t="s">
        <v>36</v>
      </c>
      <c r="F95" s="18" t="s">
        <v>36</v>
      </c>
      <c r="J95" s="19">
        <v>0.1111</v>
      </c>
      <c r="K95" s="19">
        <v>0.407239819</v>
      </c>
      <c r="L95" s="19" t="s">
        <v>36</v>
      </c>
      <c r="M95" s="19">
        <v>0</v>
      </c>
      <c r="N95" s="19">
        <v>0</v>
      </c>
      <c r="O95" s="19" t="s">
        <v>36</v>
      </c>
      <c r="P95" s="20">
        <v>27140</v>
      </c>
      <c r="Q95" s="33" t="str">
        <f>HYPERLINK("https://cambridgecollege.edu/net-price-calculator/", "Not reported")</f>
        <v>Not reported</v>
      </c>
      <c r="R95" s="22">
        <v>22406</v>
      </c>
      <c r="S95" s="22" t="s">
        <v>36</v>
      </c>
      <c r="T95" s="20">
        <v>4200</v>
      </c>
      <c r="U95" s="20" t="s">
        <v>36</v>
      </c>
      <c r="W95" s="19">
        <v>0.48120000000000002</v>
      </c>
      <c r="X95" s="19">
        <v>0.80590000000000006</v>
      </c>
      <c r="Z95" s="18">
        <v>742</v>
      </c>
    </row>
    <row r="96" spans="1:26" ht="15.75" customHeight="1" x14ac:dyDescent="0.2">
      <c r="A96" s="17" t="str">
        <f>HYPERLINK("https://www.campbell.edu", "Campbell University")</f>
        <v>Campbell University</v>
      </c>
      <c r="B96" s="18" t="s">
        <v>32</v>
      </c>
      <c r="C96" s="18" t="s">
        <v>103</v>
      </c>
      <c r="D96" s="18" t="s">
        <v>616</v>
      </c>
      <c r="E96" s="18">
        <v>1113</v>
      </c>
      <c r="F96" s="18" t="s">
        <v>35</v>
      </c>
      <c r="J96" s="19">
        <v>0.51680000000000004</v>
      </c>
      <c r="K96" s="19">
        <v>0.37956204399999999</v>
      </c>
      <c r="L96" s="19">
        <v>0.60719999999999996</v>
      </c>
      <c r="M96" s="19">
        <v>0.373</v>
      </c>
      <c r="N96" s="19">
        <v>0.3478</v>
      </c>
      <c r="O96" s="19">
        <v>0.41670000000000001</v>
      </c>
      <c r="P96" s="20">
        <v>47940</v>
      </c>
      <c r="Q96" s="33" t="str">
        <f>HYPERLINK("https://www.shoppingsheet.com/shopping/landing/campbell", "$21761")</f>
        <v>$21761</v>
      </c>
      <c r="R96" s="22">
        <v>22672</v>
      </c>
      <c r="S96" s="22">
        <v>26028</v>
      </c>
      <c r="T96" s="20">
        <v>5600</v>
      </c>
      <c r="U96" s="20">
        <v>16161</v>
      </c>
      <c r="W96" s="19">
        <v>0.37240000000000001</v>
      </c>
      <c r="X96" s="19">
        <v>0.42420000000000002</v>
      </c>
      <c r="Z96" s="18">
        <v>4328</v>
      </c>
    </row>
    <row r="97" spans="1:26" ht="15.75" customHeight="1" x14ac:dyDescent="0.2">
      <c r="A97" s="36" t="str">
        <f>HYPERLINK("https://www.campbellsville.edu", "Campbellsville University")</f>
        <v>Campbellsville University</v>
      </c>
      <c r="B97" s="18" t="s">
        <v>32</v>
      </c>
      <c r="C97" s="18" t="s">
        <v>205</v>
      </c>
      <c r="D97" s="18" t="s">
        <v>617</v>
      </c>
      <c r="E97" s="18">
        <v>1061</v>
      </c>
      <c r="F97" s="18" t="s">
        <v>35</v>
      </c>
      <c r="J97" s="19">
        <v>0.33660000000000001</v>
      </c>
      <c r="K97" s="19">
        <v>0.31304347799999999</v>
      </c>
      <c r="L97" s="19">
        <v>0.36759999999999998</v>
      </c>
      <c r="M97" s="19">
        <v>0.11899999999999999</v>
      </c>
      <c r="N97" s="19">
        <v>0.44440000000000002</v>
      </c>
      <c r="O97" s="19" t="s">
        <v>36</v>
      </c>
      <c r="P97" s="20">
        <v>40146</v>
      </c>
      <c r="Q97" s="21" t="str">
        <f>HYPERLINK("https://www.campbellsville.edu/admission-and-aid/financial-aid/net-price-calculator/", "$17521")</f>
        <v>$17521</v>
      </c>
      <c r="R97" s="20">
        <v>20678</v>
      </c>
      <c r="S97" s="20">
        <v>21548</v>
      </c>
      <c r="T97" s="20">
        <v>6746</v>
      </c>
      <c r="U97" s="20">
        <v>10775</v>
      </c>
      <c r="W97" s="19">
        <v>0.35320000000000001</v>
      </c>
      <c r="X97" s="19">
        <v>0.28199999999999997</v>
      </c>
      <c r="Z97" s="18">
        <v>2365</v>
      </c>
    </row>
    <row r="98" spans="1:26" ht="15.75" customHeight="1" x14ac:dyDescent="0.2">
      <c r="A98" s="36" t="str">
        <f>HYPERLINK("https://www.capital.edu", "Capital University")</f>
        <v>Capital University</v>
      </c>
      <c r="B98" s="18" t="s">
        <v>32</v>
      </c>
      <c r="C98" s="18" t="s">
        <v>75</v>
      </c>
      <c r="D98" s="18" t="s">
        <v>237</v>
      </c>
      <c r="E98" s="18">
        <v>1195</v>
      </c>
      <c r="F98" s="18" t="s">
        <v>35</v>
      </c>
      <c r="J98" s="19">
        <v>0.58840000000000003</v>
      </c>
      <c r="K98" s="19">
        <v>0.50450450499999999</v>
      </c>
      <c r="L98" s="19">
        <v>0.61109999999999998</v>
      </c>
      <c r="M98" s="19">
        <v>0.54720000000000002</v>
      </c>
      <c r="N98" s="19">
        <v>0.53849999999999998</v>
      </c>
      <c r="O98" s="19">
        <v>1</v>
      </c>
      <c r="P98" s="20">
        <v>48674</v>
      </c>
      <c r="Q98" s="21" t="str">
        <f>HYPERLINK("https://capital.studentaidcalculator.com/survey.aspx", "$18456")</f>
        <v>$18456</v>
      </c>
      <c r="R98" s="20">
        <v>20493</v>
      </c>
      <c r="S98" s="20">
        <v>21924</v>
      </c>
      <c r="T98" s="20">
        <v>3896</v>
      </c>
      <c r="U98" s="20">
        <v>14560</v>
      </c>
      <c r="W98" s="19">
        <v>0.2752</v>
      </c>
      <c r="X98" s="19">
        <v>0.25690000000000002</v>
      </c>
      <c r="Z98" s="18">
        <v>2573</v>
      </c>
    </row>
    <row r="99" spans="1:26" ht="15.75" customHeight="1" x14ac:dyDescent="0.2">
      <c r="A99" s="36" t="str">
        <f>HYPERLINK("https://www.captechu.edu", "Capitol Technology University")</f>
        <v>Capitol Technology University</v>
      </c>
      <c r="B99" s="18" t="s">
        <v>32</v>
      </c>
      <c r="C99" s="18" t="s">
        <v>124</v>
      </c>
      <c r="D99" s="18" t="s">
        <v>618</v>
      </c>
      <c r="E99" s="18">
        <v>1062</v>
      </c>
      <c r="F99" s="18" t="s">
        <v>35</v>
      </c>
      <c r="J99" s="19">
        <v>0.52310000000000001</v>
      </c>
      <c r="K99" s="19">
        <v>0.43478260899999999</v>
      </c>
      <c r="L99" s="19">
        <v>0.63639999999999997</v>
      </c>
      <c r="M99" s="19">
        <v>0.4138</v>
      </c>
      <c r="N99" s="19">
        <v>0.33329999999999999</v>
      </c>
      <c r="O99" s="19">
        <v>0.8</v>
      </c>
      <c r="P99" s="20">
        <v>38216</v>
      </c>
      <c r="Q99" s="21" t="str">
        <f>HYPERLINK("https://mycapitol.captechu.edu/ics/College_Offices/Financial_Aid_Office/NetPrice_Calculators.jnz", "$22076")</f>
        <v>$22076</v>
      </c>
      <c r="R99" s="20">
        <v>31601</v>
      </c>
      <c r="S99" s="20">
        <v>33191</v>
      </c>
      <c r="T99" s="20">
        <v>4500</v>
      </c>
      <c r="U99" s="20">
        <v>17576</v>
      </c>
      <c r="W99" s="19">
        <v>0.37269999999999998</v>
      </c>
      <c r="X99" s="19">
        <v>0.5867</v>
      </c>
      <c r="Z99" s="18">
        <v>421</v>
      </c>
    </row>
    <row r="100" spans="1:26" ht="15.75" customHeight="1" x14ac:dyDescent="0.2">
      <c r="A100" s="36" t="str">
        <f>HYPERLINK("https://www.stritch.edu", "Cardinal Stritch University")</f>
        <v>Cardinal Stritch University</v>
      </c>
      <c r="B100" s="18" t="s">
        <v>32</v>
      </c>
      <c r="C100" s="18" t="s">
        <v>196</v>
      </c>
      <c r="D100" s="18" t="s">
        <v>410</v>
      </c>
      <c r="E100" s="18">
        <v>1044</v>
      </c>
      <c r="F100" s="18" t="s">
        <v>35</v>
      </c>
      <c r="J100" s="19">
        <v>0.44529999999999997</v>
      </c>
      <c r="K100" s="19">
        <v>0.32390745500000001</v>
      </c>
      <c r="L100" s="19">
        <v>0.58230000000000004</v>
      </c>
      <c r="M100" s="19">
        <v>7.1400000000000005E-2</v>
      </c>
      <c r="N100" s="19">
        <v>0.33329999999999999</v>
      </c>
      <c r="O100" s="19">
        <v>0.5</v>
      </c>
      <c r="P100" s="20">
        <v>42654</v>
      </c>
      <c r="Q100" s="21" t="str">
        <f>HYPERLINK("https://www.stritch.edu/Cost-Aid/Net-Price-Calculator", "$15380")</f>
        <v>$15380</v>
      </c>
      <c r="R100" s="20">
        <v>15972</v>
      </c>
      <c r="S100" s="20">
        <v>18334</v>
      </c>
      <c r="T100" s="20">
        <v>5692</v>
      </c>
      <c r="U100" s="20">
        <v>9688</v>
      </c>
      <c r="W100" s="19">
        <v>0.39700000000000002</v>
      </c>
      <c r="X100" s="19">
        <v>0.57479999999999998</v>
      </c>
      <c r="Z100" s="18">
        <v>1284</v>
      </c>
    </row>
    <row r="101" spans="1:26" ht="15.75" customHeight="1" x14ac:dyDescent="0.2">
      <c r="A101" s="36" t="str">
        <f>HYPERLINK("https://www.carlow.edu", "Carlow University")</f>
        <v>Carlow University</v>
      </c>
      <c r="B101" s="18" t="s">
        <v>32</v>
      </c>
      <c r="C101" s="18" t="s">
        <v>65</v>
      </c>
      <c r="D101" s="18" t="s">
        <v>74</v>
      </c>
      <c r="E101" s="18">
        <v>1005</v>
      </c>
      <c r="F101" s="18" t="s">
        <v>35</v>
      </c>
      <c r="J101" s="19">
        <v>0.57079999999999997</v>
      </c>
      <c r="K101" s="19">
        <v>0.40284360200000002</v>
      </c>
      <c r="L101" s="19">
        <v>0.61070000000000002</v>
      </c>
      <c r="M101" s="19">
        <v>0.43590000000000001</v>
      </c>
      <c r="N101" s="19">
        <v>0.1429</v>
      </c>
      <c r="O101" s="19">
        <v>1</v>
      </c>
      <c r="P101" s="20">
        <v>43186</v>
      </c>
      <c r="Q101" s="21" t="str">
        <f>HYPERLINK("https://www.carlow.edu/Net_Price_Calculators.aspx", "$13496")</f>
        <v>$13496</v>
      </c>
      <c r="R101" s="20">
        <v>16269</v>
      </c>
      <c r="S101" s="20">
        <v>19841</v>
      </c>
      <c r="T101" s="20">
        <v>3482</v>
      </c>
      <c r="U101" s="20">
        <v>10014</v>
      </c>
      <c r="W101" s="19">
        <v>0.48149999999999998</v>
      </c>
      <c r="X101" s="19">
        <v>0.33009999999999989</v>
      </c>
      <c r="Z101" s="18">
        <v>1339</v>
      </c>
    </row>
    <row r="102" spans="1:26" ht="15.75" customHeight="1" x14ac:dyDescent="0.2">
      <c r="A102" s="36" t="str">
        <f>HYPERLINK("https://www.carroll.edu", "Carroll College")</f>
        <v>Carroll College</v>
      </c>
      <c r="B102" s="18" t="s">
        <v>32</v>
      </c>
      <c r="C102" s="18" t="s">
        <v>421</v>
      </c>
      <c r="D102" s="18" t="s">
        <v>619</v>
      </c>
      <c r="E102" s="18">
        <v>1199</v>
      </c>
      <c r="F102" s="18" t="s">
        <v>35</v>
      </c>
      <c r="J102" s="19">
        <v>0.71509999999999996</v>
      </c>
      <c r="K102" s="19">
        <v>0.44</v>
      </c>
      <c r="L102" s="19">
        <v>0.7258</v>
      </c>
      <c r="M102" s="19">
        <v>1</v>
      </c>
      <c r="N102" s="19">
        <v>0.77780000000000005</v>
      </c>
      <c r="O102" s="19">
        <v>0.8</v>
      </c>
      <c r="P102" s="20">
        <v>48538</v>
      </c>
      <c r="Q102" s="21" t="str">
        <f>HYPERLINK("https://www.carroll.edu/finaid/", "$20669")</f>
        <v>$20669</v>
      </c>
      <c r="R102" s="20">
        <v>23896</v>
      </c>
      <c r="S102" s="20">
        <v>25334</v>
      </c>
      <c r="T102" s="20">
        <v>4450</v>
      </c>
      <c r="U102" s="20">
        <v>16219</v>
      </c>
      <c r="W102" s="19">
        <v>0.2094</v>
      </c>
      <c r="X102" s="19">
        <v>0.19170000000000001</v>
      </c>
      <c r="Z102" s="18">
        <v>1309</v>
      </c>
    </row>
    <row r="103" spans="1:26" ht="15.75" customHeight="1" x14ac:dyDescent="0.2">
      <c r="A103" s="36" t="str">
        <f>HYPERLINK("https://www.carrollu.edu", "Carroll University")</f>
        <v>Carroll University</v>
      </c>
      <c r="B103" s="18" t="s">
        <v>32</v>
      </c>
      <c r="C103" s="18" t="s">
        <v>196</v>
      </c>
      <c r="D103" s="18" t="s">
        <v>621</v>
      </c>
      <c r="E103" s="18">
        <v>1163</v>
      </c>
      <c r="F103" s="18" t="s">
        <v>35</v>
      </c>
      <c r="J103" s="19">
        <v>0.65810000000000002</v>
      </c>
      <c r="K103" s="19">
        <v>0.41249999999999998</v>
      </c>
      <c r="L103" s="19">
        <v>0.67989999999999995</v>
      </c>
      <c r="M103" s="19">
        <v>0.42859999999999998</v>
      </c>
      <c r="N103" s="19">
        <v>0.48330000000000001</v>
      </c>
      <c r="O103" s="19">
        <v>0.5</v>
      </c>
      <c r="P103" s="20">
        <v>44150</v>
      </c>
      <c r="Q103" s="21" t="str">
        <f>HYPERLINK("https://www.carrollu.edu/financial-aid/net-price-calculator", "$18590")</f>
        <v>$18590</v>
      </c>
      <c r="R103" s="20">
        <v>20753</v>
      </c>
      <c r="S103" s="20">
        <v>24277</v>
      </c>
      <c r="T103" s="20">
        <v>3512</v>
      </c>
      <c r="U103" s="20">
        <v>15078</v>
      </c>
      <c r="W103" s="19">
        <v>0.25119999999999998</v>
      </c>
      <c r="X103" s="19">
        <v>0.19650000000000001</v>
      </c>
      <c r="Z103" s="18">
        <v>2895</v>
      </c>
    </row>
    <row r="104" spans="1:26" ht="15.75" customHeight="1" x14ac:dyDescent="0.2">
      <c r="A104" s="36" t="str">
        <f>HYPERLINK("https://www.cn.edu", "Carson-Newman University")</f>
        <v>Carson-Newman University</v>
      </c>
      <c r="B104" s="18" t="s">
        <v>32</v>
      </c>
      <c r="C104" s="18" t="s">
        <v>174</v>
      </c>
      <c r="D104" s="18" t="s">
        <v>623</v>
      </c>
      <c r="E104" s="18">
        <v>1130</v>
      </c>
      <c r="F104" s="18" t="s">
        <v>35</v>
      </c>
      <c r="J104" s="19">
        <v>0.45739999999999997</v>
      </c>
      <c r="K104" s="19">
        <v>0.35748792299999999</v>
      </c>
      <c r="L104" s="19">
        <v>0.51080000000000003</v>
      </c>
      <c r="M104" s="19">
        <v>0.18</v>
      </c>
      <c r="N104" s="19">
        <v>0</v>
      </c>
      <c r="O104" s="19">
        <v>1</v>
      </c>
      <c r="P104" s="20">
        <v>40640</v>
      </c>
      <c r="Q104" s="21" t="str">
        <f>HYPERLINK("https://www.cn.edu/administration/financial-assistance/undergraduate-students/net-price-calculator-for-aid-estimates", "$14838")</f>
        <v>$14838</v>
      </c>
      <c r="R104" s="20">
        <v>18343</v>
      </c>
      <c r="S104" s="20">
        <v>22266</v>
      </c>
      <c r="T104" s="20">
        <v>4610</v>
      </c>
      <c r="U104" s="20">
        <v>10228</v>
      </c>
      <c r="W104" s="19">
        <v>0.40839999999999999</v>
      </c>
      <c r="X104" s="19">
        <v>0.22470000000000001</v>
      </c>
      <c r="Z104" s="18">
        <v>1633</v>
      </c>
    </row>
    <row r="105" spans="1:26" ht="15.75" customHeight="1" x14ac:dyDescent="0.2">
      <c r="A105" s="36" t="str">
        <f>HYPERLINK("https://www.carthage.edu", "Carthage College")</f>
        <v>Carthage College</v>
      </c>
      <c r="B105" s="18" t="s">
        <v>32</v>
      </c>
      <c r="C105" s="18" t="s">
        <v>196</v>
      </c>
      <c r="D105" s="18" t="s">
        <v>625</v>
      </c>
      <c r="E105" s="18">
        <v>1179</v>
      </c>
      <c r="F105" s="18" t="s">
        <v>115</v>
      </c>
      <c r="J105" s="19">
        <v>0.59789999999999999</v>
      </c>
      <c r="K105" s="19">
        <v>0.373056995</v>
      </c>
      <c r="L105" s="19">
        <v>0.63780000000000003</v>
      </c>
      <c r="M105" s="19">
        <v>0.51719999999999999</v>
      </c>
      <c r="N105" s="19">
        <v>0.61539999999999995</v>
      </c>
      <c r="O105" s="19">
        <v>0.83330000000000004</v>
      </c>
      <c r="P105" s="20">
        <v>57250</v>
      </c>
      <c r="Q105" s="21" t="str">
        <f>HYPERLINK("https://www.carthage.edu/admissions/afford/netprice.cfm", "$22814")</f>
        <v>$22814</v>
      </c>
      <c r="R105" s="20">
        <v>25909</v>
      </c>
      <c r="S105" s="20">
        <v>28246</v>
      </c>
      <c r="T105" s="20">
        <v>3700</v>
      </c>
      <c r="U105" s="20">
        <v>19114</v>
      </c>
      <c r="W105" s="19">
        <v>0.27989999999999998</v>
      </c>
      <c r="X105" s="19">
        <v>0.27360000000000001</v>
      </c>
      <c r="Z105" s="18">
        <v>2723</v>
      </c>
    </row>
    <row r="106" spans="1:26" ht="15.75" customHeight="1" x14ac:dyDescent="0.2">
      <c r="A106" s="36" t="str">
        <f>HYPERLINK("https://www.castleton.edu", "Castleton University")</f>
        <v>Castleton University</v>
      </c>
      <c r="B106" s="18" t="s">
        <v>49</v>
      </c>
      <c r="C106" s="18" t="s">
        <v>47</v>
      </c>
      <c r="D106" s="18" t="s">
        <v>626</v>
      </c>
      <c r="E106" s="18">
        <v>1025</v>
      </c>
      <c r="F106" s="18" t="s">
        <v>35</v>
      </c>
      <c r="J106" s="19">
        <v>0.54179999999999995</v>
      </c>
      <c r="K106" s="19">
        <v>0.51633986899999995</v>
      </c>
      <c r="L106" s="19">
        <v>0.55469999999999997</v>
      </c>
      <c r="M106" s="19">
        <v>0.2</v>
      </c>
      <c r="N106" s="19">
        <v>0.5</v>
      </c>
      <c r="O106" s="19">
        <v>1</v>
      </c>
      <c r="P106" s="20">
        <v>40216</v>
      </c>
      <c r="Q106" s="21" t="str">
        <f>HYPERLINK("https://castleton.studentaidcalculator.com/survey.aspx", "$30188")</f>
        <v>$30188</v>
      </c>
      <c r="R106" s="20">
        <v>34017</v>
      </c>
      <c r="S106" s="20">
        <v>36484</v>
      </c>
      <c r="T106" s="20">
        <v>2404</v>
      </c>
      <c r="U106" s="20">
        <v>27784.234042553191</v>
      </c>
      <c r="W106" s="19">
        <v>0.3281</v>
      </c>
      <c r="X106" s="19">
        <v>0.1525</v>
      </c>
      <c r="Z106" s="18">
        <v>1757</v>
      </c>
    </row>
    <row r="107" spans="1:26" ht="15.75" customHeight="1" x14ac:dyDescent="0.2">
      <c r="A107" s="36" t="str">
        <f>HYPERLINK("https://www.catawba.edu", "Catawba College")</f>
        <v>Catawba College</v>
      </c>
      <c r="B107" s="18" t="s">
        <v>32</v>
      </c>
      <c r="C107" s="18" t="s">
        <v>103</v>
      </c>
      <c r="D107" s="18" t="s">
        <v>469</v>
      </c>
      <c r="E107" s="18">
        <v>1030</v>
      </c>
      <c r="F107" s="18" t="s">
        <v>35</v>
      </c>
      <c r="J107" s="19">
        <v>0.43319999999999997</v>
      </c>
      <c r="K107" s="19">
        <v>0.47826087</v>
      </c>
      <c r="L107" s="19">
        <v>0.47710000000000002</v>
      </c>
      <c r="M107" s="19">
        <v>0.2545</v>
      </c>
      <c r="N107" s="19">
        <v>0.35709999999999997</v>
      </c>
      <c r="O107" s="19">
        <v>0.6</v>
      </c>
      <c r="P107" s="20">
        <v>44921</v>
      </c>
      <c r="Q107" s="21" t="str">
        <f>HYPERLINK("https://www.catawba.edu/calculator", "$17188")</f>
        <v>$17188</v>
      </c>
      <c r="R107" s="20">
        <v>20325</v>
      </c>
      <c r="S107" s="20">
        <v>21116</v>
      </c>
      <c r="T107" s="20">
        <v>4513</v>
      </c>
      <c r="U107" s="20">
        <v>12675</v>
      </c>
      <c r="W107" s="19">
        <v>0.40860000000000002</v>
      </c>
      <c r="X107" s="19">
        <v>0.34439999999999998</v>
      </c>
      <c r="Z107" s="18">
        <v>1321</v>
      </c>
    </row>
    <row r="108" spans="1:26" ht="15.75" customHeight="1" x14ac:dyDescent="0.2">
      <c r="A108" s="36" t="str">
        <f>HYPERLINK("https://www.cazenovia.edu", "Cazenovia College")</f>
        <v>Cazenovia College</v>
      </c>
      <c r="B108" s="18" t="s">
        <v>32</v>
      </c>
      <c r="C108" s="18" t="s">
        <v>38</v>
      </c>
      <c r="D108" s="18" t="s">
        <v>629</v>
      </c>
      <c r="E108" s="18" t="s">
        <v>36</v>
      </c>
      <c r="F108" s="18" t="s">
        <v>115</v>
      </c>
      <c r="G108" s="18" t="s">
        <v>40</v>
      </c>
      <c r="H108" s="18" t="s">
        <v>630</v>
      </c>
      <c r="I108" s="18" t="s">
        <v>631</v>
      </c>
      <c r="J108" s="19">
        <v>0.54239999999999999</v>
      </c>
      <c r="K108" s="19">
        <v>0.52884615400000001</v>
      </c>
      <c r="L108" s="19">
        <v>0.59419999999999995</v>
      </c>
      <c r="M108" s="19">
        <v>0.39129999999999998</v>
      </c>
      <c r="N108" s="19">
        <v>0.28570000000000001</v>
      </c>
      <c r="O108" s="19">
        <v>0.57140000000000002</v>
      </c>
      <c r="P108" s="20">
        <v>50166</v>
      </c>
      <c r="Q108" s="21" t="str">
        <f>HYPERLINK("https://www.cazenovia.edu/admissions/enrollment-services/financial-aid/true-cost-calculator", "$10796")</f>
        <v>$10796</v>
      </c>
      <c r="R108" s="20">
        <v>17918</v>
      </c>
      <c r="S108" s="20">
        <v>21099</v>
      </c>
      <c r="T108" s="20">
        <v>2300</v>
      </c>
      <c r="U108" s="20">
        <v>8496</v>
      </c>
      <c r="W108" s="19">
        <v>0.46260000000000001</v>
      </c>
      <c r="X108" s="19">
        <v>0.34449999999999997</v>
      </c>
      <c r="Z108" s="18">
        <v>836</v>
      </c>
    </row>
    <row r="109" spans="1:26" ht="15.75" customHeight="1" x14ac:dyDescent="0.2">
      <c r="A109" s="36" t="str">
        <f>HYPERLINK("https://www.cedarcrest.edu", "Cedar Crest College")</f>
        <v>Cedar Crest College</v>
      </c>
      <c r="B109" s="18" t="s">
        <v>32</v>
      </c>
      <c r="C109" s="18" t="s">
        <v>65</v>
      </c>
      <c r="D109" s="18" t="s">
        <v>232</v>
      </c>
      <c r="E109" s="18">
        <v>1069</v>
      </c>
      <c r="F109" s="18" t="s">
        <v>35</v>
      </c>
      <c r="J109" s="19">
        <v>0.50429999999999997</v>
      </c>
      <c r="K109" s="19">
        <v>0.5</v>
      </c>
      <c r="L109" s="19">
        <v>0.52439999999999998</v>
      </c>
      <c r="M109" s="19">
        <v>0.55559999999999998</v>
      </c>
      <c r="N109" s="19">
        <v>0.41670000000000001</v>
      </c>
      <c r="O109" s="19">
        <v>0</v>
      </c>
      <c r="P109" s="20">
        <v>52150</v>
      </c>
      <c r="Q109" s="21" t="str">
        <f>HYPERLINK("https://www.collegecostcalculator.org/cedarcrestcollege", "$17675")</f>
        <v>$17675</v>
      </c>
      <c r="R109" s="20">
        <v>20084</v>
      </c>
      <c r="S109" s="20">
        <v>22111</v>
      </c>
      <c r="T109" s="20">
        <v>2850</v>
      </c>
      <c r="U109" s="20">
        <v>14825</v>
      </c>
      <c r="W109" s="19">
        <v>0.43070000000000003</v>
      </c>
      <c r="X109" s="19">
        <v>0.40980000000000011</v>
      </c>
      <c r="Z109" s="18">
        <v>1413</v>
      </c>
    </row>
    <row r="110" spans="1:26" ht="15.75" customHeight="1" x14ac:dyDescent="0.2">
      <c r="A110" s="36" t="str">
        <f>HYPERLINK("https://www.centenary.edu", "Centenary College of Louisiana")</f>
        <v>Centenary College of Louisiana</v>
      </c>
      <c r="B110" s="18" t="s">
        <v>32</v>
      </c>
      <c r="C110" s="18" t="s">
        <v>158</v>
      </c>
      <c r="D110" s="18" t="s">
        <v>633</v>
      </c>
      <c r="E110" s="18">
        <v>1193</v>
      </c>
      <c r="F110" s="18" t="s">
        <v>35</v>
      </c>
      <c r="J110" s="19">
        <v>0.48330000000000001</v>
      </c>
      <c r="K110" s="19">
        <v>0.25423728800000001</v>
      </c>
      <c r="L110" s="19">
        <v>0.54320000000000002</v>
      </c>
      <c r="M110" s="19">
        <v>0.3256</v>
      </c>
      <c r="N110" s="19">
        <v>0.3</v>
      </c>
      <c r="O110" s="19">
        <v>0.5</v>
      </c>
      <c r="P110" s="20">
        <v>53000</v>
      </c>
      <c r="Q110" s="21" t="str">
        <f>HYPERLINK("https://www.centenary.edu/admission/tuition-aid/net-price-calculator/", "$21843")</f>
        <v>$21843</v>
      </c>
      <c r="R110" s="20">
        <v>19367</v>
      </c>
      <c r="S110" s="20">
        <v>27139</v>
      </c>
      <c r="T110" s="20">
        <v>3950</v>
      </c>
      <c r="U110" s="20">
        <v>17893</v>
      </c>
      <c r="W110" s="19">
        <v>0.35709999999999997</v>
      </c>
      <c r="X110" s="19">
        <v>0.36570000000000003</v>
      </c>
      <c r="Z110" s="18">
        <v>525</v>
      </c>
    </row>
    <row r="111" spans="1:26" ht="15.75" customHeight="1" x14ac:dyDescent="0.2">
      <c r="A111" s="36" t="str">
        <f>HYPERLINK("https://www.centralchristian.edu", "Central Christian College of Kansas")</f>
        <v>Central Christian College of Kansas</v>
      </c>
      <c r="B111" s="18" t="s">
        <v>32</v>
      </c>
      <c r="C111" s="18" t="s">
        <v>307</v>
      </c>
      <c r="D111" s="18" t="s">
        <v>635</v>
      </c>
      <c r="E111" s="18">
        <v>1008</v>
      </c>
      <c r="F111" s="18" t="s">
        <v>35</v>
      </c>
      <c r="J111" s="19">
        <v>0.2165</v>
      </c>
      <c r="K111" s="19">
        <v>0.28000000000000003</v>
      </c>
      <c r="L111" s="19">
        <v>0.42649999999999999</v>
      </c>
      <c r="M111" s="19">
        <v>0.31580000000000003</v>
      </c>
      <c r="N111" s="19">
        <v>0.30769999999999997</v>
      </c>
      <c r="O111" s="19">
        <v>1</v>
      </c>
      <c r="P111" s="20">
        <v>28030</v>
      </c>
      <c r="Q111" s="21" t="str">
        <f>HYPERLINK("https://www.centralchristian.edu/_Assets/FinancialAid/net-price-calculator", "$15782")</f>
        <v>$15782</v>
      </c>
      <c r="R111" s="20">
        <v>12016</v>
      </c>
      <c r="S111" s="20">
        <v>12709</v>
      </c>
      <c r="T111" s="20" t="s">
        <v>36</v>
      </c>
      <c r="U111" s="20" t="s">
        <v>36</v>
      </c>
      <c r="W111" s="19">
        <v>0.4788</v>
      </c>
      <c r="X111" s="19">
        <v>0.46870000000000001</v>
      </c>
      <c r="Z111" s="18">
        <v>768</v>
      </c>
    </row>
    <row r="112" spans="1:26" ht="15.75" customHeight="1" x14ac:dyDescent="0.2">
      <c r="A112" s="36" t="str">
        <f>HYPERLINK("https://www2.ccsu.edu/", "Central Connecticut State University")</f>
        <v>Central Connecticut State University</v>
      </c>
      <c r="B112" s="18" t="s">
        <v>49</v>
      </c>
      <c r="C112" s="18" t="s">
        <v>94</v>
      </c>
      <c r="D112" s="18" t="s">
        <v>638</v>
      </c>
      <c r="E112" s="18">
        <v>1071</v>
      </c>
      <c r="F112" s="18" t="s">
        <v>35</v>
      </c>
      <c r="J112" s="19">
        <v>0.52090000000000003</v>
      </c>
      <c r="K112" s="19">
        <v>0.48281505699999999</v>
      </c>
      <c r="L112" s="19">
        <v>0.55430000000000001</v>
      </c>
      <c r="M112" s="19">
        <v>0.42859999999999998</v>
      </c>
      <c r="N112" s="19">
        <v>0.39229999999999998</v>
      </c>
      <c r="O112" s="19">
        <v>0.51429999999999998</v>
      </c>
      <c r="P112" s="20">
        <v>37904</v>
      </c>
      <c r="Q112" s="21" t="str">
        <f>HYPERLINK("https://web.ccsu.edu/npcalc/", "$29243")</f>
        <v>$29243</v>
      </c>
      <c r="R112" s="20">
        <v>32137</v>
      </c>
      <c r="S112" s="20">
        <v>35246</v>
      </c>
      <c r="T112" s="20">
        <v>3174</v>
      </c>
      <c r="U112" s="20">
        <v>26069.531365313651</v>
      </c>
      <c r="W112" s="19">
        <v>0.34399999999999997</v>
      </c>
      <c r="X112" s="19">
        <v>0.3921</v>
      </c>
      <c r="Z112" s="18">
        <v>9317</v>
      </c>
    </row>
    <row r="113" spans="1:26" ht="15.75" customHeight="1" x14ac:dyDescent="0.2">
      <c r="A113" s="36" t="str">
        <f>HYPERLINK("https://www.cmich.edu", "Central Michigan University")</f>
        <v>Central Michigan University</v>
      </c>
      <c r="B113" s="18" t="s">
        <v>49</v>
      </c>
      <c r="C113" s="18" t="s">
        <v>226</v>
      </c>
      <c r="D113" s="18" t="s">
        <v>639</v>
      </c>
      <c r="E113" s="18">
        <v>1125</v>
      </c>
      <c r="F113" s="18" t="s">
        <v>35</v>
      </c>
      <c r="J113" s="19">
        <v>0.58360000000000001</v>
      </c>
      <c r="K113" s="19">
        <v>0.47191887700000001</v>
      </c>
      <c r="L113" s="19">
        <v>0.61050000000000004</v>
      </c>
      <c r="M113" s="19">
        <v>0.38190000000000002</v>
      </c>
      <c r="N113" s="19">
        <v>0.45100000000000001</v>
      </c>
      <c r="O113" s="19">
        <v>0.60529999999999995</v>
      </c>
      <c r="P113" s="20">
        <v>35236</v>
      </c>
      <c r="Q113" s="21" t="str">
        <f>HYPERLINK("https://netconnect.cmich.edu/netpricecalculator", "$23200")</f>
        <v>$23200</v>
      </c>
      <c r="R113" s="20">
        <v>25916</v>
      </c>
      <c r="S113" s="20">
        <v>29556</v>
      </c>
      <c r="T113" s="20">
        <v>1830</v>
      </c>
      <c r="U113" s="20">
        <v>21370.478260869571</v>
      </c>
      <c r="W113" s="19">
        <v>0.33839999999999998</v>
      </c>
      <c r="X113" s="19">
        <v>0.2228</v>
      </c>
      <c r="Z113" s="18">
        <v>17489</v>
      </c>
    </row>
    <row r="114" spans="1:26" ht="15.75" customHeight="1" x14ac:dyDescent="0.2">
      <c r="A114" s="36" t="str">
        <f>HYPERLINK("https://www.centralstate.edu", "Central State University")</f>
        <v>Central State University</v>
      </c>
      <c r="B114" s="18" t="s">
        <v>49</v>
      </c>
      <c r="C114" s="18" t="s">
        <v>75</v>
      </c>
      <c r="D114" s="18" t="s">
        <v>641</v>
      </c>
      <c r="E114" s="18">
        <v>868</v>
      </c>
      <c r="F114" s="18" t="s">
        <v>115</v>
      </c>
      <c r="J114" s="19">
        <v>0.20280000000000001</v>
      </c>
      <c r="K114" s="19">
        <v>0.218803419</v>
      </c>
      <c r="L114" s="19">
        <v>0.5</v>
      </c>
      <c r="M114" s="19">
        <v>0.20030000000000001</v>
      </c>
      <c r="N114" s="19">
        <v>0</v>
      </c>
      <c r="O114" s="19" t="s">
        <v>36</v>
      </c>
      <c r="P114" s="20">
        <v>20730</v>
      </c>
      <c r="Q114" s="21" t="str">
        <f>HYPERLINK("https://www.centralstate.edu/prospects/financial_aid/Price_Calculator/npcalc.htm", "$14474")</f>
        <v>$14474</v>
      </c>
      <c r="R114" s="20">
        <v>18808</v>
      </c>
      <c r="S114" s="20">
        <v>20730</v>
      </c>
      <c r="T114" s="20">
        <v>2700</v>
      </c>
      <c r="U114" s="20">
        <v>11774.0599078341</v>
      </c>
      <c r="W114" s="19">
        <v>0.7752</v>
      </c>
      <c r="X114" s="19">
        <v>0.98929999999999996</v>
      </c>
      <c r="Z114" s="18">
        <v>1772</v>
      </c>
    </row>
    <row r="115" spans="1:26" ht="15.75" customHeight="1" x14ac:dyDescent="0.2">
      <c r="A115" s="36" t="str">
        <f>HYPERLINK("https://www.cwu.edu", "Central Washington University")</f>
        <v>Central Washington University</v>
      </c>
      <c r="B115" s="18" t="s">
        <v>49</v>
      </c>
      <c r="C115" s="18" t="s">
        <v>184</v>
      </c>
      <c r="D115" s="18" t="s">
        <v>642</v>
      </c>
      <c r="E115" s="18">
        <v>1012</v>
      </c>
      <c r="F115" s="18" t="s">
        <v>35</v>
      </c>
      <c r="J115" s="19">
        <v>0.51539999999999997</v>
      </c>
      <c r="K115" s="19">
        <v>0.32462686600000001</v>
      </c>
      <c r="L115" s="19">
        <v>0.5373</v>
      </c>
      <c r="M115" s="19">
        <v>0.27029999999999998</v>
      </c>
      <c r="N115" s="19">
        <v>0.50980000000000003</v>
      </c>
      <c r="O115" s="19">
        <v>0.4103</v>
      </c>
      <c r="P115" s="20">
        <v>36708</v>
      </c>
      <c r="Q115" s="21" t="str">
        <f>HYPERLINK("https://www.cwu.edu/financial-aid/net-price-calculator", "$25456")</f>
        <v>$25456</v>
      </c>
      <c r="R115" s="20">
        <v>30203</v>
      </c>
      <c r="S115" s="20">
        <v>34243</v>
      </c>
      <c r="T115" s="20">
        <v>4014</v>
      </c>
      <c r="U115" s="20">
        <v>21442.472049689441</v>
      </c>
      <c r="W115" s="19">
        <v>0.36009999999999998</v>
      </c>
      <c r="X115" s="19">
        <v>0.46489999999999998</v>
      </c>
      <c r="Z115" s="18">
        <v>11468</v>
      </c>
    </row>
    <row r="116" spans="1:26" ht="15.75" customHeight="1" x14ac:dyDescent="0.2">
      <c r="A116" s="36" t="str">
        <f>HYPERLINK("https://www.chaminade.edu", "Chaminade University of Honolulu")</f>
        <v>Chaminade University of Honolulu</v>
      </c>
      <c r="B116" s="18" t="s">
        <v>32</v>
      </c>
      <c r="C116" s="18" t="s">
        <v>313</v>
      </c>
      <c r="D116" s="18" t="s">
        <v>510</v>
      </c>
      <c r="E116" s="18">
        <v>1068</v>
      </c>
      <c r="F116" s="18" t="s">
        <v>35</v>
      </c>
      <c r="J116" s="19">
        <v>0.54279999999999995</v>
      </c>
      <c r="K116" s="19">
        <v>0.38846153900000002</v>
      </c>
      <c r="L116" s="19">
        <v>0.40429999999999999</v>
      </c>
      <c r="M116" s="19">
        <v>0.4375</v>
      </c>
      <c r="N116" s="19">
        <v>0.5</v>
      </c>
      <c r="O116" s="19">
        <v>0.65980000000000005</v>
      </c>
      <c r="P116" s="20">
        <v>41507</v>
      </c>
      <c r="Q116" s="21" t="str">
        <f>HYPERLINK("https://chaminade.studentaidcalculator.com/survey.aspx", "$17239")</f>
        <v>$17239</v>
      </c>
      <c r="R116" s="20">
        <v>21893</v>
      </c>
      <c r="S116" s="20">
        <v>22132</v>
      </c>
      <c r="T116" s="20">
        <v>3893</v>
      </c>
      <c r="U116" s="20">
        <v>13346</v>
      </c>
      <c r="W116" s="19">
        <v>0.39579999999999999</v>
      </c>
      <c r="X116" s="19">
        <v>0.8448</v>
      </c>
      <c r="Z116" s="18">
        <v>1785</v>
      </c>
    </row>
    <row r="117" spans="1:26" ht="15.75" customHeight="1" x14ac:dyDescent="0.2">
      <c r="A117" s="36" t="str">
        <f>HYPERLINK("https://www.charlestonsouthern.edu", "Charleston Southern University")</f>
        <v>Charleston Southern University</v>
      </c>
      <c r="B117" s="18" t="s">
        <v>32</v>
      </c>
      <c r="C117" s="18" t="s">
        <v>208</v>
      </c>
      <c r="D117" s="18" t="s">
        <v>334</v>
      </c>
      <c r="E117" s="18">
        <v>1061</v>
      </c>
      <c r="F117" s="18" t="s">
        <v>35</v>
      </c>
      <c r="J117" s="19">
        <v>0.34839999999999999</v>
      </c>
      <c r="K117" s="19">
        <v>0.3125</v>
      </c>
      <c r="L117" s="19">
        <v>0.40889999999999999</v>
      </c>
      <c r="M117" s="19">
        <v>0.26900000000000002</v>
      </c>
      <c r="N117" s="19">
        <v>0.16669999999999999</v>
      </c>
      <c r="O117" s="19">
        <v>0.6</v>
      </c>
      <c r="P117" s="20">
        <v>39940</v>
      </c>
      <c r="Q117" s="21" t="str">
        <f>HYPERLINK("https://www.charlestonsouthern.edu/tuition/netpricecalculator.php", "$14873")</f>
        <v>$14873</v>
      </c>
      <c r="R117" s="20">
        <v>17502</v>
      </c>
      <c r="S117" s="20">
        <v>19329</v>
      </c>
      <c r="T117" s="20">
        <v>5200</v>
      </c>
      <c r="U117" s="20">
        <v>9673</v>
      </c>
      <c r="W117" s="19">
        <v>0.46689999999999998</v>
      </c>
      <c r="X117" s="19">
        <v>0.38269999999999998</v>
      </c>
      <c r="Z117" s="18">
        <v>3034</v>
      </c>
    </row>
    <row r="118" spans="1:26" ht="15.75" customHeight="1" x14ac:dyDescent="0.2">
      <c r="A118" s="36" t="str">
        <f>HYPERLINK("https://www.charteroak.edu", "Charter Oak State College")</f>
        <v>Charter Oak State College</v>
      </c>
      <c r="B118" s="18" t="s">
        <v>49</v>
      </c>
      <c r="C118" s="18" t="s">
        <v>94</v>
      </c>
      <c r="D118" s="18" t="s">
        <v>638</v>
      </c>
      <c r="E118" s="18" t="s">
        <v>36</v>
      </c>
      <c r="F118" s="18" t="s">
        <v>36</v>
      </c>
      <c r="J118" s="19" t="s">
        <v>36</v>
      </c>
      <c r="K118" s="19">
        <v>0.37078651699999998</v>
      </c>
      <c r="L118" s="19" t="s">
        <v>36</v>
      </c>
      <c r="M118" s="19" t="s">
        <v>36</v>
      </c>
      <c r="N118" s="19" t="s">
        <v>36</v>
      </c>
      <c r="O118" s="19" t="s">
        <v>36</v>
      </c>
      <c r="P118" s="20">
        <v>18367</v>
      </c>
      <c r="Q118" s="21" t="str">
        <f>HYPERLINK("https://www.charteroak.edu/netcost", "Not reported")</f>
        <v>Not reported</v>
      </c>
      <c r="R118" s="20" t="s">
        <v>36</v>
      </c>
      <c r="S118" s="20" t="s">
        <v>36</v>
      </c>
      <c r="T118" s="20">
        <v>5020</v>
      </c>
      <c r="U118" s="20" t="s">
        <v>36</v>
      </c>
      <c r="W118" s="19">
        <v>0.31309999999999999</v>
      </c>
      <c r="X118" s="19">
        <v>0.43859999999999999</v>
      </c>
      <c r="Z118" s="18">
        <v>1352</v>
      </c>
    </row>
    <row r="119" spans="1:26" ht="15.75" customHeight="1" x14ac:dyDescent="0.2">
      <c r="A119" s="36" t="str">
        <f>HYPERLINK("https://www.chatham.edu", "Chatham University")</f>
        <v>Chatham University</v>
      </c>
      <c r="B119" s="18" t="s">
        <v>32</v>
      </c>
      <c r="C119" s="18" t="s">
        <v>65</v>
      </c>
      <c r="D119" s="18" t="s">
        <v>74</v>
      </c>
      <c r="E119" s="18" t="s">
        <v>36</v>
      </c>
      <c r="F119" s="18" t="s">
        <v>45</v>
      </c>
      <c r="J119" s="19">
        <v>0.63080000000000003</v>
      </c>
      <c r="K119" s="19">
        <v>0.63</v>
      </c>
      <c r="L119" s="19">
        <v>0.57830000000000004</v>
      </c>
      <c r="M119" s="19">
        <v>0.6875</v>
      </c>
      <c r="N119" s="19">
        <v>0.42859999999999998</v>
      </c>
      <c r="O119" s="19">
        <v>0.75</v>
      </c>
      <c r="P119" s="20">
        <v>50900</v>
      </c>
      <c r="Q119" s="21" t="str">
        <f>HYPERLINK("https://www.chatham.edu/admission/financial-aid/calculator.cfm", "$16431")</f>
        <v>$16431</v>
      </c>
      <c r="R119" s="20">
        <v>19088</v>
      </c>
      <c r="S119" s="20">
        <v>22789</v>
      </c>
      <c r="T119" s="20">
        <v>3000</v>
      </c>
      <c r="U119" s="20">
        <v>13431</v>
      </c>
      <c r="W119" s="19">
        <v>0.2984</v>
      </c>
      <c r="X119" s="19">
        <v>0.22729999999999989</v>
      </c>
      <c r="Z119" s="18">
        <v>981</v>
      </c>
    </row>
    <row r="120" spans="1:26" ht="15.75" customHeight="1" x14ac:dyDescent="0.2">
      <c r="A120" s="36" t="str">
        <f>HYPERLINK("https://www.csu.edu", "Chicago State University")</f>
        <v>Chicago State University</v>
      </c>
      <c r="B120" s="18" t="s">
        <v>49</v>
      </c>
      <c r="C120" s="18" t="s">
        <v>137</v>
      </c>
      <c r="D120" s="18" t="s">
        <v>161</v>
      </c>
      <c r="E120" s="18">
        <v>952</v>
      </c>
      <c r="F120" s="18" t="s">
        <v>35</v>
      </c>
      <c r="J120" s="19">
        <v>0.13020000000000001</v>
      </c>
      <c r="K120" s="19">
        <v>0.30130668700000002</v>
      </c>
      <c r="L120" s="19">
        <v>0.2</v>
      </c>
      <c r="M120" s="19">
        <v>0.1225</v>
      </c>
      <c r="N120" s="19">
        <v>3.5700000000000003E-2</v>
      </c>
      <c r="O120" s="19" t="s">
        <v>36</v>
      </c>
      <c r="P120" s="20">
        <v>31636</v>
      </c>
      <c r="Q120" s="21" t="str">
        <f>HYPERLINK("https://www.csu.edu/financialaid/netpricecalculator.htm", "$22873")</f>
        <v>$22873</v>
      </c>
      <c r="R120" s="20">
        <v>27347</v>
      </c>
      <c r="S120" s="20" t="s">
        <v>36</v>
      </c>
      <c r="T120" s="20">
        <v>5700</v>
      </c>
      <c r="U120" s="20">
        <v>17173.5</v>
      </c>
      <c r="W120" s="19">
        <v>0.63439999999999996</v>
      </c>
      <c r="X120" s="19">
        <v>0.96050000000000002</v>
      </c>
      <c r="Z120" s="18">
        <v>2025</v>
      </c>
    </row>
    <row r="121" spans="1:26" ht="15.75" customHeight="1" x14ac:dyDescent="0.2">
      <c r="A121" s="36" t="str">
        <f>HYPERLINK("https://www.citadel.edu", "Citadel Military College of South Carolina")</f>
        <v>Citadel Military College of South Carolina</v>
      </c>
      <c r="B121" s="18" t="s">
        <v>49</v>
      </c>
      <c r="C121" s="18" t="s">
        <v>208</v>
      </c>
      <c r="D121" s="18" t="s">
        <v>334</v>
      </c>
      <c r="E121" s="18">
        <v>1123</v>
      </c>
      <c r="F121" s="18" t="s">
        <v>35</v>
      </c>
      <c r="J121" s="19">
        <v>0.73429999999999995</v>
      </c>
      <c r="K121" s="19">
        <v>0.52586206899999999</v>
      </c>
      <c r="L121" s="19">
        <v>0.74129999999999996</v>
      </c>
      <c r="M121" s="19">
        <v>0.54169999999999996</v>
      </c>
      <c r="N121" s="19">
        <v>0.75</v>
      </c>
      <c r="O121" s="19">
        <v>0.77780000000000005</v>
      </c>
      <c r="P121" s="20">
        <v>50506</v>
      </c>
      <c r="Q121" s="21" t="str">
        <f>HYPERLINK("https://www.citadel.edu/root/net-price-calculator", "$34550")</f>
        <v>$34550</v>
      </c>
      <c r="R121" s="20">
        <v>36788</v>
      </c>
      <c r="S121" s="20">
        <v>44111</v>
      </c>
      <c r="T121" s="20">
        <v>10087</v>
      </c>
      <c r="U121" s="20">
        <v>24463.038961038961</v>
      </c>
      <c r="W121" s="19">
        <v>0.22500000000000001</v>
      </c>
      <c r="X121" s="19">
        <v>0.25230000000000002</v>
      </c>
      <c r="Z121" s="18">
        <v>2814</v>
      </c>
    </row>
    <row r="122" spans="1:26" ht="15.75" customHeight="1" x14ac:dyDescent="0.2">
      <c r="A122" s="36" t="str">
        <f>HYPERLINK("https://www.claflin.edu", "Claflin University")</f>
        <v>Claflin University</v>
      </c>
      <c r="B122" s="18" t="s">
        <v>32</v>
      </c>
      <c r="C122" s="18" t="s">
        <v>208</v>
      </c>
      <c r="D122" s="18" t="s">
        <v>647</v>
      </c>
      <c r="E122" s="18">
        <v>958</v>
      </c>
      <c r="F122" s="18" t="s">
        <v>35</v>
      </c>
      <c r="J122" s="19">
        <v>0.53190000000000004</v>
      </c>
      <c r="K122" s="19">
        <v>0.43859649099999998</v>
      </c>
      <c r="L122" s="19">
        <v>0.8</v>
      </c>
      <c r="M122" s="19">
        <v>0.52080000000000004</v>
      </c>
      <c r="N122" s="19">
        <v>0</v>
      </c>
      <c r="O122" s="19" t="s">
        <v>36</v>
      </c>
      <c r="P122" s="20">
        <v>32642</v>
      </c>
      <c r="Q122" s="21" t="str">
        <f>HYPERLINK("https://www.claflin.edu/admissions-aid/tuition-and-fees/cost-of-attending-claflin", "$19774")</f>
        <v>$19774</v>
      </c>
      <c r="R122" s="20">
        <v>22302</v>
      </c>
      <c r="S122" s="20">
        <v>24321</v>
      </c>
      <c r="T122" s="20">
        <v>7050</v>
      </c>
      <c r="U122" s="20">
        <v>12724</v>
      </c>
      <c r="W122" s="19">
        <v>0.73599999999999999</v>
      </c>
      <c r="X122" s="19">
        <v>0.98740000000000006</v>
      </c>
      <c r="Z122" s="18">
        <v>1990</v>
      </c>
    </row>
    <row r="123" spans="1:26" ht="15.75" customHeight="1" x14ac:dyDescent="0.2">
      <c r="A123" s="36" t="str">
        <f>HYPERLINK("https://www.clarion.edu", "Clarion University of Pennsylvania")</f>
        <v>Clarion University of Pennsylvania</v>
      </c>
      <c r="B123" s="18" t="s">
        <v>49</v>
      </c>
      <c r="C123" s="18" t="s">
        <v>65</v>
      </c>
      <c r="D123" s="18" t="s">
        <v>650</v>
      </c>
      <c r="E123" s="18">
        <v>1024</v>
      </c>
      <c r="F123" s="18" t="s">
        <v>35</v>
      </c>
      <c r="J123" s="19">
        <v>0.50329999999999997</v>
      </c>
      <c r="K123" s="19">
        <v>0.37455830400000001</v>
      </c>
      <c r="L123" s="19">
        <v>0.53690000000000004</v>
      </c>
      <c r="M123" s="19">
        <v>0.28000000000000003</v>
      </c>
      <c r="N123" s="19">
        <v>0.31030000000000002</v>
      </c>
      <c r="O123" s="19">
        <v>0.25</v>
      </c>
      <c r="P123" s="20">
        <v>32106</v>
      </c>
      <c r="Q123" s="21" t="str">
        <f>HYPERLINK("https://www.passhe.edu/answers/Calculator/CL/npcalc-211644.htm", "$23556")</f>
        <v>$23556</v>
      </c>
      <c r="R123" s="20">
        <v>26705</v>
      </c>
      <c r="S123" s="20">
        <v>30061</v>
      </c>
      <c r="T123" s="20">
        <v>4950</v>
      </c>
      <c r="U123" s="20">
        <v>18606.511194029848</v>
      </c>
      <c r="W123" s="19">
        <v>0.38800000000000001</v>
      </c>
      <c r="X123" s="19">
        <v>0.17419999999999999</v>
      </c>
      <c r="Z123" s="18">
        <v>4214</v>
      </c>
    </row>
    <row r="124" spans="1:26" ht="15.75" customHeight="1" x14ac:dyDescent="0.2">
      <c r="A124" s="36" t="str">
        <f>HYPERLINK("https://www.cau.edu", "Clark Atlanta University")</f>
        <v>Clark Atlanta University</v>
      </c>
      <c r="B124" s="18" t="s">
        <v>32</v>
      </c>
      <c r="C124" s="18" t="s">
        <v>107</v>
      </c>
      <c r="D124" s="18" t="s">
        <v>108</v>
      </c>
      <c r="E124" s="18">
        <v>1000</v>
      </c>
      <c r="F124" s="18" t="s">
        <v>35</v>
      </c>
      <c r="J124" s="19">
        <v>0.39760000000000001</v>
      </c>
      <c r="K124" s="19">
        <v>0.36981132100000003</v>
      </c>
      <c r="L124" s="19">
        <v>0.5</v>
      </c>
      <c r="M124" s="19">
        <v>0.3947</v>
      </c>
      <c r="N124" s="19">
        <v>0</v>
      </c>
      <c r="O124" s="19">
        <v>0</v>
      </c>
      <c r="P124" s="20">
        <v>37382</v>
      </c>
      <c r="Q124" s="21" t="str">
        <f>HYPERLINK("https://cau.studentaidcalculator.com/survey.aspx", "$32472")</f>
        <v>$32472</v>
      </c>
      <c r="R124" s="20">
        <v>36375</v>
      </c>
      <c r="S124" s="20">
        <v>37755</v>
      </c>
      <c r="T124" s="20">
        <v>4612</v>
      </c>
      <c r="U124" s="20">
        <v>27860</v>
      </c>
      <c r="W124" s="19">
        <v>0.68569999999999998</v>
      </c>
      <c r="X124" s="19">
        <v>0.99909999999999999</v>
      </c>
      <c r="Z124" s="18">
        <v>3302</v>
      </c>
    </row>
    <row r="125" spans="1:26" ht="15.75" customHeight="1" x14ac:dyDescent="0.2">
      <c r="A125" s="36" t="str">
        <f>HYPERLINK("https://www.cia.edu", "Cleveland Institute of Art")</f>
        <v>Cleveland Institute of Art</v>
      </c>
      <c r="B125" s="18" t="s">
        <v>32</v>
      </c>
      <c r="C125" s="18" t="s">
        <v>75</v>
      </c>
      <c r="D125" s="18" t="s">
        <v>76</v>
      </c>
      <c r="E125" s="18">
        <v>1144</v>
      </c>
      <c r="F125" s="18" t="s">
        <v>115</v>
      </c>
      <c r="J125" s="19">
        <v>0.5625</v>
      </c>
      <c r="K125" s="19" t="s">
        <v>36</v>
      </c>
      <c r="L125" s="19">
        <v>0.56469999999999998</v>
      </c>
      <c r="M125" s="19">
        <v>0.52</v>
      </c>
      <c r="N125" s="19">
        <v>0.75</v>
      </c>
      <c r="O125" s="19">
        <v>0.55559999999999998</v>
      </c>
      <c r="P125" s="20">
        <v>57210</v>
      </c>
      <c r="Q125" s="21" t="str">
        <f>HYPERLINK("https://www.cia.edu/admissions/tuition-fees/net-price-calculator", "$31868")</f>
        <v>$31868</v>
      </c>
      <c r="R125" s="20">
        <v>34399</v>
      </c>
      <c r="S125" s="20">
        <v>35351</v>
      </c>
      <c r="T125" s="20">
        <v>5755</v>
      </c>
      <c r="U125" s="20">
        <v>26113</v>
      </c>
      <c r="W125" s="19">
        <v>0.40639999999999998</v>
      </c>
      <c r="X125" s="19">
        <v>0.3397</v>
      </c>
      <c r="Z125" s="18">
        <v>630</v>
      </c>
    </row>
    <row r="126" spans="1:26" ht="15.75" customHeight="1" x14ac:dyDescent="0.2">
      <c r="A126" s="36" t="str">
        <f>HYPERLINK("https://www.csuohio.edu/", "Cleveland State University")</f>
        <v>Cleveland State University</v>
      </c>
      <c r="B126" s="18" t="s">
        <v>49</v>
      </c>
      <c r="C126" s="18" t="s">
        <v>75</v>
      </c>
      <c r="D126" s="18" t="s">
        <v>76</v>
      </c>
      <c r="E126" s="18">
        <v>1104</v>
      </c>
      <c r="F126" s="18" t="s">
        <v>35</v>
      </c>
      <c r="J126" s="19">
        <v>0.43149999999999999</v>
      </c>
      <c r="K126" s="19">
        <v>0.422346369</v>
      </c>
      <c r="L126" s="19">
        <v>0.49359999999999998</v>
      </c>
      <c r="M126" s="19">
        <v>0.2218</v>
      </c>
      <c r="N126" s="19">
        <v>0.3871</v>
      </c>
      <c r="O126" s="19">
        <v>0.5</v>
      </c>
      <c r="P126" s="20">
        <v>30825</v>
      </c>
      <c r="Q126" s="21" t="str">
        <f>HYPERLINK("https://www.csuohio.edu/netprice/netprice", "$22736")</f>
        <v>$22736</v>
      </c>
      <c r="R126" s="20">
        <v>26593</v>
      </c>
      <c r="S126" s="20">
        <v>28214</v>
      </c>
      <c r="T126" s="20">
        <v>4496</v>
      </c>
      <c r="U126" s="20">
        <v>18240.650326797389</v>
      </c>
      <c r="W126" s="19">
        <v>0.39389999999999997</v>
      </c>
      <c r="X126" s="19">
        <v>0.36009999999999998</v>
      </c>
      <c r="Z126" s="18">
        <v>11647</v>
      </c>
    </row>
    <row r="127" spans="1:26" ht="15.75" customHeight="1" x14ac:dyDescent="0.2">
      <c r="A127" s="36" t="str">
        <f>HYPERLINK("https://www.coastal.edu", "Coastal Carolina University")</f>
        <v>Coastal Carolina University</v>
      </c>
      <c r="B127" s="18" t="s">
        <v>49</v>
      </c>
      <c r="C127" s="18" t="s">
        <v>208</v>
      </c>
      <c r="D127" s="18" t="s">
        <v>372</v>
      </c>
      <c r="E127" s="18">
        <v>1089</v>
      </c>
      <c r="F127" s="18" t="s">
        <v>35</v>
      </c>
      <c r="J127" s="19">
        <v>0.4229</v>
      </c>
      <c r="K127" s="19">
        <v>0.44502617799999999</v>
      </c>
      <c r="L127" s="19">
        <v>0.4284</v>
      </c>
      <c r="M127" s="19">
        <v>0.42280000000000001</v>
      </c>
      <c r="N127" s="19">
        <v>0.32050000000000001</v>
      </c>
      <c r="O127" s="19">
        <v>0.30769999999999997</v>
      </c>
      <c r="P127" s="20">
        <v>40260</v>
      </c>
      <c r="Q127" s="21" t="str">
        <f>HYPERLINK("https://www.coastal.edu/financialaid/calculator/", "$30400")</f>
        <v>$30400</v>
      </c>
      <c r="R127" s="20">
        <v>33505</v>
      </c>
      <c r="S127" s="20">
        <v>35981</v>
      </c>
      <c r="T127" s="20">
        <v>4974</v>
      </c>
      <c r="U127" s="20">
        <v>25426.16455696202</v>
      </c>
      <c r="W127" s="19">
        <v>0.35799999999999998</v>
      </c>
      <c r="X127" s="19">
        <v>0.3306</v>
      </c>
      <c r="Z127" s="18">
        <v>9546</v>
      </c>
    </row>
    <row r="128" spans="1:26" ht="15.75" customHeight="1" x14ac:dyDescent="0.2">
      <c r="A128" s="36" t="str">
        <f>HYPERLINK("https://www.cogswell.edu", "Cogswell College")</f>
        <v>Cogswell College</v>
      </c>
      <c r="B128" s="18" t="s">
        <v>368</v>
      </c>
      <c r="C128" s="18" t="s">
        <v>68</v>
      </c>
      <c r="D128" s="18" t="s">
        <v>659</v>
      </c>
      <c r="E128" s="18" t="s">
        <v>36</v>
      </c>
      <c r="F128" s="18" t="s">
        <v>90</v>
      </c>
      <c r="J128" s="19">
        <v>0.37209999999999999</v>
      </c>
      <c r="K128" s="19" t="s">
        <v>36</v>
      </c>
      <c r="L128" s="19">
        <v>0.375</v>
      </c>
      <c r="M128" s="19">
        <v>1</v>
      </c>
      <c r="N128" s="19">
        <v>0.1111</v>
      </c>
      <c r="O128" s="19">
        <v>0.33329999999999999</v>
      </c>
      <c r="P128" s="20">
        <v>38265</v>
      </c>
      <c r="Q128" s="21" t="str">
        <f>HYPERLINK("https://cogswell.edu/admission/financial-aid/", "$22746")</f>
        <v>$22746</v>
      </c>
      <c r="R128" s="20">
        <v>26259</v>
      </c>
      <c r="S128" s="20">
        <v>30611</v>
      </c>
      <c r="T128" s="20">
        <v>5094</v>
      </c>
      <c r="U128" s="20">
        <v>17652</v>
      </c>
      <c r="W128" s="19">
        <v>0.45379999999999998</v>
      </c>
      <c r="X128" s="19">
        <v>0.64510000000000001</v>
      </c>
      <c r="Z128" s="18">
        <v>603</v>
      </c>
    </row>
    <row r="129" spans="1:26" ht="15.75" customHeight="1" x14ac:dyDescent="0.2">
      <c r="A129" s="36" t="str">
        <f>HYPERLINK("https://coker.edu", "Coker College")</f>
        <v>Coker College</v>
      </c>
      <c r="B129" s="18" t="s">
        <v>32</v>
      </c>
      <c r="C129" s="18" t="s">
        <v>208</v>
      </c>
      <c r="D129" s="18" t="s">
        <v>666</v>
      </c>
      <c r="E129" s="18">
        <v>999</v>
      </c>
      <c r="F129" s="18" t="s">
        <v>35</v>
      </c>
      <c r="J129" s="19">
        <v>0.46600000000000003</v>
      </c>
      <c r="K129" s="19">
        <v>0.558510638</v>
      </c>
      <c r="L129" s="19">
        <v>0.45040000000000002</v>
      </c>
      <c r="M129" s="19">
        <v>0.45</v>
      </c>
      <c r="N129" s="19">
        <v>0.57140000000000002</v>
      </c>
      <c r="O129" s="19" t="s">
        <v>36</v>
      </c>
      <c r="P129" s="20">
        <v>40230</v>
      </c>
      <c r="Q129" s="21" t="str">
        <f>HYPERLINK("https://www.coker.edu/admissions-aid/traditional-students/costs-aid/financial-aid/net-price-calculator/", "$15508")</f>
        <v>$15508</v>
      </c>
      <c r="R129" s="20">
        <v>26850</v>
      </c>
      <c r="S129" s="20" t="s">
        <v>36</v>
      </c>
      <c r="T129" s="20">
        <v>2722</v>
      </c>
      <c r="U129" s="20">
        <v>12786</v>
      </c>
      <c r="W129" s="19">
        <v>0.47689999999999999</v>
      </c>
      <c r="X129" s="19">
        <v>0.47130000000000011</v>
      </c>
      <c r="Z129" s="18">
        <v>1012</v>
      </c>
    </row>
    <row r="130" spans="1:26" ht="15.75" customHeight="1" x14ac:dyDescent="0.2">
      <c r="A130" s="36" t="str">
        <f>HYPERLINK("https://www.colby-sawyer.edu", "Colby-Sawyer College")</f>
        <v>Colby-Sawyer College</v>
      </c>
      <c r="B130" s="18" t="s">
        <v>32</v>
      </c>
      <c r="C130" s="18" t="s">
        <v>101</v>
      </c>
      <c r="D130" s="18" t="s">
        <v>95</v>
      </c>
      <c r="E130" s="18" t="s">
        <v>36</v>
      </c>
      <c r="F130" s="18" t="s">
        <v>45</v>
      </c>
      <c r="J130" s="19">
        <v>0.58940000000000003</v>
      </c>
      <c r="K130" s="19">
        <v>0.39705882399999998</v>
      </c>
      <c r="L130" s="19">
        <v>0.57240000000000002</v>
      </c>
      <c r="M130" s="19">
        <v>0.77780000000000005</v>
      </c>
      <c r="N130" s="19">
        <v>0.41670000000000001</v>
      </c>
      <c r="O130" s="19">
        <v>0.85709999999999997</v>
      </c>
      <c r="P130" s="20">
        <v>57836</v>
      </c>
      <c r="Q130" s="21" t="str">
        <f>HYPERLINK("https://colby-sawyer.edu/net-price-calculator", "$22695")</f>
        <v>$22695</v>
      </c>
      <c r="R130" s="20">
        <v>24429</v>
      </c>
      <c r="S130" s="20">
        <v>26746</v>
      </c>
      <c r="T130" s="20">
        <v>3000</v>
      </c>
      <c r="U130" s="20">
        <v>19695</v>
      </c>
      <c r="W130" s="19">
        <v>0.27160000000000001</v>
      </c>
      <c r="X130" s="19">
        <v>0.2492</v>
      </c>
      <c r="Z130" s="18">
        <v>963</v>
      </c>
    </row>
    <row r="131" spans="1:26" ht="15.75" customHeight="1" x14ac:dyDescent="0.2">
      <c r="A131" s="36" t="str">
        <f>HYPERLINK("https://www.collegeforcreativestudies.edu", "College for Creative Studies")</f>
        <v>College for Creative Studies</v>
      </c>
      <c r="B131" s="18" t="s">
        <v>32</v>
      </c>
      <c r="C131" s="18" t="s">
        <v>226</v>
      </c>
      <c r="D131" s="18" t="s">
        <v>668</v>
      </c>
      <c r="E131" s="18">
        <v>1149</v>
      </c>
      <c r="F131" s="18" t="s">
        <v>35</v>
      </c>
      <c r="J131" s="19">
        <v>0.59719999999999995</v>
      </c>
      <c r="K131" s="19">
        <v>0.48091603100000002</v>
      </c>
      <c r="L131" s="19">
        <v>0.70369999999999999</v>
      </c>
      <c r="M131" s="19">
        <v>0.30769999999999997</v>
      </c>
      <c r="N131" s="19">
        <v>0.71430000000000005</v>
      </c>
      <c r="O131" s="19">
        <v>0.25</v>
      </c>
      <c r="P131" s="20">
        <v>57810</v>
      </c>
      <c r="Q131" s="21" t="str">
        <f>HYPERLINK("https://www.collegeforcreativestudies.edu/admissions/tuition-and-aid/undergraduate-tuition-and-financial-aid/net-price-calculator", "$32698")</f>
        <v>$32698</v>
      </c>
      <c r="R131" s="20">
        <v>35155</v>
      </c>
      <c r="S131" s="20">
        <v>37606</v>
      </c>
      <c r="T131" s="20">
        <v>6700</v>
      </c>
      <c r="U131" s="20">
        <v>25998</v>
      </c>
      <c r="W131" s="19">
        <v>0.314</v>
      </c>
      <c r="X131" s="19">
        <v>0.4254</v>
      </c>
      <c r="Z131" s="18">
        <v>1347</v>
      </c>
    </row>
    <row r="132" spans="1:26" ht="15.75" customHeight="1" x14ac:dyDescent="0.2">
      <c r="A132" s="36" t="str">
        <f>HYPERLINK("https://www.mountsaintvincent.edu", "College of Mount Saint Vincent")</f>
        <v>College of Mount Saint Vincent</v>
      </c>
      <c r="B132" s="18" t="s">
        <v>32</v>
      </c>
      <c r="C132" s="18" t="s">
        <v>38</v>
      </c>
      <c r="D132" s="18" t="s">
        <v>217</v>
      </c>
      <c r="E132" s="18">
        <v>981</v>
      </c>
      <c r="F132" s="18" t="s">
        <v>35</v>
      </c>
      <c r="G132" s="18" t="s">
        <v>40</v>
      </c>
      <c r="H132" s="18" t="s">
        <v>671</v>
      </c>
      <c r="I132" s="18" t="s">
        <v>672</v>
      </c>
      <c r="J132" s="19">
        <v>0.53990000000000005</v>
      </c>
      <c r="K132" s="19">
        <v>0.53439153399999995</v>
      </c>
      <c r="L132" s="19">
        <v>0.4919</v>
      </c>
      <c r="M132" s="19">
        <v>0.5</v>
      </c>
      <c r="N132" s="19">
        <v>0.54320000000000002</v>
      </c>
      <c r="O132" s="19">
        <v>0.71430000000000005</v>
      </c>
      <c r="P132" s="20">
        <v>49985</v>
      </c>
      <c r="Q132" s="21" t="str">
        <f>HYPERLINK("https://www.mountsaintvincent.edu/admission/financial-aid/net-price-calculator/", "$13866")</f>
        <v>$13866</v>
      </c>
      <c r="R132" s="20">
        <v>17090</v>
      </c>
      <c r="S132" s="20">
        <v>21851</v>
      </c>
      <c r="T132" s="20">
        <v>3385</v>
      </c>
      <c r="U132" s="20">
        <v>10481</v>
      </c>
      <c r="W132" s="19">
        <v>0.45879999999999999</v>
      </c>
      <c r="X132" s="19">
        <v>0.75119999999999998</v>
      </c>
      <c r="Z132" s="18">
        <v>1676</v>
      </c>
    </row>
    <row r="133" spans="1:26" ht="15.75" customHeight="1" x14ac:dyDescent="0.2">
      <c r="A133" s="36" t="str">
        <f>HYPERLINK("https://WWW.CSM.EDU", "College of Saint Mary")</f>
        <v>College of Saint Mary</v>
      </c>
      <c r="B133" s="18" t="s">
        <v>32</v>
      </c>
      <c r="C133" s="18" t="s">
        <v>341</v>
      </c>
      <c r="D133" s="18" t="s">
        <v>345</v>
      </c>
      <c r="E133" s="18" t="s">
        <v>36</v>
      </c>
      <c r="F133" s="18" t="s">
        <v>90</v>
      </c>
      <c r="J133" s="19">
        <v>0.4773</v>
      </c>
      <c r="K133" s="19">
        <v>0.47826087</v>
      </c>
      <c r="L133" s="19">
        <v>0.4844</v>
      </c>
      <c r="M133" s="19">
        <v>0.1429</v>
      </c>
      <c r="N133" s="19">
        <v>0.57140000000000002</v>
      </c>
      <c r="O133" s="19">
        <v>1</v>
      </c>
      <c r="P133" s="20">
        <v>30970</v>
      </c>
      <c r="Q133" s="21" t="str">
        <f>HYPERLINK("https://www.csm.edu/admissions/affordability/financial-aid-resources", "$18307")</f>
        <v>$18307</v>
      </c>
      <c r="R133" s="20">
        <v>18088</v>
      </c>
      <c r="S133" s="20">
        <v>20683</v>
      </c>
      <c r="T133" s="20">
        <v>3470</v>
      </c>
      <c r="U133" s="20">
        <v>14837</v>
      </c>
      <c r="W133" s="19">
        <v>0.36969999999999997</v>
      </c>
      <c r="X133" s="19">
        <v>0.30380000000000001</v>
      </c>
      <c r="Z133" s="18">
        <v>780</v>
      </c>
    </row>
    <row r="134" spans="1:26" ht="15.75" customHeight="1" x14ac:dyDescent="0.2">
      <c r="A134" s="36" t="str">
        <f>HYPERLINK("https://www.coloradomesa.edu", "Colorado Mesa University")</f>
        <v>Colorado Mesa University</v>
      </c>
      <c r="B134" s="18" t="s">
        <v>49</v>
      </c>
      <c r="C134" s="18" t="s">
        <v>87</v>
      </c>
      <c r="D134" s="18" t="s">
        <v>674</v>
      </c>
      <c r="E134" s="18">
        <v>1066</v>
      </c>
      <c r="F134" s="18" t="s">
        <v>35</v>
      </c>
      <c r="J134" s="19">
        <v>0.32629999999999998</v>
      </c>
      <c r="K134" s="19">
        <v>0.24062500000000001</v>
      </c>
      <c r="L134" s="19">
        <v>0.36009999999999998</v>
      </c>
      <c r="M134" s="19">
        <v>0.1449</v>
      </c>
      <c r="N134" s="19">
        <v>0.2402</v>
      </c>
      <c r="O134" s="19">
        <v>0.4</v>
      </c>
      <c r="P134" s="20">
        <v>35655</v>
      </c>
      <c r="Q134" s="21" t="str">
        <f>HYPERLINK("https://www.coloradomesa.edu/financial-aid/financial-aid-calculator.html", "$30712")</f>
        <v>$30712</v>
      </c>
      <c r="R134" s="20">
        <v>34019</v>
      </c>
      <c r="S134" s="20">
        <v>35589</v>
      </c>
      <c r="T134" s="20">
        <v>4590</v>
      </c>
      <c r="U134" s="20">
        <v>26122.156308851219</v>
      </c>
      <c r="W134" s="19">
        <v>0.35720000000000002</v>
      </c>
      <c r="X134" s="19">
        <v>0.31330000000000002</v>
      </c>
      <c r="Z134" s="18">
        <v>8494</v>
      </c>
    </row>
    <row r="135" spans="1:26" ht="15.75" customHeight="1" x14ac:dyDescent="0.2">
      <c r="A135" s="36" t="str">
        <f>HYPERLINK("https://www.columbiasc.edu/", "Columbia College")</f>
        <v>Columbia College</v>
      </c>
      <c r="B135" s="18" t="s">
        <v>32</v>
      </c>
      <c r="C135" s="18" t="s">
        <v>208</v>
      </c>
      <c r="D135" s="18" t="s">
        <v>165</v>
      </c>
      <c r="E135" s="18">
        <v>1009</v>
      </c>
      <c r="F135" s="18" t="s">
        <v>115</v>
      </c>
      <c r="J135" s="19">
        <v>0.49220000000000003</v>
      </c>
      <c r="K135" s="19">
        <v>0.41011236000000001</v>
      </c>
      <c r="L135" s="19">
        <v>0.4194</v>
      </c>
      <c r="M135" s="19">
        <v>0.55130000000000001</v>
      </c>
      <c r="N135" s="19">
        <v>0.36359999999999998</v>
      </c>
      <c r="O135" s="19">
        <v>1</v>
      </c>
      <c r="P135" s="20">
        <v>33121</v>
      </c>
      <c r="Q135" s="21" t="str">
        <f>HYPERLINK("https://www.columbiasc.edu/admissions/financial-aid/net-price-calculator", "$17039")</f>
        <v>$17039</v>
      </c>
      <c r="R135" s="20">
        <v>18573</v>
      </c>
      <c r="S135" s="20">
        <v>19471</v>
      </c>
      <c r="T135" s="20">
        <v>5721</v>
      </c>
      <c r="U135" s="20">
        <v>11318</v>
      </c>
      <c r="W135" s="19">
        <v>0.46500000000000002</v>
      </c>
      <c r="X135" s="19">
        <v>0.45789999999999997</v>
      </c>
      <c r="Z135" s="18">
        <v>1378</v>
      </c>
    </row>
    <row r="136" spans="1:26" ht="15.75" customHeight="1" x14ac:dyDescent="0.2">
      <c r="A136" s="36" t="str">
        <f>HYPERLINK("https://www.ccis.edu", "Columbia College")</f>
        <v>Columbia College</v>
      </c>
      <c r="B136" s="18" t="s">
        <v>32</v>
      </c>
      <c r="C136" s="18" t="s">
        <v>164</v>
      </c>
      <c r="D136" s="18" t="s">
        <v>165</v>
      </c>
      <c r="E136" s="18" t="s">
        <v>36</v>
      </c>
      <c r="F136" s="18" t="s">
        <v>36</v>
      </c>
      <c r="J136" s="19">
        <v>0.26269999999999999</v>
      </c>
      <c r="K136" s="19">
        <v>0.23955847299999999</v>
      </c>
      <c r="L136" s="19">
        <v>0.3014</v>
      </c>
      <c r="M136" s="19">
        <v>0.1351</v>
      </c>
      <c r="N136" s="19">
        <v>0.28129999999999999</v>
      </c>
      <c r="O136" s="19">
        <v>0.16669999999999999</v>
      </c>
      <c r="P136" s="20">
        <v>34208</v>
      </c>
      <c r="Q136" s="21" t="str">
        <f>HYPERLINK("https://www.ccis.edu/offices/financialaid/net-price-calculators.aspx", "$25857")</f>
        <v>$25857</v>
      </c>
      <c r="R136" s="20">
        <v>24934</v>
      </c>
      <c r="S136" s="20">
        <v>23727</v>
      </c>
      <c r="T136" s="20">
        <v>5178</v>
      </c>
      <c r="U136" s="20">
        <v>20679</v>
      </c>
      <c r="W136" s="19">
        <v>0.4793</v>
      </c>
      <c r="X136" s="19">
        <v>0.44519999999999998</v>
      </c>
      <c r="Z136" s="18">
        <v>11975</v>
      </c>
    </row>
    <row r="137" spans="1:26" ht="15.75" customHeight="1" x14ac:dyDescent="0.2">
      <c r="A137" s="36" t="str">
        <f>HYPERLINK("https://WWW.CCAD.EDU", "Columbus College of Art and Design")</f>
        <v>Columbus College of Art and Design</v>
      </c>
      <c r="B137" s="18" t="s">
        <v>32</v>
      </c>
      <c r="C137" s="18" t="s">
        <v>75</v>
      </c>
      <c r="D137" s="18" t="s">
        <v>237</v>
      </c>
      <c r="E137" s="18" t="s">
        <v>36</v>
      </c>
      <c r="F137" s="18" t="s">
        <v>90</v>
      </c>
      <c r="J137" s="19">
        <v>0.6119</v>
      </c>
      <c r="K137" s="19">
        <v>0.504950495</v>
      </c>
      <c r="L137" s="19">
        <v>0.66349999999999998</v>
      </c>
      <c r="M137" s="19">
        <v>0.3</v>
      </c>
      <c r="N137" s="19">
        <v>0.53849999999999998</v>
      </c>
      <c r="O137" s="19">
        <v>0.5</v>
      </c>
      <c r="P137" s="20">
        <v>49110</v>
      </c>
      <c r="Q137" s="21" t="str">
        <f>HYPERLINK("https://ccad.studentaidcalculator.com/survey.aspx", "$22370")</f>
        <v>$22370</v>
      </c>
      <c r="R137" s="20">
        <v>24571</v>
      </c>
      <c r="S137" s="20">
        <v>29083</v>
      </c>
      <c r="T137" s="20">
        <v>5300</v>
      </c>
      <c r="U137" s="20">
        <v>17070</v>
      </c>
      <c r="W137" s="19">
        <v>0.37169999999999997</v>
      </c>
      <c r="X137" s="19">
        <v>0.34670000000000001</v>
      </c>
      <c r="Z137" s="18">
        <v>1024</v>
      </c>
    </row>
    <row r="138" spans="1:26" ht="15.75" customHeight="1" x14ac:dyDescent="0.2">
      <c r="A138" s="36" t="str">
        <f>HYPERLINK("https://www.columbusstate.edu", "Columbus State University")</f>
        <v>Columbus State University</v>
      </c>
      <c r="B138" s="18" t="s">
        <v>49</v>
      </c>
      <c r="C138" s="18" t="s">
        <v>107</v>
      </c>
      <c r="D138" s="18" t="s">
        <v>237</v>
      </c>
      <c r="E138" s="18">
        <v>1011</v>
      </c>
      <c r="F138" s="18" t="s">
        <v>35</v>
      </c>
      <c r="J138" s="19">
        <v>0.32779999999999998</v>
      </c>
      <c r="K138" s="19">
        <v>0.26095238100000001</v>
      </c>
      <c r="L138" s="19">
        <v>0.34770000000000001</v>
      </c>
      <c r="M138" s="19">
        <v>0.31190000000000001</v>
      </c>
      <c r="N138" s="19">
        <v>0.31340000000000001</v>
      </c>
      <c r="O138" s="19">
        <v>0.4118</v>
      </c>
      <c r="P138" s="20">
        <v>32200</v>
      </c>
      <c r="Q138" s="21" t="str">
        <f>HYPERLINK("https://finaid.columbusstate.edu/netprice.php", "$23984")</f>
        <v>$23984</v>
      </c>
      <c r="R138" s="20">
        <v>27630</v>
      </c>
      <c r="S138" s="20">
        <v>28649</v>
      </c>
      <c r="T138" s="20">
        <v>4730</v>
      </c>
      <c r="U138" s="20">
        <v>19254.040431266851</v>
      </c>
      <c r="W138" s="19">
        <v>0.4556</v>
      </c>
      <c r="X138" s="19">
        <v>0.50929999999999997</v>
      </c>
      <c r="Z138" s="18">
        <v>6474</v>
      </c>
    </row>
    <row r="139" spans="1:26" ht="15.75" customHeight="1" x14ac:dyDescent="0.2">
      <c r="A139" s="36" t="str">
        <f>HYPERLINK("https://www.concordiacollege.edu", "Concordia College at Moorhead")</f>
        <v>Concordia College at Moorhead</v>
      </c>
      <c r="B139" s="18" t="s">
        <v>32</v>
      </c>
      <c r="C139" s="18" t="s">
        <v>72</v>
      </c>
      <c r="D139" s="18" t="s">
        <v>679</v>
      </c>
      <c r="E139" s="18">
        <v>1213</v>
      </c>
      <c r="F139" s="18" t="s">
        <v>35</v>
      </c>
      <c r="J139" s="19">
        <v>0.69669999999999999</v>
      </c>
      <c r="K139" s="19">
        <v>0.63013698600000001</v>
      </c>
      <c r="L139" s="19">
        <v>0.69979999999999998</v>
      </c>
      <c r="M139" s="19">
        <v>0.4</v>
      </c>
      <c r="N139" s="19">
        <v>0.7</v>
      </c>
      <c r="O139" s="19">
        <v>0.66669999999999996</v>
      </c>
      <c r="P139" s="20">
        <v>49488</v>
      </c>
      <c r="Q139" s="21" t="str">
        <f>HYPERLINK("https://www.concordiacollege.edu/tuition-aid/net-price-calculator/", "$19338")</f>
        <v>$19338</v>
      </c>
      <c r="R139" s="20">
        <v>21491</v>
      </c>
      <c r="S139" s="20">
        <v>22425</v>
      </c>
      <c r="T139" s="20">
        <v>3070</v>
      </c>
      <c r="U139" s="20">
        <v>16268</v>
      </c>
      <c r="W139" s="19">
        <v>0.1968</v>
      </c>
      <c r="X139" s="19">
        <v>0.16819999999999999</v>
      </c>
      <c r="Z139" s="18">
        <v>1980</v>
      </c>
    </row>
    <row r="140" spans="1:26" ht="15.75" customHeight="1" x14ac:dyDescent="0.2">
      <c r="A140" s="36" t="str">
        <f>HYPERLINK("https://www.concordia-ny.edu", "Concordia College-New York")</f>
        <v>Concordia College-New York</v>
      </c>
      <c r="B140" s="18" t="s">
        <v>32</v>
      </c>
      <c r="C140" s="18" t="s">
        <v>38</v>
      </c>
      <c r="D140" s="18" t="s">
        <v>245</v>
      </c>
      <c r="E140" s="18">
        <v>1041</v>
      </c>
      <c r="F140" s="18" t="s">
        <v>115</v>
      </c>
      <c r="J140" s="19">
        <v>0.45929999999999999</v>
      </c>
      <c r="K140" s="19">
        <v>0.32352941200000002</v>
      </c>
      <c r="L140" s="19">
        <v>0.59570000000000001</v>
      </c>
      <c r="M140" s="19">
        <v>0.56000000000000005</v>
      </c>
      <c r="N140" s="19">
        <v>0.32140000000000002</v>
      </c>
      <c r="O140" s="19">
        <v>0.33329999999999999</v>
      </c>
      <c r="P140" s="20">
        <v>46260</v>
      </c>
      <c r="Q140" s="21" t="str">
        <f>HYPERLINK("https://netprice.concordia-ny.edu/npcalc.htm", "$13332")</f>
        <v>$13332</v>
      </c>
      <c r="R140" s="20">
        <v>17832</v>
      </c>
      <c r="S140" s="20">
        <v>19351</v>
      </c>
      <c r="T140" s="20">
        <v>2784</v>
      </c>
      <c r="U140" s="20">
        <v>10548</v>
      </c>
      <c r="W140" s="19">
        <v>0.37030000000000002</v>
      </c>
      <c r="X140" s="19">
        <v>0.57179999999999997</v>
      </c>
      <c r="Z140" s="18">
        <v>1086</v>
      </c>
    </row>
    <row r="141" spans="1:26" ht="15.75" customHeight="1" x14ac:dyDescent="0.2">
      <c r="A141" s="36" t="str">
        <f>HYPERLINK("https://www.concordia.edu", "Concordia University-Texas")</f>
        <v>Concordia University-Texas</v>
      </c>
      <c r="B141" s="18" t="s">
        <v>32</v>
      </c>
      <c r="C141" s="18" t="s">
        <v>146</v>
      </c>
      <c r="D141" s="18" t="s">
        <v>264</v>
      </c>
      <c r="E141" s="18">
        <v>1063</v>
      </c>
      <c r="F141" s="18" t="s">
        <v>35</v>
      </c>
      <c r="J141" s="19">
        <v>0.34939999999999999</v>
      </c>
      <c r="K141" s="19">
        <v>0.36734693899999998</v>
      </c>
      <c r="L141" s="19">
        <v>0.34229999999999999</v>
      </c>
      <c r="M141" s="19">
        <v>0.2727</v>
      </c>
      <c r="N141" s="19">
        <v>0.3548</v>
      </c>
      <c r="O141" s="19">
        <v>0.4</v>
      </c>
      <c r="P141" s="20">
        <v>45420</v>
      </c>
      <c r="Q141" s="21" t="str">
        <f>HYPERLINK("https://concordia.studentaidcalculator.com/survey.aspx", "$20750")</f>
        <v>$20750</v>
      </c>
      <c r="R141" s="20">
        <v>22278</v>
      </c>
      <c r="S141" s="20">
        <v>24831</v>
      </c>
      <c r="T141" s="20">
        <v>4414</v>
      </c>
      <c r="U141" s="20">
        <v>16336</v>
      </c>
      <c r="W141" s="19">
        <v>0.44800000000000001</v>
      </c>
      <c r="X141" s="19">
        <v>0.57600000000000007</v>
      </c>
      <c r="Z141" s="18">
        <v>1703</v>
      </c>
    </row>
    <row r="142" spans="1:26" ht="15.75" customHeight="1" x14ac:dyDescent="0.2">
      <c r="A142" s="36" t="str">
        <f>HYPERLINK("https://www.cuchicago.edu", "Concordia University-Chicago")</f>
        <v>Concordia University-Chicago</v>
      </c>
      <c r="B142" s="18" t="s">
        <v>32</v>
      </c>
      <c r="C142" s="18" t="s">
        <v>137</v>
      </c>
      <c r="D142" s="18" t="s">
        <v>681</v>
      </c>
      <c r="E142" s="18">
        <v>1100</v>
      </c>
      <c r="F142" s="18" t="s">
        <v>35</v>
      </c>
      <c r="J142" s="19">
        <v>0.47810000000000002</v>
      </c>
      <c r="K142" s="19">
        <v>0.312</v>
      </c>
      <c r="L142" s="19">
        <v>0.58420000000000005</v>
      </c>
      <c r="M142" s="19">
        <v>0.3</v>
      </c>
      <c r="N142" s="19">
        <v>0.38040000000000002</v>
      </c>
      <c r="O142" s="19">
        <v>0.6</v>
      </c>
      <c r="P142" s="20">
        <v>43636</v>
      </c>
      <c r="Q142" s="21" t="str">
        <f>HYPERLINK("https://www.cuchicago.edu/admission-financial-aid/undergraduate/tuition-financial-aid/net-price-calculator", "$14189")</f>
        <v>$14189</v>
      </c>
      <c r="R142" s="20">
        <v>16795</v>
      </c>
      <c r="S142" s="20">
        <v>19514</v>
      </c>
      <c r="T142" s="20">
        <v>2600</v>
      </c>
      <c r="U142" s="20">
        <v>11589</v>
      </c>
      <c r="W142" s="19">
        <v>0.41439999999999999</v>
      </c>
      <c r="X142" s="19">
        <v>0.53520000000000001</v>
      </c>
      <c r="Z142" s="18">
        <v>1405</v>
      </c>
    </row>
    <row r="143" spans="1:26" ht="15.75" customHeight="1" x14ac:dyDescent="0.2">
      <c r="A143" s="36" t="str">
        <f>HYPERLINK("https://www.cu-portland.edu", "Concordia University-Portland")</f>
        <v>Concordia University-Portland</v>
      </c>
      <c r="B143" s="18" t="s">
        <v>32</v>
      </c>
      <c r="C143" s="18" t="s">
        <v>143</v>
      </c>
      <c r="D143" s="18" t="s">
        <v>144</v>
      </c>
      <c r="E143" s="18">
        <v>1048</v>
      </c>
      <c r="F143" s="18" t="s">
        <v>35</v>
      </c>
      <c r="J143" s="19">
        <v>0.47620000000000001</v>
      </c>
      <c r="K143" s="19">
        <v>0.44217687100000003</v>
      </c>
      <c r="L143" s="19">
        <v>0.51200000000000001</v>
      </c>
      <c r="M143" s="19">
        <v>0.44440000000000002</v>
      </c>
      <c r="N143" s="19">
        <v>0.36</v>
      </c>
      <c r="O143" s="19">
        <v>0.52380000000000004</v>
      </c>
      <c r="P143" s="20">
        <v>42750</v>
      </c>
      <c r="Q143" s="21" t="str">
        <f>HYPERLINK("https://concordia.simpleapply.com/", "$19722")</f>
        <v>$19722</v>
      </c>
      <c r="R143" s="20">
        <v>22339</v>
      </c>
      <c r="S143" s="20">
        <v>24369</v>
      </c>
      <c r="T143" s="20">
        <v>3700</v>
      </c>
      <c r="U143" s="20">
        <v>16022</v>
      </c>
      <c r="W143" s="19">
        <v>0.37680000000000002</v>
      </c>
      <c r="X143" s="19">
        <v>0.37919999999999998</v>
      </c>
      <c r="Z143" s="18">
        <v>1353</v>
      </c>
    </row>
    <row r="144" spans="1:26" ht="15.75" customHeight="1" x14ac:dyDescent="0.2">
      <c r="A144" s="36" t="str">
        <f>HYPERLINK("https://www.csp.edu", "Concordia University-Saint Paul")</f>
        <v>Concordia University-Saint Paul</v>
      </c>
      <c r="B144" s="18" t="s">
        <v>32</v>
      </c>
      <c r="C144" s="18" t="s">
        <v>72</v>
      </c>
      <c r="D144" s="18" t="s">
        <v>131</v>
      </c>
      <c r="E144" s="18" t="s">
        <v>36</v>
      </c>
      <c r="F144" s="18" t="s">
        <v>90</v>
      </c>
      <c r="J144" s="19">
        <v>0.55330000000000001</v>
      </c>
      <c r="K144" s="19">
        <v>0.40641711200000002</v>
      </c>
      <c r="L144" s="19">
        <v>0.63480000000000003</v>
      </c>
      <c r="M144" s="19">
        <v>0.40479999999999999</v>
      </c>
      <c r="N144" s="19">
        <v>0.25</v>
      </c>
      <c r="O144" s="19">
        <v>0.57889999999999997</v>
      </c>
      <c r="P144" s="20">
        <v>34500</v>
      </c>
      <c r="Q144" s="21" t="str">
        <f>HYPERLINK("https://www.csp.edu/tuition-financial-aid/undergraduate/net-price-calculator/", "$15466")</f>
        <v>$15466</v>
      </c>
      <c r="R144" s="20">
        <v>15984</v>
      </c>
      <c r="S144" s="20">
        <v>18834</v>
      </c>
      <c r="T144" s="20">
        <v>4000</v>
      </c>
      <c r="U144" s="20">
        <v>11466</v>
      </c>
      <c r="W144" s="19">
        <v>0.3241</v>
      </c>
      <c r="X144" s="19">
        <v>0.35770000000000002</v>
      </c>
      <c r="Z144" s="18">
        <v>2575</v>
      </c>
    </row>
    <row r="145" spans="1:26" ht="15.75" customHeight="1" x14ac:dyDescent="0.2">
      <c r="A145" s="36" t="str">
        <f>HYPERLINK("https://www.cuw.edu", "Concordia University-Wisconsin")</f>
        <v>Concordia University-Wisconsin</v>
      </c>
      <c r="B145" s="18" t="s">
        <v>32</v>
      </c>
      <c r="C145" s="18" t="s">
        <v>196</v>
      </c>
      <c r="D145" s="18" t="s">
        <v>683</v>
      </c>
      <c r="E145" s="18">
        <v>1145</v>
      </c>
      <c r="F145" s="18" t="s">
        <v>35</v>
      </c>
      <c r="J145" s="19">
        <v>0.53480000000000005</v>
      </c>
      <c r="K145" s="19">
        <v>0.308788599</v>
      </c>
      <c r="L145" s="19">
        <v>0.55979999999999996</v>
      </c>
      <c r="M145" s="19">
        <v>0.38890000000000002</v>
      </c>
      <c r="N145" s="19">
        <v>0.42859999999999998</v>
      </c>
      <c r="O145" s="19">
        <v>0.5</v>
      </c>
      <c r="P145" s="20">
        <v>43530</v>
      </c>
      <c r="Q145" s="21" t="str">
        <f>HYPERLINK("https://cuw.studentaidcalculator.com/survey.aspx", "$21493")</f>
        <v>$21493</v>
      </c>
      <c r="R145" s="20">
        <v>22277</v>
      </c>
      <c r="S145" s="20">
        <v>26781</v>
      </c>
      <c r="T145" s="20">
        <v>4400</v>
      </c>
      <c r="U145" s="20">
        <v>17093</v>
      </c>
      <c r="W145" s="19">
        <v>0.28149999999999997</v>
      </c>
      <c r="X145" s="19">
        <v>0.26490000000000002</v>
      </c>
      <c r="Z145" s="18">
        <v>3533</v>
      </c>
    </row>
    <row r="146" spans="1:26" ht="15.75" customHeight="1" x14ac:dyDescent="0.2">
      <c r="A146" s="36" t="str">
        <f>HYPERLINK("https://www.converse.edu/", "Converse College")</f>
        <v>Converse College</v>
      </c>
      <c r="B146" s="18" t="s">
        <v>32</v>
      </c>
      <c r="C146" s="18" t="s">
        <v>208</v>
      </c>
      <c r="D146" s="18" t="s">
        <v>542</v>
      </c>
      <c r="E146" s="18">
        <v>1112</v>
      </c>
      <c r="F146" s="18" t="s">
        <v>35</v>
      </c>
      <c r="J146" s="19">
        <v>0.7208</v>
      </c>
      <c r="K146" s="19">
        <v>0.47727272700000001</v>
      </c>
      <c r="L146" s="19">
        <v>0.87339999999999995</v>
      </c>
      <c r="M146" s="19">
        <v>0.625</v>
      </c>
      <c r="N146" s="19">
        <v>0.66669999999999996</v>
      </c>
      <c r="O146" s="19">
        <v>0.5</v>
      </c>
      <c r="P146" s="20">
        <v>34190</v>
      </c>
      <c r="Q146" s="21" t="str">
        <f>HYPERLINK("https://www.converse.edu/admissions/financial-aid-and-tuition/undergraduate-freshmen-and-transfer-students/net-cost-calculator-for-freshman/", "$20313")</f>
        <v>$20313</v>
      </c>
      <c r="R146" s="20">
        <v>21061</v>
      </c>
      <c r="S146" s="20">
        <v>20726</v>
      </c>
      <c r="T146" s="20">
        <v>5900</v>
      </c>
      <c r="U146" s="20">
        <v>14413</v>
      </c>
      <c r="W146" s="19">
        <v>0.4506</v>
      </c>
      <c r="X146" s="19">
        <v>0.33950000000000002</v>
      </c>
      <c r="Z146" s="18">
        <v>916</v>
      </c>
    </row>
    <row r="147" spans="1:26" ht="15.75" customHeight="1" x14ac:dyDescent="0.2">
      <c r="A147" s="36" t="str">
        <f>HYPERLINK("https://www.coppin.edu", "Coppin State University")</f>
        <v>Coppin State University</v>
      </c>
      <c r="B147" s="18" t="s">
        <v>49</v>
      </c>
      <c r="C147" s="18" t="s">
        <v>124</v>
      </c>
      <c r="D147" s="18" t="s">
        <v>125</v>
      </c>
      <c r="E147" s="18">
        <v>930</v>
      </c>
      <c r="F147" s="18" t="s">
        <v>35</v>
      </c>
      <c r="J147" s="19">
        <v>0.24479999999999999</v>
      </c>
      <c r="K147" s="19">
        <v>0.29963235300000002</v>
      </c>
      <c r="L147" s="19">
        <v>0.45450000000000002</v>
      </c>
      <c r="M147" s="19">
        <v>0.2331</v>
      </c>
      <c r="N147" s="19">
        <v>0.5</v>
      </c>
      <c r="O147" s="19">
        <v>0</v>
      </c>
      <c r="P147" s="20">
        <v>27560</v>
      </c>
      <c r="Q147" s="21" t="str">
        <f>HYPERLINK("https://www.coppin.edu/financialaid/calculator", "$20387")</f>
        <v>$20387</v>
      </c>
      <c r="R147" s="20" t="s">
        <v>36</v>
      </c>
      <c r="S147" s="20" t="s">
        <v>36</v>
      </c>
      <c r="T147" s="20">
        <v>4186</v>
      </c>
      <c r="U147" s="20">
        <v>16201.64919354839</v>
      </c>
      <c r="W147" s="19">
        <v>0.56720000000000004</v>
      </c>
      <c r="X147" s="19">
        <v>0.98409999999999997</v>
      </c>
      <c r="Z147" s="18">
        <v>2459</v>
      </c>
    </row>
    <row r="148" spans="1:26" ht="15.75" customHeight="1" x14ac:dyDescent="0.2">
      <c r="A148" s="36" t="str">
        <f>HYPERLINK("https://www.cornerstone.edu", "Cornerstone University")</f>
        <v>Cornerstone University</v>
      </c>
      <c r="B148" s="18" t="s">
        <v>32</v>
      </c>
      <c r="C148" s="18" t="s">
        <v>226</v>
      </c>
      <c r="D148" s="18" t="s">
        <v>321</v>
      </c>
      <c r="E148" s="18">
        <v>1069</v>
      </c>
      <c r="F148" s="18" t="s">
        <v>35</v>
      </c>
      <c r="J148" s="19">
        <v>0.5262</v>
      </c>
      <c r="K148" s="19">
        <v>0.311926606</v>
      </c>
      <c r="L148" s="19">
        <v>0.55179999999999996</v>
      </c>
      <c r="M148" s="19">
        <v>0.16669999999999999</v>
      </c>
      <c r="N148" s="19">
        <v>0.33329999999999999</v>
      </c>
      <c r="O148" s="19">
        <v>0</v>
      </c>
      <c r="P148" s="20">
        <v>40542</v>
      </c>
      <c r="Q148" s="21" t="str">
        <f>HYPERLINK("https://www.cornerstone.edu/tuition-calculator", "$16888")</f>
        <v>$16888</v>
      </c>
      <c r="R148" s="20">
        <v>17847</v>
      </c>
      <c r="S148" s="20">
        <v>20782</v>
      </c>
      <c r="T148" s="20">
        <v>3992</v>
      </c>
      <c r="U148" s="20">
        <v>12896</v>
      </c>
      <c r="W148" s="19">
        <v>0.37230000000000002</v>
      </c>
      <c r="X148" s="19">
        <v>0.23499999999999999</v>
      </c>
      <c r="Z148" s="18">
        <v>1681</v>
      </c>
    </row>
    <row r="149" spans="1:26" ht="15.75" customHeight="1" x14ac:dyDescent="0.2">
      <c r="A149" s="36" t="str">
        <f>HYPERLINK("https://www.culver.edu", "Culver-Stockton College")</f>
        <v>Culver-Stockton College</v>
      </c>
      <c r="B149" s="18" t="s">
        <v>32</v>
      </c>
      <c r="C149" s="18" t="s">
        <v>164</v>
      </c>
      <c r="D149" s="18" t="s">
        <v>249</v>
      </c>
      <c r="E149" s="18">
        <v>1040</v>
      </c>
      <c r="F149" s="18" t="s">
        <v>35</v>
      </c>
      <c r="J149" s="19">
        <v>0.47720000000000001</v>
      </c>
      <c r="K149" s="19">
        <v>0.45454545499999999</v>
      </c>
      <c r="L149" s="19">
        <v>0.51829999999999998</v>
      </c>
      <c r="M149" s="19">
        <v>0.26090000000000002</v>
      </c>
      <c r="N149" s="19">
        <v>0</v>
      </c>
      <c r="O149" s="19">
        <v>0</v>
      </c>
      <c r="P149" s="20">
        <v>38850</v>
      </c>
      <c r="Q149" s="21" t="str">
        <f>HYPERLINK("https://www.culver.edu/value/", "$15957")</f>
        <v>$15957</v>
      </c>
      <c r="R149" s="20">
        <v>20295</v>
      </c>
      <c r="S149" s="20">
        <v>21457</v>
      </c>
      <c r="T149" s="20">
        <v>4500</v>
      </c>
      <c r="U149" s="20">
        <v>11457</v>
      </c>
      <c r="W149" s="19">
        <v>0.38</v>
      </c>
      <c r="X149" s="19">
        <v>0.29149999999999998</v>
      </c>
      <c r="Z149" s="18">
        <v>1029</v>
      </c>
    </row>
    <row r="150" spans="1:26" ht="15.75" customHeight="1" x14ac:dyDescent="0.2">
      <c r="A150" s="36" t="str">
        <f>HYPERLINK("https://www.cumberland.edu", "Cumberland University")</f>
        <v>Cumberland University</v>
      </c>
      <c r="B150" s="18" t="s">
        <v>32</v>
      </c>
      <c r="C150" s="18" t="s">
        <v>174</v>
      </c>
      <c r="D150" s="18" t="s">
        <v>687</v>
      </c>
      <c r="E150" s="18">
        <v>1066</v>
      </c>
      <c r="F150" s="18" t="s">
        <v>35</v>
      </c>
      <c r="J150" s="19">
        <v>0.49740000000000001</v>
      </c>
      <c r="K150" s="19">
        <v>0.41290322600000001</v>
      </c>
      <c r="L150" s="19">
        <v>0.4965</v>
      </c>
      <c r="M150" s="19">
        <v>0.5</v>
      </c>
      <c r="N150" s="19">
        <v>0.33329999999999999</v>
      </c>
      <c r="O150" s="19">
        <v>0</v>
      </c>
      <c r="P150" s="20">
        <v>36240</v>
      </c>
      <c r="Q150" s="21" t="str">
        <f>HYPERLINK("https://www.cumberland.edu/communications/NetPriceCalculator/npcalc.htm", "$18435")</f>
        <v>$18435</v>
      </c>
      <c r="R150" s="20">
        <v>23498</v>
      </c>
      <c r="S150" s="20">
        <v>24774</v>
      </c>
      <c r="T150" s="20">
        <v>7140</v>
      </c>
      <c r="U150" s="20">
        <v>11295</v>
      </c>
      <c r="W150" s="19">
        <v>0.32869999999999999</v>
      </c>
      <c r="X150" s="19">
        <v>0.42459999999999998</v>
      </c>
      <c r="Z150" s="18">
        <v>1658</v>
      </c>
    </row>
    <row r="151" spans="1:26" ht="15.75" customHeight="1" x14ac:dyDescent="0.2">
      <c r="A151" s="36" t="str">
        <f>HYPERLINK("https://www.curry.edu", "Curry College")</f>
        <v>Curry College</v>
      </c>
      <c r="B151" s="18" t="s">
        <v>32</v>
      </c>
      <c r="C151" s="18" t="s">
        <v>33</v>
      </c>
      <c r="D151" s="18" t="s">
        <v>689</v>
      </c>
      <c r="E151" s="18">
        <v>1018</v>
      </c>
      <c r="F151" s="18" t="s">
        <v>35</v>
      </c>
      <c r="J151" s="19">
        <v>0.52480000000000004</v>
      </c>
      <c r="K151" s="19">
        <v>0.47906976699999998</v>
      </c>
      <c r="L151" s="19">
        <v>0.55600000000000005</v>
      </c>
      <c r="M151" s="19">
        <v>0.30299999999999999</v>
      </c>
      <c r="N151" s="19">
        <v>0.4194</v>
      </c>
      <c r="O151" s="19">
        <v>0.5</v>
      </c>
      <c r="P151" s="20">
        <v>56966</v>
      </c>
      <c r="Q151" s="21" t="str">
        <f>HYPERLINK("https://www.curry.edu/npc", "$25636")</f>
        <v>$25636</v>
      </c>
      <c r="R151" s="20">
        <v>28182</v>
      </c>
      <c r="S151" s="20">
        <v>29615</v>
      </c>
      <c r="T151" s="20">
        <v>3295</v>
      </c>
      <c r="U151" s="20">
        <v>22341</v>
      </c>
      <c r="W151" s="19">
        <v>0.25519999999999998</v>
      </c>
      <c r="X151" s="19">
        <v>0.33489999999999998</v>
      </c>
      <c r="Z151" s="18">
        <v>2535</v>
      </c>
    </row>
    <row r="152" spans="1:26" ht="15.75" customHeight="1" x14ac:dyDescent="0.2">
      <c r="A152" s="36" t="str">
        <f>HYPERLINK("https://www.dyc.edu", "D'Youville College")</f>
        <v>D'Youville College</v>
      </c>
      <c r="B152" s="18" t="s">
        <v>32</v>
      </c>
      <c r="C152" s="18" t="s">
        <v>38</v>
      </c>
      <c r="D152" s="18" t="s">
        <v>322</v>
      </c>
      <c r="E152" s="18">
        <v>938</v>
      </c>
      <c r="F152" s="18" t="s">
        <v>35</v>
      </c>
      <c r="G152" s="18" t="s">
        <v>40</v>
      </c>
      <c r="H152" s="18" t="s">
        <v>690</v>
      </c>
      <c r="I152" s="18" t="s">
        <v>691</v>
      </c>
      <c r="J152" s="19">
        <v>0.54479999999999995</v>
      </c>
      <c r="K152" s="19">
        <v>0.62695924800000002</v>
      </c>
      <c r="L152" s="19">
        <v>0.59219999999999995</v>
      </c>
      <c r="M152" s="19">
        <v>0.37930000000000003</v>
      </c>
      <c r="N152" s="19">
        <v>0.35289999999999999</v>
      </c>
      <c r="O152" s="19">
        <v>0.66669999999999996</v>
      </c>
      <c r="P152" s="20">
        <v>41878</v>
      </c>
      <c r="Q152" s="21" t="str">
        <f>HYPERLINK("https://dyouville.info/npc", "$12004")</f>
        <v>$12004</v>
      </c>
      <c r="R152" s="20">
        <v>19326</v>
      </c>
      <c r="S152" s="20">
        <v>21646</v>
      </c>
      <c r="T152" s="20">
        <v>4200</v>
      </c>
      <c r="U152" s="20">
        <v>7804</v>
      </c>
      <c r="W152" s="19">
        <v>0.3508</v>
      </c>
      <c r="X152" s="19">
        <v>0.26740000000000003</v>
      </c>
      <c r="Z152" s="18">
        <v>1664</v>
      </c>
    </row>
    <row r="153" spans="1:26" ht="15.75" customHeight="1" x14ac:dyDescent="0.2">
      <c r="A153" s="36" t="str">
        <f>HYPERLINK("https://www.daemen.edu", "Daemen College")</f>
        <v>Daemen College</v>
      </c>
      <c r="B153" s="18" t="s">
        <v>32</v>
      </c>
      <c r="C153" s="18" t="s">
        <v>38</v>
      </c>
      <c r="D153" s="18" t="s">
        <v>34</v>
      </c>
      <c r="E153" s="18" t="s">
        <v>36</v>
      </c>
      <c r="F153" s="18" t="s">
        <v>90</v>
      </c>
      <c r="G153" s="18" t="s">
        <v>40</v>
      </c>
      <c r="H153" s="18" t="s">
        <v>693</v>
      </c>
      <c r="I153" s="18" t="s">
        <v>694</v>
      </c>
      <c r="J153" s="19">
        <v>0.55169999999999997</v>
      </c>
      <c r="K153" s="19">
        <v>0.38500000000000001</v>
      </c>
      <c r="L153" s="19">
        <v>0.58330000000000004</v>
      </c>
      <c r="M153" s="19">
        <v>0.5111</v>
      </c>
      <c r="N153" s="19">
        <v>0.37930000000000003</v>
      </c>
      <c r="O153" s="19">
        <v>0.54549999999999998</v>
      </c>
      <c r="P153" s="20">
        <v>43186</v>
      </c>
      <c r="Q153" s="21" t="str">
        <f>HYPERLINK("https://www.daemen.edu/admissions/financing-your-education/tuition-fees", "$10965")</f>
        <v>$10965</v>
      </c>
      <c r="R153" s="20">
        <v>15223</v>
      </c>
      <c r="S153" s="20">
        <v>20170</v>
      </c>
      <c r="T153" s="20">
        <v>2500</v>
      </c>
      <c r="U153" s="20">
        <v>8465</v>
      </c>
      <c r="W153" s="19">
        <v>0.34489999999999998</v>
      </c>
      <c r="X153" s="19">
        <v>0.25169999999999998</v>
      </c>
      <c r="Z153" s="18">
        <v>1768</v>
      </c>
    </row>
    <row r="154" spans="1:26" ht="15.75" customHeight="1" x14ac:dyDescent="0.2">
      <c r="A154" s="36" t="str">
        <f>HYPERLINK("https://dsu.edu", "Dakota State University")</f>
        <v>Dakota State University</v>
      </c>
      <c r="B154" s="18" t="s">
        <v>49</v>
      </c>
      <c r="C154" s="18" t="s">
        <v>302</v>
      </c>
      <c r="D154" s="18" t="s">
        <v>295</v>
      </c>
      <c r="E154" s="18">
        <v>1123</v>
      </c>
      <c r="F154" s="18" t="s">
        <v>35</v>
      </c>
      <c r="J154" s="19">
        <v>0.36049999999999999</v>
      </c>
      <c r="K154" s="19">
        <v>0.28571428599999998</v>
      </c>
      <c r="L154" s="19">
        <v>0.3765</v>
      </c>
      <c r="M154" s="19">
        <v>0.3</v>
      </c>
      <c r="N154" s="19">
        <v>0.1</v>
      </c>
      <c r="O154" s="19">
        <v>0.5</v>
      </c>
      <c r="P154" s="20">
        <v>24337</v>
      </c>
      <c r="Q154" s="21" t="str">
        <f>HYPERLINK("https://dsu.edu/admissions/financial-aid-tuition/net-price-calculator", "$18111")</f>
        <v>$18111</v>
      </c>
      <c r="R154" s="20">
        <v>20916</v>
      </c>
      <c r="S154" s="20">
        <v>22736</v>
      </c>
      <c r="T154" s="20">
        <v>5540</v>
      </c>
      <c r="U154" s="20">
        <v>12571.76666666667</v>
      </c>
      <c r="W154" s="19">
        <v>0.24579999999999999</v>
      </c>
      <c r="X154" s="19">
        <v>0.16250000000000001</v>
      </c>
      <c r="Z154" s="18">
        <v>2024</v>
      </c>
    </row>
    <row r="155" spans="1:26" ht="15.75" customHeight="1" x14ac:dyDescent="0.2">
      <c r="A155" s="36" t="str">
        <f>HYPERLINK("https://www.dwu.edu", "Dakota Wesleyan University")</f>
        <v>Dakota Wesleyan University</v>
      </c>
      <c r="B155" s="18" t="s">
        <v>32</v>
      </c>
      <c r="C155" s="18" t="s">
        <v>302</v>
      </c>
      <c r="D155" s="18" t="s">
        <v>698</v>
      </c>
      <c r="E155" s="18">
        <v>1096</v>
      </c>
      <c r="F155" s="18" t="s">
        <v>35</v>
      </c>
      <c r="J155" s="19">
        <v>0.51549999999999996</v>
      </c>
      <c r="K155" s="19">
        <v>0.37755102000000001</v>
      </c>
      <c r="L155" s="19">
        <v>0.56120000000000003</v>
      </c>
      <c r="M155" s="19">
        <v>0.16669999999999999</v>
      </c>
      <c r="N155" s="19">
        <v>0.25</v>
      </c>
      <c r="O155" s="19" t="s">
        <v>36</v>
      </c>
      <c r="P155" s="20">
        <v>37060</v>
      </c>
      <c r="Q155" s="21" t="str">
        <f>HYPERLINK("https://www.dwu.edu/financialaid/netpricecalculator/", "$17061")</f>
        <v>$17061</v>
      </c>
      <c r="R155" s="20">
        <v>20743</v>
      </c>
      <c r="S155" s="20">
        <v>21387</v>
      </c>
      <c r="T155" s="20">
        <v>2880</v>
      </c>
      <c r="U155" s="20">
        <v>14181</v>
      </c>
      <c r="W155" s="19">
        <v>0.29809999999999998</v>
      </c>
      <c r="X155" s="19">
        <v>0.1072</v>
      </c>
      <c r="Z155" s="18">
        <v>774</v>
      </c>
    </row>
    <row r="156" spans="1:26" ht="15.75" customHeight="1" x14ac:dyDescent="0.2">
      <c r="A156" s="36" t="str">
        <f>HYPERLINK("https://www.dbu.edu", "Dallas Baptist University")</f>
        <v>Dallas Baptist University</v>
      </c>
      <c r="B156" s="18" t="s">
        <v>32</v>
      </c>
      <c r="C156" s="18" t="s">
        <v>146</v>
      </c>
      <c r="D156" s="18" t="s">
        <v>152</v>
      </c>
      <c r="E156" s="18">
        <v>1122</v>
      </c>
      <c r="F156" s="18" t="s">
        <v>35</v>
      </c>
      <c r="J156" s="19">
        <v>0.5786</v>
      </c>
      <c r="K156" s="19">
        <v>0.49390243900000003</v>
      </c>
      <c r="L156" s="19">
        <v>0.61019999999999996</v>
      </c>
      <c r="M156" s="19">
        <v>0.35</v>
      </c>
      <c r="N156" s="19">
        <v>0.52</v>
      </c>
      <c r="O156" s="19">
        <v>0.44440000000000002</v>
      </c>
      <c r="P156" s="20">
        <v>39453</v>
      </c>
      <c r="Q156" s="21" t="str">
        <f>HYPERLINK("https://dbu.studentaidcalculator.com/survey.aspx", "$21634")</f>
        <v>$21634</v>
      </c>
      <c r="R156" s="20">
        <v>25903</v>
      </c>
      <c r="S156" s="20">
        <v>26216</v>
      </c>
      <c r="T156" s="20">
        <v>4233</v>
      </c>
      <c r="U156" s="20">
        <v>17401</v>
      </c>
      <c r="W156" s="19">
        <v>0.27460000000000001</v>
      </c>
      <c r="X156" s="19">
        <v>0.39369999999999999</v>
      </c>
      <c r="Z156" s="18">
        <v>3053</v>
      </c>
    </row>
    <row r="157" spans="1:26" ht="15.75" customHeight="1" x14ac:dyDescent="0.2">
      <c r="A157" s="36" t="str">
        <f>HYPERLINK("https://www.dewv.edu", "Davis &amp; Elkins College")</f>
        <v>Davis &amp; Elkins College</v>
      </c>
      <c r="B157" s="18" t="s">
        <v>32</v>
      </c>
      <c r="C157" s="18" t="s">
        <v>574</v>
      </c>
      <c r="D157" s="18" t="s">
        <v>699</v>
      </c>
      <c r="E157" s="18">
        <v>1007</v>
      </c>
      <c r="F157" s="18" t="s">
        <v>35</v>
      </c>
      <c r="J157" s="19">
        <v>0.42170000000000002</v>
      </c>
      <c r="K157" s="19">
        <v>0.4</v>
      </c>
      <c r="L157" s="19">
        <v>0.43140000000000001</v>
      </c>
      <c r="M157" s="19">
        <v>0.21429999999999999</v>
      </c>
      <c r="N157" s="19">
        <v>0</v>
      </c>
      <c r="O157" s="19">
        <v>0.66669999999999996</v>
      </c>
      <c r="P157" s="20">
        <v>42396</v>
      </c>
      <c r="Q157" s="21" t="str">
        <f>HYPERLINK("https://www.dewv.edu/calculator", "$14168")</f>
        <v>$14168</v>
      </c>
      <c r="R157" s="20">
        <v>15715</v>
      </c>
      <c r="S157" s="20">
        <v>20247</v>
      </c>
      <c r="T157" s="20">
        <v>4154</v>
      </c>
      <c r="U157" s="20">
        <v>10014</v>
      </c>
      <c r="W157" s="19">
        <v>0.40989999999999999</v>
      </c>
      <c r="X157" s="19">
        <v>0.45889999999999997</v>
      </c>
      <c r="Z157" s="18">
        <v>791</v>
      </c>
    </row>
    <row r="158" spans="1:26" ht="15.75" customHeight="1" x14ac:dyDescent="0.2">
      <c r="A158" s="36" t="str">
        <f>HYPERLINK("https://www.desales.edu", "DeSales University")</f>
        <v>DeSales University</v>
      </c>
      <c r="B158" s="18" t="s">
        <v>32</v>
      </c>
      <c r="C158" s="18" t="s">
        <v>65</v>
      </c>
      <c r="D158" s="18" t="s">
        <v>700</v>
      </c>
      <c r="E158" s="18">
        <v>1137</v>
      </c>
      <c r="F158" s="18" t="s">
        <v>35</v>
      </c>
      <c r="J158" s="19">
        <v>0.70109999999999995</v>
      </c>
      <c r="K158" s="19">
        <v>0.169934641</v>
      </c>
      <c r="L158" s="19">
        <v>0.69689999999999996</v>
      </c>
      <c r="M158" s="19">
        <v>0.8</v>
      </c>
      <c r="N158" s="19">
        <v>0.6774</v>
      </c>
      <c r="O158" s="19">
        <v>0.63639999999999997</v>
      </c>
      <c r="P158" s="20">
        <v>52340</v>
      </c>
      <c r="Q158" s="21" t="str">
        <f>HYPERLINK("https://cvweb02.desales.edu/costestimator/", "$22619")</f>
        <v>$22619</v>
      </c>
      <c r="R158" s="20">
        <v>25690</v>
      </c>
      <c r="S158" s="20">
        <v>28589</v>
      </c>
      <c r="T158" s="20">
        <v>3640</v>
      </c>
      <c r="U158" s="20">
        <v>18979</v>
      </c>
      <c r="W158" s="19">
        <v>0.25130000000000002</v>
      </c>
      <c r="X158" s="19">
        <v>0.28720000000000001</v>
      </c>
      <c r="Z158" s="18">
        <v>2291</v>
      </c>
    </row>
    <row r="159" spans="1:26" ht="15.75" customHeight="1" x14ac:dyDescent="0.2">
      <c r="A159" s="36" t="str">
        <f>HYPERLINK("https://www.defiance.edu", "Defiance College")</f>
        <v>Defiance College</v>
      </c>
      <c r="B159" s="18" t="s">
        <v>32</v>
      </c>
      <c r="C159" s="18" t="s">
        <v>75</v>
      </c>
      <c r="D159" s="18" t="s">
        <v>701</v>
      </c>
      <c r="E159" s="18">
        <v>1003</v>
      </c>
      <c r="F159" s="18" t="s">
        <v>35</v>
      </c>
      <c r="J159" s="19">
        <v>0.39250000000000002</v>
      </c>
      <c r="K159" s="19">
        <v>0.30088495599999998</v>
      </c>
      <c r="L159" s="19">
        <v>0.45019999999999999</v>
      </c>
      <c r="M159" s="19">
        <v>0.16950000000000001</v>
      </c>
      <c r="N159" s="19">
        <v>0.4</v>
      </c>
      <c r="O159" s="19" t="s">
        <v>36</v>
      </c>
      <c r="P159" s="20">
        <v>46040</v>
      </c>
      <c r="Q159" s="21" t="str">
        <f>HYPERLINK("https://defiance.studentaidcalculator.com/survey.aspx", "$23287")</f>
        <v>$23287</v>
      </c>
      <c r="R159" s="20">
        <v>23079</v>
      </c>
      <c r="S159" s="20">
        <v>25852</v>
      </c>
      <c r="T159" s="20">
        <v>3800</v>
      </c>
      <c r="U159" s="20">
        <v>19487</v>
      </c>
      <c r="W159" s="19">
        <v>0.42270000000000002</v>
      </c>
      <c r="X159" s="19">
        <v>0.26329999999999998</v>
      </c>
      <c r="Z159" s="18">
        <v>581</v>
      </c>
    </row>
    <row r="160" spans="1:26" ht="15.75" customHeight="1" x14ac:dyDescent="0.2">
      <c r="A160" s="36" t="str">
        <f>HYPERLINK("https://www.delval.edu", "Delaware Valley University")</f>
        <v>Delaware Valley University</v>
      </c>
      <c r="B160" s="18" t="s">
        <v>32</v>
      </c>
      <c r="C160" s="18" t="s">
        <v>65</v>
      </c>
      <c r="D160" s="18" t="s">
        <v>702</v>
      </c>
      <c r="E160" s="18">
        <v>1070</v>
      </c>
      <c r="F160" s="18" t="s">
        <v>35</v>
      </c>
      <c r="J160" s="19">
        <v>0.55899999999999994</v>
      </c>
      <c r="K160" s="19">
        <v>0.361538462</v>
      </c>
      <c r="L160" s="19">
        <v>0.57700000000000007</v>
      </c>
      <c r="M160" s="19">
        <v>0.5</v>
      </c>
      <c r="N160" s="19">
        <v>0.5</v>
      </c>
      <c r="O160" s="19">
        <v>1</v>
      </c>
      <c r="P160" s="20">
        <v>54750</v>
      </c>
      <c r="Q160" s="21" t="str">
        <f>HYPERLINK("https://www.delval.edu/admission/undergraduate-admission/affording-delval", "$24912")</f>
        <v>$24912</v>
      </c>
      <c r="R160" s="20">
        <v>27079</v>
      </c>
      <c r="S160" s="20">
        <v>30584</v>
      </c>
      <c r="T160" s="20">
        <v>2800</v>
      </c>
      <c r="U160" s="20">
        <v>22112</v>
      </c>
      <c r="W160" s="19">
        <v>0.2944</v>
      </c>
      <c r="X160" s="19">
        <v>0.30869999999999997</v>
      </c>
      <c r="Z160" s="18">
        <v>1908</v>
      </c>
    </row>
    <row r="161" spans="1:26" ht="15.75" customHeight="1" x14ac:dyDescent="0.2">
      <c r="A161" s="36" t="str">
        <f>HYPERLINK("https://www.deltastate.edu", "Delta State University")</f>
        <v>Delta State University</v>
      </c>
      <c r="B161" s="18" t="s">
        <v>49</v>
      </c>
      <c r="C161" s="18" t="s">
        <v>59</v>
      </c>
      <c r="D161" s="18" t="s">
        <v>76</v>
      </c>
      <c r="E161" s="18">
        <v>1047</v>
      </c>
      <c r="F161" s="18" t="s">
        <v>35</v>
      </c>
      <c r="J161" s="19">
        <v>0.39629999999999999</v>
      </c>
      <c r="K161" s="19">
        <v>0.23674911700000001</v>
      </c>
      <c r="L161" s="19">
        <v>0.4869</v>
      </c>
      <c r="M161" s="19">
        <v>0.21190000000000001</v>
      </c>
      <c r="N161" s="19">
        <v>0.5</v>
      </c>
      <c r="O161" s="19">
        <v>1</v>
      </c>
      <c r="P161" s="20">
        <v>19543</v>
      </c>
      <c r="Q161" s="21" t="str">
        <f>HYPERLINK("https://npcalc.deltastate.edu/", "$11785")</f>
        <v>$11785</v>
      </c>
      <c r="R161" s="20">
        <v>15418</v>
      </c>
      <c r="S161" s="20">
        <v>15801</v>
      </c>
      <c r="T161" s="20">
        <v>5100</v>
      </c>
      <c r="U161" s="20">
        <v>6685.1736111111113</v>
      </c>
      <c r="W161" s="19">
        <v>0.4249</v>
      </c>
      <c r="X161" s="19">
        <v>0.42199999999999999</v>
      </c>
      <c r="Z161" s="18">
        <v>2360</v>
      </c>
    </row>
    <row r="162" spans="1:26" ht="15.75" customHeight="1" x14ac:dyDescent="0.2">
      <c r="A162" s="36" t="str">
        <f>HYPERLINK("https://www.dc.edu", "Dominican College of Blauvelt")</f>
        <v>Dominican College of Blauvelt</v>
      </c>
      <c r="B162" s="18" t="s">
        <v>32</v>
      </c>
      <c r="C162" s="18" t="s">
        <v>38</v>
      </c>
      <c r="D162" s="18" t="s">
        <v>647</v>
      </c>
      <c r="E162" s="18">
        <v>986</v>
      </c>
      <c r="F162" s="18" t="s">
        <v>115</v>
      </c>
      <c r="J162" s="19">
        <v>0.43180000000000002</v>
      </c>
      <c r="K162" s="19">
        <v>0.45833333300000001</v>
      </c>
      <c r="L162" s="19">
        <v>0.47660000000000002</v>
      </c>
      <c r="M162" s="19">
        <v>0.35210000000000002</v>
      </c>
      <c r="N162" s="19">
        <v>0.40710000000000002</v>
      </c>
      <c r="O162" s="19">
        <v>0.66669999999999996</v>
      </c>
      <c r="P162" s="20">
        <v>45568</v>
      </c>
      <c r="Q162" s="21" t="str">
        <f>HYPERLINK("https://www.dc.edu/admissions/financial-aid-2/net-price-calculator/", "$14981")</f>
        <v>$14981</v>
      </c>
      <c r="R162" s="20">
        <v>21424</v>
      </c>
      <c r="S162" s="20">
        <v>22604</v>
      </c>
      <c r="T162" s="20">
        <v>4450</v>
      </c>
      <c r="U162" s="20">
        <v>10531</v>
      </c>
      <c r="W162" s="19">
        <v>0.42349999999999999</v>
      </c>
      <c r="X162" s="19">
        <v>0.64539999999999997</v>
      </c>
      <c r="Z162" s="18">
        <v>1413</v>
      </c>
    </row>
    <row r="163" spans="1:26" ht="15.75" customHeight="1" x14ac:dyDescent="0.2">
      <c r="A163" s="36" t="str">
        <f>HYPERLINK("https://www.dom.edu/", "Dominican University")</f>
        <v>Dominican University</v>
      </c>
      <c r="B163" s="18" t="s">
        <v>32</v>
      </c>
      <c r="C163" s="18" t="s">
        <v>137</v>
      </c>
      <c r="D163" s="18" t="s">
        <v>681</v>
      </c>
      <c r="E163" s="18">
        <v>1124</v>
      </c>
      <c r="F163" s="18" t="s">
        <v>35</v>
      </c>
      <c r="J163" s="19">
        <v>0.62080000000000002</v>
      </c>
      <c r="K163" s="19">
        <v>0.57070707100000007</v>
      </c>
      <c r="L163" s="19">
        <v>0.71260000000000001</v>
      </c>
      <c r="M163" s="19">
        <v>0.36670000000000003</v>
      </c>
      <c r="N163" s="19">
        <v>0.5897</v>
      </c>
      <c r="O163" s="19">
        <v>0.5</v>
      </c>
      <c r="P163" s="20">
        <v>44972</v>
      </c>
      <c r="Q163" s="21" t="str">
        <f>HYPERLINK("https://dom.studentaidcalculator.com/survey.aspx", "$15126")</f>
        <v>$15126</v>
      </c>
      <c r="R163" s="20">
        <v>17843</v>
      </c>
      <c r="S163" s="20">
        <v>20591</v>
      </c>
      <c r="T163" s="20">
        <v>2500</v>
      </c>
      <c r="U163" s="20">
        <v>12626</v>
      </c>
      <c r="W163" s="19">
        <v>0.48480000000000001</v>
      </c>
      <c r="X163" s="19">
        <v>0.66639999999999999</v>
      </c>
      <c r="Z163" s="18">
        <v>2155</v>
      </c>
    </row>
    <row r="164" spans="1:26" ht="15.75" customHeight="1" x14ac:dyDescent="0.2">
      <c r="A164" s="36" t="str">
        <f>HYPERLINK("https://www.dominican.edu", "Dominican University of California")</f>
        <v>Dominican University of California</v>
      </c>
      <c r="B164" s="18" t="s">
        <v>32</v>
      </c>
      <c r="C164" s="18" t="s">
        <v>68</v>
      </c>
      <c r="D164" s="18" t="s">
        <v>705</v>
      </c>
      <c r="E164" s="18">
        <v>1127</v>
      </c>
      <c r="F164" s="18" t="s">
        <v>35</v>
      </c>
      <c r="J164" s="19">
        <v>0.72040000000000004</v>
      </c>
      <c r="K164" s="19">
        <v>0.582677165</v>
      </c>
      <c r="L164" s="19">
        <v>0.70889999999999997</v>
      </c>
      <c r="M164" s="19">
        <v>0.71430000000000005</v>
      </c>
      <c r="N164" s="19">
        <v>0.69510000000000005</v>
      </c>
      <c r="O164" s="19">
        <v>0.90480000000000005</v>
      </c>
      <c r="P164" s="20">
        <v>64436</v>
      </c>
      <c r="Q164" s="21" t="str">
        <f>HYPERLINK("https://www.dominican.edu/admissions/aid/net-price-calculator-npc", "$28916")</f>
        <v>$28916</v>
      </c>
      <c r="R164" s="20">
        <v>29420</v>
      </c>
      <c r="S164" s="20">
        <v>33186</v>
      </c>
      <c r="T164" s="20">
        <v>5096</v>
      </c>
      <c r="U164" s="20">
        <v>23820</v>
      </c>
      <c r="W164" s="19">
        <v>0.3004</v>
      </c>
      <c r="X164" s="19">
        <v>0.68459999999999999</v>
      </c>
      <c r="Z164" s="18">
        <v>1284</v>
      </c>
    </row>
    <row r="165" spans="1:26" ht="15.75" customHeight="1" x14ac:dyDescent="0.2">
      <c r="A165" s="36" t="str">
        <f>HYPERLINK("https://www.ecu.edu", "East Carolina University")</f>
        <v>East Carolina University</v>
      </c>
      <c r="B165" s="18" t="s">
        <v>49</v>
      </c>
      <c r="C165" s="18" t="s">
        <v>103</v>
      </c>
      <c r="D165" s="18" t="s">
        <v>220</v>
      </c>
      <c r="E165" s="18">
        <v>1105</v>
      </c>
      <c r="F165" s="18" t="s">
        <v>35</v>
      </c>
      <c r="J165" s="19">
        <v>0.62139999999999995</v>
      </c>
      <c r="K165" s="19">
        <v>0.56570512799999995</v>
      </c>
      <c r="L165" s="19">
        <v>0.62519999999999998</v>
      </c>
      <c r="M165" s="19">
        <v>0.60350000000000004</v>
      </c>
      <c r="N165" s="19">
        <v>0.63490000000000002</v>
      </c>
      <c r="O165" s="19">
        <v>0.62829999999999997</v>
      </c>
      <c r="P165" s="20">
        <v>38277</v>
      </c>
      <c r="Q165" s="21" t="str">
        <f>HYPERLINK("https://www.ecu.edu/cs-acad/financial/netprice-calculator.cfm", "$28355")</f>
        <v>$28355</v>
      </c>
      <c r="R165" s="20">
        <v>32817</v>
      </c>
      <c r="S165" s="20">
        <v>36539</v>
      </c>
      <c r="T165" s="20">
        <v>5022</v>
      </c>
      <c r="U165" s="20">
        <v>23333.1247689464</v>
      </c>
      <c r="W165" s="19">
        <v>0.33529999999999999</v>
      </c>
      <c r="X165" s="19">
        <v>0.33079999999999998</v>
      </c>
      <c r="Z165" s="18">
        <v>22598</v>
      </c>
    </row>
    <row r="166" spans="1:26" ht="15.75" customHeight="1" x14ac:dyDescent="0.2">
      <c r="A166" s="36" t="str">
        <f>HYPERLINK("https://www.ecok.edu", "East Central University")</f>
        <v>East Central University</v>
      </c>
      <c r="B166" s="18" t="s">
        <v>49</v>
      </c>
      <c r="C166" s="18" t="s">
        <v>290</v>
      </c>
      <c r="D166" s="18" t="s">
        <v>435</v>
      </c>
      <c r="E166" s="18">
        <v>1045</v>
      </c>
      <c r="F166" s="18" t="s">
        <v>35</v>
      </c>
      <c r="J166" s="19">
        <v>0.32579999999999998</v>
      </c>
      <c r="K166" s="19">
        <v>0.38612368000000002</v>
      </c>
      <c r="L166" s="19">
        <v>0.3427</v>
      </c>
      <c r="M166" s="19">
        <v>0.1429</v>
      </c>
      <c r="N166" s="19">
        <v>0.3</v>
      </c>
      <c r="O166" s="19">
        <v>1</v>
      </c>
      <c r="P166" s="20">
        <v>26974</v>
      </c>
      <c r="Q166" s="21" t="str">
        <f>HYPERLINK("https://www.ecok.edu/current-students/paying-college/net-price-calculator", "$18873")</f>
        <v>$18873</v>
      </c>
      <c r="R166" s="20">
        <v>22565</v>
      </c>
      <c r="S166" s="20">
        <v>24987</v>
      </c>
      <c r="T166" s="20">
        <v>4524</v>
      </c>
      <c r="U166" s="20">
        <v>14349.69230769231</v>
      </c>
      <c r="W166" s="19">
        <v>0.42080000000000001</v>
      </c>
      <c r="X166" s="19">
        <v>0.42870000000000003</v>
      </c>
      <c r="Z166" s="18">
        <v>2860</v>
      </c>
    </row>
    <row r="167" spans="1:26" ht="15.75" customHeight="1" x14ac:dyDescent="0.2">
      <c r="A167" s="36" t="str">
        <f>HYPERLINK("https://www4.esu.edu/", "East Stroudsburg University of Pennsylvania")</f>
        <v>East Stroudsburg University of Pennsylvania</v>
      </c>
      <c r="B167" s="18" t="s">
        <v>49</v>
      </c>
      <c r="C167" s="18" t="s">
        <v>65</v>
      </c>
      <c r="D167" s="18" t="s">
        <v>706</v>
      </c>
      <c r="E167" s="18">
        <v>1018</v>
      </c>
      <c r="F167" s="18" t="s">
        <v>115</v>
      </c>
      <c r="J167" s="19">
        <v>0.48139999999999999</v>
      </c>
      <c r="K167" s="19">
        <v>0.41304347800000002</v>
      </c>
      <c r="L167" s="19">
        <v>0.54930000000000001</v>
      </c>
      <c r="M167" s="19">
        <v>0.36840000000000001</v>
      </c>
      <c r="N167" s="19">
        <v>0.35659999999999997</v>
      </c>
      <c r="O167" s="19">
        <v>0.3</v>
      </c>
      <c r="P167" s="20">
        <v>34640</v>
      </c>
      <c r="Q167" s="21" t="str">
        <f>HYPERLINK("https://www.passhe.edu/answers/Calculator/EA/npcalc-212115.htm", "$26258")</f>
        <v>$26258</v>
      </c>
      <c r="R167" s="20">
        <v>30742</v>
      </c>
      <c r="S167" s="20">
        <v>32867</v>
      </c>
      <c r="T167" s="20">
        <v>4070</v>
      </c>
      <c r="U167" s="20">
        <v>22188.39473684211</v>
      </c>
      <c r="W167" s="19">
        <v>0.36599999999999999</v>
      </c>
      <c r="X167" s="19">
        <v>0.38650000000000001</v>
      </c>
      <c r="Z167" s="18">
        <v>5972</v>
      </c>
    </row>
    <row r="168" spans="1:26" ht="15.75" customHeight="1" x14ac:dyDescent="0.2">
      <c r="A168" s="36" t="str">
        <f>HYPERLINK("https://www.etsu.edu", "East Tennessee State University")</f>
        <v>East Tennessee State University</v>
      </c>
      <c r="B168" s="18" t="s">
        <v>49</v>
      </c>
      <c r="C168" s="18" t="s">
        <v>174</v>
      </c>
      <c r="D168" s="18" t="s">
        <v>707</v>
      </c>
      <c r="E168" s="18">
        <v>1122</v>
      </c>
      <c r="F168" s="18" t="s">
        <v>35</v>
      </c>
      <c r="J168" s="19">
        <v>0.41160000000000002</v>
      </c>
      <c r="K168" s="19">
        <v>0.38602220799999998</v>
      </c>
      <c r="L168" s="19">
        <v>0.42720000000000002</v>
      </c>
      <c r="M168" s="19">
        <v>0.2606</v>
      </c>
      <c r="N168" s="19">
        <v>0.5</v>
      </c>
      <c r="O168" s="19">
        <v>0.52629999999999999</v>
      </c>
      <c r="P168" s="20">
        <v>39090</v>
      </c>
      <c r="Q168" s="21" t="str">
        <f>HYPERLINK("https://www.etsu.edu/finaid/cost/costcalc.php#tab-4-1", "$28867")</f>
        <v>$28867</v>
      </c>
      <c r="R168" s="20">
        <v>33472</v>
      </c>
      <c r="S168" s="20">
        <v>35943</v>
      </c>
      <c r="T168" s="20">
        <v>4675</v>
      </c>
      <c r="U168" s="20">
        <v>24192.473282442748</v>
      </c>
      <c r="W168" s="19">
        <v>0.40799999999999997</v>
      </c>
      <c r="X168" s="19">
        <v>0.1857</v>
      </c>
      <c r="Z168" s="18">
        <v>10881</v>
      </c>
    </row>
    <row r="169" spans="1:26" ht="15.75" customHeight="1" x14ac:dyDescent="0.2">
      <c r="A169" s="36" t="str">
        <f>HYPERLINK("https://www.etbu.edu", "East Texas Baptist University")</f>
        <v>East Texas Baptist University</v>
      </c>
      <c r="B169" s="18" t="s">
        <v>32</v>
      </c>
      <c r="C169" s="18" t="s">
        <v>146</v>
      </c>
      <c r="D169" s="18" t="s">
        <v>709</v>
      </c>
      <c r="E169" s="18">
        <v>1045</v>
      </c>
      <c r="F169" s="18" t="s">
        <v>35</v>
      </c>
      <c r="J169" s="19">
        <v>0.31</v>
      </c>
      <c r="K169" s="19">
        <v>0.33333333300000001</v>
      </c>
      <c r="L169" s="19">
        <v>0.36870000000000003</v>
      </c>
      <c r="M169" s="19">
        <v>0.20269999999999999</v>
      </c>
      <c r="N169" s="19">
        <v>0.33329999999999999</v>
      </c>
      <c r="O169" s="19" t="s">
        <v>36</v>
      </c>
      <c r="P169" s="20">
        <v>38076</v>
      </c>
      <c r="Q169" s="21" t="str">
        <f>HYPERLINK("https://www.etbu.edu/php/npc/npcalc.htm", "$17287")</f>
        <v>$17287</v>
      </c>
      <c r="R169" s="20">
        <v>17930</v>
      </c>
      <c r="S169" s="20">
        <v>21755</v>
      </c>
      <c r="T169" s="20">
        <v>3258</v>
      </c>
      <c r="U169" s="20">
        <v>14029</v>
      </c>
      <c r="W169" s="19">
        <v>0.42199999999999999</v>
      </c>
      <c r="X169" s="19">
        <v>0.33050000000000002</v>
      </c>
      <c r="Z169" s="18">
        <v>1298</v>
      </c>
    </row>
    <row r="170" spans="1:26" ht="15.75" customHeight="1" x14ac:dyDescent="0.2">
      <c r="A170" s="36" t="str">
        <f>HYPERLINK("https://www.eastwest.edu", "East-West University")</f>
        <v>East-West University</v>
      </c>
      <c r="B170" s="18" t="s">
        <v>32</v>
      </c>
      <c r="C170" s="18" t="s">
        <v>137</v>
      </c>
      <c r="D170" s="18" t="s">
        <v>161</v>
      </c>
      <c r="E170" s="18">
        <v>910</v>
      </c>
      <c r="F170" s="18" t="s">
        <v>115</v>
      </c>
      <c r="J170" s="19">
        <v>0.10929999999999999</v>
      </c>
      <c r="K170" s="19">
        <v>8.9974293000000011E-2</v>
      </c>
      <c r="L170" s="19">
        <v>0.3</v>
      </c>
      <c r="M170" s="19">
        <v>6.5100000000000005E-2</v>
      </c>
      <c r="N170" s="19">
        <v>0.1714</v>
      </c>
      <c r="O170" s="19">
        <v>5.8799999999999998E-2</v>
      </c>
      <c r="P170" s="20">
        <v>40100</v>
      </c>
      <c r="Q170" s="21" t="str">
        <f>HYPERLINK("https://www.eastwest.edu/NetPriceCalculator/npcalc.htm", "$25646")</f>
        <v>$25646</v>
      </c>
      <c r="R170" s="20">
        <v>24645</v>
      </c>
      <c r="S170" s="20">
        <v>23376</v>
      </c>
      <c r="T170" s="20">
        <v>5600</v>
      </c>
      <c r="U170" s="20">
        <v>20046</v>
      </c>
      <c r="W170" s="19">
        <v>0.71209999999999996</v>
      </c>
      <c r="X170" s="19">
        <v>0.97670000000000001</v>
      </c>
      <c r="Z170" s="18">
        <v>430</v>
      </c>
    </row>
    <row r="171" spans="1:26" ht="15.75" customHeight="1" x14ac:dyDescent="0.2">
      <c r="A171" s="36" t="str">
        <f>HYPERLINK("https://www.easternct.edu/", "Eastern Connecticut State University")</f>
        <v>Eastern Connecticut State University</v>
      </c>
      <c r="B171" s="18" t="s">
        <v>49</v>
      </c>
      <c r="C171" s="18" t="s">
        <v>94</v>
      </c>
      <c r="D171" s="18" t="s">
        <v>712</v>
      </c>
      <c r="E171" s="18" t="s">
        <v>36</v>
      </c>
      <c r="F171" s="18" t="s">
        <v>90</v>
      </c>
      <c r="J171" s="19">
        <v>0.54459999999999997</v>
      </c>
      <c r="K171" s="19">
        <v>0.43571428600000001</v>
      </c>
      <c r="L171" s="19">
        <v>0.57220000000000004</v>
      </c>
      <c r="M171" s="19">
        <v>0.3947</v>
      </c>
      <c r="N171" s="19">
        <v>0.45240000000000002</v>
      </c>
      <c r="O171" s="19">
        <v>0.66669999999999996</v>
      </c>
      <c r="P171" s="20">
        <v>39709</v>
      </c>
      <c r="Q171" s="21" t="str">
        <f>HYPERLINK("https://easternct.studentaidcalculator.com/survey.aspx", "$30427")</f>
        <v>$30427</v>
      </c>
      <c r="R171" s="20">
        <v>31808</v>
      </c>
      <c r="S171" s="20">
        <v>34833</v>
      </c>
      <c r="T171" s="20">
        <v>3051</v>
      </c>
      <c r="U171" s="20">
        <v>27376.179611650481</v>
      </c>
      <c r="W171" s="19">
        <v>0.31709999999999999</v>
      </c>
      <c r="X171" s="19">
        <v>0.33129999999999998</v>
      </c>
      <c r="Z171" s="18">
        <v>4669</v>
      </c>
    </row>
    <row r="172" spans="1:26" ht="15.75" customHeight="1" x14ac:dyDescent="0.2">
      <c r="A172" s="36" t="str">
        <f>HYPERLINK("https://www.eiu.edu/", "Eastern Illinois University")</f>
        <v>Eastern Illinois University</v>
      </c>
      <c r="B172" s="18" t="s">
        <v>49</v>
      </c>
      <c r="C172" s="18" t="s">
        <v>137</v>
      </c>
      <c r="D172" s="18" t="s">
        <v>334</v>
      </c>
      <c r="E172" s="18">
        <v>1045</v>
      </c>
      <c r="F172" s="18" t="s">
        <v>35</v>
      </c>
      <c r="J172" s="19">
        <v>0.56320000000000003</v>
      </c>
      <c r="K172" s="19">
        <v>0.45641025600000001</v>
      </c>
      <c r="L172" s="19">
        <v>0.62080000000000002</v>
      </c>
      <c r="M172" s="19">
        <v>0.4592</v>
      </c>
      <c r="N172" s="19">
        <v>0.44929999999999998</v>
      </c>
      <c r="O172" s="19">
        <v>0.25</v>
      </c>
      <c r="P172" s="20">
        <v>25821</v>
      </c>
      <c r="Q172" s="21" t="str">
        <f>HYPERLINK("https://www.eiu.edu/finaid/calculator.php", "$14410")</f>
        <v>$14410</v>
      </c>
      <c r="R172" s="20">
        <v>16359</v>
      </c>
      <c r="S172" s="20">
        <v>22126</v>
      </c>
      <c r="T172" s="20">
        <v>2217</v>
      </c>
      <c r="U172" s="20">
        <v>12193.34782608696</v>
      </c>
      <c r="W172" s="19">
        <v>0.40439999999999998</v>
      </c>
      <c r="X172" s="19">
        <v>0.36990000000000001</v>
      </c>
      <c r="Z172" s="18">
        <v>4877</v>
      </c>
    </row>
    <row r="173" spans="1:26" ht="15.75" customHeight="1" x14ac:dyDescent="0.2">
      <c r="A173" s="36" t="str">
        <f>HYPERLINK("https://www.eku.edu", "Eastern Kentucky University")</f>
        <v>Eastern Kentucky University</v>
      </c>
      <c r="B173" s="18" t="s">
        <v>49</v>
      </c>
      <c r="C173" s="18" t="s">
        <v>205</v>
      </c>
      <c r="D173" s="18" t="s">
        <v>350</v>
      </c>
      <c r="E173" s="18">
        <v>1123</v>
      </c>
      <c r="F173" s="18" t="s">
        <v>35</v>
      </c>
      <c r="J173" s="19">
        <v>0.43830000000000002</v>
      </c>
      <c r="K173" s="19">
        <v>0.36390186899999999</v>
      </c>
      <c r="L173" s="19">
        <v>0.46650000000000003</v>
      </c>
      <c r="M173" s="19">
        <v>0.20349999999999999</v>
      </c>
      <c r="N173" s="19">
        <v>0.3871</v>
      </c>
      <c r="O173" s="19">
        <v>0.32</v>
      </c>
      <c r="P173" s="20">
        <v>31978</v>
      </c>
      <c r="Q173" s="21" t="str">
        <f>HYPERLINK("https://finaid.eku.edu", "$20828")</f>
        <v>$20828</v>
      </c>
      <c r="R173" s="20">
        <v>23546</v>
      </c>
      <c r="S173" s="20">
        <v>25805</v>
      </c>
      <c r="T173" s="20">
        <v>4000</v>
      </c>
      <c r="U173" s="20">
        <v>16828.166287015949</v>
      </c>
      <c r="W173" s="19">
        <v>0.38840000000000002</v>
      </c>
      <c r="X173" s="19">
        <v>0.15429999999999999</v>
      </c>
      <c r="Z173" s="18">
        <v>12750</v>
      </c>
    </row>
    <row r="174" spans="1:26" ht="15.75" customHeight="1" x14ac:dyDescent="0.2">
      <c r="A174" s="36" t="str">
        <f>HYPERLINK("https://www.emich.edu", "Eastern Michigan University")</f>
        <v>Eastern Michigan University</v>
      </c>
      <c r="B174" s="18" t="s">
        <v>49</v>
      </c>
      <c r="C174" s="18" t="s">
        <v>226</v>
      </c>
      <c r="D174" s="18" t="s">
        <v>714</v>
      </c>
      <c r="E174" s="18">
        <v>1046</v>
      </c>
      <c r="F174" s="18" t="s">
        <v>35</v>
      </c>
      <c r="J174" s="19">
        <v>0.40400000000000003</v>
      </c>
      <c r="K174" s="19">
        <v>0.39120262099999997</v>
      </c>
      <c r="L174" s="19">
        <v>0.49909999999999999</v>
      </c>
      <c r="M174" s="19">
        <v>0.21909999999999999</v>
      </c>
      <c r="N174" s="19">
        <v>0.37330000000000002</v>
      </c>
      <c r="O174" s="19">
        <v>0.55000000000000004</v>
      </c>
      <c r="P174" s="20">
        <v>42488</v>
      </c>
      <c r="Q174" s="21" t="str">
        <f>HYPERLINK("https://www.emich.edu/finaid/calculator/", "$32807")</f>
        <v>$32807</v>
      </c>
      <c r="R174" s="20">
        <v>34679</v>
      </c>
      <c r="S174" s="20">
        <v>37229</v>
      </c>
      <c r="T174" s="20">
        <v>3434</v>
      </c>
      <c r="U174" s="20">
        <v>29373.744186046511</v>
      </c>
      <c r="W174" s="19">
        <v>0.40610000000000002</v>
      </c>
      <c r="X174" s="19">
        <v>0.35809999999999997</v>
      </c>
      <c r="Z174" s="18">
        <v>16536</v>
      </c>
    </row>
    <row r="175" spans="1:26" ht="15.75" customHeight="1" x14ac:dyDescent="0.2">
      <c r="A175" s="36" t="str">
        <f>HYPERLINK("https://www.enc.edu", "Eastern Nazarene College")</f>
        <v>Eastern Nazarene College</v>
      </c>
      <c r="B175" s="18" t="s">
        <v>32</v>
      </c>
      <c r="C175" s="18" t="s">
        <v>33</v>
      </c>
      <c r="D175" s="18" t="s">
        <v>716</v>
      </c>
      <c r="E175" s="18">
        <v>1049</v>
      </c>
      <c r="F175" s="18" t="s">
        <v>35</v>
      </c>
      <c r="J175" s="19">
        <v>0.49380000000000002</v>
      </c>
      <c r="K175" s="19">
        <v>0.34210526299999999</v>
      </c>
      <c r="L175" s="19">
        <v>0.57579999999999998</v>
      </c>
      <c r="M175" s="19">
        <v>0.30430000000000001</v>
      </c>
      <c r="N175" s="19">
        <v>0.33329999999999999</v>
      </c>
      <c r="O175" s="19">
        <v>0.25</v>
      </c>
      <c r="P175" s="20">
        <v>44574</v>
      </c>
      <c r="Q175" s="21" t="str">
        <f>HYPERLINK("https://enc.edu/undergraduate/financial-aid/net-price-calculator/", "$14151")</f>
        <v>$14151</v>
      </c>
      <c r="R175" s="20">
        <v>15619</v>
      </c>
      <c r="S175" s="20">
        <v>17289</v>
      </c>
      <c r="T175" s="20">
        <v>3460</v>
      </c>
      <c r="U175" s="20">
        <v>10691</v>
      </c>
      <c r="W175" s="19">
        <v>0.42599999999999999</v>
      </c>
      <c r="X175" s="19">
        <v>0.46460000000000001</v>
      </c>
      <c r="Z175" s="18">
        <v>693</v>
      </c>
    </row>
    <row r="176" spans="1:26" ht="15.75" customHeight="1" x14ac:dyDescent="0.2">
      <c r="A176" s="36" t="str">
        <f>HYPERLINK("https://www.ruidoso.enmu.edu/", "Eastern New Mexico University-Ruidoso Campus")</f>
        <v>Eastern New Mexico University-Ruidoso Campus</v>
      </c>
      <c r="B176" s="18" t="s">
        <v>49</v>
      </c>
      <c r="C176" s="18" t="s">
        <v>234</v>
      </c>
      <c r="D176" s="18" t="s">
        <v>717</v>
      </c>
      <c r="E176" s="18" t="s">
        <v>36</v>
      </c>
      <c r="F176" s="18" t="s">
        <v>36</v>
      </c>
      <c r="J176" s="19">
        <v>0.1923</v>
      </c>
      <c r="K176" s="19">
        <v>0.20684039100000001</v>
      </c>
      <c r="L176" s="19">
        <v>0.23080000000000001</v>
      </c>
      <c r="M176" s="19">
        <v>0</v>
      </c>
      <c r="N176" s="19">
        <v>0.15379999999999999</v>
      </c>
      <c r="O176" s="19" t="s">
        <v>36</v>
      </c>
      <c r="P176" s="20">
        <v>17078</v>
      </c>
      <c r="Q176" s="21" t="str">
        <f>HYPERLINK("https://www.enmu.edu/financial-aid/net-price-calculator", "$11650")</f>
        <v>$11650</v>
      </c>
      <c r="R176" s="20">
        <v>13746</v>
      </c>
      <c r="S176" s="20" t="s">
        <v>36</v>
      </c>
      <c r="T176" s="20">
        <v>5448</v>
      </c>
      <c r="U176" s="20">
        <v>6202.5</v>
      </c>
      <c r="W176" s="19">
        <v>0.21099999999999999</v>
      </c>
      <c r="X176" s="19">
        <v>0.64070000000000005</v>
      </c>
      <c r="Z176" s="18">
        <v>398</v>
      </c>
    </row>
    <row r="177" spans="1:26" ht="15.75" customHeight="1" x14ac:dyDescent="0.2">
      <c r="A177" s="36" t="str">
        <f>HYPERLINK("https://www.enmu.edu", "Eastern New Mexico University-Main Campus")</f>
        <v>Eastern New Mexico University-Main Campus</v>
      </c>
      <c r="B177" s="18" t="s">
        <v>49</v>
      </c>
      <c r="C177" s="18" t="s">
        <v>234</v>
      </c>
      <c r="D177" s="18" t="s">
        <v>718</v>
      </c>
      <c r="E177" s="18">
        <v>984</v>
      </c>
      <c r="F177" s="18" t="s">
        <v>35</v>
      </c>
      <c r="J177" s="19">
        <v>0.33429999999999999</v>
      </c>
      <c r="K177" s="19">
        <v>0.20684039100000001</v>
      </c>
      <c r="L177" s="19">
        <v>0.36930000000000002</v>
      </c>
      <c r="M177" s="19">
        <v>0.1842</v>
      </c>
      <c r="N177" s="19">
        <v>0.33710000000000001</v>
      </c>
      <c r="O177" s="19">
        <v>0</v>
      </c>
      <c r="P177" s="20">
        <v>24194</v>
      </c>
      <c r="Q177" s="21" t="str">
        <f>HYPERLINK("https://www.enmu.edu/financial-aid/net-price-calculator", "$14654")</f>
        <v>$14654</v>
      </c>
      <c r="R177" s="20">
        <v>18446</v>
      </c>
      <c r="S177" s="20">
        <v>20434</v>
      </c>
      <c r="T177" s="20">
        <v>5448</v>
      </c>
      <c r="U177" s="20">
        <v>9206.3736263736264</v>
      </c>
      <c r="W177" s="19">
        <v>0.3322</v>
      </c>
      <c r="X177" s="19">
        <v>0.58230000000000004</v>
      </c>
      <c r="Z177" s="18">
        <v>3431</v>
      </c>
    </row>
    <row r="178" spans="1:26" ht="15.75" customHeight="1" x14ac:dyDescent="0.2">
      <c r="A178" s="36" t="str">
        <f>HYPERLINK("https://www.roswell.enmu.edu", "Eastern New Mexico University-Roswell Campus")</f>
        <v>Eastern New Mexico University-Roswell Campus</v>
      </c>
      <c r="B178" s="18" t="s">
        <v>49</v>
      </c>
      <c r="C178" s="18" t="s">
        <v>234</v>
      </c>
      <c r="D178" s="18" t="s">
        <v>719</v>
      </c>
      <c r="E178" s="18" t="s">
        <v>36</v>
      </c>
      <c r="F178" s="18" t="s">
        <v>36</v>
      </c>
      <c r="J178" s="19">
        <v>0.40610000000000002</v>
      </c>
      <c r="K178" s="19">
        <v>0.20684039100000001</v>
      </c>
      <c r="L178" s="19">
        <v>0.44940000000000002</v>
      </c>
      <c r="M178" s="19">
        <v>0.36359999999999998</v>
      </c>
      <c r="N178" s="19">
        <v>0.39710000000000001</v>
      </c>
      <c r="O178" s="19">
        <v>0</v>
      </c>
      <c r="P178" s="20">
        <v>18084</v>
      </c>
      <c r="Q178" s="21" t="str">
        <f>HYPERLINK("https://www.roswell.enmu.edu/financial-aid/?tabsid=finaidimportanttabs&amp;tab=4&amp;scrollto=netprice", "$12093")</f>
        <v>$12093</v>
      </c>
      <c r="R178" s="20">
        <v>14267</v>
      </c>
      <c r="S178" s="20">
        <v>14996</v>
      </c>
      <c r="T178" s="20">
        <v>5926</v>
      </c>
      <c r="U178" s="20">
        <v>6167</v>
      </c>
      <c r="W178" s="19">
        <v>0.21440000000000001</v>
      </c>
      <c r="X178" s="19">
        <v>0.63819999999999999</v>
      </c>
      <c r="Z178" s="18">
        <v>1462</v>
      </c>
    </row>
    <row r="179" spans="1:26" ht="15.75" customHeight="1" x14ac:dyDescent="0.2">
      <c r="A179" s="36" t="str">
        <f>HYPERLINK("https://www.eou.edu", "Eastern Oregon University")</f>
        <v>Eastern Oregon University</v>
      </c>
      <c r="B179" s="18" t="s">
        <v>49</v>
      </c>
      <c r="C179" s="18" t="s">
        <v>143</v>
      </c>
      <c r="D179" s="18" t="s">
        <v>720</v>
      </c>
      <c r="E179" s="18">
        <v>1043</v>
      </c>
      <c r="F179" s="18" t="s">
        <v>35</v>
      </c>
      <c r="J179" s="19">
        <v>0.30719999999999997</v>
      </c>
      <c r="K179" s="19">
        <v>0.24920634899999999</v>
      </c>
      <c r="L179" s="19">
        <v>0.30740000000000001</v>
      </c>
      <c r="M179" s="19">
        <v>0.1111</v>
      </c>
      <c r="N179" s="19">
        <v>0.31030000000000002</v>
      </c>
      <c r="O179" s="19">
        <v>0.3</v>
      </c>
      <c r="P179" s="20">
        <v>33753</v>
      </c>
      <c r="Q179" s="21" t="str">
        <f>HYPERLINK("https://static.eou.edu/net-price-calc/", "$24877")</f>
        <v>$24877</v>
      </c>
      <c r="R179" s="20">
        <v>28899</v>
      </c>
      <c r="S179" s="20">
        <v>30793</v>
      </c>
      <c r="T179" s="20">
        <v>4371</v>
      </c>
      <c r="U179" s="20">
        <v>20506.09</v>
      </c>
      <c r="W179" s="19">
        <v>0.45319999999999999</v>
      </c>
      <c r="X179" s="19">
        <v>0.27510000000000001</v>
      </c>
      <c r="Z179" s="18">
        <v>2526</v>
      </c>
    </row>
    <row r="180" spans="1:26" ht="15.75" customHeight="1" x14ac:dyDescent="0.2">
      <c r="A180" s="36" t="str">
        <f>HYPERLINK("https://www.eastern.edu/about/student-consumer-information", "Eastern University")</f>
        <v>Eastern University</v>
      </c>
      <c r="B180" s="18" t="s">
        <v>32</v>
      </c>
      <c r="C180" s="18" t="s">
        <v>65</v>
      </c>
      <c r="D180" s="18" t="s">
        <v>722</v>
      </c>
      <c r="E180" s="18">
        <v>1106</v>
      </c>
      <c r="F180" s="18" t="s">
        <v>115</v>
      </c>
      <c r="J180" s="19">
        <v>0.63490000000000002</v>
      </c>
      <c r="K180" s="19">
        <v>0.43843843799999999</v>
      </c>
      <c r="L180" s="19">
        <v>0.70169999999999999</v>
      </c>
      <c r="M180" s="19">
        <v>0.49299999999999999</v>
      </c>
      <c r="N180" s="19">
        <v>0.6</v>
      </c>
      <c r="O180" s="19">
        <v>0.54549999999999998</v>
      </c>
      <c r="P180" s="20">
        <v>48250</v>
      </c>
      <c r="Q180" s="21" t="str">
        <f>HYPERLINK("https://www.eastern.edu/admissions/undergraduate/undergraduate-net-price-calculator", "$19686")</f>
        <v>$19686</v>
      </c>
      <c r="R180" s="20">
        <v>20579</v>
      </c>
      <c r="S180" s="20">
        <v>22388</v>
      </c>
      <c r="T180" s="20">
        <v>5125</v>
      </c>
      <c r="U180" s="20">
        <v>14561</v>
      </c>
      <c r="W180" s="19">
        <v>0.44519999999999998</v>
      </c>
      <c r="X180" s="19">
        <v>0.50140000000000007</v>
      </c>
      <c r="Z180" s="18">
        <v>1837</v>
      </c>
    </row>
    <row r="181" spans="1:26" ht="15.75" customHeight="1" x14ac:dyDescent="0.2">
      <c r="A181" s="36" t="str">
        <f>HYPERLINK("https://www.ewu.edu", "Eastern Washington University")</f>
        <v>Eastern Washington University</v>
      </c>
      <c r="B181" s="18" t="s">
        <v>49</v>
      </c>
      <c r="C181" s="18" t="s">
        <v>184</v>
      </c>
      <c r="D181" s="18" t="s">
        <v>723</v>
      </c>
      <c r="E181" s="18">
        <v>995</v>
      </c>
      <c r="F181" s="18" t="s">
        <v>35</v>
      </c>
      <c r="J181" s="19">
        <v>0.52449999999999997</v>
      </c>
      <c r="K181" s="19">
        <v>0.47339449500000003</v>
      </c>
      <c r="L181" s="19">
        <v>0.5675</v>
      </c>
      <c r="M181" s="19">
        <v>0.21820000000000001</v>
      </c>
      <c r="N181" s="19">
        <v>0.45450000000000002</v>
      </c>
      <c r="O181" s="19">
        <v>0.4103</v>
      </c>
      <c r="P181" s="20">
        <v>38895</v>
      </c>
      <c r="Q181" s="21" t="str">
        <f>HYPERLINK("https://www.ewu.edu/netpricecalculator", "$27628")</f>
        <v>$27628</v>
      </c>
      <c r="R181" s="20">
        <v>32442</v>
      </c>
      <c r="S181" s="20">
        <v>36630</v>
      </c>
      <c r="T181" s="20">
        <v>3540</v>
      </c>
      <c r="U181" s="20">
        <v>24088.080971659921</v>
      </c>
      <c r="W181" s="19">
        <v>0.37669999999999998</v>
      </c>
      <c r="X181" s="19">
        <v>0.37390000000000001</v>
      </c>
      <c r="Z181" s="18">
        <v>10500</v>
      </c>
    </row>
    <row r="182" spans="1:26" ht="15.75" customHeight="1" x14ac:dyDescent="0.2">
      <c r="A182" s="36" t="str">
        <f>HYPERLINK("https://www.edgewood.edu", "Edgewood College")</f>
        <v>Edgewood College</v>
      </c>
      <c r="B182" s="18" t="s">
        <v>32</v>
      </c>
      <c r="C182" s="18" t="s">
        <v>196</v>
      </c>
      <c r="D182" s="18" t="s">
        <v>295</v>
      </c>
      <c r="E182" s="18">
        <v>1145</v>
      </c>
      <c r="F182" s="18" t="s">
        <v>35</v>
      </c>
      <c r="J182" s="19">
        <v>0.60880000000000001</v>
      </c>
      <c r="K182" s="19">
        <v>0.55333333299999998</v>
      </c>
      <c r="L182" s="19">
        <v>0.64729999999999999</v>
      </c>
      <c r="M182" s="19">
        <v>0.5</v>
      </c>
      <c r="N182" s="19">
        <v>0.4</v>
      </c>
      <c r="O182" s="19">
        <v>0.6</v>
      </c>
      <c r="P182" s="20">
        <v>42690</v>
      </c>
      <c r="Q182" s="21" t="str">
        <f>HYPERLINK("https://www.edgewood.edu/admissions/tuition-and-financial-aid/net-price-calculator-freshman", "$19416")</f>
        <v>$19416</v>
      </c>
      <c r="R182" s="20">
        <v>20422</v>
      </c>
      <c r="S182" s="20">
        <v>24749</v>
      </c>
      <c r="T182" s="20">
        <v>3696</v>
      </c>
      <c r="U182" s="20">
        <v>15720</v>
      </c>
      <c r="W182" s="19">
        <v>0.3095</v>
      </c>
      <c r="X182" s="19">
        <v>0.21240000000000001</v>
      </c>
      <c r="Z182" s="18">
        <v>1521</v>
      </c>
    </row>
    <row r="183" spans="1:26" ht="15.75" customHeight="1" x14ac:dyDescent="0.2">
      <c r="A183" s="36" t="str">
        <f>HYPERLINK("https://www.ecsu.edu", "Elizabeth City State University")</f>
        <v>Elizabeth City State University</v>
      </c>
      <c r="B183" s="18" t="s">
        <v>49</v>
      </c>
      <c r="C183" s="18" t="s">
        <v>103</v>
      </c>
      <c r="D183" s="18" t="s">
        <v>725</v>
      </c>
      <c r="E183" s="18">
        <v>936</v>
      </c>
      <c r="F183" s="18" t="s">
        <v>35</v>
      </c>
      <c r="J183" s="19">
        <v>0.37980000000000003</v>
      </c>
      <c r="K183" s="19">
        <v>0.36814159299999999</v>
      </c>
      <c r="L183" s="19">
        <v>0.38240000000000002</v>
      </c>
      <c r="M183" s="19">
        <v>0.38890000000000002</v>
      </c>
      <c r="N183" s="19">
        <v>1</v>
      </c>
      <c r="O183" s="19" t="s">
        <v>36</v>
      </c>
      <c r="P183" s="20">
        <v>27180</v>
      </c>
      <c r="Q183" s="21" t="str">
        <f>HYPERLINK("https://www.ecsu.edu/administration/chancellor/enrollment-management-retention/financial-aid/2018-net-price-calculator/npcalc.htm", "$14890")</f>
        <v>$14890</v>
      </c>
      <c r="R183" s="20">
        <v>19196</v>
      </c>
      <c r="S183" s="20">
        <v>21821</v>
      </c>
      <c r="T183" s="20">
        <v>1362</v>
      </c>
      <c r="U183" s="20">
        <v>13528</v>
      </c>
      <c r="W183" s="19">
        <v>0.70689999999999997</v>
      </c>
      <c r="X183" s="19">
        <v>0.82940000000000003</v>
      </c>
      <c r="Z183" s="18">
        <v>1301</v>
      </c>
    </row>
    <row r="184" spans="1:26" ht="15.75" customHeight="1" x14ac:dyDescent="0.2">
      <c r="A184" s="36" t="str">
        <f>HYPERLINK("https://www.elmhurst.edu", "Elmhurst College")</f>
        <v>Elmhurst College</v>
      </c>
      <c r="B184" s="18" t="s">
        <v>32</v>
      </c>
      <c r="C184" s="18" t="s">
        <v>137</v>
      </c>
      <c r="D184" s="18" t="s">
        <v>726</v>
      </c>
      <c r="E184" s="18">
        <v>1141</v>
      </c>
      <c r="F184" s="18" t="s">
        <v>35</v>
      </c>
      <c r="J184" s="19">
        <v>0.64359999999999995</v>
      </c>
      <c r="K184" s="19">
        <v>0.65284974100000004</v>
      </c>
      <c r="L184" s="19">
        <v>0.70179999999999998</v>
      </c>
      <c r="M184" s="19">
        <v>0.3871</v>
      </c>
      <c r="N184" s="19">
        <v>0.51349999999999996</v>
      </c>
      <c r="O184" s="19">
        <v>0.70830000000000004</v>
      </c>
      <c r="P184" s="20">
        <v>50000</v>
      </c>
      <c r="Q184" s="21" t="str">
        <f>HYPERLINK("https://www.elmhurst.edu/admission/financial-aid/tuition-fees/net-price-calculator/", "$19352")</f>
        <v>$19352</v>
      </c>
      <c r="R184" s="20">
        <v>19659</v>
      </c>
      <c r="S184" s="20">
        <v>21979</v>
      </c>
      <c r="T184" s="20">
        <v>3286</v>
      </c>
      <c r="U184" s="20">
        <v>16066</v>
      </c>
      <c r="W184" s="19">
        <v>0.35399999999999998</v>
      </c>
      <c r="X184" s="19">
        <v>0.372</v>
      </c>
      <c r="Z184" s="18">
        <v>2782</v>
      </c>
    </row>
    <row r="185" spans="1:26" ht="15.75" customHeight="1" x14ac:dyDescent="0.2">
      <c r="A185" s="36" t="str">
        <f>HYPERLINK("https://www.elmira.edu", "Elmira College")</f>
        <v>Elmira College</v>
      </c>
      <c r="B185" s="18" t="s">
        <v>32</v>
      </c>
      <c r="C185" s="18" t="s">
        <v>38</v>
      </c>
      <c r="D185" s="18" t="s">
        <v>729</v>
      </c>
      <c r="E185" s="18" t="s">
        <v>36</v>
      </c>
      <c r="F185" s="18" t="s">
        <v>45</v>
      </c>
      <c r="J185" s="19">
        <v>0.60340000000000005</v>
      </c>
      <c r="K185" s="19">
        <v>0.46226415100000001</v>
      </c>
      <c r="L185" s="19">
        <v>0.63380000000000003</v>
      </c>
      <c r="M185" s="19">
        <v>0.5</v>
      </c>
      <c r="N185" s="19">
        <v>0.66669999999999996</v>
      </c>
      <c r="O185" s="19">
        <v>0.42859999999999998</v>
      </c>
      <c r="P185" s="20">
        <v>55050</v>
      </c>
      <c r="Q185" s="21" t="str">
        <f>HYPERLINK("https://elmira.studentaidcalculator.com/survey.aspx", "$22184")</f>
        <v>$22184</v>
      </c>
      <c r="R185" s="20">
        <v>25249</v>
      </c>
      <c r="S185" s="20">
        <v>28163</v>
      </c>
      <c r="T185" s="20">
        <v>1150</v>
      </c>
      <c r="U185" s="20">
        <v>21034</v>
      </c>
      <c r="W185" s="19">
        <v>0.33329999999999999</v>
      </c>
      <c r="X185" s="19">
        <v>0.22030000000000011</v>
      </c>
      <c r="Z185" s="18">
        <v>908</v>
      </c>
    </row>
    <row r="186" spans="1:26" ht="15.75" customHeight="1" x14ac:dyDescent="0.2">
      <c r="A186" s="36" t="str">
        <f>HYPERLINK("https://daytonabeach.erau.edu/", "Embry-Riddle Aeronautical University-Worldwide")</f>
        <v>Embry-Riddle Aeronautical University-Worldwide</v>
      </c>
      <c r="B186" s="18" t="s">
        <v>32</v>
      </c>
      <c r="C186" s="18" t="s">
        <v>162</v>
      </c>
      <c r="D186" s="18" t="s">
        <v>578</v>
      </c>
      <c r="E186" s="18">
        <v>1204</v>
      </c>
      <c r="F186" s="18" t="s">
        <v>115</v>
      </c>
      <c r="J186" s="19">
        <v>0.59099999999999997</v>
      </c>
      <c r="K186" s="19">
        <v>0.331812999</v>
      </c>
      <c r="L186" s="19">
        <v>0.58860000000000001</v>
      </c>
      <c r="M186" s="19">
        <v>0.41460000000000002</v>
      </c>
      <c r="N186" s="19">
        <v>0.55449999999999999</v>
      </c>
      <c r="O186" s="19">
        <v>0.70209999999999995</v>
      </c>
      <c r="P186" s="20">
        <v>51828</v>
      </c>
      <c r="Q186" s="21" t="str">
        <f>HYPERLINK("https://erau.studentaidcalculator.com/survey.aspx", "$28591")</f>
        <v>$28591</v>
      </c>
      <c r="R186" s="20">
        <v>32157</v>
      </c>
      <c r="S186" s="20">
        <v>34421</v>
      </c>
      <c r="T186" s="20">
        <v>5906</v>
      </c>
      <c r="U186" s="20">
        <v>22685</v>
      </c>
      <c r="W186" s="19">
        <v>0.26729999999999998</v>
      </c>
      <c r="X186" s="19">
        <v>0.44309999999999999</v>
      </c>
      <c r="Z186" s="18">
        <v>5689</v>
      </c>
    </row>
    <row r="187" spans="1:26" ht="15.75" customHeight="1" x14ac:dyDescent="0.2">
      <c r="A187" s="36" t="str">
        <f>HYPERLINK("https://worldwide.erau.edu/", "Embry-Riddle Aeronautical University-Daytona Beach")</f>
        <v>Embry-Riddle Aeronautical University-Daytona Beach</v>
      </c>
      <c r="B187" s="18" t="s">
        <v>32</v>
      </c>
      <c r="C187" s="18" t="s">
        <v>162</v>
      </c>
      <c r="D187" s="18" t="s">
        <v>578</v>
      </c>
      <c r="E187" s="18" t="s">
        <v>36</v>
      </c>
      <c r="F187" s="18" t="s">
        <v>90</v>
      </c>
      <c r="J187" s="19">
        <v>0.25430000000000003</v>
      </c>
      <c r="K187" s="19">
        <v>0.331812999</v>
      </c>
      <c r="L187" s="19">
        <v>0.28999999999999998</v>
      </c>
      <c r="M187" s="19">
        <v>0.1842</v>
      </c>
      <c r="N187" s="19">
        <v>0.21429999999999999</v>
      </c>
      <c r="O187" s="19">
        <v>0.375</v>
      </c>
      <c r="P187" s="20">
        <v>22944</v>
      </c>
      <c r="Q187" s="21" t="str">
        <f>HYPERLINK("https://worldwideerau.studentaidcalculator.com/survey.aspx", "$19203")</f>
        <v>$19203</v>
      </c>
      <c r="R187" s="20">
        <v>20428</v>
      </c>
      <c r="S187" s="20" t="s">
        <v>36</v>
      </c>
      <c r="T187" s="20">
        <v>5300</v>
      </c>
      <c r="U187" s="20">
        <v>13903</v>
      </c>
      <c r="W187" s="19">
        <v>0.25259999999999999</v>
      </c>
      <c r="X187" s="19">
        <v>0.42399999999999988</v>
      </c>
      <c r="Z187" s="18">
        <v>10256</v>
      </c>
    </row>
    <row r="188" spans="1:26" ht="15.75" customHeight="1" x14ac:dyDescent="0.2">
      <c r="A188" s="36" t="str">
        <f>HYPERLINK("https://www.ec.edu", "Emmanuel College")</f>
        <v>Emmanuel College</v>
      </c>
      <c r="B188" s="18" t="s">
        <v>32</v>
      </c>
      <c r="C188" s="18" t="s">
        <v>107</v>
      </c>
      <c r="D188" s="18" t="s">
        <v>733</v>
      </c>
      <c r="E188" s="18">
        <v>1022</v>
      </c>
      <c r="F188" s="18" t="s">
        <v>35</v>
      </c>
      <c r="J188" s="19">
        <v>0.44679999999999997</v>
      </c>
      <c r="K188" s="19">
        <v>0.33018867899999998</v>
      </c>
      <c r="L188" s="19">
        <v>0.45989999999999998</v>
      </c>
      <c r="M188" s="19">
        <v>0.35289999999999999</v>
      </c>
      <c r="N188" s="19">
        <v>0.5</v>
      </c>
      <c r="O188" s="19">
        <v>0</v>
      </c>
      <c r="P188" s="20">
        <v>30910</v>
      </c>
      <c r="Q188" s="21" t="str">
        <f>HYPERLINK("https://www.ec.edu/admissions/net-price-calculator", "$14475")</f>
        <v>$14475</v>
      </c>
      <c r="R188" s="20">
        <v>21967</v>
      </c>
      <c r="S188" s="20">
        <v>25327</v>
      </c>
      <c r="T188" s="20">
        <v>3800</v>
      </c>
      <c r="U188" s="20">
        <v>10675</v>
      </c>
      <c r="W188" s="19">
        <v>0.3674</v>
      </c>
      <c r="X188" s="19">
        <v>0.34250000000000003</v>
      </c>
      <c r="Z188" s="18">
        <v>800</v>
      </c>
    </row>
    <row r="189" spans="1:26" ht="15.75" customHeight="1" x14ac:dyDescent="0.2">
      <c r="A189" s="36" t="str">
        <f>HYPERLINK("https://www.emmanuel.edu", "Emmanuel College")</f>
        <v>Emmanuel College</v>
      </c>
      <c r="B189" s="18" t="s">
        <v>32</v>
      </c>
      <c r="C189" s="18" t="s">
        <v>33</v>
      </c>
      <c r="D189" s="18" t="s">
        <v>136</v>
      </c>
      <c r="E189" s="18">
        <v>1183</v>
      </c>
      <c r="F189" s="18" t="s">
        <v>115</v>
      </c>
      <c r="J189" s="19">
        <v>0.65820000000000001</v>
      </c>
      <c r="K189" s="19">
        <v>0.52272727299999999</v>
      </c>
      <c r="L189" s="19">
        <v>0.67620000000000002</v>
      </c>
      <c r="M189" s="19">
        <v>0.54549999999999998</v>
      </c>
      <c r="N189" s="19">
        <v>0.37140000000000001</v>
      </c>
      <c r="O189" s="19">
        <v>0.66669999999999996</v>
      </c>
      <c r="P189" s="20">
        <v>56807</v>
      </c>
      <c r="Q189" s="21" t="str">
        <f>HYPERLINK("https://emmanuel.studentaidcalculator.com/welcome.aspx", "$25710")</f>
        <v>$25710</v>
      </c>
      <c r="R189" s="20">
        <v>28532</v>
      </c>
      <c r="S189" s="20">
        <v>31341</v>
      </c>
      <c r="T189" s="20">
        <v>3335</v>
      </c>
      <c r="U189" s="20">
        <v>22375</v>
      </c>
      <c r="W189" s="19">
        <v>0.24060000000000001</v>
      </c>
      <c r="X189" s="19">
        <v>0.28949999999999998</v>
      </c>
      <c r="Z189" s="18">
        <v>1848</v>
      </c>
    </row>
    <row r="190" spans="1:26" ht="15.75" customHeight="1" x14ac:dyDescent="0.2">
      <c r="A190" s="36" t="str">
        <f>HYPERLINK("https://www.ehc.edu", "Emory &amp; Henry College")</f>
        <v>Emory &amp; Henry College</v>
      </c>
      <c r="B190" s="18" t="s">
        <v>32</v>
      </c>
      <c r="C190" s="18" t="s">
        <v>83</v>
      </c>
      <c r="D190" s="18" t="s">
        <v>736</v>
      </c>
      <c r="E190" s="18">
        <v>1089</v>
      </c>
      <c r="F190" s="18" t="s">
        <v>35</v>
      </c>
      <c r="J190" s="19">
        <v>0.51819999999999999</v>
      </c>
      <c r="K190" s="19">
        <v>0.44943820200000001</v>
      </c>
      <c r="L190" s="19">
        <v>0.51829999999999998</v>
      </c>
      <c r="M190" s="19">
        <v>0.55169999999999997</v>
      </c>
      <c r="N190" s="19">
        <v>0.5</v>
      </c>
      <c r="O190" s="19">
        <v>0.5</v>
      </c>
      <c r="P190" s="20">
        <v>48100</v>
      </c>
      <c r="Q190" s="21" t="str">
        <f>HYPERLINK("https://www.ehc.edu/financial-aid/cost-calculator/", "$15266")</f>
        <v>$15266</v>
      </c>
      <c r="R190" s="20">
        <v>18269</v>
      </c>
      <c r="S190" s="20">
        <v>21880</v>
      </c>
      <c r="T190" s="20">
        <v>3200</v>
      </c>
      <c r="U190" s="20">
        <v>12066</v>
      </c>
      <c r="W190" s="19">
        <v>0.38869999999999999</v>
      </c>
      <c r="X190" s="19">
        <v>0.21700000000000011</v>
      </c>
      <c r="Z190" s="18">
        <v>977</v>
      </c>
    </row>
    <row r="191" spans="1:26" ht="15.75" customHeight="1" x14ac:dyDescent="0.2">
      <c r="A191" s="36" t="str">
        <f>HYPERLINK("https://www.emporia.edu", "Emporia State University")</f>
        <v>Emporia State University</v>
      </c>
      <c r="B191" s="18" t="s">
        <v>49</v>
      </c>
      <c r="C191" s="18" t="s">
        <v>307</v>
      </c>
      <c r="D191" s="18" t="s">
        <v>738</v>
      </c>
      <c r="E191" s="18">
        <v>1105</v>
      </c>
      <c r="F191" s="18" t="s">
        <v>35</v>
      </c>
      <c r="J191" s="19">
        <v>0.44519999999999998</v>
      </c>
      <c r="K191" s="19">
        <v>0.39185750600000002</v>
      </c>
      <c r="L191" s="19">
        <v>0.50590000000000002</v>
      </c>
      <c r="M191" s="19">
        <v>0.23080000000000001</v>
      </c>
      <c r="N191" s="19">
        <v>0.24490000000000001</v>
      </c>
      <c r="O191" s="19">
        <v>0.375</v>
      </c>
      <c r="P191" s="20">
        <v>33012</v>
      </c>
      <c r="Q191" s="21" t="str">
        <f>HYPERLINK("https://www.emporia.edu/finaid/netpricecalculator/index.html", "$26415")</f>
        <v>$26415</v>
      </c>
      <c r="R191" s="20">
        <v>29142</v>
      </c>
      <c r="S191" s="20">
        <v>31264</v>
      </c>
      <c r="T191" s="20">
        <v>4410</v>
      </c>
      <c r="U191" s="20">
        <v>22005.938931297711</v>
      </c>
      <c r="W191" s="19">
        <v>0.36680000000000001</v>
      </c>
      <c r="X191" s="19">
        <v>0.28920000000000001</v>
      </c>
      <c r="Z191" s="18">
        <v>3499</v>
      </c>
    </row>
    <row r="192" spans="1:26" ht="15.75" customHeight="1" x14ac:dyDescent="0.2">
      <c r="A192" s="36" t="str">
        <f>HYPERLINK("https://www.endicott.edu", "Endicott College")</f>
        <v>Endicott College</v>
      </c>
      <c r="B192" s="18" t="s">
        <v>32</v>
      </c>
      <c r="C192" s="18" t="s">
        <v>33</v>
      </c>
      <c r="D192" s="18" t="s">
        <v>739</v>
      </c>
      <c r="E192" s="18" t="s">
        <v>36</v>
      </c>
      <c r="F192" s="18" t="s">
        <v>90</v>
      </c>
      <c r="J192" s="19">
        <v>0.75119999999999998</v>
      </c>
      <c r="K192" s="19">
        <v>0.54054054100000004</v>
      </c>
      <c r="L192" s="19">
        <v>0.76419999999999999</v>
      </c>
      <c r="M192" s="19">
        <v>0.83330000000000004</v>
      </c>
      <c r="N192" s="19">
        <v>0.76470000000000005</v>
      </c>
      <c r="O192" s="19">
        <v>0.57140000000000002</v>
      </c>
      <c r="P192" s="20">
        <v>50329</v>
      </c>
      <c r="Q192" s="21" t="str">
        <f>HYPERLINK("https://www.endicott.edu/calculator/npcalc.htm", "$26239")</f>
        <v>$26239</v>
      </c>
      <c r="R192" s="20">
        <v>30381</v>
      </c>
      <c r="S192" s="20">
        <v>32203</v>
      </c>
      <c r="T192" s="20">
        <v>3275</v>
      </c>
      <c r="U192" s="20">
        <v>22964</v>
      </c>
      <c r="W192" s="19">
        <v>0.15310000000000001</v>
      </c>
      <c r="X192" s="19">
        <v>0.1673</v>
      </c>
      <c r="Z192" s="18">
        <v>3197</v>
      </c>
    </row>
    <row r="193" spans="1:26" ht="15.75" customHeight="1" x14ac:dyDescent="0.2">
      <c r="A193" s="36" t="str">
        <f>HYPERLINK("https://www.eureka.edu", "Eureka College")</f>
        <v>Eureka College</v>
      </c>
      <c r="B193" s="18" t="s">
        <v>32</v>
      </c>
      <c r="C193" s="18" t="s">
        <v>137</v>
      </c>
      <c r="D193" s="18" t="s">
        <v>742</v>
      </c>
      <c r="E193" s="18">
        <v>1084</v>
      </c>
      <c r="F193" s="18" t="s">
        <v>35</v>
      </c>
      <c r="J193" s="19">
        <v>0.44030000000000002</v>
      </c>
      <c r="K193" s="19">
        <v>0.38333333299999989</v>
      </c>
      <c r="L193" s="19">
        <v>0.48120000000000002</v>
      </c>
      <c r="M193" s="19">
        <v>0.2</v>
      </c>
      <c r="N193" s="19">
        <v>0.16669999999999999</v>
      </c>
      <c r="O193" s="19" t="s">
        <v>36</v>
      </c>
      <c r="P193" s="20">
        <v>36760</v>
      </c>
      <c r="Q193" s="21" t="str">
        <f>HYPERLINK("https://www.eureka.edu/NetPriceCalculator1314/", "$16489")</f>
        <v>$16489</v>
      </c>
      <c r="R193" s="20">
        <v>18084</v>
      </c>
      <c r="S193" s="20">
        <v>20533</v>
      </c>
      <c r="T193" s="20">
        <v>2000</v>
      </c>
      <c r="U193" s="20">
        <v>14489</v>
      </c>
      <c r="W193" s="19">
        <v>0.39429999999999998</v>
      </c>
      <c r="X193" s="19">
        <v>0.1653</v>
      </c>
      <c r="Z193" s="18">
        <v>605</v>
      </c>
    </row>
    <row r="194" spans="1:26" ht="15.75" customHeight="1" x14ac:dyDescent="0.2">
      <c r="A194" s="36" t="str">
        <f>HYPERLINK("https://www.evangel.edu", "Evangel University")</f>
        <v>Evangel University</v>
      </c>
      <c r="B194" s="18" t="s">
        <v>32</v>
      </c>
      <c r="C194" s="18" t="s">
        <v>164</v>
      </c>
      <c r="D194" s="18" t="s">
        <v>349</v>
      </c>
      <c r="E194" s="18">
        <v>1102</v>
      </c>
      <c r="F194" s="18" t="s">
        <v>35</v>
      </c>
      <c r="J194" s="19">
        <v>0.48170000000000002</v>
      </c>
      <c r="K194" s="19">
        <v>0.5</v>
      </c>
      <c r="L194" s="19">
        <v>0.50929999999999997</v>
      </c>
      <c r="M194" s="19">
        <v>0.25</v>
      </c>
      <c r="N194" s="19">
        <v>0.31819999999999998</v>
      </c>
      <c r="O194" s="19">
        <v>1</v>
      </c>
      <c r="P194" s="20">
        <v>35965</v>
      </c>
      <c r="Q194" s="21" t="str">
        <f>HYPERLINK("https://www.evangel.edu/financial/more-information/net-price-calculator-tool/", "$18392")</f>
        <v>$18392</v>
      </c>
      <c r="R194" s="20">
        <v>20705</v>
      </c>
      <c r="S194" s="20">
        <v>22292</v>
      </c>
      <c r="T194" s="20">
        <v>5024</v>
      </c>
      <c r="U194" s="20">
        <v>13368</v>
      </c>
      <c r="W194" s="19">
        <v>0.43759999999999999</v>
      </c>
      <c r="X194" s="19">
        <v>0.18559999999999999</v>
      </c>
      <c r="Z194" s="18">
        <v>1627</v>
      </c>
    </row>
    <row r="195" spans="1:26" ht="15.75" customHeight="1" x14ac:dyDescent="0.2">
      <c r="A195" s="36" t="str">
        <f>HYPERLINK("https://www.excelsior.edu", "Excelsior College")</f>
        <v>Excelsior College</v>
      </c>
      <c r="B195" s="18" t="s">
        <v>32</v>
      </c>
      <c r="C195" s="18" t="s">
        <v>38</v>
      </c>
      <c r="D195" s="18" t="s">
        <v>550</v>
      </c>
      <c r="E195" s="18" t="s">
        <v>36</v>
      </c>
      <c r="F195" s="18" t="s">
        <v>36</v>
      </c>
      <c r="J195" s="19" t="s">
        <v>36</v>
      </c>
      <c r="K195" s="19">
        <v>0.22923588</v>
      </c>
      <c r="L195" s="19" t="s">
        <v>36</v>
      </c>
      <c r="M195" s="19" t="s">
        <v>36</v>
      </c>
      <c r="N195" s="19" t="s">
        <v>36</v>
      </c>
      <c r="O195" s="19" t="s">
        <v>36</v>
      </c>
      <c r="P195" s="20" t="s">
        <v>36</v>
      </c>
      <c r="Q195" s="21" t="str">
        <f>HYPERLINK("https://www.excelsior.edu/costs-and-financing", "Not reported")</f>
        <v>Not reported</v>
      </c>
      <c r="R195" s="20" t="s">
        <v>36</v>
      </c>
      <c r="S195" s="20" t="s">
        <v>36</v>
      </c>
      <c r="T195" s="20" t="s">
        <v>36</v>
      </c>
      <c r="U195" s="20" t="s">
        <v>36</v>
      </c>
      <c r="W195" s="19">
        <v>0.1017</v>
      </c>
      <c r="X195" s="19">
        <v>0.39739999999999998</v>
      </c>
      <c r="Z195" s="18">
        <v>31039</v>
      </c>
    </row>
    <row r="196" spans="1:26" ht="15.75" customHeight="1" x14ac:dyDescent="0.2">
      <c r="A196" s="36" t="str">
        <f>HYPERLINK("https://www.fdu.edu", "Fairleigh Dickinson University-College at Florham")</f>
        <v>Fairleigh Dickinson University-College at Florham</v>
      </c>
      <c r="B196" s="18" t="s">
        <v>32</v>
      </c>
      <c r="C196" s="18" t="s">
        <v>141</v>
      </c>
      <c r="D196" s="18" t="s">
        <v>295</v>
      </c>
      <c r="E196" s="18">
        <v>1140</v>
      </c>
      <c r="F196" s="18" t="s">
        <v>35</v>
      </c>
      <c r="J196" s="19">
        <v>0.54700000000000004</v>
      </c>
      <c r="K196" s="19">
        <v>0.46296296299999989</v>
      </c>
      <c r="L196" s="19">
        <v>0.61219999999999997</v>
      </c>
      <c r="M196" s="19">
        <v>0.4556</v>
      </c>
      <c r="N196" s="19">
        <v>0.50590000000000002</v>
      </c>
      <c r="O196" s="19">
        <v>0.37040000000000001</v>
      </c>
      <c r="P196" s="20">
        <v>58996</v>
      </c>
      <c r="Q196" s="21" t="str">
        <f>HYPERLINK("https://www.fdu.edu/admissions/netpricecalculator.html", "$14148")</f>
        <v>$14148</v>
      </c>
      <c r="R196" s="20">
        <v>19953</v>
      </c>
      <c r="S196" s="20">
        <v>27559</v>
      </c>
      <c r="T196" s="20">
        <v>4086</v>
      </c>
      <c r="U196" s="20">
        <v>10062</v>
      </c>
      <c r="W196" s="19">
        <v>0.34</v>
      </c>
      <c r="X196" s="19">
        <v>0.42620000000000002</v>
      </c>
      <c r="Z196" s="18">
        <v>2731</v>
      </c>
    </row>
    <row r="197" spans="1:26" ht="15.75" customHeight="1" x14ac:dyDescent="0.2">
      <c r="A197" s="36" t="str">
        <f>HYPERLINK("https://www.fdu.edu", "Fairleigh Dickinson University-Metropolitan Campus")</f>
        <v>Fairleigh Dickinson University-Metropolitan Campus</v>
      </c>
      <c r="B197" s="18" t="s">
        <v>32</v>
      </c>
      <c r="C197" s="18" t="s">
        <v>141</v>
      </c>
      <c r="D197" s="18" t="s">
        <v>746</v>
      </c>
      <c r="E197" s="18">
        <v>1104</v>
      </c>
      <c r="F197" s="18" t="s">
        <v>35</v>
      </c>
      <c r="J197" s="19">
        <v>0.3896</v>
      </c>
      <c r="K197" s="19">
        <v>0.46296296299999989</v>
      </c>
      <c r="L197" s="19">
        <v>0.54469999999999996</v>
      </c>
      <c r="M197" s="19">
        <v>0.35339999999999999</v>
      </c>
      <c r="N197" s="19">
        <v>0.2954</v>
      </c>
      <c r="O197" s="19">
        <v>0.5</v>
      </c>
      <c r="P197" s="20">
        <v>56618</v>
      </c>
      <c r="Q197" s="21" t="str">
        <f>HYPERLINK("https://www.fdu.edu", "$13173")</f>
        <v>$13173</v>
      </c>
      <c r="R197" s="20">
        <v>17593</v>
      </c>
      <c r="S197" s="20">
        <v>23251</v>
      </c>
      <c r="T197" s="20">
        <v>4086</v>
      </c>
      <c r="U197" s="20">
        <v>9087</v>
      </c>
      <c r="W197" s="19">
        <v>0.28420000000000001</v>
      </c>
      <c r="X197" s="19">
        <v>0.76439999999999997</v>
      </c>
      <c r="Z197" s="18">
        <v>3391</v>
      </c>
    </row>
    <row r="198" spans="1:26" ht="15.75" customHeight="1" x14ac:dyDescent="0.2">
      <c r="A198" s="36" t="str">
        <f>HYPERLINK("https://www.farmingdale.edu/", "SUNY Farmingdale State College")</f>
        <v>SUNY Farmingdale State College</v>
      </c>
      <c r="B198" s="18" t="s">
        <v>49</v>
      </c>
      <c r="C198" s="18" t="s">
        <v>38</v>
      </c>
      <c r="D198" s="18" t="s">
        <v>747</v>
      </c>
      <c r="E198" s="18">
        <v>1061</v>
      </c>
      <c r="F198" s="18" t="s">
        <v>35</v>
      </c>
      <c r="G198" s="18" t="s">
        <v>51</v>
      </c>
      <c r="H198" s="18" t="s">
        <v>748</v>
      </c>
      <c r="I198" s="18" t="s">
        <v>749</v>
      </c>
      <c r="J198" s="19">
        <v>0.52229999999999999</v>
      </c>
      <c r="K198" s="19">
        <v>0.20321931600000001</v>
      </c>
      <c r="L198" s="19">
        <v>0.56510000000000005</v>
      </c>
      <c r="M198" s="19">
        <v>0.44440000000000002</v>
      </c>
      <c r="N198" s="19">
        <v>0.41599999999999998</v>
      </c>
      <c r="O198" s="19">
        <v>0.49180000000000001</v>
      </c>
      <c r="P198" s="20">
        <v>24168</v>
      </c>
      <c r="Q198" s="21" t="str">
        <f>HYPERLINK("https://www.suny.edu/howmuch/netpricecalculator.xhtml", "$4507")</f>
        <v>$4507</v>
      </c>
      <c r="R198" s="20">
        <v>11452</v>
      </c>
      <c r="S198" s="20">
        <v>14534</v>
      </c>
      <c r="T198" s="20">
        <v>3200</v>
      </c>
      <c r="U198" s="20">
        <v>1307</v>
      </c>
      <c r="W198" s="19">
        <v>0.30559999999999998</v>
      </c>
      <c r="X198" s="19">
        <v>0.43080000000000002</v>
      </c>
      <c r="Z198" s="18">
        <v>9005</v>
      </c>
    </row>
    <row r="199" spans="1:26" ht="15.75" customHeight="1" x14ac:dyDescent="0.2">
      <c r="A199" s="36" t="str">
        <f>HYPERLINK("https://www.faulkner.edu", "Faulkner University")</f>
        <v>Faulkner University</v>
      </c>
      <c r="B199" s="18" t="s">
        <v>32</v>
      </c>
      <c r="C199" s="18" t="s">
        <v>300</v>
      </c>
      <c r="D199" s="18" t="s">
        <v>547</v>
      </c>
      <c r="E199" s="18">
        <v>1031</v>
      </c>
      <c r="F199" s="18" t="s">
        <v>35</v>
      </c>
      <c r="J199" s="19">
        <v>0.28010000000000002</v>
      </c>
      <c r="K199" s="19">
        <v>0.270718232</v>
      </c>
      <c r="L199" s="19">
        <v>0.29899999999999999</v>
      </c>
      <c r="M199" s="19">
        <v>0.26469999999999999</v>
      </c>
      <c r="N199" s="19">
        <v>0.42859999999999998</v>
      </c>
      <c r="O199" s="19">
        <v>0.25</v>
      </c>
      <c r="P199" s="20">
        <v>34370</v>
      </c>
      <c r="Q199" s="21" t="str">
        <f>HYPERLINK("https://www.faulkner.edu/net-price-calculator-form/", "$24736")</f>
        <v>$24736</v>
      </c>
      <c r="R199" s="20">
        <v>22459</v>
      </c>
      <c r="S199" s="20">
        <v>22287</v>
      </c>
      <c r="T199" s="20">
        <v>6000</v>
      </c>
      <c r="U199" s="20">
        <v>18736</v>
      </c>
      <c r="W199" s="19">
        <v>0.5091</v>
      </c>
      <c r="X199" s="19">
        <v>0.58539999999999992</v>
      </c>
      <c r="Z199" s="18">
        <v>2272</v>
      </c>
    </row>
    <row r="200" spans="1:26" ht="15.75" customHeight="1" x14ac:dyDescent="0.2">
      <c r="A200" s="36" t="str">
        <f>HYPERLINK("https://www.uncfsu.edu", "Fayetteville State University")</f>
        <v>Fayetteville State University</v>
      </c>
      <c r="B200" s="18" t="s">
        <v>49</v>
      </c>
      <c r="C200" s="18" t="s">
        <v>103</v>
      </c>
      <c r="D200" s="18" t="s">
        <v>498</v>
      </c>
      <c r="E200" s="18">
        <v>955</v>
      </c>
      <c r="F200" s="18" t="s">
        <v>35</v>
      </c>
      <c r="J200" s="19">
        <v>0.32919999999999999</v>
      </c>
      <c r="K200" s="19">
        <v>0.412748171</v>
      </c>
      <c r="L200" s="19">
        <v>0.10340000000000001</v>
      </c>
      <c r="M200" s="19">
        <v>0.33710000000000001</v>
      </c>
      <c r="N200" s="19">
        <v>0.41670000000000001</v>
      </c>
      <c r="O200" s="19">
        <v>0.5</v>
      </c>
      <c r="P200" s="20">
        <v>28244</v>
      </c>
      <c r="Q200" s="21" t="str">
        <f>HYPERLINK("https://www.uncfsu.edu/paying-for-college/cost-calculator", "$17637")</f>
        <v>$17637</v>
      </c>
      <c r="R200" s="20">
        <v>21546</v>
      </c>
      <c r="S200" s="20">
        <v>24557</v>
      </c>
      <c r="T200" s="20">
        <v>2826</v>
      </c>
      <c r="U200" s="20">
        <v>14811.62753950339</v>
      </c>
      <c r="W200" s="19">
        <v>0.58320000000000005</v>
      </c>
      <c r="X200" s="19">
        <v>0.81709999999999994</v>
      </c>
      <c r="Z200" s="18">
        <v>4817</v>
      </c>
    </row>
    <row r="201" spans="1:26" ht="15.75" customHeight="1" x14ac:dyDescent="0.2">
      <c r="A201" s="36" t="str">
        <f>HYPERLINK("https://www.felician.edu", "Felician University")</f>
        <v>Felician University</v>
      </c>
      <c r="B201" s="18" t="s">
        <v>32</v>
      </c>
      <c r="C201" s="18" t="s">
        <v>141</v>
      </c>
      <c r="D201" s="18" t="s">
        <v>752</v>
      </c>
      <c r="E201" s="18">
        <v>993</v>
      </c>
      <c r="F201" s="18" t="s">
        <v>35</v>
      </c>
      <c r="J201" s="19">
        <v>0.46920000000000001</v>
      </c>
      <c r="K201" s="19">
        <v>0.32015810300000003</v>
      </c>
      <c r="L201" s="19">
        <v>0.66969999999999996</v>
      </c>
      <c r="M201" s="19">
        <v>0.33329999999999999</v>
      </c>
      <c r="N201" s="19">
        <v>0.41570000000000001</v>
      </c>
      <c r="O201" s="19">
        <v>0.63639999999999997</v>
      </c>
      <c r="P201" s="20">
        <v>50630</v>
      </c>
      <c r="Q201" s="21" t="str">
        <f>HYPERLINK("https://www.felician.edu/admissions/undergraduate-admissions/net-price-calculator", "$14553")</f>
        <v>$14553</v>
      </c>
      <c r="R201" s="20">
        <v>19925</v>
      </c>
      <c r="S201" s="20">
        <v>25124</v>
      </c>
      <c r="T201" s="20">
        <v>4350</v>
      </c>
      <c r="U201" s="20">
        <v>10203</v>
      </c>
      <c r="W201" s="19">
        <v>0.53580000000000005</v>
      </c>
      <c r="X201" s="19">
        <v>0.7036</v>
      </c>
      <c r="Z201" s="18">
        <v>1616</v>
      </c>
    </row>
    <row r="202" spans="1:26" ht="15.75" customHeight="1" x14ac:dyDescent="0.2">
      <c r="A202" s="36" t="str">
        <f>HYPERLINK("https://www.ferris.edu/", "Ferris State University")</f>
        <v>Ferris State University</v>
      </c>
      <c r="B202" s="18" t="s">
        <v>49</v>
      </c>
      <c r="C202" s="18" t="s">
        <v>226</v>
      </c>
      <c r="D202" s="18" t="s">
        <v>754</v>
      </c>
      <c r="E202" s="18">
        <v>1069</v>
      </c>
      <c r="F202" s="18" t="s">
        <v>35</v>
      </c>
      <c r="J202" s="19">
        <v>0.4491</v>
      </c>
      <c r="K202" s="19">
        <v>0.425619835</v>
      </c>
      <c r="L202" s="19">
        <v>0.48520000000000002</v>
      </c>
      <c r="M202" s="19">
        <v>0.16750000000000001</v>
      </c>
      <c r="N202" s="19">
        <v>0.3881</v>
      </c>
      <c r="O202" s="19">
        <v>0.51849999999999996</v>
      </c>
      <c r="P202" s="20">
        <v>30516</v>
      </c>
      <c r="Q202" s="21" t="str">
        <f>HYPERLINK("https://www.ferris.edu/admissions/financialaid/NetPriceCalculator.htm", "$17609")</f>
        <v>$17609</v>
      </c>
      <c r="R202" s="20">
        <v>22213</v>
      </c>
      <c r="S202" s="20">
        <v>25324</v>
      </c>
      <c r="T202" s="20">
        <v>2034</v>
      </c>
      <c r="U202" s="20">
        <v>15575.141430948421</v>
      </c>
      <c r="W202" s="19">
        <v>0.36080000000000001</v>
      </c>
      <c r="X202" s="19">
        <v>0.218</v>
      </c>
      <c r="Z202" s="18">
        <v>11549</v>
      </c>
    </row>
    <row r="203" spans="1:26" ht="15.75" customHeight="1" x14ac:dyDescent="0.2">
      <c r="A203" s="36" t="str">
        <f>HYPERLINK("https://www.fisk.edu", "Fisk University")</f>
        <v>Fisk University</v>
      </c>
      <c r="B203" s="18" t="s">
        <v>32</v>
      </c>
      <c r="C203" s="18" t="s">
        <v>174</v>
      </c>
      <c r="D203" s="18" t="s">
        <v>175</v>
      </c>
      <c r="E203" s="18">
        <v>1014</v>
      </c>
      <c r="F203" s="18" t="s">
        <v>35</v>
      </c>
      <c r="J203" s="19">
        <v>0.51719999999999999</v>
      </c>
      <c r="K203" s="19">
        <v>0.47540983599999997</v>
      </c>
      <c r="L203" s="19">
        <v>0</v>
      </c>
      <c r="M203" s="19">
        <v>0.53920000000000001</v>
      </c>
      <c r="N203" s="19" t="s">
        <v>36</v>
      </c>
      <c r="O203" s="19" t="s">
        <v>36</v>
      </c>
      <c r="P203" s="20">
        <v>37070</v>
      </c>
      <c r="Q203" s="21" t="str">
        <f>HYPERLINK("https://web.fisk.edu/npc/", "$28362")</f>
        <v>$28362</v>
      </c>
      <c r="R203" s="20">
        <v>27567</v>
      </c>
      <c r="S203" s="20">
        <v>32792</v>
      </c>
      <c r="T203" s="20">
        <v>4800</v>
      </c>
      <c r="U203" s="20">
        <v>23562</v>
      </c>
      <c r="W203" s="19">
        <v>0.54969999999999997</v>
      </c>
      <c r="X203" s="19">
        <v>0.99399999999999999</v>
      </c>
      <c r="Z203" s="18">
        <v>664</v>
      </c>
    </row>
    <row r="204" spans="1:26" ht="15.75" customHeight="1" x14ac:dyDescent="0.2">
      <c r="A204" s="36" t="str">
        <f>HYPERLINK("https://www.fitchburgstate.edu", "Fitchburg State University")</f>
        <v>Fitchburg State University</v>
      </c>
      <c r="B204" s="18" t="s">
        <v>49</v>
      </c>
      <c r="C204" s="18" t="s">
        <v>33</v>
      </c>
      <c r="D204" s="18" t="s">
        <v>757</v>
      </c>
      <c r="E204" s="18">
        <v>1056</v>
      </c>
      <c r="F204" s="18" t="s">
        <v>35</v>
      </c>
      <c r="J204" s="19">
        <v>0.59650000000000003</v>
      </c>
      <c r="K204" s="19">
        <v>0.44943820200000001</v>
      </c>
      <c r="L204" s="19">
        <v>0.61550000000000005</v>
      </c>
      <c r="M204" s="19">
        <v>0.52629999999999999</v>
      </c>
      <c r="N204" s="19">
        <v>0.5</v>
      </c>
      <c r="O204" s="19">
        <v>0.375</v>
      </c>
      <c r="P204" s="20">
        <v>30061</v>
      </c>
      <c r="Q204" s="21" t="str">
        <f>HYPERLINK("https://www.fitchburgstate.edu/finaid", "$21104")</f>
        <v>$21104</v>
      </c>
      <c r="R204" s="20">
        <v>24928</v>
      </c>
      <c r="S204" s="20">
        <v>28107</v>
      </c>
      <c r="T204" s="20">
        <v>3150</v>
      </c>
      <c r="U204" s="20">
        <v>17954.82987551867</v>
      </c>
      <c r="W204" s="19">
        <v>0.36109999999999998</v>
      </c>
      <c r="X204" s="19">
        <v>0.30170000000000002</v>
      </c>
      <c r="Z204" s="18">
        <v>4040</v>
      </c>
    </row>
    <row r="205" spans="1:26" ht="15.75" customHeight="1" x14ac:dyDescent="0.2">
      <c r="A205" s="36" t="str">
        <f>HYPERLINK("https://www.ftc.edu", "Five Towns College")</f>
        <v>Five Towns College</v>
      </c>
      <c r="B205" s="18" t="s">
        <v>368</v>
      </c>
      <c r="C205" s="18" t="s">
        <v>38</v>
      </c>
      <c r="D205" s="18" t="s">
        <v>758</v>
      </c>
      <c r="E205" s="18" t="s">
        <v>36</v>
      </c>
      <c r="F205" s="18" t="s">
        <v>90</v>
      </c>
      <c r="J205" s="19">
        <v>0.30769999999999997</v>
      </c>
      <c r="K205" s="19">
        <v>0.36956521700000011</v>
      </c>
      <c r="L205" s="19">
        <v>0.32990000000000003</v>
      </c>
      <c r="M205" s="19">
        <v>0.28789999999999999</v>
      </c>
      <c r="N205" s="19">
        <v>0.27910000000000001</v>
      </c>
      <c r="O205" s="19">
        <v>0.33329999999999999</v>
      </c>
      <c r="P205" s="20">
        <v>36960</v>
      </c>
      <c r="Q205" s="21" t="str">
        <f>HYPERLINK("https://npc.collegeboard.org/student/app/ftc", "$16871")</f>
        <v>$16871</v>
      </c>
      <c r="R205" s="20">
        <v>22326</v>
      </c>
      <c r="S205" s="20">
        <v>26745</v>
      </c>
      <c r="T205" s="20">
        <v>5000</v>
      </c>
      <c r="U205" s="20">
        <v>11871</v>
      </c>
      <c r="W205" s="19">
        <v>0.49769999999999998</v>
      </c>
      <c r="X205" s="19">
        <v>0.49669999999999997</v>
      </c>
      <c r="Z205" s="18">
        <v>614</v>
      </c>
    </row>
    <row r="206" spans="1:26" ht="15.75" customHeight="1" x14ac:dyDescent="0.2">
      <c r="A206" s="36" t="str">
        <f>HYPERLINK("https://www.famu.edu", "Florida Agricultural and Mechanical University")</f>
        <v>Florida Agricultural and Mechanical University</v>
      </c>
      <c r="B206" s="18" t="s">
        <v>49</v>
      </c>
      <c r="C206" s="18" t="s">
        <v>162</v>
      </c>
      <c r="D206" s="18" t="s">
        <v>216</v>
      </c>
      <c r="E206" s="18">
        <v>1044</v>
      </c>
      <c r="F206" s="18" t="s">
        <v>35</v>
      </c>
      <c r="J206" s="19">
        <v>0.47610000000000002</v>
      </c>
      <c r="K206" s="19">
        <v>0.39942693400000001</v>
      </c>
      <c r="L206" s="19">
        <v>0.30559999999999998</v>
      </c>
      <c r="M206" s="19">
        <v>0.47889999999999999</v>
      </c>
      <c r="N206" s="19">
        <v>0.39389999999999997</v>
      </c>
      <c r="O206" s="19">
        <v>0.63639999999999997</v>
      </c>
      <c r="P206" s="20">
        <v>34821</v>
      </c>
      <c r="Q206" s="21" t="str">
        <f>HYPERLINK("https://www.famu.edu/index.cfm?FinancialAid&amp;EstimatingCost(NPC)", "$25411")</f>
        <v>$25411</v>
      </c>
      <c r="R206" s="20">
        <v>28914</v>
      </c>
      <c r="S206" s="20">
        <v>31563</v>
      </c>
      <c r="T206" s="20">
        <v>6502</v>
      </c>
      <c r="U206" s="20">
        <v>18909.216666666671</v>
      </c>
      <c r="W206" s="19">
        <v>0.59079999999999999</v>
      </c>
      <c r="X206" s="19">
        <v>0.96699999999999997</v>
      </c>
      <c r="Z206" s="18">
        <v>7552</v>
      </c>
    </row>
    <row r="207" spans="1:26" ht="15.75" customHeight="1" x14ac:dyDescent="0.2">
      <c r="A207" s="36" t="str">
        <f>HYPERLINK("https://www.fau.edu/", "Florida Atlantic University")</f>
        <v>Florida Atlantic University</v>
      </c>
      <c r="B207" s="18" t="s">
        <v>49</v>
      </c>
      <c r="C207" s="18" t="s">
        <v>162</v>
      </c>
      <c r="D207" s="18" t="s">
        <v>760</v>
      </c>
      <c r="E207" s="18">
        <v>1149</v>
      </c>
      <c r="F207" s="18" t="s">
        <v>35</v>
      </c>
      <c r="J207" s="19">
        <v>0.51200000000000001</v>
      </c>
      <c r="K207" s="19">
        <v>0.56408450700000001</v>
      </c>
      <c r="L207" s="19">
        <v>0.48959999999999998</v>
      </c>
      <c r="M207" s="19">
        <v>0.56189999999999996</v>
      </c>
      <c r="N207" s="19">
        <v>0.52190000000000003</v>
      </c>
      <c r="O207" s="19">
        <v>0.55449999999999999</v>
      </c>
      <c r="P207" s="20">
        <v>35804</v>
      </c>
      <c r="Q207" s="21" t="str">
        <f>HYPERLINK("https://www.fau.edu/admissions/npcalc.htm", "$24509")</f>
        <v>$24509</v>
      </c>
      <c r="R207" s="20">
        <v>28661</v>
      </c>
      <c r="S207" s="20">
        <v>33199</v>
      </c>
      <c r="T207" s="20">
        <v>6622</v>
      </c>
      <c r="U207" s="20">
        <v>17887.719393282769</v>
      </c>
      <c r="W207" s="19">
        <v>0.38319999999999999</v>
      </c>
      <c r="X207" s="19">
        <v>0.59099999999999997</v>
      </c>
      <c r="Z207" s="18">
        <v>23748</v>
      </c>
    </row>
    <row r="208" spans="1:26" ht="15.75" customHeight="1" x14ac:dyDescent="0.2">
      <c r="A208" s="36" t="str">
        <f>HYPERLINK("https://www.myunion.edu", "Florida Center")</f>
        <v>Florida Center</v>
      </c>
      <c r="B208" s="18" t="s">
        <v>32</v>
      </c>
      <c r="C208" s="18" t="s">
        <v>162</v>
      </c>
      <c r="D208" s="18" t="s">
        <v>762</v>
      </c>
      <c r="E208" s="18" t="s">
        <v>36</v>
      </c>
      <c r="F208" s="18" t="s">
        <v>36</v>
      </c>
      <c r="J208" s="19" t="s">
        <v>36</v>
      </c>
      <c r="K208" s="19">
        <v>0.44725738399999998</v>
      </c>
      <c r="L208" s="19" t="s">
        <v>36</v>
      </c>
      <c r="M208" s="19" t="s">
        <v>36</v>
      </c>
      <c r="N208" s="19" t="s">
        <v>36</v>
      </c>
      <c r="O208" s="19" t="s">
        <v>36</v>
      </c>
      <c r="P208" s="20" t="s">
        <v>36</v>
      </c>
      <c r="Q208" s="35" t="s">
        <v>36</v>
      </c>
      <c r="R208" s="20" t="s">
        <v>36</v>
      </c>
      <c r="S208" s="20" t="s">
        <v>36</v>
      </c>
      <c r="T208" s="20" t="s">
        <v>36</v>
      </c>
      <c r="U208" s="20" t="s">
        <v>36</v>
      </c>
      <c r="W208" s="19" t="s">
        <v>36</v>
      </c>
      <c r="X208" s="19" t="s">
        <v>36</v>
      </c>
      <c r="Z208" s="18" t="s">
        <v>36</v>
      </c>
    </row>
    <row r="209" spans="1:26" ht="15.75" customHeight="1" x14ac:dyDescent="0.2">
      <c r="A209" s="36" t="str">
        <f>HYPERLINK("https://www.floridacollege.edu", "Florida College")</f>
        <v>Florida College</v>
      </c>
      <c r="B209" s="18" t="s">
        <v>32</v>
      </c>
      <c r="C209" s="18" t="s">
        <v>162</v>
      </c>
      <c r="D209" s="18" t="s">
        <v>764</v>
      </c>
      <c r="E209" s="18">
        <v>1000</v>
      </c>
      <c r="F209" s="18" t="s">
        <v>35</v>
      </c>
      <c r="J209" s="19">
        <v>0.46970000000000001</v>
      </c>
      <c r="K209" s="19">
        <v>0.26315789499999998</v>
      </c>
      <c r="L209" s="19">
        <v>0.50900000000000001</v>
      </c>
      <c r="M209" s="19">
        <v>0.22220000000000001</v>
      </c>
      <c r="N209" s="19">
        <v>0.2</v>
      </c>
      <c r="O209" s="19">
        <v>0</v>
      </c>
      <c r="P209" s="20">
        <v>30062</v>
      </c>
      <c r="Q209" s="21" t="str">
        <f>HYPERLINK("https://www.floridacollege.edu", "$17364")</f>
        <v>$17364</v>
      </c>
      <c r="R209" s="20">
        <v>20063</v>
      </c>
      <c r="S209" s="20">
        <v>25489</v>
      </c>
      <c r="T209" s="20">
        <v>4500</v>
      </c>
      <c r="U209" s="20">
        <v>12864</v>
      </c>
      <c r="W209" s="19">
        <v>0.31840000000000002</v>
      </c>
      <c r="X209" s="19">
        <v>0.26529999999999998</v>
      </c>
      <c r="Z209" s="18">
        <v>505</v>
      </c>
    </row>
    <row r="210" spans="1:26" ht="15.75" customHeight="1" x14ac:dyDescent="0.2">
      <c r="A210" s="36" t="str">
        <f>HYPERLINK("https://www.fgcu.edu", "Florida Gulf Coast University")</f>
        <v>Florida Gulf Coast University</v>
      </c>
      <c r="B210" s="18" t="s">
        <v>49</v>
      </c>
      <c r="C210" s="18" t="s">
        <v>162</v>
      </c>
      <c r="D210" s="18" t="s">
        <v>766</v>
      </c>
      <c r="E210" s="18">
        <v>1141</v>
      </c>
      <c r="F210" s="18" t="s">
        <v>35</v>
      </c>
      <c r="J210" s="19">
        <v>0.48099999999999998</v>
      </c>
      <c r="K210" s="19">
        <v>0.47447795799999998</v>
      </c>
      <c r="L210" s="19">
        <v>0.49199999999999999</v>
      </c>
      <c r="M210" s="19">
        <v>0.44969999999999999</v>
      </c>
      <c r="N210" s="19">
        <v>0.45140000000000002</v>
      </c>
      <c r="O210" s="19">
        <v>0.5</v>
      </c>
      <c r="P210" s="20">
        <v>39434</v>
      </c>
      <c r="Q210" s="21" t="str">
        <f>HYPERLINK("https://www2.fgcu.edu/financialaid/netpricecalculator/npcalc.htm", "$32286")</f>
        <v>$32286</v>
      </c>
      <c r="R210" s="20">
        <v>35673</v>
      </c>
      <c r="S210" s="20">
        <v>37975</v>
      </c>
      <c r="T210" s="20">
        <v>4600</v>
      </c>
      <c r="U210" s="20">
        <v>27686.0985915493</v>
      </c>
      <c r="W210" s="19">
        <v>0.29599999999999999</v>
      </c>
      <c r="X210" s="19">
        <v>0.36209999999999998</v>
      </c>
      <c r="Z210" s="18">
        <v>13636</v>
      </c>
    </row>
    <row r="211" spans="1:26" ht="15.75" customHeight="1" x14ac:dyDescent="0.2">
      <c r="A211" s="36" t="str">
        <f>HYPERLINK("https://www.fontbonne.edu", "Fontbonne University")</f>
        <v>Fontbonne University</v>
      </c>
      <c r="B211" s="18" t="s">
        <v>32</v>
      </c>
      <c r="C211" s="18" t="s">
        <v>164</v>
      </c>
      <c r="D211" s="18" t="s">
        <v>179</v>
      </c>
      <c r="E211" s="18">
        <v>1145</v>
      </c>
      <c r="F211" s="18" t="s">
        <v>35</v>
      </c>
      <c r="J211" s="19">
        <v>0.5</v>
      </c>
      <c r="K211" s="19">
        <v>0.37878787899999999</v>
      </c>
      <c r="L211" s="19">
        <v>0.56700000000000006</v>
      </c>
      <c r="M211" s="19">
        <v>0.3</v>
      </c>
      <c r="N211" s="19">
        <v>0.25</v>
      </c>
      <c r="O211" s="19">
        <v>0.33329999999999999</v>
      </c>
      <c r="P211" s="20">
        <v>40762</v>
      </c>
      <c r="Q211" s="21" t="str">
        <f>HYPERLINK("https://www.fontbonne.edu/financial-aid/net-price-calculator/", "$19130")</f>
        <v>$19130</v>
      </c>
      <c r="R211" s="20">
        <v>21221</v>
      </c>
      <c r="S211" s="20">
        <v>23740</v>
      </c>
      <c r="T211" s="20">
        <v>5796</v>
      </c>
      <c r="U211" s="20">
        <v>13334</v>
      </c>
      <c r="W211" s="19">
        <v>0.35949999999999999</v>
      </c>
      <c r="X211" s="19">
        <v>0.26429999999999998</v>
      </c>
      <c r="Z211" s="18">
        <v>874</v>
      </c>
    </row>
    <row r="212" spans="1:26" ht="15.75" customHeight="1" x14ac:dyDescent="0.2">
      <c r="A212" s="36" t="str">
        <f>HYPERLINK("https://www.fhsu.edu", "Fort Hays State University")</f>
        <v>Fort Hays State University</v>
      </c>
      <c r="B212" s="18" t="s">
        <v>49</v>
      </c>
      <c r="C212" s="18" t="s">
        <v>307</v>
      </c>
      <c r="D212" s="18" t="s">
        <v>767</v>
      </c>
      <c r="E212" s="18" t="s">
        <v>36</v>
      </c>
      <c r="F212" s="18" t="s">
        <v>90</v>
      </c>
      <c r="J212" s="19">
        <v>0.43799999999999989</v>
      </c>
      <c r="K212" s="19">
        <v>0.36978417299999999</v>
      </c>
      <c r="L212" s="19">
        <v>0.46860000000000002</v>
      </c>
      <c r="M212" s="19">
        <v>0.1754</v>
      </c>
      <c r="N212" s="19">
        <v>0.40510000000000002</v>
      </c>
      <c r="O212" s="19">
        <v>0.57140000000000002</v>
      </c>
      <c r="P212" s="20">
        <v>27654</v>
      </c>
      <c r="Q212" s="21" t="str">
        <f>HYPERLINK("https://www.fhsu.edu/finaid/net-price-calculator/", "$20667")</f>
        <v>$20667</v>
      </c>
      <c r="R212" s="20">
        <v>23711</v>
      </c>
      <c r="S212" s="20">
        <v>25290</v>
      </c>
      <c r="T212" s="20">
        <v>4928</v>
      </c>
      <c r="U212" s="20">
        <v>15739.76119402985</v>
      </c>
      <c r="W212" s="19">
        <v>0.2802</v>
      </c>
      <c r="X212" s="19">
        <v>0.45660000000000001</v>
      </c>
      <c r="Z212" s="18">
        <v>12174</v>
      </c>
    </row>
    <row r="213" spans="1:26" ht="15.75" customHeight="1" x14ac:dyDescent="0.2">
      <c r="A213" s="36" t="str">
        <f>HYPERLINK("https://fortlewis.edu/", "Fort Lewis College")</f>
        <v>Fort Lewis College</v>
      </c>
      <c r="B213" s="18" t="s">
        <v>49</v>
      </c>
      <c r="C213" s="18" t="s">
        <v>87</v>
      </c>
      <c r="D213" s="18" t="s">
        <v>769</v>
      </c>
      <c r="E213" s="18">
        <v>1123</v>
      </c>
      <c r="F213" s="18" t="s">
        <v>35</v>
      </c>
      <c r="J213" s="19">
        <v>0.40179999999999999</v>
      </c>
      <c r="K213" s="19">
        <v>0.39839572200000001</v>
      </c>
      <c r="L213" s="19">
        <v>0.44769999999999999</v>
      </c>
      <c r="M213" s="19">
        <v>0.45450000000000002</v>
      </c>
      <c r="N213" s="19">
        <v>0.44290000000000002</v>
      </c>
      <c r="O213" s="19">
        <v>0.66669999999999996</v>
      </c>
      <c r="P213" s="20">
        <v>36843</v>
      </c>
      <c r="Q213" s="21" t="str">
        <f>HYPERLINK("https://www.fortlewis.edu/home/Cost.aspx", "$25632")</f>
        <v>$25632</v>
      </c>
      <c r="R213" s="20">
        <v>29720</v>
      </c>
      <c r="S213" s="20">
        <v>31783</v>
      </c>
      <c r="T213" s="20">
        <v>6814</v>
      </c>
      <c r="U213" s="20">
        <v>18818.215909090912</v>
      </c>
      <c r="W213" s="19">
        <v>0.34510000000000002</v>
      </c>
      <c r="X213" s="19">
        <v>0.51490000000000002</v>
      </c>
      <c r="Z213" s="18">
        <v>3150</v>
      </c>
    </row>
    <row r="214" spans="1:26" ht="15.75" customHeight="1" x14ac:dyDescent="0.2">
      <c r="A214" s="36" t="str">
        <f>HYPERLINK("https://www.framingham.edu/", "Framingham State University")</f>
        <v>Framingham State University</v>
      </c>
      <c r="B214" s="18" t="s">
        <v>49</v>
      </c>
      <c r="C214" s="18" t="s">
        <v>33</v>
      </c>
      <c r="D214" s="18" t="s">
        <v>771</v>
      </c>
      <c r="E214" s="18">
        <v>1043</v>
      </c>
      <c r="F214" s="18" t="s">
        <v>35</v>
      </c>
      <c r="J214" s="19">
        <v>0.53979999999999995</v>
      </c>
      <c r="K214" s="19">
        <v>0.50243902399999996</v>
      </c>
      <c r="L214" s="19">
        <v>0.54830000000000001</v>
      </c>
      <c r="M214" s="19">
        <v>0.55769999999999997</v>
      </c>
      <c r="N214" s="19">
        <v>0.4778</v>
      </c>
      <c r="O214" s="19">
        <v>0.63639999999999997</v>
      </c>
      <c r="P214" s="20">
        <v>32230</v>
      </c>
      <c r="Q214" s="21" t="str">
        <f>HYPERLINK("https://npc.collegeboard.org/student/app/framingham", "$22653")</f>
        <v>$22653</v>
      </c>
      <c r="R214" s="20">
        <v>26393</v>
      </c>
      <c r="S214" s="20">
        <v>30413</v>
      </c>
      <c r="T214" s="20">
        <v>4410</v>
      </c>
      <c r="U214" s="20">
        <v>18243.96446700508</v>
      </c>
      <c r="W214" s="19">
        <v>0.31309999999999999</v>
      </c>
      <c r="X214" s="19">
        <v>0.3518</v>
      </c>
      <c r="Z214" s="18">
        <v>3963</v>
      </c>
    </row>
    <row r="215" spans="1:26" ht="15.75" customHeight="1" x14ac:dyDescent="0.2">
      <c r="A215" s="36" t="str">
        <f>HYPERLINK("https://www.fmarion.edu", "Francis Marion University")</f>
        <v>Francis Marion University</v>
      </c>
      <c r="B215" s="18" t="s">
        <v>49</v>
      </c>
      <c r="C215" s="18" t="s">
        <v>208</v>
      </c>
      <c r="D215" s="18" t="s">
        <v>772</v>
      </c>
      <c r="E215" s="18">
        <v>1003</v>
      </c>
      <c r="F215" s="18" t="s">
        <v>35</v>
      </c>
      <c r="J215" s="19">
        <v>0.37330000000000002</v>
      </c>
      <c r="K215" s="19">
        <v>0.38624338600000002</v>
      </c>
      <c r="L215" s="19">
        <v>0.3831</v>
      </c>
      <c r="M215" s="19">
        <v>0.37080000000000002</v>
      </c>
      <c r="N215" s="19">
        <v>0.3</v>
      </c>
      <c r="O215" s="19">
        <v>0.16669999999999999</v>
      </c>
      <c r="P215" s="20">
        <v>33418</v>
      </c>
      <c r="Q215" s="21" t="str">
        <f>HYPERLINK("https://netprice.fmarion.edu", "$23158")</f>
        <v>$23158</v>
      </c>
      <c r="R215" s="20">
        <v>27719</v>
      </c>
      <c r="S215" s="20">
        <v>29495</v>
      </c>
      <c r="T215" s="20">
        <v>4552</v>
      </c>
      <c r="U215" s="20">
        <v>18606.046448087429</v>
      </c>
      <c r="W215" s="19">
        <v>0.54200000000000004</v>
      </c>
      <c r="X215" s="19">
        <v>0.51350000000000007</v>
      </c>
      <c r="Z215" s="18">
        <v>3079</v>
      </c>
    </row>
    <row r="216" spans="1:26" ht="15.75" customHeight="1" x14ac:dyDescent="0.2">
      <c r="A216" s="36" t="str">
        <f>HYPERLINK("https://www.franklincollege.edu", "Franklin College")</f>
        <v>Franklin College</v>
      </c>
      <c r="B216" s="18" t="s">
        <v>32</v>
      </c>
      <c r="C216" s="18" t="s">
        <v>148</v>
      </c>
      <c r="D216" s="18" t="s">
        <v>774</v>
      </c>
      <c r="E216" s="18">
        <v>1105</v>
      </c>
      <c r="F216" s="18" t="s">
        <v>35</v>
      </c>
      <c r="J216" s="19">
        <v>0.61680000000000001</v>
      </c>
      <c r="K216" s="19">
        <v>0.55128205100000005</v>
      </c>
      <c r="L216" s="19">
        <v>0.62780000000000002</v>
      </c>
      <c r="M216" s="19">
        <v>0.4667</v>
      </c>
      <c r="N216" s="19">
        <v>0</v>
      </c>
      <c r="O216" s="19" t="s">
        <v>36</v>
      </c>
      <c r="P216" s="20">
        <v>44350</v>
      </c>
      <c r="Q216" s="21" t="str">
        <f>HYPERLINK("https://franklincollege.edu/admissions/tuition-fees-2/", "$14774")</f>
        <v>$14774</v>
      </c>
      <c r="R216" s="20">
        <v>20127</v>
      </c>
      <c r="S216" s="20">
        <v>24010</v>
      </c>
      <c r="T216" s="20">
        <v>3800</v>
      </c>
      <c r="U216" s="20">
        <v>10974</v>
      </c>
      <c r="W216" s="19">
        <v>0.36349999999999999</v>
      </c>
      <c r="X216" s="19">
        <v>0.13189999999999999</v>
      </c>
      <c r="Z216" s="18">
        <v>978</v>
      </c>
    </row>
    <row r="217" spans="1:26" ht="15.75" customHeight="1" x14ac:dyDescent="0.2">
      <c r="A217" s="36" t="str">
        <f>HYPERLINK("https://www.franklinpierce.edu", "Franklin Pierce University")</f>
        <v>Franklin Pierce University</v>
      </c>
      <c r="B217" s="18" t="s">
        <v>32</v>
      </c>
      <c r="C217" s="18" t="s">
        <v>101</v>
      </c>
      <c r="D217" s="18" t="s">
        <v>775</v>
      </c>
      <c r="E217" s="18" t="s">
        <v>36</v>
      </c>
      <c r="F217" s="18" t="s">
        <v>115</v>
      </c>
      <c r="J217" s="19">
        <v>0.48899999999999999</v>
      </c>
      <c r="K217" s="19">
        <v>0.50862068999999999</v>
      </c>
      <c r="L217" s="19">
        <v>0.51070000000000004</v>
      </c>
      <c r="M217" s="19">
        <v>0.6</v>
      </c>
      <c r="N217" s="19">
        <v>0.18179999999999999</v>
      </c>
      <c r="O217" s="19">
        <v>1</v>
      </c>
      <c r="P217" s="20">
        <v>51577</v>
      </c>
      <c r="Q217" s="21" t="str">
        <f>HYPERLINK("https://www.franklinpierce.edu/admissions/finaid/ssl/npc.htm", "$22500")</f>
        <v>$22500</v>
      </c>
      <c r="R217" s="20">
        <v>24989</v>
      </c>
      <c r="S217" s="20">
        <v>26935</v>
      </c>
      <c r="T217" s="20">
        <v>3500</v>
      </c>
      <c r="U217" s="20">
        <v>19000</v>
      </c>
      <c r="W217" s="19">
        <v>0.29949999999999999</v>
      </c>
      <c r="X217" s="19">
        <v>0.26140000000000002</v>
      </c>
      <c r="Z217" s="18">
        <v>1710</v>
      </c>
    </row>
    <row r="218" spans="1:26" ht="15.75" customHeight="1" x14ac:dyDescent="0.2">
      <c r="A218" s="36" t="str">
        <f>HYPERLINK("https://www.franklin.edu", "Franklin University")</f>
        <v>Franklin University</v>
      </c>
      <c r="B218" s="18" t="s">
        <v>32</v>
      </c>
      <c r="C218" s="18" t="s">
        <v>75</v>
      </c>
      <c r="D218" s="18" t="s">
        <v>237</v>
      </c>
      <c r="E218" s="18" t="s">
        <v>36</v>
      </c>
      <c r="F218" s="18" t="s">
        <v>36</v>
      </c>
      <c r="J218" s="19">
        <v>5.6599999999999998E-2</v>
      </c>
      <c r="K218" s="19">
        <v>0.12703379200000001</v>
      </c>
      <c r="L218" s="19">
        <v>5.2600000000000001E-2</v>
      </c>
      <c r="M218" s="19">
        <v>3.5700000000000003E-2</v>
      </c>
      <c r="N218" s="19" t="s">
        <v>36</v>
      </c>
      <c r="O218" s="19" t="s">
        <v>36</v>
      </c>
      <c r="P218" s="20">
        <v>32933</v>
      </c>
      <c r="Q218" s="21" t="str">
        <f>HYPERLINK("https://www.franklin.edu/lp/npcalc/index.html", "$23868")</f>
        <v>$23868</v>
      </c>
      <c r="R218" s="20">
        <v>26751</v>
      </c>
      <c r="S218" s="20" t="s">
        <v>36</v>
      </c>
      <c r="T218" s="20">
        <v>6300</v>
      </c>
      <c r="U218" s="20">
        <v>17568</v>
      </c>
      <c r="W218" s="19">
        <v>0.39</v>
      </c>
      <c r="X218" s="19">
        <v>0.36759999999999998</v>
      </c>
      <c r="Z218" s="18">
        <v>3433</v>
      </c>
    </row>
    <row r="219" spans="1:26" ht="15.75" customHeight="1" x14ac:dyDescent="0.2">
      <c r="A219" s="36" t="str">
        <f>HYPERLINK("https://www.fresno.edu", "Fresno Pacific University")</f>
        <v>Fresno Pacific University</v>
      </c>
      <c r="B219" s="18" t="s">
        <v>32</v>
      </c>
      <c r="C219" s="18" t="s">
        <v>68</v>
      </c>
      <c r="D219" s="18" t="s">
        <v>673</v>
      </c>
      <c r="E219" s="18">
        <v>1050</v>
      </c>
      <c r="F219" s="18" t="s">
        <v>35</v>
      </c>
      <c r="J219" s="19">
        <v>0.65380000000000005</v>
      </c>
      <c r="K219" s="19">
        <v>0.44705882400000002</v>
      </c>
      <c r="L219" s="19">
        <v>0.67710000000000004</v>
      </c>
      <c r="M219" s="19">
        <v>0.4</v>
      </c>
      <c r="N219" s="19">
        <v>0.67420000000000002</v>
      </c>
      <c r="O219" s="19">
        <v>0.5</v>
      </c>
      <c r="P219" s="20">
        <v>43115</v>
      </c>
      <c r="Q219" s="21" t="str">
        <f>HYPERLINK("https://tcc.noellevitz.com/(S(2udqcz4v5juwacioemspbydx))/Fresno%20Pacific%20University/Freshman%20Students", "$14749")</f>
        <v>$14749</v>
      </c>
      <c r="R219" s="20">
        <v>12485</v>
      </c>
      <c r="S219" s="20">
        <v>18346</v>
      </c>
      <c r="T219" s="20">
        <v>4257</v>
      </c>
      <c r="U219" s="20">
        <v>10492</v>
      </c>
      <c r="W219" s="19">
        <v>0.57709999999999995</v>
      </c>
      <c r="X219" s="19">
        <v>0.71089999999999998</v>
      </c>
      <c r="Z219" s="18">
        <v>2791</v>
      </c>
    </row>
    <row r="220" spans="1:26" ht="15.75" customHeight="1" x14ac:dyDescent="0.2">
      <c r="A220" s="36" t="str">
        <f>HYPERLINK("https://www.friends.edu", "Friends University")</f>
        <v>Friends University</v>
      </c>
      <c r="B220" s="18" t="s">
        <v>32</v>
      </c>
      <c r="C220" s="18" t="s">
        <v>307</v>
      </c>
      <c r="D220" s="18" t="s">
        <v>778</v>
      </c>
      <c r="E220" s="18">
        <v>1100</v>
      </c>
      <c r="F220" s="18" t="s">
        <v>35</v>
      </c>
      <c r="J220" s="19">
        <v>0.3362</v>
      </c>
      <c r="K220" s="19">
        <v>0.199288256</v>
      </c>
      <c r="L220" s="19">
        <v>0.39069999999999999</v>
      </c>
      <c r="M220" s="19">
        <v>0.125</v>
      </c>
      <c r="N220" s="19">
        <v>0.18179999999999999</v>
      </c>
      <c r="O220" s="19">
        <v>0</v>
      </c>
      <c r="P220" s="20">
        <v>40805</v>
      </c>
      <c r="Q220" s="21" t="str">
        <f>HYPERLINK("https://friendsucalculator.com", "$23115")</f>
        <v>$23115</v>
      </c>
      <c r="R220" s="20">
        <v>23339</v>
      </c>
      <c r="S220" s="20">
        <v>23123</v>
      </c>
      <c r="T220" s="20">
        <v>5500</v>
      </c>
      <c r="U220" s="20">
        <v>17615</v>
      </c>
      <c r="W220" s="19">
        <v>0.41610000000000003</v>
      </c>
      <c r="X220" s="19">
        <v>0.40810000000000002</v>
      </c>
      <c r="Z220" s="18">
        <v>1110</v>
      </c>
    </row>
    <row r="221" spans="1:26" ht="15.75" customHeight="1" x14ac:dyDescent="0.2">
      <c r="A221" s="36" t="str">
        <f>HYPERLINK("https://www.frostburg.edu", "Frostburg State University")</f>
        <v>Frostburg State University</v>
      </c>
      <c r="B221" s="18" t="s">
        <v>49</v>
      </c>
      <c r="C221" s="18" t="s">
        <v>124</v>
      </c>
      <c r="D221" s="18" t="s">
        <v>781</v>
      </c>
      <c r="E221" s="18">
        <v>1017</v>
      </c>
      <c r="F221" s="18" t="s">
        <v>35</v>
      </c>
      <c r="J221" s="19">
        <v>0.4945</v>
      </c>
      <c r="K221" s="19">
        <v>0.468277946</v>
      </c>
      <c r="L221" s="19">
        <v>0.52600000000000002</v>
      </c>
      <c r="M221" s="19">
        <v>0.46179999999999999</v>
      </c>
      <c r="N221" s="19">
        <v>0.34620000000000001</v>
      </c>
      <c r="O221" s="19">
        <v>0.5</v>
      </c>
      <c r="P221" s="20">
        <v>34990</v>
      </c>
      <c r="Q221" s="21" t="str">
        <f>HYPERLINK("https://www.frostburg.edu/admissions-and-cost/financial-aid/calculators-and-tools.php", "$24034")</f>
        <v>$24034</v>
      </c>
      <c r="R221" s="20">
        <v>29211</v>
      </c>
      <c r="S221" s="20">
        <v>32986</v>
      </c>
      <c r="T221" s="20">
        <v>3206</v>
      </c>
      <c r="U221" s="20">
        <v>20828.615384615379</v>
      </c>
      <c r="W221" s="19">
        <v>0.37590000000000001</v>
      </c>
      <c r="X221" s="19">
        <v>0.48240000000000011</v>
      </c>
      <c r="Z221" s="18">
        <v>4486</v>
      </c>
    </row>
    <row r="222" spans="1:26" ht="15.75" customHeight="1" x14ac:dyDescent="0.2">
      <c r="A222" s="36" t="str">
        <f>HYPERLINK("https://www.gallaudet.edu", "Gallaudet University")</f>
        <v>Gallaudet University</v>
      </c>
      <c r="B222" s="18" t="s">
        <v>32</v>
      </c>
      <c r="C222" s="18" t="s">
        <v>113</v>
      </c>
      <c r="D222" s="18" t="s">
        <v>114</v>
      </c>
      <c r="E222" s="18">
        <v>916</v>
      </c>
      <c r="F222" s="18" t="s">
        <v>35</v>
      </c>
      <c r="J222" s="19">
        <v>0.52500000000000002</v>
      </c>
      <c r="K222" s="19">
        <v>0.47517730499999999</v>
      </c>
      <c r="L222" s="19">
        <v>0.53910000000000002</v>
      </c>
      <c r="M222" s="19">
        <v>0.42420000000000002</v>
      </c>
      <c r="N222" s="19">
        <v>0.45</v>
      </c>
      <c r="O222" s="19">
        <v>0.7</v>
      </c>
      <c r="P222" s="20">
        <v>37188</v>
      </c>
      <c r="Q222" s="21" t="str">
        <f>HYPERLINK("https://www.gallaudet.edu/merit-based-scholarship-awards/net-price-calculator", "$11705")</f>
        <v>$11705</v>
      </c>
      <c r="R222" s="20">
        <v>17284</v>
      </c>
      <c r="S222" s="20">
        <v>7876</v>
      </c>
      <c r="T222" s="20">
        <v>7100</v>
      </c>
      <c r="U222" s="20">
        <v>4605</v>
      </c>
      <c r="W222" s="19">
        <v>0.55930000000000002</v>
      </c>
      <c r="X222" s="19">
        <v>0.48780000000000001</v>
      </c>
      <c r="Z222" s="18">
        <v>1111</v>
      </c>
    </row>
    <row r="223" spans="1:26" ht="15.75" customHeight="1" x14ac:dyDescent="0.2">
      <c r="A223" s="36" t="str">
        <f>HYPERLINK("https://www.gannon.edu", "Gannon University")</f>
        <v>Gannon University</v>
      </c>
      <c r="B223" s="18" t="s">
        <v>32</v>
      </c>
      <c r="C223" s="18" t="s">
        <v>65</v>
      </c>
      <c r="D223" s="18" t="s">
        <v>782</v>
      </c>
      <c r="E223" s="18">
        <v>1119</v>
      </c>
      <c r="F223" s="18" t="s">
        <v>35</v>
      </c>
      <c r="J223" s="19">
        <v>0.68149999999999999</v>
      </c>
      <c r="K223" s="19">
        <v>0.48034934499999998</v>
      </c>
      <c r="L223" s="19">
        <v>0.71020000000000005</v>
      </c>
      <c r="M223" s="19">
        <v>0.42499999999999999</v>
      </c>
      <c r="N223" s="19">
        <v>0.66669999999999996</v>
      </c>
      <c r="O223" s="19">
        <v>0.66669999999999996</v>
      </c>
      <c r="P223" s="20">
        <v>46546</v>
      </c>
      <c r="Q223" s="21" t="str">
        <f>HYPERLINK("https://gannon.studentaidcalculator.com/", "$16626")</f>
        <v>$16626</v>
      </c>
      <c r="R223" s="20">
        <v>21658</v>
      </c>
      <c r="S223" s="20">
        <v>23443</v>
      </c>
      <c r="T223" s="20">
        <v>3624</v>
      </c>
      <c r="U223" s="20">
        <v>13002</v>
      </c>
      <c r="W223" s="19">
        <v>0.23469999999999999</v>
      </c>
      <c r="X223" s="19">
        <v>0.27179999999999999</v>
      </c>
      <c r="Z223" s="18">
        <v>2616</v>
      </c>
    </row>
    <row r="224" spans="1:26" ht="15.75" customHeight="1" x14ac:dyDescent="0.2">
      <c r="A224" s="36" t="str">
        <f>HYPERLINK("https://www.gardner-webb.edu", "Gardner-Webb University")</f>
        <v>Gardner-Webb University</v>
      </c>
      <c r="B224" s="18" t="s">
        <v>32</v>
      </c>
      <c r="C224" s="18" t="s">
        <v>103</v>
      </c>
      <c r="D224" s="18" t="s">
        <v>783</v>
      </c>
      <c r="E224" s="18">
        <v>1102</v>
      </c>
      <c r="F224" s="18" t="s">
        <v>35</v>
      </c>
      <c r="J224" s="19">
        <v>0.49120000000000003</v>
      </c>
      <c r="K224" s="19">
        <v>0.53846153899999993</v>
      </c>
      <c r="L224" s="19">
        <v>0.59850000000000003</v>
      </c>
      <c r="M224" s="19">
        <v>0.31580000000000003</v>
      </c>
      <c r="N224" s="19">
        <v>0.33329999999999999</v>
      </c>
      <c r="O224" s="19">
        <v>0.5</v>
      </c>
      <c r="P224" s="20">
        <v>44540</v>
      </c>
      <c r="Q224" s="21" t="str">
        <f>HYPERLINK("https://www.gardner-webb.edu/financial-planning", "$20027")</f>
        <v>$20027</v>
      </c>
      <c r="R224" s="20">
        <v>20847</v>
      </c>
      <c r="S224" s="20">
        <v>22400</v>
      </c>
      <c r="T224" s="20">
        <v>3760</v>
      </c>
      <c r="U224" s="20">
        <v>16267</v>
      </c>
      <c r="W224" s="19">
        <v>0.41189999999999999</v>
      </c>
      <c r="X224" s="19">
        <v>0.32709999999999989</v>
      </c>
      <c r="Z224" s="18">
        <v>2210</v>
      </c>
    </row>
    <row r="225" spans="1:26" ht="15.75" customHeight="1" x14ac:dyDescent="0.2">
      <c r="A225" s="36" t="str">
        <f>HYPERLINK("https://www.geneva.edu", "Geneva College")</f>
        <v>Geneva College</v>
      </c>
      <c r="B225" s="18" t="s">
        <v>32</v>
      </c>
      <c r="C225" s="18" t="s">
        <v>65</v>
      </c>
      <c r="D225" s="18" t="s">
        <v>784</v>
      </c>
      <c r="E225" s="18">
        <v>1110</v>
      </c>
      <c r="F225" s="18" t="s">
        <v>35</v>
      </c>
      <c r="J225" s="19">
        <v>0.68589999999999995</v>
      </c>
      <c r="K225" s="19">
        <v>0.49079754599999997</v>
      </c>
      <c r="L225" s="19">
        <v>0.71479999999999999</v>
      </c>
      <c r="M225" s="19">
        <v>0.2</v>
      </c>
      <c r="N225" s="19">
        <v>0.2</v>
      </c>
      <c r="O225" s="19">
        <v>0.66669999999999996</v>
      </c>
      <c r="P225" s="20">
        <v>38040</v>
      </c>
      <c r="Q225" s="21" t="str">
        <f>HYPERLINK("https://www.geneva.edu/student-financial-services/financial-aid/calculator/netprice-calculator", "$16547")</f>
        <v>$16547</v>
      </c>
      <c r="R225" s="20">
        <v>17599</v>
      </c>
      <c r="S225" s="20">
        <v>20663</v>
      </c>
      <c r="T225" s="20">
        <v>2050</v>
      </c>
      <c r="U225" s="20">
        <v>14497</v>
      </c>
      <c r="W225" s="19">
        <v>0.35870000000000002</v>
      </c>
      <c r="X225" s="19">
        <v>0.1767</v>
      </c>
      <c r="Z225" s="18">
        <v>1330</v>
      </c>
    </row>
    <row r="226" spans="1:26" ht="15.75" customHeight="1" x14ac:dyDescent="0.2">
      <c r="A226" s="36" t="str">
        <f>HYPERLINK("https://www.georgefox.edu", "George Fox University")</f>
        <v>George Fox University</v>
      </c>
      <c r="B226" s="18" t="s">
        <v>32</v>
      </c>
      <c r="C226" s="18" t="s">
        <v>143</v>
      </c>
      <c r="D226" s="18" t="s">
        <v>786</v>
      </c>
      <c r="E226" s="18">
        <v>1167</v>
      </c>
      <c r="F226" s="18" t="s">
        <v>35</v>
      </c>
      <c r="J226" s="19">
        <v>0.71679999999999999</v>
      </c>
      <c r="K226" s="19">
        <v>0.64705882400000003</v>
      </c>
      <c r="L226" s="19">
        <v>0.71560000000000001</v>
      </c>
      <c r="M226" s="19">
        <v>0.71430000000000005</v>
      </c>
      <c r="N226" s="19">
        <v>0.62860000000000005</v>
      </c>
      <c r="O226" s="19">
        <v>0.82350000000000001</v>
      </c>
      <c r="P226" s="20">
        <v>48902</v>
      </c>
      <c r="Q226" s="21" t="str">
        <f>HYPERLINK("https://www.georgefox.edu/college-admissions/scholarships/net-price-calculator.html", "$22165")</f>
        <v>$22165</v>
      </c>
      <c r="R226" s="20">
        <v>26076</v>
      </c>
      <c r="S226" s="20">
        <v>29973</v>
      </c>
      <c r="T226" s="20">
        <v>3000</v>
      </c>
      <c r="U226" s="20">
        <v>19165</v>
      </c>
      <c r="W226" s="19">
        <v>0.30620000000000003</v>
      </c>
      <c r="X226" s="19">
        <v>0.30209999999999998</v>
      </c>
      <c r="Z226" s="18">
        <v>2678</v>
      </c>
    </row>
    <row r="227" spans="1:26" ht="15.75" customHeight="1" x14ac:dyDescent="0.2">
      <c r="A227" s="36" t="str">
        <f>HYPERLINK("https://www.georgetowncollege.edu", "Georgetown College")</f>
        <v>Georgetown College</v>
      </c>
      <c r="B227" s="18" t="s">
        <v>32</v>
      </c>
      <c r="C227" s="18" t="s">
        <v>205</v>
      </c>
      <c r="D227" s="18" t="s">
        <v>481</v>
      </c>
      <c r="E227" s="18">
        <v>1145</v>
      </c>
      <c r="F227" s="18" t="s">
        <v>35</v>
      </c>
      <c r="J227" s="19">
        <v>0.53390000000000004</v>
      </c>
      <c r="K227" s="19">
        <v>0.36458333300000001</v>
      </c>
      <c r="L227" s="19">
        <v>0.54969999999999997</v>
      </c>
      <c r="M227" s="19">
        <v>0.48149999999999998</v>
      </c>
      <c r="N227" s="19">
        <v>0.33329999999999999</v>
      </c>
      <c r="O227" s="19">
        <v>0.5</v>
      </c>
      <c r="P227" s="20">
        <v>50086</v>
      </c>
      <c r="Q227" s="21" t="str">
        <f>HYPERLINK("https://georgetowncollege.studentaidcalculator.com/survey.aspx", "$16360")</f>
        <v>$16360</v>
      </c>
      <c r="R227" s="20">
        <v>17826</v>
      </c>
      <c r="S227" s="20">
        <v>20729</v>
      </c>
      <c r="T227" s="20">
        <v>3516</v>
      </c>
      <c r="U227" s="20">
        <v>12844</v>
      </c>
      <c r="W227" s="19">
        <v>0.35499999999999998</v>
      </c>
      <c r="X227" s="19">
        <v>0.21479999999999999</v>
      </c>
      <c r="Z227" s="18">
        <v>1029</v>
      </c>
    </row>
    <row r="228" spans="1:26" ht="15.75" customHeight="1" x14ac:dyDescent="0.2">
      <c r="A228" s="36" t="str">
        <f>HYPERLINK("https://www.georgiasouthern.edu", "Georgia Southern University")</f>
        <v>Georgia Southern University</v>
      </c>
      <c r="B228" s="18" t="s">
        <v>49</v>
      </c>
      <c r="C228" s="18" t="s">
        <v>107</v>
      </c>
      <c r="D228" s="18" t="s">
        <v>788</v>
      </c>
      <c r="E228" s="18">
        <v>1174</v>
      </c>
      <c r="F228" s="18" t="s">
        <v>35</v>
      </c>
      <c r="J228" s="19">
        <v>0.49940000000000001</v>
      </c>
      <c r="K228" s="19">
        <v>0.45387994100000001</v>
      </c>
      <c r="L228" s="19">
        <v>0.5141</v>
      </c>
      <c r="M228" s="19">
        <v>0.47239999999999999</v>
      </c>
      <c r="N228" s="19">
        <v>0.42249999999999999</v>
      </c>
      <c r="O228" s="19">
        <v>0.44190000000000002</v>
      </c>
      <c r="P228" s="20">
        <v>33646</v>
      </c>
      <c r="Q228" s="21" t="str">
        <f>HYPERLINK("https://w3.georgiasouthern.edu/sta/fad/NetPriceCalc/npcalc.htm", "$24995")</f>
        <v>$24995</v>
      </c>
      <c r="R228" s="20">
        <v>28525</v>
      </c>
      <c r="S228" s="20">
        <v>29810</v>
      </c>
      <c r="T228" s="20">
        <v>6854</v>
      </c>
      <c r="U228" s="20">
        <v>18141.300578034679</v>
      </c>
      <c r="W228" s="19">
        <v>0.35649999999999998</v>
      </c>
      <c r="X228" s="19">
        <v>0.37180000000000002</v>
      </c>
      <c r="Z228" s="18">
        <v>17062</v>
      </c>
    </row>
    <row r="229" spans="1:26" ht="15.75" customHeight="1" x14ac:dyDescent="0.2">
      <c r="A229" s="36" t="str">
        <f>HYPERLINK("https://gsw.edu/", "Georgia Southwestern State University")</f>
        <v>Georgia Southwestern State University</v>
      </c>
      <c r="B229" s="18" t="s">
        <v>49</v>
      </c>
      <c r="C229" s="18" t="s">
        <v>107</v>
      </c>
      <c r="D229" s="18" t="s">
        <v>790</v>
      </c>
      <c r="E229" s="18">
        <v>1045</v>
      </c>
      <c r="F229" s="18" t="s">
        <v>35</v>
      </c>
      <c r="J229" s="19">
        <v>0.255</v>
      </c>
      <c r="K229" s="19">
        <v>0.43146067399999999</v>
      </c>
      <c r="L229" s="19">
        <v>0.2883</v>
      </c>
      <c r="M229" s="19">
        <v>0.2</v>
      </c>
      <c r="N229" s="19">
        <v>0.2</v>
      </c>
      <c r="O229" s="19">
        <v>0</v>
      </c>
      <c r="P229" s="20">
        <v>30897</v>
      </c>
      <c r="Q229" s="21" t="str">
        <f>HYPERLINK("https://gsw.edu/Assets/FinancialAid/files/NetPriceCalculator/npcalc.htm", "$22361")</f>
        <v>$22361</v>
      </c>
      <c r="R229" s="20">
        <v>24965</v>
      </c>
      <c r="S229" s="20">
        <v>27207</v>
      </c>
      <c r="T229" s="20">
        <v>7185</v>
      </c>
      <c r="U229" s="20">
        <v>15176.73544973545</v>
      </c>
      <c r="W229" s="19">
        <v>0.42920000000000003</v>
      </c>
      <c r="X229" s="19">
        <v>0.37990000000000002</v>
      </c>
      <c r="Z229" s="18">
        <v>2348</v>
      </c>
    </row>
    <row r="230" spans="1:26" ht="15.75" customHeight="1" x14ac:dyDescent="0.2">
      <c r="A230" s="36" t="str">
        <f>HYPERLINK("https://www.goddard.edu", "Goddard College")</f>
        <v>Goddard College</v>
      </c>
      <c r="B230" s="18" t="s">
        <v>32</v>
      </c>
      <c r="C230" s="18" t="s">
        <v>47</v>
      </c>
      <c r="D230" s="18" t="s">
        <v>793</v>
      </c>
      <c r="E230" s="18" t="s">
        <v>36</v>
      </c>
      <c r="F230" s="18" t="s">
        <v>45</v>
      </c>
      <c r="J230" s="19">
        <v>0.42859999999999998</v>
      </c>
      <c r="K230" s="19">
        <v>0.66666666699999999</v>
      </c>
      <c r="L230" s="19">
        <v>0.25</v>
      </c>
      <c r="M230" s="19" t="s">
        <v>36</v>
      </c>
      <c r="N230" s="19">
        <v>1</v>
      </c>
      <c r="O230" s="19" t="s">
        <v>36</v>
      </c>
      <c r="P230" s="20">
        <v>34300</v>
      </c>
      <c r="Q230" s="21" t="str">
        <f>HYPERLINK("https://web.goddard.edu/npc/", "$19374")</f>
        <v>$19374</v>
      </c>
      <c r="R230" s="20" t="s">
        <v>36</v>
      </c>
      <c r="S230" s="20" t="s">
        <v>36</v>
      </c>
      <c r="T230" s="20">
        <v>7670</v>
      </c>
      <c r="U230" s="20">
        <v>11704</v>
      </c>
      <c r="W230" s="19">
        <v>0.58250000000000002</v>
      </c>
      <c r="X230" s="19">
        <v>0.45760000000000001</v>
      </c>
      <c r="Z230" s="18">
        <v>177</v>
      </c>
    </row>
    <row r="231" spans="1:26" ht="15.75" customHeight="1" x14ac:dyDescent="0.2">
      <c r="A231" s="36" t="str">
        <f>HYPERLINK("https://www.ggu.edu/", "Golden Gate University-Los Angeles")</f>
        <v>Golden Gate University-Los Angeles</v>
      </c>
      <c r="B231" s="18" t="s">
        <v>32</v>
      </c>
      <c r="C231" s="18" t="s">
        <v>68</v>
      </c>
      <c r="D231" s="18" t="s">
        <v>140</v>
      </c>
      <c r="E231" s="18" t="s">
        <v>36</v>
      </c>
      <c r="F231" s="18" t="s">
        <v>36</v>
      </c>
      <c r="J231" s="19" t="s">
        <v>36</v>
      </c>
      <c r="K231" s="19">
        <v>0.58333333300000001</v>
      </c>
      <c r="L231" s="19" t="s">
        <v>36</v>
      </c>
      <c r="M231" s="19" t="s">
        <v>36</v>
      </c>
      <c r="N231" s="19" t="s">
        <v>36</v>
      </c>
      <c r="O231" s="19" t="s">
        <v>36</v>
      </c>
      <c r="P231" s="20" t="s">
        <v>36</v>
      </c>
      <c r="Q231" s="35" t="s">
        <v>36</v>
      </c>
      <c r="R231" s="20" t="s">
        <v>36</v>
      </c>
      <c r="S231" s="20" t="s">
        <v>36</v>
      </c>
      <c r="T231" s="20" t="s">
        <v>36</v>
      </c>
      <c r="U231" s="20" t="s">
        <v>36</v>
      </c>
      <c r="W231" s="19" t="s">
        <v>36</v>
      </c>
      <c r="X231" s="19" t="s">
        <v>36</v>
      </c>
      <c r="Z231" s="18" t="s">
        <v>36</v>
      </c>
    </row>
    <row r="232" spans="1:26" ht="15.75" customHeight="1" x14ac:dyDescent="0.2">
      <c r="A232" s="36" t="str">
        <f>HYPERLINK("https://www.ggu.edu", "Golden Gate University-San Francisco")</f>
        <v>Golden Gate University-San Francisco</v>
      </c>
      <c r="B232" s="18" t="s">
        <v>32</v>
      </c>
      <c r="C232" s="18" t="s">
        <v>68</v>
      </c>
      <c r="D232" s="18" t="s">
        <v>522</v>
      </c>
      <c r="E232" s="18" t="s">
        <v>36</v>
      </c>
      <c r="F232" s="18" t="s">
        <v>45</v>
      </c>
      <c r="J232" s="19" t="s">
        <v>36</v>
      </c>
      <c r="K232" s="19">
        <v>0.58333333300000001</v>
      </c>
      <c r="L232" s="19" t="s">
        <v>36</v>
      </c>
      <c r="M232" s="19" t="s">
        <v>36</v>
      </c>
      <c r="N232" s="19" t="s">
        <v>36</v>
      </c>
      <c r="O232" s="19" t="s">
        <v>36</v>
      </c>
      <c r="P232" s="20">
        <v>35825</v>
      </c>
      <c r="Q232" s="21" t="str">
        <f>HYPERLINK("https://www.ggu.edu/undergraduate/enrollment/financial-aid/net-price-calculator", "Not reported")</f>
        <v>Not reported</v>
      </c>
      <c r="R232" s="20" t="s">
        <v>36</v>
      </c>
      <c r="S232" s="20" t="s">
        <v>36</v>
      </c>
      <c r="T232" s="20">
        <v>6530</v>
      </c>
      <c r="U232" s="20" t="s">
        <v>36</v>
      </c>
      <c r="W232" s="19">
        <v>0.22090000000000001</v>
      </c>
      <c r="X232" s="19">
        <v>0.72839999999999994</v>
      </c>
      <c r="Z232" s="18">
        <v>416</v>
      </c>
    </row>
    <row r="233" spans="1:26" ht="15.75" customHeight="1" x14ac:dyDescent="0.2">
      <c r="A233" s="36" t="str">
        <f>HYPERLINK("https://www.ggu.edu/", "Golden Gate University-Seattle")</f>
        <v>Golden Gate University-Seattle</v>
      </c>
      <c r="B233" s="18" t="s">
        <v>32</v>
      </c>
      <c r="C233" s="18" t="s">
        <v>184</v>
      </c>
      <c r="D233" s="18" t="s">
        <v>472</v>
      </c>
      <c r="E233" s="18" t="s">
        <v>36</v>
      </c>
      <c r="F233" s="18" t="s">
        <v>36</v>
      </c>
      <c r="J233" s="19" t="s">
        <v>36</v>
      </c>
      <c r="K233" s="19">
        <v>0.58333333300000001</v>
      </c>
      <c r="L233" s="19" t="s">
        <v>36</v>
      </c>
      <c r="M233" s="19" t="s">
        <v>36</v>
      </c>
      <c r="N233" s="19" t="s">
        <v>36</v>
      </c>
      <c r="O233" s="19" t="s">
        <v>36</v>
      </c>
      <c r="P233" s="20" t="s">
        <v>36</v>
      </c>
      <c r="Q233" s="35" t="s">
        <v>36</v>
      </c>
      <c r="R233" s="20" t="s">
        <v>36</v>
      </c>
      <c r="S233" s="20" t="s">
        <v>36</v>
      </c>
      <c r="T233" s="20" t="s">
        <v>36</v>
      </c>
      <c r="U233" s="20" t="s">
        <v>36</v>
      </c>
      <c r="W233" s="19" t="s">
        <v>36</v>
      </c>
      <c r="X233" s="19" t="s">
        <v>36</v>
      </c>
      <c r="Z233" s="18" t="s">
        <v>36</v>
      </c>
    </row>
    <row r="234" spans="1:26" ht="15.75" customHeight="1" x14ac:dyDescent="0.2">
      <c r="A234" s="36" t="str">
        <f>HYPERLINK("https://www.ggu.edu/", "Golden Gate University-Silicon Valley")</f>
        <v>Golden Gate University-Silicon Valley</v>
      </c>
      <c r="B234" s="18" t="s">
        <v>32</v>
      </c>
      <c r="C234" s="18" t="s">
        <v>68</v>
      </c>
      <c r="D234" s="18" t="s">
        <v>150</v>
      </c>
      <c r="E234" s="18" t="s">
        <v>36</v>
      </c>
      <c r="F234" s="18" t="s">
        <v>36</v>
      </c>
      <c r="J234" s="19" t="s">
        <v>36</v>
      </c>
      <c r="K234" s="19">
        <v>0.58333333300000001</v>
      </c>
      <c r="L234" s="19" t="s">
        <v>36</v>
      </c>
      <c r="M234" s="19" t="s">
        <v>36</v>
      </c>
      <c r="N234" s="19" t="s">
        <v>36</v>
      </c>
      <c r="O234" s="19" t="s">
        <v>36</v>
      </c>
      <c r="P234" s="20" t="s">
        <v>36</v>
      </c>
      <c r="Q234" s="35" t="s">
        <v>36</v>
      </c>
      <c r="R234" s="20" t="s">
        <v>36</v>
      </c>
      <c r="S234" s="20" t="s">
        <v>36</v>
      </c>
      <c r="T234" s="20" t="s">
        <v>36</v>
      </c>
      <c r="U234" s="20" t="s">
        <v>36</v>
      </c>
      <c r="W234" s="19" t="s">
        <v>36</v>
      </c>
      <c r="X234" s="19" t="s">
        <v>36</v>
      </c>
      <c r="Z234" s="18" t="s">
        <v>36</v>
      </c>
    </row>
    <row r="235" spans="1:26" ht="15.75" customHeight="1" x14ac:dyDescent="0.2">
      <c r="A235" s="36" t="str">
        <f>HYPERLINK("https://www.grace.edu", "Grace College and Theological Seminary")</f>
        <v>Grace College and Theological Seminary</v>
      </c>
      <c r="B235" s="18" t="s">
        <v>32</v>
      </c>
      <c r="C235" s="18" t="s">
        <v>148</v>
      </c>
      <c r="D235" s="18" t="s">
        <v>799</v>
      </c>
      <c r="E235" s="18">
        <v>1130</v>
      </c>
      <c r="F235" s="18" t="s">
        <v>35</v>
      </c>
      <c r="J235" s="19">
        <v>0.62450000000000006</v>
      </c>
      <c r="K235" s="19">
        <v>0.571428571</v>
      </c>
      <c r="L235" s="19">
        <v>0.61950000000000005</v>
      </c>
      <c r="M235" s="19">
        <v>0.41670000000000001</v>
      </c>
      <c r="N235" s="19">
        <v>0.6</v>
      </c>
      <c r="O235" s="19">
        <v>0.85709999999999997</v>
      </c>
      <c r="P235" s="20">
        <v>33952</v>
      </c>
      <c r="Q235" s="21" t="str">
        <f>HYPERLINK("https://www.grace.edu/admissions/undergraduate-admissions/financial-aid-scholarships/net-price-calculator/", "$15991")</f>
        <v>$15991</v>
      </c>
      <c r="R235" s="20">
        <v>20193</v>
      </c>
      <c r="S235" s="20">
        <v>23604</v>
      </c>
      <c r="T235" s="20">
        <v>2000</v>
      </c>
      <c r="U235" s="20">
        <v>13991</v>
      </c>
      <c r="W235" s="19">
        <v>0.28849999999999998</v>
      </c>
      <c r="X235" s="19">
        <v>0.16719999999999999</v>
      </c>
      <c r="Z235" s="18">
        <v>1447</v>
      </c>
    </row>
    <row r="236" spans="1:26" ht="15.75" customHeight="1" x14ac:dyDescent="0.2">
      <c r="A236" s="36" t="str">
        <f>HYPERLINK("https://www.graceland.edu", "Graceland University - Independence")</f>
        <v>Graceland University - Independence</v>
      </c>
      <c r="B236" s="18" t="s">
        <v>32</v>
      </c>
      <c r="C236" s="18" t="s">
        <v>164</v>
      </c>
      <c r="D236" s="18" t="s">
        <v>801</v>
      </c>
      <c r="E236" s="18" t="s">
        <v>36</v>
      </c>
      <c r="F236" s="18" t="s">
        <v>36</v>
      </c>
      <c r="J236" s="19" t="s">
        <v>36</v>
      </c>
      <c r="K236" s="19">
        <v>0.54304635800000001</v>
      </c>
      <c r="L236" s="19" t="s">
        <v>36</v>
      </c>
      <c r="M236" s="19" t="s">
        <v>36</v>
      </c>
      <c r="N236" s="19" t="s">
        <v>36</v>
      </c>
      <c r="O236" s="19" t="s">
        <v>36</v>
      </c>
      <c r="P236" s="20" t="s">
        <v>36</v>
      </c>
      <c r="Q236" s="35" t="s">
        <v>36</v>
      </c>
      <c r="R236" s="20" t="s">
        <v>36</v>
      </c>
      <c r="S236" s="20" t="s">
        <v>36</v>
      </c>
      <c r="T236" s="20" t="s">
        <v>36</v>
      </c>
      <c r="U236" s="20" t="s">
        <v>36</v>
      </c>
      <c r="W236" s="19" t="s">
        <v>36</v>
      </c>
      <c r="X236" s="19" t="s">
        <v>36</v>
      </c>
      <c r="Z236" s="18" t="s">
        <v>36</v>
      </c>
    </row>
    <row r="237" spans="1:26" ht="15.75" customHeight="1" x14ac:dyDescent="0.2">
      <c r="A237" s="36" t="str">
        <f>HYPERLINK("https://www.graceland.edu", "Graceland University-Lamoni")</f>
        <v>Graceland University-Lamoni</v>
      </c>
      <c r="B237" s="18" t="s">
        <v>32</v>
      </c>
      <c r="C237" s="18" t="s">
        <v>211</v>
      </c>
      <c r="D237" s="18" t="s">
        <v>802</v>
      </c>
      <c r="E237" s="18">
        <v>1029</v>
      </c>
      <c r="F237" s="18" t="s">
        <v>35</v>
      </c>
      <c r="J237" s="19">
        <v>0.49609999999999999</v>
      </c>
      <c r="K237" s="19">
        <v>0.54304635800000001</v>
      </c>
      <c r="L237" s="19">
        <v>0.61539999999999995</v>
      </c>
      <c r="M237" s="19">
        <v>0.16669999999999999</v>
      </c>
      <c r="N237" s="19">
        <v>0.46429999999999999</v>
      </c>
      <c r="O237" s="19">
        <v>1</v>
      </c>
      <c r="P237" s="20">
        <v>41130</v>
      </c>
      <c r="Q237" s="21" t="str">
        <f>HYPERLINK("https://www.graceland.edu/financial-aid/index", "$15771")</f>
        <v>$15771</v>
      </c>
      <c r="R237" s="20">
        <v>17163</v>
      </c>
      <c r="S237" s="20">
        <v>20930</v>
      </c>
      <c r="T237" s="20">
        <v>4540</v>
      </c>
      <c r="U237" s="20">
        <v>11231</v>
      </c>
      <c r="W237" s="19">
        <v>0.41360000000000002</v>
      </c>
      <c r="X237" s="19">
        <v>0.37250000000000011</v>
      </c>
      <c r="Z237" s="18">
        <v>1208</v>
      </c>
    </row>
    <row r="238" spans="1:26" ht="15.75" customHeight="1" x14ac:dyDescent="0.2">
      <c r="A238" s="36" t="str">
        <f>HYPERLINK("https://www.grandview.edu", "Grand View University")</f>
        <v>Grand View University</v>
      </c>
      <c r="B238" s="18" t="s">
        <v>32</v>
      </c>
      <c r="C238" s="18" t="s">
        <v>211</v>
      </c>
      <c r="D238" s="18" t="s">
        <v>348</v>
      </c>
      <c r="E238" s="18">
        <v>1043</v>
      </c>
      <c r="F238" s="18" t="s">
        <v>35</v>
      </c>
      <c r="J238" s="19">
        <v>0.50139999999999996</v>
      </c>
      <c r="K238" s="19">
        <v>0.49771689499999999</v>
      </c>
      <c r="L238" s="19">
        <v>0.53610000000000002</v>
      </c>
      <c r="M238" s="19">
        <v>0.33329999999999999</v>
      </c>
      <c r="N238" s="19">
        <v>0.27779999999999999</v>
      </c>
      <c r="O238" s="19">
        <v>0.71430000000000005</v>
      </c>
      <c r="P238" s="20">
        <v>38936</v>
      </c>
      <c r="Q238" s="21" t="str">
        <f>HYPERLINK("https://www.grandview.edu/admissions/financial-aid/net-price-calculator", "$16272")</f>
        <v>$16272</v>
      </c>
      <c r="R238" s="20">
        <v>16389</v>
      </c>
      <c r="S238" s="20">
        <v>19198</v>
      </c>
      <c r="T238" s="20">
        <v>3586</v>
      </c>
      <c r="U238" s="20">
        <v>12686</v>
      </c>
      <c r="W238" s="19">
        <v>0.3634</v>
      </c>
      <c r="X238" s="19">
        <v>0.32519999999999999</v>
      </c>
      <c r="Z238" s="18">
        <v>1753</v>
      </c>
    </row>
    <row r="239" spans="1:26" ht="15.75" customHeight="1" x14ac:dyDescent="0.2">
      <c r="A239" s="36" t="str">
        <f>HYPERLINK("https://www.granite.edu", "Granite State College")</f>
        <v>Granite State College</v>
      </c>
      <c r="B239" s="18" t="s">
        <v>49</v>
      </c>
      <c r="C239" s="18" t="s">
        <v>101</v>
      </c>
      <c r="D239" s="18" t="s">
        <v>804</v>
      </c>
      <c r="E239" s="18" t="s">
        <v>36</v>
      </c>
      <c r="F239" s="18" t="s">
        <v>36</v>
      </c>
      <c r="J239" s="19">
        <v>0.13789999999999999</v>
      </c>
      <c r="K239" s="19">
        <v>0.34347826100000001</v>
      </c>
      <c r="L239" s="19">
        <v>0.1739</v>
      </c>
      <c r="M239" s="19" t="s">
        <v>36</v>
      </c>
      <c r="N239" s="19">
        <v>0</v>
      </c>
      <c r="O239" s="19" t="s">
        <v>36</v>
      </c>
      <c r="P239" s="20">
        <v>21969</v>
      </c>
      <c r="Q239" s="21" t="str">
        <f>HYPERLINK("https://www.granite.edu/tuition-aid/tuition-fees/net-price-calculator/", "$17878")</f>
        <v>$17878</v>
      </c>
      <c r="R239" s="20">
        <v>19781</v>
      </c>
      <c r="S239" s="20">
        <v>20803</v>
      </c>
      <c r="T239" s="20">
        <v>3654</v>
      </c>
      <c r="U239" s="20">
        <v>14224.04347826087</v>
      </c>
      <c r="W239" s="19">
        <v>0.43099999999999999</v>
      </c>
      <c r="X239" s="19">
        <v>0.16109999999999999</v>
      </c>
      <c r="Z239" s="18">
        <v>1676</v>
      </c>
    </row>
    <row r="240" spans="1:26" ht="15.75" customHeight="1" x14ac:dyDescent="0.2">
      <c r="A240" s="36" t="str">
        <f>HYPERLINK("https://www.greenville.edu", "Greenville College")</f>
        <v>Greenville College</v>
      </c>
      <c r="B240" s="18" t="s">
        <v>32</v>
      </c>
      <c r="C240" s="18" t="s">
        <v>137</v>
      </c>
      <c r="D240" s="18" t="s">
        <v>220</v>
      </c>
      <c r="E240" s="18">
        <v>1067</v>
      </c>
      <c r="F240" s="18" t="s">
        <v>35</v>
      </c>
      <c r="J240" s="19">
        <v>0.4239</v>
      </c>
      <c r="K240" s="19">
        <v>0.27329192600000002</v>
      </c>
      <c r="L240" s="19">
        <v>0.4728</v>
      </c>
      <c r="M240" s="19">
        <v>0.1333</v>
      </c>
      <c r="N240" s="19">
        <v>0.36359999999999998</v>
      </c>
      <c r="O240" s="19">
        <v>0.5</v>
      </c>
      <c r="P240" s="20">
        <v>39474</v>
      </c>
      <c r="Q240" s="21" t="str">
        <f>HYPERLINK("https://www.greenville.edu/financial_aid/net-price-calculator/npcalc.htm", "$17159")</f>
        <v>$17159</v>
      </c>
      <c r="R240" s="20">
        <v>18978</v>
      </c>
      <c r="S240" s="20">
        <v>22103</v>
      </c>
      <c r="T240" s="20">
        <v>3796</v>
      </c>
      <c r="U240" s="20">
        <v>13363</v>
      </c>
      <c r="W240" s="19">
        <v>0.3881</v>
      </c>
      <c r="X240" s="19">
        <v>0.31140000000000001</v>
      </c>
      <c r="Z240" s="18">
        <v>944</v>
      </c>
    </row>
    <row r="241" spans="1:26" ht="15.75" customHeight="1" x14ac:dyDescent="0.2">
      <c r="A241" s="36" t="str">
        <f>HYPERLINK("https://www.guilford.edu", "Guilford College")</f>
        <v>Guilford College</v>
      </c>
      <c r="B241" s="18" t="s">
        <v>32</v>
      </c>
      <c r="C241" s="18" t="s">
        <v>103</v>
      </c>
      <c r="D241" s="18" t="s">
        <v>643</v>
      </c>
      <c r="E241" s="18" t="s">
        <v>36</v>
      </c>
      <c r="F241" s="18" t="s">
        <v>90</v>
      </c>
      <c r="J241" s="19">
        <v>0.53110000000000002</v>
      </c>
      <c r="K241" s="19">
        <v>0.36781609199999998</v>
      </c>
      <c r="L241" s="19">
        <v>0.54620000000000002</v>
      </c>
      <c r="M241" s="19">
        <v>0.5</v>
      </c>
      <c r="N241" s="19">
        <v>0.57889999999999997</v>
      </c>
      <c r="O241" s="19">
        <v>0.33329999999999999</v>
      </c>
      <c r="P241" s="20">
        <v>50813</v>
      </c>
      <c r="Q241" s="21" t="str">
        <f>HYPERLINK("https://npc.collegeboard.org/student/app/guilford", "$21760")</f>
        <v>$21760</v>
      </c>
      <c r="R241" s="20">
        <v>22984</v>
      </c>
      <c r="S241" s="20">
        <v>26062</v>
      </c>
      <c r="T241" s="20">
        <v>4450</v>
      </c>
      <c r="U241" s="20">
        <v>17310</v>
      </c>
      <c r="W241" s="19">
        <v>0.41320000000000001</v>
      </c>
      <c r="X241" s="19">
        <v>0.44209999999999999</v>
      </c>
      <c r="Y241" s="18" t="s">
        <v>37</v>
      </c>
      <c r="Z241" s="18">
        <v>1502</v>
      </c>
    </row>
    <row r="242" spans="1:26" ht="15.75" customHeight="1" x14ac:dyDescent="0.2">
      <c r="A242" s="36" t="str">
        <f>HYPERLINK("https://www.gmercyu.edu/", "Gwynedd Mercy University")</f>
        <v>Gwynedd Mercy University</v>
      </c>
      <c r="B242" s="18" t="s">
        <v>32</v>
      </c>
      <c r="C242" s="18" t="s">
        <v>65</v>
      </c>
      <c r="D242" s="18" t="s">
        <v>806</v>
      </c>
      <c r="E242" s="18">
        <v>1021</v>
      </c>
      <c r="F242" s="18" t="s">
        <v>35</v>
      </c>
      <c r="J242" s="19">
        <v>0.49320000000000003</v>
      </c>
      <c r="K242" s="19">
        <v>0.508379888</v>
      </c>
      <c r="L242" s="19">
        <v>0.52729999999999999</v>
      </c>
      <c r="M242" s="19">
        <v>0.30230000000000001</v>
      </c>
      <c r="N242" s="19">
        <v>0.4375</v>
      </c>
      <c r="O242" s="19">
        <v>0.57140000000000002</v>
      </c>
      <c r="P242" s="20">
        <v>48250</v>
      </c>
      <c r="Q242" s="21" t="str">
        <f>HYPERLINK("https://www.gmercyu.edu/admissions-aid/financial-aid-tuition/net-price-calculator", "$17513")</f>
        <v>$17513</v>
      </c>
      <c r="R242" s="20">
        <v>19042</v>
      </c>
      <c r="S242" s="20">
        <v>24590</v>
      </c>
      <c r="T242" s="20">
        <v>3020</v>
      </c>
      <c r="U242" s="20">
        <v>14493</v>
      </c>
      <c r="W242" s="19">
        <v>0.32869999999999999</v>
      </c>
      <c r="X242" s="19">
        <v>0.41270000000000001</v>
      </c>
      <c r="Z242" s="18">
        <v>1987</v>
      </c>
    </row>
    <row r="243" spans="1:26" ht="15.75" customHeight="1" x14ac:dyDescent="0.2">
      <c r="A243" s="36" t="str">
        <f>HYPERLINK("https://www.hsc.edu", "Hampden-Sydney College")</f>
        <v>Hampden-Sydney College</v>
      </c>
      <c r="B243" s="18" t="s">
        <v>32</v>
      </c>
      <c r="C243" s="18" t="s">
        <v>83</v>
      </c>
      <c r="D243" s="18" t="s">
        <v>807</v>
      </c>
      <c r="E243" s="18">
        <v>1165</v>
      </c>
      <c r="F243" s="18" t="s">
        <v>35</v>
      </c>
      <c r="J243" s="19">
        <v>0.64059999999999995</v>
      </c>
      <c r="K243" s="19">
        <v>0.5</v>
      </c>
      <c r="L243" s="19">
        <v>0.64910000000000001</v>
      </c>
      <c r="M243" s="19">
        <v>0.62960000000000005</v>
      </c>
      <c r="N243" s="19">
        <v>0.66669999999999996</v>
      </c>
      <c r="O243" s="19">
        <v>0.77780000000000005</v>
      </c>
      <c r="P243" s="20">
        <v>60360</v>
      </c>
      <c r="Q243" s="21" t="str">
        <f>HYPERLINK("https://npc.collegeboard.org/student/app/hsc", "$25401")</f>
        <v>$25401</v>
      </c>
      <c r="R243" s="20">
        <v>28843</v>
      </c>
      <c r="S243" s="20">
        <v>29959</v>
      </c>
      <c r="T243" s="20">
        <v>3000</v>
      </c>
      <c r="U243" s="20">
        <v>22401</v>
      </c>
      <c r="W243" s="19">
        <v>0.1704</v>
      </c>
      <c r="X243" s="19">
        <v>0.13959999999999989</v>
      </c>
      <c r="Z243" s="18">
        <v>1046</v>
      </c>
    </row>
    <row r="244" spans="1:26" ht="15.75" customHeight="1" x14ac:dyDescent="0.2">
      <c r="A244" s="36" t="str">
        <f>HYPERLINK("https://www.hamptonu.edu", "Hampton University")</f>
        <v>Hampton University</v>
      </c>
      <c r="B244" s="18" t="s">
        <v>32</v>
      </c>
      <c r="C244" s="18" t="s">
        <v>83</v>
      </c>
      <c r="D244" s="18" t="s">
        <v>808</v>
      </c>
      <c r="E244" s="18">
        <v>1083</v>
      </c>
      <c r="F244" s="18" t="s">
        <v>35</v>
      </c>
      <c r="J244" s="19">
        <v>0.55559999999999998</v>
      </c>
      <c r="K244" s="19">
        <v>0.47027026999999999</v>
      </c>
      <c r="L244" s="19">
        <v>0.66669999999999996</v>
      </c>
      <c r="M244" s="19">
        <v>0.56010000000000004</v>
      </c>
      <c r="N244" s="19">
        <v>0.375</v>
      </c>
      <c r="O244" s="19">
        <v>0.83330000000000004</v>
      </c>
      <c r="P244" s="20">
        <v>40559</v>
      </c>
      <c r="Q244" s="21" t="str">
        <f>HYPERLINK("https://www.hamptonu.edu/studentservices/financialaid", "$25461")</f>
        <v>$25461</v>
      </c>
      <c r="R244" s="20">
        <v>24508</v>
      </c>
      <c r="S244" s="20" t="s">
        <v>36</v>
      </c>
      <c r="T244" s="20">
        <v>3900</v>
      </c>
      <c r="U244" s="20">
        <v>21561</v>
      </c>
      <c r="W244" s="19">
        <v>0.39169999999999999</v>
      </c>
      <c r="X244" s="19">
        <v>0.9889</v>
      </c>
      <c r="Z244" s="18">
        <v>3786</v>
      </c>
    </row>
    <row r="245" spans="1:26" ht="15.75" customHeight="1" x14ac:dyDescent="0.2">
      <c r="A245" s="36" t="str">
        <f>HYPERLINK("https://www.hlg.edu", "Hannibal-LaGrange University")</f>
        <v>Hannibal-LaGrange University</v>
      </c>
      <c r="B245" s="18" t="s">
        <v>32</v>
      </c>
      <c r="C245" s="18" t="s">
        <v>164</v>
      </c>
      <c r="D245" s="18" t="s">
        <v>811</v>
      </c>
      <c r="E245" s="18" t="s">
        <v>36</v>
      </c>
      <c r="F245" s="18" t="s">
        <v>90</v>
      </c>
      <c r="J245" s="19">
        <v>0.50629999999999997</v>
      </c>
      <c r="K245" s="19">
        <v>0.44680851100000002</v>
      </c>
      <c r="L245" s="19">
        <v>0.57379999999999998</v>
      </c>
      <c r="M245" s="19">
        <v>9.0899999999999995E-2</v>
      </c>
      <c r="N245" s="19">
        <v>0.2</v>
      </c>
      <c r="O245" s="19" t="s">
        <v>36</v>
      </c>
      <c r="P245" s="20">
        <v>36008</v>
      </c>
      <c r="Q245" s="21" t="str">
        <f>HYPERLINK("https://npc.collegeboard.org/student/app/hlg", "$18591")</f>
        <v>$18591</v>
      </c>
      <c r="R245" s="20">
        <v>17196</v>
      </c>
      <c r="S245" s="20">
        <v>19024</v>
      </c>
      <c r="T245" s="20">
        <v>6090</v>
      </c>
      <c r="U245" s="20">
        <v>12501</v>
      </c>
      <c r="W245" s="19">
        <v>0.34770000000000001</v>
      </c>
      <c r="X245" s="19">
        <v>0.19089999999999999</v>
      </c>
      <c r="Z245" s="18">
        <v>744</v>
      </c>
    </row>
    <row r="246" spans="1:26" ht="15.75" customHeight="1" x14ac:dyDescent="0.2">
      <c r="A246" s="36" t="str">
        <f>HYPERLINK("https://www.hsutx.edu", "Hardin-Simmons University")</f>
        <v>Hardin-Simmons University</v>
      </c>
      <c r="B246" s="18" t="s">
        <v>32</v>
      </c>
      <c r="C246" s="18" t="s">
        <v>146</v>
      </c>
      <c r="D246" s="18" t="s">
        <v>287</v>
      </c>
      <c r="E246" s="18">
        <v>1074</v>
      </c>
      <c r="F246" s="18" t="s">
        <v>35</v>
      </c>
      <c r="J246" s="19">
        <v>0.51019999999999999</v>
      </c>
      <c r="K246" s="19">
        <v>0.44604316599999999</v>
      </c>
      <c r="L246" s="19">
        <v>0.56700000000000006</v>
      </c>
      <c r="M246" s="19">
        <v>0.21429999999999999</v>
      </c>
      <c r="N246" s="19">
        <v>0.35849999999999999</v>
      </c>
      <c r="O246" s="19">
        <v>0.33329999999999999</v>
      </c>
      <c r="P246" s="20">
        <v>39836</v>
      </c>
      <c r="Q246" s="21" t="str">
        <f>HYPERLINK("https://www.hsutx.edu/tuition-aid/affording-hsu/net-price-calculator/", "$27562")</f>
        <v>$27562</v>
      </c>
      <c r="R246" s="20">
        <v>30981</v>
      </c>
      <c r="S246" s="20">
        <v>32012</v>
      </c>
      <c r="T246" s="20">
        <v>3976</v>
      </c>
      <c r="U246" s="20">
        <v>23586</v>
      </c>
      <c r="W246" s="19">
        <v>0.3402</v>
      </c>
      <c r="X246" s="19">
        <v>0.3629</v>
      </c>
      <c r="Z246" s="18">
        <v>1670</v>
      </c>
    </row>
    <row r="247" spans="1:26" ht="15.75" customHeight="1" x14ac:dyDescent="0.2">
      <c r="A247" s="36" t="str">
        <f>HYPERLINK("https://www.harding.edu", "Harding University")</f>
        <v>Harding University</v>
      </c>
      <c r="B247" s="18" t="s">
        <v>32</v>
      </c>
      <c r="C247" s="18" t="s">
        <v>371</v>
      </c>
      <c r="D247" s="18" t="s">
        <v>813</v>
      </c>
      <c r="E247" s="18">
        <v>1203</v>
      </c>
      <c r="F247" s="18" t="s">
        <v>35</v>
      </c>
      <c r="J247" s="19">
        <v>0.6663</v>
      </c>
      <c r="K247" s="19">
        <v>0.47465437799999999</v>
      </c>
      <c r="L247" s="19">
        <v>0.69779999999999998</v>
      </c>
      <c r="M247" s="19">
        <v>0.26190000000000002</v>
      </c>
      <c r="N247" s="19">
        <v>0.36670000000000003</v>
      </c>
      <c r="O247" s="19">
        <v>0.5</v>
      </c>
      <c r="P247" s="20">
        <v>29975</v>
      </c>
      <c r="Q247" s="21" t="str">
        <f>HYPERLINK("https://www.harding.edu/admissions/npc.html", "$14294")</f>
        <v>$14294</v>
      </c>
      <c r="R247" s="20">
        <v>18204</v>
      </c>
      <c r="S247" s="20">
        <v>21562</v>
      </c>
      <c r="T247" s="20">
        <v>3696</v>
      </c>
      <c r="U247" s="20">
        <v>10598</v>
      </c>
      <c r="W247" s="19">
        <v>0.2641</v>
      </c>
      <c r="X247" s="19">
        <v>0.18179999999999999</v>
      </c>
      <c r="Z247" s="18">
        <v>4147</v>
      </c>
    </row>
    <row r="248" spans="1:26" ht="15.75" customHeight="1" x14ac:dyDescent="0.2">
      <c r="A248" s="36" t="str">
        <f>HYPERLINK("https://www.hssu.edu", "Harris-Stowe State University")</f>
        <v>Harris-Stowe State University</v>
      </c>
      <c r="B248" s="18" t="s">
        <v>49</v>
      </c>
      <c r="C248" s="18" t="s">
        <v>164</v>
      </c>
      <c r="D248" s="18" t="s">
        <v>179</v>
      </c>
      <c r="E248" s="18" t="s">
        <v>36</v>
      </c>
      <c r="F248" s="18" t="s">
        <v>36</v>
      </c>
      <c r="J248" s="19">
        <v>6.9599999999999995E-2</v>
      </c>
      <c r="K248" s="19">
        <v>0.110912344</v>
      </c>
      <c r="L248" s="19">
        <v>0.17649999999999999</v>
      </c>
      <c r="M248" s="19">
        <v>5.79E-2</v>
      </c>
      <c r="N248" s="19">
        <v>0.33329999999999999</v>
      </c>
      <c r="O248" s="19" t="s">
        <v>36</v>
      </c>
      <c r="P248" s="20">
        <v>25789</v>
      </c>
      <c r="Q248" s="21" t="str">
        <f>HYPERLINK("https://www.hssu.edu/ae/aefiles/7/NetPriceCalc/npcalc.htm", "$20869")</f>
        <v>$20869</v>
      </c>
      <c r="R248" s="20">
        <v>22611</v>
      </c>
      <c r="S248" s="20">
        <v>25318</v>
      </c>
      <c r="T248" s="20">
        <v>6566</v>
      </c>
      <c r="U248" s="20">
        <v>14303.11666666667</v>
      </c>
      <c r="W248" s="19">
        <v>0.72609999999999997</v>
      </c>
      <c r="X248" s="19">
        <v>0.93530000000000002</v>
      </c>
      <c r="Z248" s="18">
        <v>1423</v>
      </c>
    </row>
    <row r="249" spans="1:26" ht="15.75" customHeight="1" x14ac:dyDescent="0.2">
      <c r="A249" s="36" t="str">
        <f>HYPERLINK("https://www.hartwick.edu/", "Hartwick College")</f>
        <v>Hartwick College</v>
      </c>
      <c r="B249" s="18" t="s">
        <v>32</v>
      </c>
      <c r="C249" s="18" t="s">
        <v>38</v>
      </c>
      <c r="D249" s="18" t="s">
        <v>816</v>
      </c>
      <c r="E249" s="18">
        <v>1047</v>
      </c>
      <c r="F249" s="18" t="s">
        <v>115</v>
      </c>
      <c r="J249" s="19">
        <v>0.53890000000000005</v>
      </c>
      <c r="K249" s="19">
        <v>0.40963855399999999</v>
      </c>
      <c r="L249" s="19">
        <v>0.59030000000000005</v>
      </c>
      <c r="M249" s="19">
        <v>0.3548</v>
      </c>
      <c r="N249" s="19">
        <v>0.32350000000000001</v>
      </c>
      <c r="O249" s="19">
        <v>0.375</v>
      </c>
      <c r="P249" s="20">
        <v>57627</v>
      </c>
      <c r="Q249" s="21" t="str">
        <f>HYPERLINK("https://www.hartwick.edu/admissions/net-price-calculator/", "$21183")</f>
        <v>$21183</v>
      </c>
      <c r="R249" s="20">
        <v>25768</v>
      </c>
      <c r="S249" s="20">
        <v>28930</v>
      </c>
      <c r="T249" s="20">
        <v>1400</v>
      </c>
      <c r="U249" s="20">
        <v>19783</v>
      </c>
      <c r="W249" s="19">
        <v>0.36170000000000002</v>
      </c>
      <c r="X249" s="19">
        <v>0.37769999999999998</v>
      </c>
      <c r="Z249" s="18">
        <v>1194</v>
      </c>
    </row>
    <row r="250" spans="1:26" ht="15.75" customHeight="1" x14ac:dyDescent="0.2">
      <c r="A250" s="36" t="str">
        <f>HYPERLINK("https://www.hastings.edu", "Hastings College")</f>
        <v>Hastings College</v>
      </c>
      <c r="B250" s="18" t="s">
        <v>32</v>
      </c>
      <c r="C250" s="18" t="s">
        <v>341</v>
      </c>
      <c r="D250" s="18" t="s">
        <v>817</v>
      </c>
      <c r="E250" s="18">
        <v>1118</v>
      </c>
      <c r="F250" s="18" t="s">
        <v>35</v>
      </c>
      <c r="J250" s="19">
        <v>0.54520000000000002</v>
      </c>
      <c r="K250" s="19">
        <v>0.43478260899999999</v>
      </c>
      <c r="L250" s="19">
        <v>0.57200000000000006</v>
      </c>
      <c r="M250" s="19">
        <v>0.26669999999999999</v>
      </c>
      <c r="N250" s="19">
        <v>0.38100000000000001</v>
      </c>
      <c r="O250" s="19">
        <v>0.5</v>
      </c>
      <c r="P250" s="20">
        <v>43527</v>
      </c>
      <c r="Q250" s="21" t="str">
        <f>HYPERLINK("https://hastings.studentaidcalculator.com/survey.aspx", "$18403")</f>
        <v>$18403</v>
      </c>
      <c r="R250" s="20">
        <v>19647</v>
      </c>
      <c r="S250" s="20">
        <v>23628</v>
      </c>
      <c r="T250" s="20">
        <v>4927</v>
      </c>
      <c r="U250" s="20">
        <v>13476</v>
      </c>
      <c r="W250" s="19">
        <v>0.29459999999999997</v>
      </c>
      <c r="X250" s="19">
        <v>0.19589999999999999</v>
      </c>
      <c r="Z250" s="18">
        <v>1082</v>
      </c>
    </row>
    <row r="251" spans="1:26" ht="15.75" customHeight="1" x14ac:dyDescent="0.2">
      <c r="A251" s="36" t="str">
        <f>HYPERLINK("https://www.hpu.edu/", "Hawaii Pacific University")</f>
        <v>Hawaii Pacific University</v>
      </c>
      <c r="B251" s="18" t="s">
        <v>32</v>
      </c>
      <c r="C251" s="18" t="s">
        <v>313</v>
      </c>
      <c r="D251" s="18" t="s">
        <v>510</v>
      </c>
      <c r="E251" s="18">
        <v>1110</v>
      </c>
      <c r="F251" s="18" t="s">
        <v>35</v>
      </c>
      <c r="J251" s="19">
        <v>0.44469999999999998</v>
      </c>
      <c r="K251" s="19">
        <v>0.41902313600000002</v>
      </c>
      <c r="L251" s="19">
        <v>0.42570000000000002</v>
      </c>
      <c r="M251" s="19">
        <v>0.47370000000000001</v>
      </c>
      <c r="N251" s="19">
        <v>0.33329999999999999</v>
      </c>
      <c r="O251" s="19">
        <v>0.60580000000000001</v>
      </c>
      <c r="P251" s="20">
        <v>42294</v>
      </c>
      <c r="Q251" s="21" t="str">
        <f>HYPERLINK("https://www.hpu.edu/financial-aid/net-price-calculator/", "$27513")</f>
        <v>$27513</v>
      </c>
      <c r="R251" s="20">
        <v>27618</v>
      </c>
      <c r="S251" s="20">
        <v>30949</v>
      </c>
      <c r="T251" s="20">
        <v>3540</v>
      </c>
      <c r="U251" s="20">
        <v>23973</v>
      </c>
      <c r="W251" s="19">
        <v>0.26879999999999998</v>
      </c>
      <c r="X251" s="19">
        <v>0.72829999999999995</v>
      </c>
      <c r="Z251" s="18">
        <v>3228</v>
      </c>
    </row>
    <row r="252" spans="1:26" ht="15.75" customHeight="1" x14ac:dyDescent="0.2">
      <c r="A252" s="36" t="str">
        <f>HYPERLINK("https://www.heidelberg.edu", "Heidelberg University")</f>
        <v>Heidelberg University</v>
      </c>
      <c r="B252" s="18" t="s">
        <v>32</v>
      </c>
      <c r="C252" s="18" t="s">
        <v>75</v>
      </c>
      <c r="D252" s="18" t="s">
        <v>819</v>
      </c>
      <c r="E252" s="18">
        <v>1088</v>
      </c>
      <c r="F252" s="18" t="s">
        <v>35</v>
      </c>
      <c r="J252" s="19">
        <v>0.49120000000000003</v>
      </c>
      <c r="K252" s="19">
        <v>0.27678571400000002</v>
      </c>
      <c r="L252" s="19">
        <v>0.56040000000000001</v>
      </c>
      <c r="M252" s="19">
        <v>0.2</v>
      </c>
      <c r="N252" s="19">
        <v>0.5</v>
      </c>
      <c r="O252" s="19">
        <v>1</v>
      </c>
      <c r="P252" s="20">
        <v>43400</v>
      </c>
      <c r="Q252" s="21" t="str">
        <f>HYPERLINK("https://heidelberg.studentaidcalculator.com/survey.aspx", "$19973")</f>
        <v>$19973</v>
      </c>
      <c r="R252" s="20">
        <v>21873</v>
      </c>
      <c r="S252" s="20">
        <v>24669</v>
      </c>
      <c r="T252" s="20">
        <v>3000</v>
      </c>
      <c r="U252" s="20">
        <v>16973</v>
      </c>
      <c r="W252" s="19">
        <v>0.4078</v>
      </c>
      <c r="X252" s="19">
        <v>0.21829999999999999</v>
      </c>
      <c r="Z252" s="18">
        <v>1049</v>
      </c>
    </row>
    <row r="253" spans="1:26" ht="15.75" customHeight="1" x14ac:dyDescent="0.2">
      <c r="A253" s="36" t="str">
        <f>HYPERLINK("https://www.hsu.edu", "Henderson State University")</f>
        <v>Henderson State University</v>
      </c>
      <c r="B253" s="18" t="s">
        <v>49</v>
      </c>
      <c r="C253" s="18" t="s">
        <v>371</v>
      </c>
      <c r="D253" s="18" t="s">
        <v>440</v>
      </c>
      <c r="E253" s="18">
        <v>1102</v>
      </c>
      <c r="F253" s="18" t="s">
        <v>35</v>
      </c>
      <c r="J253" s="19">
        <v>0.33250000000000002</v>
      </c>
      <c r="K253" s="19">
        <v>0.24675324700000001</v>
      </c>
      <c r="L253" s="19">
        <v>0.3821</v>
      </c>
      <c r="M253" s="19">
        <v>0.23749999999999999</v>
      </c>
      <c r="N253" s="19">
        <v>0.6</v>
      </c>
      <c r="O253" s="19">
        <v>0.6</v>
      </c>
      <c r="P253" s="20">
        <v>22480</v>
      </c>
      <c r="Q253" s="21" t="str">
        <f>HYPERLINK("https://www.hsu.edu/net-price-calculator/", "$16577")</f>
        <v>$16577</v>
      </c>
      <c r="R253" s="20">
        <v>19237</v>
      </c>
      <c r="S253" s="20">
        <v>17444</v>
      </c>
      <c r="T253" s="20">
        <v>5300</v>
      </c>
      <c r="U253" s="20">
        <v>11277.8</v>
      </c>
      <c r="W253" s="19">
        <v>0.46899999999999997</v>
      </c>
      <c r="X253" s="19">
        <v>0.3397</v>
      </c>
      <c r="Z253" s="18">
        <v>2829</v>
      </c>
    </row>
    <row r="254" spans="1:26" ht="15.75" customHeight="1" x14ac:dyDescent="0.2">
      <c r="A254" s="36" t="str">
        <f>HYPERLINK("https://www.highpoint.edu", "High Point University")</f>
        <v>High Point University</v>
      </c>
      <c r="B254" s="18" t="s">
        <v>32</v>
      </c>
      <c r="C254" s="18" t="s">
        <v>103</v>
      </c>
      <c r="D254" s="18" t="s">
        <v>821</v>
      </c>
      <c r="E254" s="18">
        <v>1161</v>
      </c>
      <c r="F254" s="18" t="s">
        <v>115</v>
      </c>
      <c r="J254" s="19">
        <v>0.63400000000000001</v>
      </c>
      <c r="K254" s="19">
        <v>0.37419354799999999</v>
      </c>
      <c r="L254" s="19">
        <v>0.64229999999999998</v>
      </c>
      <c r="M254" s="19">
        <v>0.58330000000000004</v>
      </c>
      <c r="N254" s="19">
        <v>0.64</v>
      </c>
      <c r="O254" s="19">
        <v>0.4375</v>
      </c>
      <c r="P254" s="20">
        <v>51105</v>
      </c>
      <c r="Q254" s="21" t="str">
        <f>HYPERLINK("https://www.highpoint.edu/admissions/net-price-calculator/", "$34299")</f>
        <v>$34299</v>
      </c>
      <c r="R254" s="20">
        <v>35169</v>
      </c>
      <c r="S254" s="20">
        <v>38037</v>
      </c>
      <c r="T254" s="20">
        <v>3750</v>
      </c>
      <c r="U254" s="20">
        <v>30549</v>
      </c>
      <c r="W254" s="19">
        <v>9.6100000000000005E-2</v>
      </c>
      <c r="X254" s="19">
        <v>0.22650000000000001</v>
      </c>
      <c r="Z254" s="18">
        <v>4407</v>
      </c>
    </row>
    <row r="255" spans="1:26" ht="15.75" customHeight="1" x14ac:dyDescent="0.2">
      <c r="A255" s="36" t="str">
        <f>HYPERLINK("https://www.hilbert.edu", "Hilbert College")</f>
        <v>Hilbert College</v>
      </c>
      <c r="B255" s="18" t="s">
        <v>32</v>
      </c>
      <c r="C255" s="18" t="s">
        <v>38</v>
      </c>
      <c r="D255" s="18" t="s">
        <v>822</v>
      </c>
      <c r="E255" s="18" t="s">
        <v>36</v>
      </c>
      <c r="F255" s="18" t="s">
        <v>45</v>
      </c>
      <c r="J255" s="19">
        <v>0.50219999999999998</v>
      </c>
      <c r="K255" s="19">
        <v>0.404580153</v>
      </c>
      <c r="L255" s="19">
        <v>0.56059999999999999</v>
      </c>
      <c r="M255" s="19">
        <v>0.3095</v>
      </c>
      <c r="N255" s="19">
        <v>0.44440000000000002</v>
      </c>
      <c r="O255" s="19" t="s">
        <v>36</v>
      </c>
      <c r="P255" s="20">
        <v>33350</v>
      </c>
      <c r="Q255" s="21" t="str">
        <f>HYPERLINK("https://www.hilbert.edu/admissions-financial-aid/financial-aid/net-price-calculator", "$11646")</f>
        <v>$11646</v>
      </c>
      <c r="R255" s="20">
        <v>17064</v>
      </c>
      <c r="S255" s="20">
        <v>18212</v>
      </c>
      <c r="T255" s="20">
        <v>2550</v>
      </c>
      <c r="U255" s="20">
        <v>9096</v>
      </c>
      <c r="W255" s="19">
        <v>0.47899999999999998</v>
      </c>
      <c r="X255" s="19">
        <v>0.26060000000000011</v>
      </c>
      <c r="Z255" s="18">
        <v>729</v>
      </c>
    </row>
    <row r="256" spans="1:26" ht="15.75" customHeight="1" x14ac:dyDescent="0.2">
      <c r="A256" s="36" t="str">
        <f>HYPERLINK("https://www.hcc-nd.edu", "Holy Cross College")</f>
        <v>Holy Cross College</v>
      </c>
      <c r="B256" s="18" t="s">
        <v>32</v>
      </c>
      <c r="C256" s="18" t="s">
        <v>148</v>
      </c>
      <c r="D256" s="18" t="s">
        <v>167</v>
      </c>
      <c r="E256" s="18">
        <v>1214</v>
      </c>
      <c r="F256" s="18" t="s">
        <v>35</v>
      </c>
      <c r="J256" s="19">
        <v>0.40160000000000001</v>
      </c>
      <c r="K256" s="19">
        <v>0.239130435</v>
      </c>
      <c r="L256" s="19">
        <v>0.36049999999999999</v>
      </c>
      <c r="M256" s="19">
        <v>0.44440000000000002</v>
      </c>
      <c r="N256" s="19">
        <v>0.5</v>
      </c>
      <c r="O256" s="19" t="s">
        <v>36</v>
      </c>
      <c r="P256" s="20">
        <v>44244</v>
      </c>
      <c r="Q256" s="21" t="str">
        <f>HYPERLINK("https://www.hcc-nd.edu/net-price-calculator/", "$17070")</f>
        <v>$17070</v>
      </c>
      <c r="R256" s="20">
        <v>21005</v>
      </c>
      <c r="S256" s="20">
        <v>22729</v>
      </c>
      <c r="T256" s="20">
        <v>3508</v>
      </c>
      <c r="U256" s="20">
        <v>13562</v>
      </c>
      <c r="W256" s="19">
        <v>0.30969999999999998</v>
      </c>
      <c r="X256" s="19">
        <v>0.39529999999999998</v>
      </c>
      <c r="Z256" s="18">
        <v>554</v>
      </c>
    </row>
    <row r="257" spans="1:26" ht="15.75" customHeight="1" x14ac:dyDescent="0.2">
      <c r="A257" s="36" t="str">
        <f>HYPERLINK("https://www.hood.edu", "Hood College")</f>
        <v>Hood College</v>
      </c>
      <c r="B257" s="18" t="s">
        <v>32</v>
      </c>
      <c r="C257" s="18" t="s">
        <v>124</v>
      </c>
      <c r="D257" s="18" t="s">
        <v>824</v>
      </c>
      <c r="E257" s="18" t="s">
        <v>36</v>
      </c>
      <c r="F257" s="18" t="s">
        <v>90</v>
      </c>
      <c r="J257" s="19">
        <v>0.61040000000000005</v>
      </c>
      <c r="K257" s="19">
        <v>0.62857142899999996</v>
      </c>
      <c r="L257" s="19">
        <v>0.67689999999999995</v>
      </c>
      <c r="M257" s="19">
        <v>0.5</v>
      </c>
      <c r="N257" s="19">
        <v>0.55000000000000004</v>
      </c>
      <c r="O257" s="19">
        <v>0.3</v>
      </c>
      <c r="P257" s="20">
        <v>54840</v>
      </c>
      <c r="Q257" s="21" t="str">
        <f>HYPERLINK("https://www.hood.edu/Financial-Aid/Cost-of-Attendance/Net-Price-Calculator.html", "$15532")</f>
        <v>$15532</v>
      </c>
      <c r="R257" s="20">
        <v>25886</v>
      </c>
      <c r="S257" s="20">
        <v>27604</v>
      </c>
      <c r="T257" s="20">
        <v>4300</v>
      </c>
      <c r="U257" s="20">
        <v>11232</v>
      </c>
      <c r="W257" s="19">
        <v>0.33650000000000002</v>
      </c>
      <c r="X257" s="19">
        <v>0.41880000000000001</v>
      </c>
      <c r="Z257" s="18">
        <v>1108</v>
      </c>
    </row>
    <row r="258" spans="1:26" ht="15.75" customHeight="1" x14ac:dyDescent="0.2">
      <c r="A258" s="36" t="str">
        <f>HYPERLINK("https://www.hiu.edu", "Hope International University")</f>
        <v>Hope International University</v>
      </c>
      <c r="B258" s="18" t="s">
        <v>32</v>
      </c>
      <c r="C258" s="18" t="s">
        <v>68</v>
      </c>
      <c r="D258" s="18" t="s">
        <v>607</v>
      </c>
      <c r="E258" s="18">
        <v>1019</v>
      </c>
      <c r="F258" s="18" t="s">
        <v>35</v>
      </c>
      <c r="J258" s="19">
        <v>0.48209999999999997</v>
      </c>
      <c r="K258" s="19">
        <v>0.23958333300000001</v>
      </c>
      <c r="L258" s="19">
        <v>0.53849999999999998</v>
      </c>
      <c r="M258" s="19">
        <v>0</v>
      </c>
      <c r="N258" s="19">
        <v>0.33329999999999999</v>
      </c>
      <c r="O258" s="19">
        <v>1</v>
      </c>
      <c r="P258" s="20">
        <v>46824</v>
      </c>
      <c r="Q258" s="21" t="str">
        <f>HYPERLINK("https://www.hiu.edu/undergrad/finaid/", "$22642")</f>
        <v>$22642</v>
      </c>
      <c r="R258" s="20">
        <v>29839</v>
      </c>
      <c r="S258" s="20">
        <v>25389</v>
      </c>
      <c r="T258" s="20">
        <v>5094</v>
      </c>
      <c r="U258" s="20">
        <v>17548</v>
      </c>
      <c r="W258" s="19">
        <v>0.43180000000000002</v>
      </c>
      <c r="X258" s="19">
        <v>0.61070000000000002</v>
      </c>
      <c r="Z258" s="18">
        <v>727</v>
      </c>
    </row>
    <row r="259" spans="1:26" ht="15.75" customHeight="1" x14ac:dyDescent="0.2">
      <c r="A259" s="36" t="str">
        <f>HYPERLINK("https://www.hbu.edu", "Houston Baptist University")</f>
        <v>Houston Baptist University</v>
      </c>
      <c r="B259" s="18" t="s">
        <v>32</v>
      </c>
      <c r="C259" s="18" t="s">
        <v>146</v>
      </c>
      <c r="D259" s="18" t="s">
        <v>147</v>
      </c>
      <c r="E259" s="18">
        <v>1114</v>
      </c>
      <c r="F259" s="18" t="s">
        <v>35</v>
      </c>
      <c r="J259" s="19">
        <v>0.4819</v>
      </c>
      <c r="K259" s="19">
        <v>0.29194630900000001</v>
      </c>
      <c r="L259" s="19">
        <v>0.52890000000000004</v>
      </c>
      <c r="M259" s="19">
        <v>0.31309999999999999</v>
      </c>
      <c r="N259" s="19">
        <v>0.41010000000000002</v>
      </c>
      <c r="O259" s="19">
        <v>0.64290000000000003</v>
      </c>
      <c r="P259" s="20">
        <v>45322</v>
      </c>
      <c r="Q259" s="21" t="str">
        <f>HYPERLINK("https://www.hbu.edu/estimator", "$19380")</f>
        <v>$19380</v>
      </c>
      <c r="R259" s="20">
        <v>20169</v>
      </c>
      <c r="S259" s="20">
        <v>22030</v>
      </c>
      <c r="T259" s="20">
        <v>5350</v>
      </c>
      <c r="U259" s="20">
        <v>14030</v>
      </c>
      <c r="W259" s="19">
        <v>0.43440000000000001</v>
      </c>
      <c r="X259" s="19">
        <v>0.7641</v>
      </c>
      <c r="Z259" s="18">
        <v>2302</v>
      </c>
    </row>
    <row r="260" spans="1:26" ht="15.75" customHeight="1" x14ac:dyDescent="0.2">
      <c r="A260" s="36" t="str">
        <f>HYPERLINK("https://www.hputx.edu", "Howard Payne University")</f>
        <v>Howard Payne University</v>
      </c>
      <c r="B260" s="18" t="s">
        <v>32</v>
      </c>
      <c r="C260" s="18" t="s">
        <v>146</v>
      </c>
      <c r="D260" s="18" t="s">
        <v>827</v>
      </c>
      <c r="E260" s="18">
        <v>1036</v>
      </c>
      <c r="F260" s="18" t="s">
        <v>35</v>
      </c>
      <c r="J260" s="19">
        <v>0.4143</v>
      </c>
      <c r="K260" s="19">
        <v>0.31372549</v>
      </c>
      <c r="L260" s="19">
        <v>0.47689999999999999</v>
      </c>
      <c r="M260" s="19">
        <v>0.14710000000000001</v>
      </c>
      <c r="N260" s="19">
        <v>0.36109999999999998</v>
      </c>
      <c r="O260" s="19" t="s">
        <v>36</v>
      </c>
      <c r="P260" s="20">
        <v>39890</v>
      </c>
      <c r="Q260" s="21" t="str">
        <f>HYPERLINK("https://www.hputx.edu/campus-offices/financial-aid/net-price-calculator-external/", "$19433")</f>
        <v>$19433</v>
      </c>
      <c r="R260" s="20">
        <v>22251</v>
      </c>
      <c r="S260" s="20">
        <v>24510</v>
      </c>
      <c r="T260" s="20">
        <v>3896</v>
      </c>
      <c r="U260" s="20">
        <v>15537</v>
      </c>
      <c r="W260" s="19">
        <v>0.43719999999999998</v>
      </c>
      <c r="X260" s="19">
        <v>0.44940000000000002</v>
      </c>
      <c r="Z260" s="18">
        <v>919</v>
      </c>
    </row>
    <row r="261" spans="1:26" ht="15.75" customHeight="1" x14ac:dyDescent="0.2">
      <c r="A261" s="36" t="str">
        <f>HYPERLINK("https://www.howard.edu", "Howard University")</f>
        <v>Howard University</v>
      </c>
      <c r="B261" s="18" t="s">
        <v>32</v>
      </c>
      <c r="C261" s="18" t="s">
        <v>113</v>
      </c>
      <c r="D261" s="18" t="s">
        <v>114</v>
      </c>
      <c r="E261" s="18">
        <v>1201</v>
      </c>
      <c r="F261" s="18" t="s">
        <v>35</v>
      </c>
      <c r="J261" s="19">
        <v>0.63360000000000005</v>
      </c>
      <c r="K261" s="19">
        <v>0.53929121700000004</v>
      </c>
      <c r="L261" s="19">
        <v>0.6</v>
      </c>
      <c r="M261" s="19">
        <v>0.6321</v>
      </c>
      <c r="N261" s="19">
        <v>0.5</v>
      </c>
      <c r="O261" s="19">
        <v>1</v>
      </c>
      <c r="P261" s="20">
        <v>43201</v>
      </c>
      <c r="Q261" s="21" t="str">
        <f>HYPERLINK("https://www.howard.edu/financialaid/netprice/npcalc.htm", "$23505")</f>
        <v>$23505</v>
      </c>
      <c r="R261" s="20">
        <v>26156</v>
      </c>
      <c r="S261" s="20">
        <v>26300</v>
      </c>
      <c r="T261" s="20">
        <v>4000</v>
      </c>
      <c r="U261" s="20">
        <v>19505</v>
      </c>
      <c r="W261" s="19">
        <v>0.46279999999999999</v>
      </c>
      <c r="X261" s="19">
        <v>0.98680000000000001</v>
      </c>
      <c r="Z261" s="18">
        <v>6276</v>
      </c>
    </row>
    <row r="262" spans="1:26" ht="15.75" customHeight="1" x14ac:dyDescent="0.2">
      <c r="A262" s="36" t="str">
        <f>HYPERLINK("https://www.humboldt.edu", "Humboldt State University")</f>
        <v>Humboldt State University</v>
      </c>
      <c r="B262" s="18" t="s">
        <v>49</v>
      </c>
      <c r="C262" s="18" t="s">
        <v>68</v>
      </c>
      <c r="D262" s="18" t="s">
        <v>828</v>
      </c>
      <c r="E262" s="18">
        <v>1062</v>
      </c>
      <c r="F262" s="18" t="s">
        <v>35</v>
      </c>
      <c r="J262" s="19">
        <v>0.46589999999999998</v>
      </c>
      <c r="K262" s="19">
        <v>0.49040767400000002</v>
      </c>
      <c r="L262" s="19">
        <v>0.50570000000000004</v>
      </c>
      <c r="M262" s="19">
        <v>0.4</v>
      </c>
      <c r="N262" s="19">
        <v>0.39889999999999998</v>
      </c>
      <c r="O262" s="19">
        <v>0.53059999999999996</v>
      </c>
      <c r="P262" s="20">
        <v>36601</v>
      </c>
      <c r="Q262" s="21" t="str">
        <f>HYPERLINK("https://finaid.humboldt.edu/sites/default/files/calculator/", "$24432")</f>
        <v>$24432</v>
      </c>
      <c r="R262" s="20">
        <v>29191</v>
      </c>
      <c r="S262" s="20">
        <v>32371</v>
      </c>
      <c r="T262" s="20">
        <v>4212</v>
      </c>
      <c r="U262" s="20">
        <v>20220.150183150181</v>
      </c>
      <c r="W262" s="19">
        <v>0.55730000000000002</v>
      </c>
      <c r="X262" s="19">
        <v>0.57790000000000008</v>
      </c>
      <c r="Z262" s="18">
        <v>7846</v>
      </c>
    </row>
    <row r="263" spans="1:26" ht="15.75" customHeight="1" x14ac:dyDescent="0.2">
      <c r="A263" s="36" t="str">
        <f>HYPERLINK("https://www.huntingdon.edu", "Huntingdon College")</f>
        <v>Huntingdon College</v>
      </c>
      <c r="B263" s="18" t="s">
        <v>32</v>
      </c>
      <c r="C263" s="18" t="s">
        <v>300</v>
      </c>
      <c r="D263" s="18" t="s">
        <v>547</v>
      </c>
      <c r="E263" s="18">
        <v>1085</v>
      </c>
      <c r="F263" s="18" t="s">
        <v>35</v>
      </c>
      <c r="J263" s="19">
        <v>0.36720000000000003</v>
      </c>
      <c r="K263" s="19">
        <v>0.3984375</v>
      </c>
      <c r="L263" s="19">
        <v>0.41620000000000001</v>
      </c>
      <c r="M263" s="19">
        <v>0.22220000000000001</v>
      </c>
      <c r="N263" s="19">
        <v>0.2</v>
      </c>
      <c r="O263" s="19">
        <v>0.5</v>
      </c>
      <c r="P263" s="20">
        <v>37235</v>
      </c>
      <c r="Q263" s="21" t="str">
        <f>HYPERLINK("https://hawk.huntingdon.edu/oiac/netpricecalculator/npcalc.htm", "$16834")</f>
        <v>$16834</v>
      </c>
      <c r="R263" s="20">
        <v>20567</v>
      </c>
      <c r="S263" s="20">
        <v>21698</v>
      </c>
      <c r="T263" s="20">
        <v>1335</v>
      </c>
      <c r="U263" s="20">
        <v>15499</v>
      </c>
      <c r="W263" s="19">
        <v>0.43120000000000003</v>
      </c>
      <c r="X263" s="19">
        <v>0.36209999999999998</v>
      </c>
      <c r="Z263" s="18">
        <v>1099</v>
      </c>
    </row>
    <row r="264" spans="1:26" ht="15.75" customHeight="1" x14ac:dyDescent="0.2">
      <c r="A264" s="36" t="str">
        <f>HYPERLINK("https://www.huntington.edu", "Huntington University")</f>
        <v>Huntington University</v>
      </c>
      <c r="B264" s="18" t="s">
        <v>32</v>
      </c>
      <c r="C264" s="18" t="s">
        <v>148</v>
      </c>
      <c r="D264" s="18" t="s">
        <v>830</v>
      </c>
      <c r="E264" s="18">
        <v>1080</v>
      </c>
      <c r="F264" s="18" t="s">
        <v>35</v>
      </c>
      <c r="J264" s="19">
        <v>0.59919999999999995</v>
      </c>
      <c r="K264" s="19">
        <v>0.44</v>
      </c>
      <c r="L264" s="19">
        <v>0.60650000000000004</v>
      </c>
      <c r="M264" s="19">
        <v>0.375</v>
      </c>
      <c r="N264" s="19">
        <v>0.83330000000000004</v>
      </c>
      <c r="O264" s="19">
        <v>0.66669999999999996</v>
      </c>
      <c r="P264" s="20">
        <v>37296</v>
      </c>
      <c r="Q264" s="21" t="str">
        <f>HYPERLINK("https://www.indianacollegecosts.org/", "$17729")</f>
        <v>$17729</v>
      </c>
      <c r="R264" s="20">
        <v>22810</v>
      </c>
      <c r="S264" s="20">
        <v>24962</v>
      </c>
      <c r="T264" s="20">
        <v>3300</v>
      </c>
      <c r="U264" s="20">
        <v>14429</v>
      </c>
      <c r="W264" s="19">
        <v>0.32329999999999998</v>
      </c>
      <c r="X264" s="19">
        <v>0.17390000000000011</v>
      </c>
      <c r="Z264" s="18">
        <v>949</v>
      </c>
    </row>
    <row r="265" spans="1:26" ht="15.75" customHeight="1" x14ac:dyDescent="0.2">
      <c r="A265" s="36" t="str">
        <f>HYPERLINK("https://www.htu.edu", "Huston-Tillotson University")</f>
        <v>Huston-Tillotson University</v>
      </c>
      <c r="B265" s="18" t="s">
        <v>32</v>
      </c>
      <c r="C265" s="18" t="s">
        <v>146</v>
      </c>
      <c r="D265" s="18" t="s">
        <v>264</v>
      </c>
      <c r="E265" s="18">
        <v>947</v>
      </c>
      <c r="F265" s="18" t="s">
        <v>35</v>
      </c>
      <c r="J265" s="19">
        <v>0.22650000000000001</v>
      </c>
      <c r="K265" s="19">
        <v>0.111111111</v>
      </c>
      <c r="L265" s="19">
        <v>0</v>
      </c>
      <c r="M265" s="19">
        <v>0.21540000000000001</v>
      </c>
      <c r="N265" s="19">
        <v>0.2</v>
      </c>
      <c r="O265" s="19">
        <v>1</v>
      </c>
      <c r="P265" s="20">
        <v>24414</v>
      </c>
      <c r="Q265" s="21" t="str">
        <f>HYPERLINK("https://htu.edu/npcalc.htm", "$16911")</f>
        <v>$16911</v>
      </c>
      <c r="R265" s="20">
        <v>20915</v>
      </c>
      <c r="S265" s="20" t="s">
        <v>36</v>
      </c>
      <c r="T265" s="20">
        <v>2500</v>
      </c>
      <c r="U265" s="20">
        <v>14411</v>
      </c>
      <c r="W265" s="19">
        <v>0.63319999999999999</v>
      </c>
      <c r="X265" s="19">
        <v>0.94110000000000005</v>
      </c>
      <c r="Z265" s="18">
        <v>1052</v>
      </c>
    </row>
    <row r="266" spans="1:26" ht="15.75" customHeight="1" x14ac:dyDescent="0.2">
      <c r="A266" s="36" t="str">
        <f>HYPERLINK("https://www.isu.edu/", "Idaho State University")</f>
        <v>Idaho State University</v>
      </c>
      <c r="B266" s="18" t="s">
        <v>49</v>
      </c>
      <c r="C266" s="18" t="s">
        <v>486</v>
      </c>
      <c r="D266" s="18" t="s">
        <v>832</v>
      </c>
      <c r="E266" s="18" t="s">
        <v>36</v>
      </c>
      <c r="F266" s="18" t="s">
        <v>36</v>
      </c>
      <c r="J266" s="19">
        <v>0.30320000000000003</v>
      </c>
      <c r="K266" s="19">
        <v>0.29461585000000001</v>
      </c>
      <c r="L266" s="19">
        <v>0.31069999999999998</v>
      </c>
      <c r="M266" s="19">
        <v>0.17649999999999999</v>
      </c>
      <c r="N266" s="19">
        <v>0.1978</v>
      </c>
      <c r="O266" s="19">
        <v>0.42859999999999998</v>
      </c>
      <c r="P266" s="20">
        <v>35887</v>
      </c>
      <c r="Q266" s="21" t="str">
        <f>HYPERLINK("https://www.isu.edu/financialaid/consumer-information/net-price-calculator/", "$31115")</f>
        <v>$31115</v>
      </c>
      <c r="R266" s="20">
        <v>33969</v>
      </c>
      <c r="S266" s="20">
        <v>35653</v>
      </c>
      <c r="T266" s="20">
        <v>6921</v>
      </c>
      <c r="U266" s="20">
        <v>24194.22297297297</v>
      </c>
      <c r="W266" s="19">
        <v>0.32569999999999999</v>
      </c>
      <c r="X266" s="19">
        <v>0.28649999999999998</v>
      </c>
      <c r="Z266" s="18">
        <v>7921</v>
      </c>
    </row>
    <row r="267" spans="1:26" ht="15.75" customHeight="1" x14ac:dyDescent="0.2">
      <c r="A267" s="36" t="str">
        <f>HYPERLINK("https://www.immaculata.edu", "Immaculata University")</f>
        <v>Immaculata University</v>
      </c>
      <c r="B267" s="18" t="s">
        <v>32</v>
      </c>
      <c r="C267" s="18" t="s">
        <v>65</v>
      </c>
      <c r="D267" s="18" t="s">
        <v>834</v>
      </c>
      <c r="E267" s="18">
        <v>1053</v>
      </c>
      <c r="F267" s="18" t="s">
        <v>115</v>
      </c>
      <c r="J267" s="19">
        <v>0.62039999999999995</v>
      </c>
      <c r="K267" s="19">
        <v>0.47887323900000001</v>
      </c>
      <c r="L267" s="19">
        <v>0.65139999999999998</v>
      </c>
      <c r="M267" s="19">
        <v>0.48280000000000001</v>
      </c>
      <c r="N267" s="19">
        <v>0.45</v>
      </c>
      <c r="O267" s="19">
        <v>1</v>
      </c>
      <c r="P267" s="20">
        <v>45960</v>
      </c>
      <c r="Q267" s="21" t="str">
        <f>HYPERLINK("https://www.immaculata.edu/admissions/tuition-fees/undergraduate-tuition/net-price-calculator/", "$26316")</f>
        <v>$26316</v>
      </c>
      <c r="R267" s="20">
        <v>28465</v>
      </c>
      <c r="S267" s="20">
        <v>32775</v>
      </c>
      <c r="T267" s="20">
        <v>5990</v>
      </c>
      <c r="U267" s="20">
        <v>20326</v>
      </c>
      <c r="W267" s="19">
        <v>0.2591</v>
      </c>
      <c r="X267" s="19">
        <v>0.28849999999999998</v>
      </c>
      <c r="Z267" s="18">
        <v>1383</v>
      </c>
    </row>
    <row r="268" spans="1:26" ht="15.75" customHeight="1" x14ac:dyDescent="0.2">
      <c r="A268" s="36" t="str">
        <f>HYPERLINK("https://www.indianatech.edu", "Indiana Institute of Technology")</f>
        <v>Indiana Institute of Technology</v>
      </c>
      <c r="B268" s="18" t="s">
        <v>32</v>
      </c>
      <c r="C268" s="18" t="s">
        <v>148</v>
      </c>
      <c r="D268" s="18" t="s">
        <v>815</v>
      </c>
      <c r="E268" s="18">
        <v>1034</v>
      </c>
      <c r="F268" s="18" t="s">
        <v>35</v>
      </c>
      <c r="J268" s="19">
        <v>0.33850000000000002</v>
      </c>
      <c r="K268" s="19">
        <v>0.167487685</v>
      </c>
      <c r="L268" s="19">
        <v>0.39439999999999997</v>
      </c>
      <c r="M268" s="19">
        <v>0.25</v>
      </c>
      <c r="N268" s="19">
        <v>0.34620000000000001</v>
      </c>
      <c r="O268" s="19">
        <v>0</v>
      </c>
      <c r="P268" s="20">
        <v>40223</v>
      </c>
      <c r="Q268" s="21" t="str">
        <f>HYPERLINK("https://finaid.indianatech.edu/costs/calculator/", "$26485")</f>
        <v>$26485</v>
      </c>
      <c r="R268" s="20">
        <v>20767</v>
      </c>
      <c r="S268" s="20">
        <v>23931</v>
      </c>
      <c r="T268" s="20">
        <v>4033</v>
      </c>
      <c r="U268" s="20">
        <v>22452</v>
      </c>
      <c r="W268" s="19">
        <v>0.6653</v>
      </c>
      <c r="X268" s="19">
        <v>0.58939999999999992</v>
      </c>
      <c r="Z268" s="18">
        <v>6899</v>
      </c>
    </row>
    <row r="269" spans="1:26" ht="15.75" customHeight="1" x14ac:dyDescent="0.2">
      <c r="A269" s="36" t="str">
        <f>HYPERLINK("https://www.indstate.edu", "Indiana State University")</f>
        <v>Indiana State University</v>
      </c>
      <c r="B269" s="18" t="s">
        <v>49</v>
      </c>
      <c r="C269" s="18" t="s">
        <v>148</v>
      </c>
      <c r="D269" s="18" t="s">
        <v>149</v>
      </c>
      <c r="E269" s="18">
        <v>1013</v>
      </c>
      <c r="F269" s="18" t="s">
        <v>35</v>
      </c>
      <c r="J269" s="19">
        <v>0.38719999999999999</v>
      </c>
      <c r="K269" s="19">
        <v>0.201550388</v>
      </c>
      <c r="L269" s="19">
        <v>0.4244</v>
      </c>
      <c r="M269" s="19">
        <v>0.26910000000000001</v>
      </c>
      <c r="N269" s="19">
        <v>0.28889999999999999</v>
      </c>
      <c r="O269" s="19">
        <v>0.5</v>
      </c>
      <c r="P269" s="20">
        <v>32938</v>
      </c>
      <c r="Q269" s="21" t="str">
        <f>HYPERLINK("https://indstate.studentaidcalculator.com/survey.aspx", "$21265")</f>
        <v>$21265</v>
      </c>
      <c r="R269" s="20">
        <v>25949</v>
      </c>
      <c r="S269" s="20">
        <v>30092</v>
      </c>
      <c r="T269" s="20">
        <v>3498</v>
      </c>
      <c r="U269" s="20">
        <v>17767.944632768362</v>
      </c>
      <c r="W269" s="19">
        <v>0.41389999999999999</v>
      </c>
      <c r="X269" s="19">
        <v>0.3458</v>
      </c>
      <c r="Z269" s="18">
        <v>10817</v>
      </c>
    </row>
    <row r="270" spans="1:26" ht="15.75" customHeight="1" x14ac:dyDescent="0.2">
      <c r="A270" s="36" t="str">
        <f>HYPERLINK("https://www.iupui.edu", "Indiana University-Purdue University-Indianapolis")</f>
        <v>Indiana University-Purdue University-Indianapolis</v>
      </c>
      <c r="B270" s="18" t="s">
        <v>49</v>
      </c>
      <c r="C270" s="18" t="s">
        <v>148</v>
      </c>
      <c r="D270" s="18" t="s">
        <v>316</v>
      </c>
      <c r="E270" s="18">
        <v>1104</v>
      </c>
      <c r="F270" s="18" t="s">
        <v>35</v>
      </c>
      <c r="J270" s="19">
        <v>0.44990000000000002</v>
      </c>
      <c r="K270" s="19">
        <v>0.27484246200000001</v>
      </c>
      <c r="L270" s="19">
        <v>0.45569999999999999</v>
      </c>
      <c r="M270" s="19">
        <v>0.31759999999999999</v>
      </c>
      <c r="N270" s="19">
        <v>0.45179999999999998</v>
      </c>
      <c r="O270" s="19">
        <v>0.6623</v>
      </c>
      <c r="P270" s="20">
        <v>43022</v>
      </c>
      <c r="Q270" s="21" t="str">
        <f>HYPERLINK("https://npc.collegeboard.org/student/app/iupui", "$29267")</f>
        <v>$29267</v>
      </c>
      <c r="R270" s="20">
        <v>34791</v>
      </c>
      <c r="S270" s="20">
        <v>39701</v>
      </c>
      <c r="T270" s="20">
        <v>3598</v>
      </c>
      <c r="U270" s="20">
        <v>25669.083712465879</v>
      </c>
      <c r="W270" s="19">
        <v>0.36380000000000001</v>
      </c>
      <c r="X270" s="19">
        <v>0.3044</v>
      </c>
      <c r="Z270" s="18">
        <v>20870</v>
      </c>
    </row>
    <row r="271" spans="1:26" ht="15.75" customHeight="1" x14ac:dyDescent="0.2">
      <c r="A271" s="36" t="str">
        <f>HYPERLINK("https://www.indwes.edu", "Indiana Wesleyan University-Marion")</f>
        <v>Indiana Wesleyan University-Marion</v>
      </c>
      <c r="B271" s="18" t="s">
        <v>32</v>
      </c>
      <c r="C271" s="18" t="s">
        <v>148</v>
      </c>
      <c r="D271" s="18" t="s">
        <v>841</v>
      </c>
      <c r="E271" s="18">
        <v>1138</v>
      </c>
      <c r="F271" s="18" t="s">
        <v>35</v>
      </c>
      <c r="J271" s="19">
        <v>0.62819999999999998</v>
      </c>
      <c r="K271" s="19">
        <v>0.41585639499999999</v>
      </c>
      <c r="L271" s="19">
        <v>0.64229999999999998</v>
      </c>
      <c r="M271" s="19">
        <v>0.3</v>
      </c>
      <c r="N271" s="19">
        <v>0.58620000000000005</v>
      </c>
      <c r="O271" s="19">
        <v>1</v>
      </c>
      <c r="P271" s="20">
        <v>37760</v>
      </c>
      <c r="Q271" s="21" t="str">
        <f>HYPERLINK("https://secure2.indwes.edu/Financial-Aid/Estimator/CAS/", "$14900")</f>
        <v>$14900</v>
      </c>
      <c r="R271" s="20">
        <v>17610</v>
      </c>
      <c r="S271" s="20">
        <v>20299</v>
      </c>
      <c r="T271" s="20">
        <v>3468</v>
      </c>
      <c r="U271" s="20">
        <v>11432</v>
      </c>
      <c r="W271" s="19">
        <v>0.28970000000000001</v>
      </c>
      <c r="X271" s="19">
        <v>0.1583</v>
      </c>
      <c r="Z271" s="18">
        <v>2685</v>
      </c>
    </row>
    <row r="272" spans="1:26" ht="15.75" customHeight="1" x14ac:dyDescent="0.2">
      <c r="A272" s="36" t="str">
        <f>HYPERLINK("https://www.iona.edu", "Iona College")</f>
        <v>Iona College</v>
      </c>
      <c r="B272" s="18" t="s">
        <v>32</v>
      </c>
      <c r="C272" s="18" t="s">
        <v>38</v>
      </c>
      <c r="D272" s="18" t="s">
        <v>842</v>
      </c>
      <c r="E272" s="18">
        <v>1090</v>
      </c>
      <c r="F272" s="18" t="s">
        <v>35</v>
      </c>
      <c r="J272" s="19">
        <v>0.64410000000000001</v>
      </c>
      <c r="K272" s="19">
        <v>0.52564102600000007</v>
      </c>
      <c r="L272" s="19">
        <v>0.69510000000000005</v>
      </c>
      <c r="M272" s="19">
        <v>0.5484</v>
      </c>
      <c r="N272" s="19">
        <v>0.56100000000000005</v>
      </c>
      <c r="O272" s="19">
        <v>0.57140000000000002</v>
      </c>
      <c r="P272" s="20">
        <v>55864</v>
      </c>
      <c r="Q272" s="21" t="str">
        <f>HYPERLINK("https://iona.studentaidcalculator.com/welcome.aspx", "$23082")</f>
        <v>$23082</v>
      </c>
      <c r="R272" s="20">
        <v>27259</v>
      </c>
      <c r="S272" s="20">
        <v>29618</v>
      </c>
      <c r="T272" s="20">
        <v>3350</v>
      </c>
      <c r="U272" s="20">
        <v>19732</v>
      </c>
      <c r="W272" s="19">
        <v>0.30280000000000001</v>
      </c>
      <c r="X272" s="19">
        <v>0.44500000000000001</v>
      </c>
      <c r="Z272" s="18">
        <v>2989</v>
      </c>
    </row>
    <row r="273" spans="1:26" ht="15.75" customHeight="1" x14ac:dyDescent="0.2">
      <c r="A273" s="36" t="str">
        <f>HYPERLINK("https://www.iastate.edu", "Iowa State University")</f>
        <v>Iowa State University</v>
      </c>
      <c r="B273" s="18" t="s">
        <v>49</v>
      </c>
      <c r="C273" s="18" t="s">
        <v>211</v>
      </c>
      <c r="D273" s="18" t="s">
        <v>843</v>
      </c>
      <c r="E273" s="18">
        <v>1221</v>
      </c>
      <c r="F273" s="18" t="s">
        <v>35</v>
      </c>
      <c r="J273" s="19">
        <v>0.73429999999999995</v>
      </c>
      <c r="K273" s="19">
        <v>0.57929104499999995</v>
      </c>
      <c r="L273" s="19">
        <v>0.75309999999999999</v>
      </c>
      <c r="M273" s="19">
        <v>0.5282</v>
      </c>
      <c r="N273" s="19">
        <v>0.69200000000000006</v>
      </c>
      <c r="O273" s="19">
        <v>0.71940000000000004</v>
      </c>
      <c r="P273" s="20">
        <v>34442</v>
      </c>
      <c r="Q273" s="21" t="str">
        <f>HYPERLINK("https://www.financialaid.iastate.edu/cost/net-price-calculator.php", "$23745")</f>
        <v>$23745</v>
      </c>
      <c r="R273" s="20">
        <v>27483</v>
      </c>
      <c r="S273" s="20">
        <v>30935</v>
      </c>
      <c r="T273" s="20">
        <v>3424</v>
      </c>
      <c r="U273" s="20">
        <v>20321.635458167329</v>
      </c>
      <c r="W273" s="19">
        <v>0.2054</v>
      </c>
      <c r="X273" s="19">
        <v>0.25860000000000011</v>
      </c>
      <c r="Z273" s="18">
        <v>30116</v>
      </c>
    </row>
    <row r="274" spans="1:26" ht="15.75" customHeight="1" x14ac:dyDescent="0.2">
      <c r="A274" s="36" t="str">
        <f>HYPERLINK("https://www.jsums.edu", "Jackson State University")</f>
        <v>Jackson State University</v>
      </c>
      <c r="B274" s="18" t="s">
        <v>49</v>
      </c>
      <c r="C274" s="18" t="s">
        <v>59</v>
      </c>
      <c r="D274" s="18" t="s">
        <v>419</v>
      </c>
      <c r="E274" s="18">
        <v>990</v>
      </c>
      <c r="F274" s="18" t="s">
        <v>35</v>
      </c>
      <c r="J274" s="19">
        <v>0.34110000000000001</v>
      </c>
      <c r="K274" s="19">
        <v>0.37541254099999999</v>
      </c>
      <c r="L274" s="19">
        <v>0.31580000000000003</v>
      </c>
      <c r="M274" s="19">
        <v>0.33</v>
      </c>
      <c r="N274" s="19">
        <v>0.28570000000000001</v>
      </c>
      <c r="O274" s="19">
        <v>1</v>
      </c>
      <c r="P274" s="20">
        <v>33789</v>
      </c>
      <c r="Q274" s="21" t="str">
        <f>HYPERLINK("https://www.jsums.edu/npc/npcalc.htm", "$25949")</f>
        <v>$25949</v>
      </c>
      <c r="R274" s="20">
        <v>28681</v>
      </c>
      <c r="S274" s="20">
        <v>30757</v>
      </c>
      <c r="T274" s="20">
        <v>6523</v>
      </c>
      <c r="U274" s="20">
        <v>19426.543771043769</v>
      </c>
      <c r="W274" s="19">
        <v>0.60760000000000003</v>
      </c>
      <c r="X274" s="19">
        <v>0.96240000000000003</v>
      </c>
      <c r="Z274" s="18">
        <v>6467</v>
      </c>
    </row>
    <row r="275" spans="1:26" ht="15.75" customHeight="1" x14ac:dyDescent="0.2">
      <c r="A275" s="36" t="str">
        <f>HYPERLINK("https://www.ju.edu/index.php", "Jacksonville University")</f>
        <v>Jacksonville University</v>
      </c>
      <c r="B275" s="18" t="s">
        <v>32</v>
      </c>
      <c r="C275" s="18" t="s">
        <v>162</v>
      </c>
      <c r="D275" s="18" t="s">
        <v>382</v>
      </c>
      <c r="E275" s="18">
        <v>1147</v>
      </c>
      <c r="F275" s="18" t="s">
        <v>115</v>
      </c>
      <c r="J275" s="19">
        <v>0.43080000000000002</v>
      </c>
      <c r="K275" s="19">
        <v>0.41523341499999999</v>
      </c>
      <c r="L275" s="19">
        <v>0.44629999999999997</v>
      </c>
      <c r="M275" s="19">
        <v>0.36959999999999998</v>
      </c>
      <c r="N275" s="19">
        <v>0.38300000000000001</v>
      </c>
      <c r="O275" s="19">
        <v>0.25</v>
      </c>
      <c r="P275" s="20">
        <v>53150</v>
      </c>
      <c r="Q275" s="21" t="str">
        <f>HYPERLINK("https://ju.studentaidcalculator.com/survey.aspx", "$22915")</f>
        <v>$22915</v>
      </c>
      <c r="R275" s="20">
        <v>26150</v>
      </c>
      <c r="S275" s="20">
        <v>30211</v>
      </c>
      <c r="T275" s="20">
        <v>3940</v>
      </c>
      <c r="U275" s="20">
        <v>18975</v>
      </c>
      <c r="W275" s="19">
        <v>0.27989999999999998</v>
      </c>
      <c r="X275" s="19">
        <v>0.43409999999999999</v>
      </c>
      <c r="Z275" s="18">
        <v>2829</v>
      </c>
    </row>
    <row r="276" spans="1:26" ht="15.75" customHeight="1" x14ac:dyDescent="0.2">
      <c r="A276" s="36" t="str">
        <f>HYPERLINK("https://www.philau.edu", "Philadelphia University")</f>
        <v>Philadelphia University</v>
      </c>
      <c r="B276" s="18" t="s">
        <v>32</v>
      </c>
      <c r="C276" s="18" t="s">
        <v>65</v>
      </c>
      <c r="D276" s="18" t="s">
        <v>168</v>
      </c>
      <c r="E276" s="18">
        <v>1136</v>
      </c>
      <c r="F276" s="18" t="s">
        <v>35</v>
      </c>
      <c r="J276" s="19">
        <v>0.66099999999999992</v>
      </c>
      <c r="K276" s="19">
        <v>0.55555555600000006</v>
      </c>
      <c r="L276" s="19">
        <v>0.71389999999999998</v>
      </c>
      <c r="M276" s="19">
        <v>0.42420000000000002</v>
      </c>
      <c r="N276" s="19">
        <v>0.55259999999999998</v>
      </c>
      <c r="O276" s="19">
        <v>0.75680000000000003</v>
      </c>
      <c r="P276" s="20">
        <v>57931</v>
      </c>
      <c r="Q276" s="21" t="str">
        <f>HYPERLINK("https://philau.studentaidcalculator.com", "$21242")</f>
        <v>$21242</v>
      </c>
      <c r="R276" s="20">
        <v>24250</v>
      </c>
      <c r="S276" s="20">
        <v>27992</v>
      </c>
      <c r="T276" s="20">
        <v>5646</v>
      </c>
      <c r="U276" s="20">
        <v>15596</v>
      </c>
      <c r="W276" s="19">
        <v>0.32540000000000002</v>
      </c>
      <c r="X276" s="19">
        <v>0.46679999999999999</v>
      </c>
      <c r="Z276" s="18">
        <v>2669</v>
      </c>
    </row>
    <row r="277" spans="1:26" ht="15.75" customHeight="1" x14ac:dyDescent="0.2">
      <c r="A277" s="36" t="str">
        <f>HYPERLINK("https://sites.jcu.edu/", "John Carroll University")</f>
        <v>John Carroll University</v>
      </c>
      <c r="B277" s="18" t="s">
        <v>32</v>
      </c>
      <c r="C277" s="18" t="s">
        <v>75</v>
      </c>
      <c r="D277" s="18" t="s">
        <v>853</v>
      </c>
      <c r="E277" s="18">
        <v>1161</v>
      </c>
      <c r="F277" s="18" t="s">
        <v>35</v>
      </c>
      <c r="J277" s="19">
        <v>0.77900000000000003</v>
      </c>
      <c r="K277" s="19">
        <v>0.66091953999999997</v>
      </c>
      <c r="L277" s="19">
        <v>0.77529999999999999</v>
      </c>
      <c r="M277" s="19">
        <v>0.74070000000000003</v>
      </c>
      <c r="N277" s="19">
        <v>0.84619999999999995</v>
      </c>
      <c r="O277" s="19">
        <v>0.52939999999999998</v>
      </c>
      <c r="P277" s="20">
        <v>55820</v>
      </c>
      <c r="Q277" s="21" t="str">
        <f>HYPERLINK("https://jcu.studentaidcalculator.com/survey.aspx", "$17374")</f>
        <v>$17374</v>
      </c>
      <c r="R277" s="20">
        <v>24028</v>
      </c>
      <c r="S277" s="20">
        <v>26269</v>
      </c>
      <c r="T277" s="20">
        <v>4250</v>
      </c>
      <c r="U277" s="20">
        <v>13124</v>
      </c>
      <c r="W277" s="19">
        <v>0.20749999999999999</v>
      </c>
      <c r="X277" s="19">
        <v>0.1615</v>
      </c>
      <c r="Z277" s="18">
        <v>2972</v>
      </c>
    </row>
    <row r="278" spans="1:26" ht="15.75" customHeight="1" x14ac:dyDescent="0.2">
      <c r="A278" s="36" t="str">
        <f>HYPERLINK("https://www.jwu.edu/campuses/north-miami/index.html", "Johnson &amp; Wales University-North Miami")</f>
        <v>Johnson &amp; Wales University-North Miami</v>
      </c>
      <c r="B278" s="18" t="s">
        <v>32</v>
      </c>
      <c r="C278" s="18" t="s">
        <v>162</v>
      </c>
      <c r="D278" s="18" t="s">
        <v>856</v>
      </c>
      <c r="E278" s="18" t="s">
        <v>36</v>
      </c>
      <c r="F278" s="18" t="s">
        <v>90</v>
      </c>
      <c r="J278" s="19">
        <v>0.49669999999999997</v>
      </c>
      <c r="K278" s="19">
        <v>0.42224953900000001</v>
      </c>
      <c r="L278" s="19">
        <v>0.5</v>
      </c>
      <c r="M278" s="19">
        <v>0.51090000000000002</v>
      </c>
      <c r="N278" s="19">
        <v>0.45390000000000003</v>
      </c>
      <c r="O278" s="19">
        <v>0.77780000000000005</v>
      </c>
      <c r="P278" s="20">
        <v>47252</v>
      </c>
      <c r="Q278" s="21" t="str">
        <f>HYPERLINK("https://jwu-miami.studentaidcalculator.com/survey.aspx", "$22540")</f>
        <v>$22540</v>
      </c>
      <c r="R278" s="20">
        <v>26209</v>
      </c>
      <c r="S278" s="20">
        <v>27826</v>
      </c>
      <c r="T278" s="20">
        <v>3909</v>
      </c>
      <c r="U278" s="20">
        <v>18631</v>
      </c>
      <c r="W278" s="19">
        <v>0.5766</v>
      </c>
      <c r="X278" s="19">
        <v>0.8</v>
      </c>
      <c r="Z278" s="18">
        <v>1450</v>
      </c>
    </row>
    <row r="279" spans="1:26" ht="15.75" customHeight="1" x14ac:dyDescent="0.2">
      <c r="A279" s="36" t="str">
        <f>HYPERLINK("https://online.jwu.edu/?_ga=2.244666885.1432107725.1502198571-1382828486.1499961993", "Johnson &amp; Wales University-Online")</f>
        <v>Johnson &amp; Wales University-Online</v>
      </c>
      <c r="B279" s="18" t="s">
        <v>32</v>
      </c>
      <c r="C279" s="18" t="s">
        <v>63</v>
      </c>
      <c r="D279" s="18" t="s">
        <v>64</v>
      </c>
      <c r="E279" s="18" t="s">
        <v>36</v>
      </c>
      <c r="F279" s="18" t="s">
        <v>90</v>
      </c>
      <c r="J279" s="19" t="s">
        <v>36</v>
      </c>
      <c r="K279" s="19">
        <v>0.42224953900000001</v>
      </c>
      <c r="L279" s="19" t="s">
        <v>36</v>
      </c>
      <c r="M279" s="19" t="s">
        <v>36</v>
      </c>
      <c r="N279" s="19" t="s">
        <v>36</v>
      </c>
      <c r="O279" s="19" t="s">
        <v>36</v>
      </c>
      <c r="P279" s="20">
        <v>24274</v>
      </c>
      <c r="Q279" s="21" t="str">
        <f>HYPERLINK("https://jwu-online.studentaidcalculator.com/survey.aspx", "$17559")</f>
        <v>$17559</v>
      </c>
      <c r="R279" s="20" t="s">
        <v>36</v>
      </c>
      <c r="S279" s="20">
        <v>20228</v>
      </c>
      <c r="T279" s="20">
        <v>3909</v>
      </c>
      <c r="U279" s="20">
        <v>13650</v>
      </c>
      <c r="W279" s="19">
        <v>0.46710000000000002</v>
      </c>
      <c r="X279" s="19">
        <v>0.48749999999999999</v>
      </c>
      <c r="Z279" s="18">
        <v>681</v>
      </c>
    </row>
    <row r="280" spans="1:26" ht="15.75" customHeight="1" x14ac:dyDescent="0.2">
      <c r="A280" s="36" t="str">
        <f>HYPERLINK("https://www.jwu.edu/campuses/providence/index.html", "Johnson &amp; Wales University-Online")</f>
        <v>Johnson &amp; Wales University-Online</v>
      </c>
      <c r="B280" s="18" t="s">
        <v>32</v>
      </c>
      <c r="C280" s="18" t="s">
        <v>63</v>
      </c>
      <c r="D280" s="18" t="s">
        <v>64</v>
      </c>
      <c r="E280" s="18" t="s">
        <v>36</v>
      </c>
      <c r="F280" s="18" t="s">
        <v>90</v>
      </c>
      <c r="J280" s="19">
        <v>0.63349999999999995</v>
      </c>
      <c r="K280" s="19">
        <v>0.42224953900000001</v>
      </c>
      <c r="L280" s="19">
        <v>0.65799999999999992</v>
      </c>
      <c r="M280" s="19">
        <v>0.55430000000000001</v>
      </c>
      <c r="N280" s="19">
        <v>0.57609999999999995</v>
      </c>
      <c r="O280" s="19">
        <v>0.64149999999999996</v>
      </c>
      <c r="P280" s="20">
        <v>49226</v>
      </c>
      <c r="Q280" s="21" t="str">
        <f>HYPERLINK("https://jwu-providence.studentaidcalculator.com/survey.aspx", "$22333")</f>
        <v>$22333</v>
      </c>
      <c r="R280" s="20">
        <v>25189</v>
      </c>
      <c r="S280" s="20">
        <v>27243</v>
      </c>
      <c r="T280" s="20">
        <v>3909</v>
      </c>
      <c r="U280" s="20">
        <v>18424</v>
      </c>
      <c r="W280" s="19">
        <v>0.3619</v>
      </c>
      <c r="X280" s="19">
        <v>0.44929999999999998</v>
      </c>
      <c r="Z280" s="18">
        <v>7500</v>
      </c>
    </row>
    <row r="281" spans="1:26" ht="15.75" customHeight="1" x14ac:dyDescent="0.2">
      <c r="A281" s="36" t="str">
        <f>HYPERLINK("https://www.jcsu.edu", "Johnson C Smith University")</f>
        <v>Johnson C Smith University</v>
      </c>
      <c r="B281" s="18" t="s">
        <v>32</v>
      </c>
      <c r="C281" s="18" t="s">
        <v>103</v>
      </c>
      <c r="D281" s="18" t="s">
        <v>447</v>
      </c>
      <c r="E281" s="18">
        <v>868</v>
      </c>
      <c r="F281" s="18" t="s">
        <v>35</v>
      </c>
      <c r="J281" s="19">
        <v>0.4355</v>
      </c>
      <c r="K281" s="19">
        <v>0.39810426500000001</v>
      </c>
      <c r="L281" s="19">
        <v>0</v>
      </c>
      <c r="M281" s="19">
        <v>0.43</v>
      </c>
      <c r="N281" s="19">
        <v>0.80769999999999997</v>
      </c>
      <c r="O281" s="19" t="s">
        <v>36</v>
      </c>
      <c r="P281" s="20">
        <v>32136</v>
      </c>
      <c r="Q281" s="21" t="str">
        <f>HYPERLINK("https://www.jcsu.edu/admissions/future_students/net-price-calculator", "$17889")</f>
        <v>$17889</v>
      </c>
      <c r="R281" s="20">
        <v>22672</v>
      </c>
      <c r="S281" s="20">
        <v>24363</v>
      </c>
      <c r="T281" s="20">
        <v>6800</v>
      </c>
      <c r="U281" s="20">
        <v>11089</v>
      </c>
      <c r="W281" s="19">
        <v>0.73080000000000001</v>
      </c>
      <c r="X281" s="19">
        <v>0.98850000000000005</v>
      </c>
      <c r="Z281" s="18">
        <v>1392</v>
      </c>
    </row>
    <row r="282" spans="1:26" ht="15.75" customHeight="1" x14ac:dyDescent="0.2">
      <c r="A282" s="36" t="str">
        <f>HYPERLINK("https://www.judsonu.edu", "Judson University")</f>
        <v>Judson University</v>
      </c>
      <c r="B282" s="18" t="s">
        <v>32</v>
      </c>
      <c r="C282" s="18" t="s">
        <v>137</v>
      </c>
      <c r="D282" s="18" t="s">
        <v>863</v>
      </c>
      <c r="E282" s="18">
        <v>1084</v>
      </c>
      <c r="F282" s="18" t="s">
        <v>35</v>
      </c>
      <c r="J282" s="19">
        <v>0.54479999999999995</v>
      </c>
      <c r="K282" s="19">
        <v>0.43119266099999998</v>
      </c>
      <c r="L282" s="19">
        <v>0.52249999999999996</v>
      </c>
      <c r="M282" s="19">
        <v>0</v>
      </c>
      <c r="N282" s="19">
        <v>0.71430000000000005</v>
      </c>
      <c r="O282" s="19">
        <v>1</v>
      </c>
      <c r="P282" s="20">
        <v>42794</v>
      </c>
      <c r="Q282" s="21" t="str">
        <f>HYPERLINK("https://www.judsonu.edu/NetPriceCalculator/", "$16463")</f>
        <v>$16463</v>
      </c>
      <c r="R282" s="20">
        <v>22094</v>
      </c>
      <c r="S282" s="20">
        <v>21083</v>
      </c>
      <c r="T282" s="20">
        <v>3520</v>
      </c>
      <c r="U282" s="20">
        <v>12943</v>
      </c>
      <c r="W282" s="19">
        <v>0.37309999999999999</v>
      </c>
      <c r="X282" s="19">
        <v>0.52560000000000007</v>
      </c>
      <c r="Z282" s="18">
        <v>1037</v>
      </c>
    </row>
    <row r="283" spans="1:26" ht="15.75" customHeight="1" x14ac:dyDescent="0.2">
      <c r="A283" s="36" t="str">
        <f>HYPERLINK("https://www.kcai.edu", "Kansas City Art Institute")</f>
        <v>Kansas City Art Institute</v>
      </c>
      <c r="B283" s="18" t="s">
        <v>32</v>
      </c>
      <c r="C283" s="18" t="s">
        <v>164</v>
      </c>
      <c r="D283" s="18" t="s">
        <v>515</v>
      </c>
      <c r="E283" s="18">
        <v>1158</v>
      </c>
      <c r="F283" s="18" t="s">
        <v>35</v>
      </c>
      <c r="J283" s="19">
        <v>0.54449999999999998</v>
      </c>
      <c r="K283" s="19">
        <v>0.62666666700000007</v>
      </c>
      <c r="L283" s="19">
        <v>0.56589999999999996</v>
      </c>
      <c r="M283" s="19">
        <v>0.72729999999999995</v>
      </c>
      <c r="N283" s="19">
        <v>0.69230000000000003</v>
      </c>
      <c r="O283" s="19" t="s">
        <v>36</v>
      </c>
      <c r="P283" s="20">
        <v>54450</v>
      </c>
      <c r="Q283" s="21" t="str">
        <f>HYPERLINK("https://www.kcai.edu/financial-aid-scholarships/net-price-calculator/", "$27313")</f>
        <v>$27313</v>
      </c>
      <c r="R283" s="20">
        <v>28997</v>
      </c>
      <c r="S283" s="20">
        <v>33056</v>
      </c>
      <c r="T283" s="20">
        <v>6250</v>
      </c>
      <c r="U283" s="20">
        <v>21063</v>
      </c>
      <c r="W283" s="19">
        <v>0.42930000000000001</v>
      </c>
      <c r="X283" s="19">
        <v>0.37630000000000002</v>
      </c>
      <c r="Z283" s="18">
        <v>659</v>
      </c>
    </row>
    <row r="284" spans="1:26" ht="15.75" customHeight="1" x14ac:dyDescent="0.2">
      <c r="A284" s="36" t="str">
        <f>HYPERLINK("https://www.kwu.edu", "Kansas Wesleyan University")</f>
        <v>Kansas Wesleyan University</v>
      </c>
      <c r="B284" s="18" t="s">
        <v>32</v>
      </c>
      <c r="C284" s="18" t="s">
        <v>307</v>
      </c>
      <c r="D284" s="18" t="s">
        <v>867</v>
      </c>
      <c r="E284" s="18">
        <v>1065</v>
      </c>
      <c r="F284" s="18" t="s">
        <v>35</v>
      </c>
      <c r="J284" s="19">
        <v>0.32119999999999999</v>
      </c>
      <c r="K284" s="19">
        <v>0.36363636399999999</v>
      </c>
      <c r="L284" s="19">
        <v>0.35199999999999998</v>
      </c>
      <c r="M284" s="19">
        <v>0.15379999999999999</v>
      </c>
      <c r="N284" s="19">
        <v>0.33329999999999999</v>
      </c>
      <c r="O284" s="19">
        <v>0</v>
      </c>
      <c r="P284" s="20">
        <v>42904</v>
      </c>
      <c r="Q284" s="21" t="str">
        <f>HYPERLINK("https://www.kwu.edu/admissions/net-price-calculator", "$23924")</f>
        <v>$23924</v>
      </c>
      <c r="R284" s="20">
        <v>26824</v>
      </c>
      <c r="S284" s="20">
        <v>26232</v>
      </c>
      <c r="T284" s="20">
        <v>4974</v>
      </c>
      <c r="U284" s="20">
        <v>18950</v>
      </c>
      <c r="W284" s="19">
        <v>0.46029999999999999</v>
      </c>
      <c r="X284" s="19">
        <v>0.38</v>
      </c>
      <c r="Z284" s="18">
        <v>671</v>
      </c>
    </row>
    <row r="285" spans="1:26" ht="15.75" customHeight="1" x14ac:dyDescent="0.2">
      <c r="A285" s="36" t="str">
        <f>HYPERLINK("https://www.kean.edu", "Kean University")</f>
        <v>Kean University</v>
      </c>
      <c r="B285" s="18" t="s">
        <v>49</v>
      </c>
      <c r="C285" s="18" t="s">
        <v>141</v>
      </c>
      <c r="D285" s="18" t="s">
        <v>870</v>
      </c>
      <c r="E285" s="18">
        <v>977</v>
      </c>
      <c r="F285" s="18" t="s">
        <v>35</v>
      </c>
      <c r="J285" s="19">
        <v>0.48630000000000001</v>
      </c>
      <c r="K285" s="19">
        <v>0.50546249100000007</v>
      </c>
      <c r="L285" s="19">
        <v>0.55299999999999994</v>
      </c>
      <c r="M285" s="19">
        <v>0.42120000000000002</v>
      </c>
      <c r="N285" s="19">
        <v>0.4425</v>
      </c>
      <c r="O285" s="19">
        <v>0.5575</v>
      </c>
      <c r="P285" s="20">
        <v>36163</v>
      </c>
      <c r="Q285" s="21" t="str">
        <f>HYPERLINK("https://www.kean.edu/NetPriceCalculator/npcalc.html", "$26288")</f>
        <v>$26288</v>
      </c>
      <c r="R285" s="20">
        <v>32109</v>
      </c>
      <c r="S285" s="20">
        <v>35612</v>
      </c>
      <c r="T285" s="20">
        <v>3641</v>
      </c>
      <c r="U285" s="20">
        <v>22647.384615384621</v>
      </c>
      <c r="W285" s="19">
        <v>0.44340000000000002</v>
      </c>
      <c r="X285" s="19">
        <v>0.66789999999999994</v>
      </c>
      <c r="Z285" s="18">
        <v>11761</v>
      </c>
    </row>
    <row r="286" spans="1:26" ht="15.75" customHeight="1" x14ac:dyDescent="0.2">
      <c r="A286" s="36" t="str">
        <f>HYPERLINK("https://www.keene.edu", "Keene State College")</f>
        <v>Keene State College</v>
      </c>
      <c r="B286" s="18" t="s">
        <v>49</v>
      </c>
      <c r="C286" s="18" t="s">
        <v>101</v>
      </c>
      <c r="D286" s="18" t="s">
        <v>845</v>
      </c>
      <c r="E286" s="18">
        <v>1038</v>
      </c>
      <c r="F286" s="18" t="s">
        <v>115</v>
      </c>
      <c r="J286" s="19">
        <v>0.62360000000000004</v>
      </c>
      <c r="K286" s="19">
        <v>0.60199005000000005</v>
      </c>
      <c r="L286" s="19">
        <v>0.63319999999999999</v>
      </c>
      <c r="M286" s="19">
        <v>0.33329999999999999</v>
      </c>
      <c r="N286" s="19">
        <v>0.47920000000000001</v>
      </c>
      <c r="O286" s="19">
        <v>0.625</v>
      </c>
      <c r="P286" s="20">
        <v>36030</v>
      </c>
      <c r="Q286" s="21" t="str">
        <f>HYPERLINK("https://npc.collegeboard.org/student/app/keene", "$26166")</f>
        <v>$26166</v>
      </c>
      <c r="R286" s="20">
        <v>28021</v>
      </c>
      <c r="S286" s="20">
        <v>30279</v>
      </c>
      <c r="T286" s="20">
        <v>2750</v>
      </c>
      <c r="U286" s="20">
        <v>23416.791666666661</v>
      </c>
      <c r="W286" s="19">
        <v>0.22950000000000001</v>
      </c>
      <c r="X286" s="19">
        <v>0.13769999999999999</v>
      </c>
      <c r="Z286" s="18">
        <v>3688</v>
      </c>
    </row>
    <row r="287" spans="1:26" ht="15.75" customHeight="1" x14ac:dyDescent="0.2">
      <c r="A287" s="36" t="str">
        <f>HYPERLINK("https://www.kent.edu", "Kent State University at Kent")</f>
        <v>Kent State University at Kent</v>
      </c>
      <c r="B287" s="18" t="s">
        <v>49</v>
      </c>
      <c r="C287" s="18" t="s">
        <v>75</v>
      </c>
      <c r="D287" s="18" t="s">
        <v>872</v>
      </c>
      <c r="E287" s="18">
        <v>1142</v>
      </c>
      <c r="F287" s="18" t="s">
        <v>35</v>
      </c>
      <c r="J287" s="19">
        <v>0.57700000000000007</v>
      </c>
      <c r="K287" s="19">
        <v>0.275610313</v>
      </c>
      <c r="L287" s="19">
        <v>0.60489999999999999</v>
      </c>
      <c r="M287" s="19">
        <v>0.44490000000000002</v>
      </c>
      <c r="N287" s="19">
        <v>0.51349999999999996</v>
      </c>
      <c r="O287" s="19">
        <v>0.7</v>
      </c>
      <c r="P287" s="20">
        <v>34046</v>
      </c>
      <c r="Q287" s="21" t="str">
        <f>HYPERLINK("https://www.kent.edu/financialaid/calculator", "$24325")</f>
        <v>$24325</v>
      </c>
      <c r="R287" s="20">
        <v>28770</v>
      </c>
      <c r="S287" s="20">
        <v>30828</v>
      </c>
      <c r="T287" s="20">
        <v>4586</v>
      </c>
      <c r="U287" s="20">
        <v>19739.760095011879</v>
      </c>
      <c r="W287" s="19">
        <v>0.30149999999999999</v>
      </c>
      <c r="X287" s="19">
        <v>0.25259999999999999</v>
      </c>
      <c r="Z287" s="18">
        <v>22403</v>
      </c>
    </row>
    <row r="288" spans="1:26" ht="15.75" customHeight="1" x14ac:dyDescent="0.2">
      <c r="A288" s="36" t="str">
        <f>HYPERLINK("https://www.keuka.edu", "Keuka College")</f>
        <v>Keuka College</v>
      </c>
      <c r="B288" s="18" t="s">
        <v>32</v>
      </c>
      <c r="C288" s="18" t="s">
        <v>38</v>
      </c>
      <c r="D288" s="18" t="s">
        <v>873</v>
      </c>
      <c r="E288" s="18">
        <v>1066</v>
      </c>
      <c r="F288" s="18" t="s">
        <v>115</v>
      </c>
      <c r="G288" s="18" t="s">
        <v>40</v>
      </c>
      <c r="H288" s="18" t="s">
        <v>874</v>
      </c>
      <c r="I288" s="18" t="s">
        <v>424</v>
      </c>
      <c r="J288" s="19">
        <v>0.5736</v>
      </c>
      <c r="K288" s="19">
        <v>0.409090909</v>
      </c>
      <c r="L288" s="19">
        <v>0.60850000000000004</v>
      </c>
      <c r="M288" s="19">
        <v>0.33329999999999999</v>
      </c>
      <c r="N288" s="19">
        <v>0.16669999999999999</v>
      </c>
      <c r="O288" s="19">
        <v>0.25</v>
      </c>
      <c r="P288" s="20">
        <v>47488</v>
      </c>
      <c r="Q288" s="21" t="str">
        <f>HYPERLINK("https://www.keuka.edu/npc", "$21959")</f>
        <v>$21959</v>
      </c>
      <c r="R288" s="20">
        <v>26504</v>
      </c>
      <c r="S288" s="20">
        <v>27777</v>
      </c>
      <c r="T288" s="20">
        <v>5090</v>
      </c>
      <c r="U288" s="20">
        <v>16869</v>
      </c>
      <c r="W288" s="19">
        <v>0.46339999999999998</v>
      </c>
      <c r="X288" s="19">
        <v>0.22739999999999999</v>
      </c>
      <c r="Z288" s="18">
        <v>1640</v>
      </c>
    </row>
    <row r="289" spans="1:26" ht="15.75" customHeight="1" x14ac:dyDescent="0.2">
      <c r="A289" s="36" t="str">
        <f>HYPERLINK("https://www.kings.edu", "King's College")</f>
        <v>King's College</v>
      </c>
      <c r="B289" s="18" t="s">
        <v>32</v>
      </c>
      <c r="C289" s="18" t="s">
        <v>65</v>
      </c>
      <c r="D289" s="18" t="s">
        <v>875</v>
      </c>
      <c r="E289" s="18" t="s">
        <v>36</v>
      </c>
      <c r="F289" s="18" t="s">
        <v>90</v>
      </c>
      <c r="J289" s="19">
        <v>0.6673</v>
      </c>
      <c r="K289" s="19">
        <v>0.563953488</v>
      </c>
      <c r="L289" s="19">
        <v>0.6895</v>
      </c>
      <c r="M289" s="19">
        <v>0.45829999999999999</v>
      </c>
      <c r="N289" s="19">
        <v>0.55559999999999998</v>
      </c>
      <c r="O289" s="19">
        <v>0.81820000000000004</v>
      </c>
      <c r="P289" s="20">
        <v>52030</v>
      </c>
      <c r="Q289" s="21" t="str">
        <f>HYPERLINK("https://collegecostcalculator.org/KingsCollege", "$21181")</f>
        <v>$21181</v>
      </c>
      <c r="R289" s="20">
        <v>24204</v>
      </c>
      <c r="S289" s="20">
        <v>25995</v>
      </c>
      <c r="T289" s="20">
        <v>3790</v>
      </c>
      <c r="U289" s="20">
        <v>17391</v>
      </c>
      <c r="W289" s="19">
        <v>0.24829999999999999</v>
      </c>
      <c r="X289" s="19">
        <v>0.27260000000000001</v>
      </c>
      <c r="Z289" s="18">
        <v>2065</v>
      </c>
    </row>
    <row r="290" spans="1:26" ht="15.75" customHeight="1" x14ac:dyDescent="0.2">
      <c r="A290" s="36" t="str">
        <f>HYPERLINK("https://liu.edu/Brentwood", "LIU Brentwood")</f>
        <v>LIU Brentwood</v>
      </c>
      <c r="B290" s="18" t="s">
        <v>32</v>
      </c>
      <c r="C290" s="18" t="s">
        <v>38</v>
      </c>
      <c r="D290" s="18" t="s">
        <v>877</v>
      </c>
      <c r="E290" s="18" t="s">
        <v>36</v>
      </c>
      <c r="F290" s="18" t="s">
        <v>36</v>
      </c>
      <c r="J290" s="19" t="s">
        <v>36</v>
      </c>
      <c r="K290" s="19">
        <v>0.33462033499999999</v>
      </c>
      <c r="L290" s="19" t="s">
        <v>36</v>
      </c>
      <c r="M290" s="19" t="s">
        <v>36</v>
      </c>
      <c r="N290" s="19" t="s">
        <v>36</v>
      </c>
      <c r="O290" s="19" t="s">
        <v>36</v>
      </c>
      <c r="P290" s="20" t="s">
        <v>36</v>
      </c>
      <c r="Q290" s="21" t="str">
        <f>HYPERLINK("https://webapps2.liu.edu/netpricecalc/Calculator.aspx?campus=P", "Not reported")</f>
        <v>Not reported</v>
      </c>
      <c r="R290" s="20" t="s">
        <v>36</v>
      </c>
      <c r="S290" s="20" t="s">
        <v>36</v>
      </c>
      <c r="T290" s="20" t="s">
        <v>36</v>
      </c>
      <c r="U290" s="20" t="s">
        <v>36</v>
      </c>
      <c r="W290" s="19">
        <v>0.4</v>
      </c>
      <c r="X290" s="19">
        <v>0</v>
      </c>
      <c r="Z290" s="18">
        <v>1</v>
      </c>
    </row>
    <row r="291" spans="1:26" ht="15.75" customHeight="1" x14ac:dyDescent="0.2">
      <c r="A291" s="36" t="str">
        <f>HYPERLINK("https://liu.edu/Brooklyn", "LIU Brooklyn")</f>
        <v>LIU Brooklyn</v>
      </c>
      <c r="B291" s="18" t="s">
        <v>32</v>
      </c>
      <c r="C291" s="18" t="s">
        <v>38</v>
      </c>
      <c r="D291" s="18" t="s">
        <v>593</v>
      </c>
      <c r="E291" s="18">
        <v>1124</v>
      </c>
      <c r="F291" s="18" t="s">
        <v>35</v>
      </c>
      <c r="J291" s="19">
        <v>0.35199999999999998</v>
      </c>
      <c r="K291" s="19">
        <v>0.33462033499999999</v>
      </c>
      <c r="L291" s="19">
        <v>0.49730000000000002</v>
      </c>
      <c r="M291" s="19">
        <v>0.26989999999999997</v>
      </c>
      <c r="N291" s="19">
        <v>0.27560000000000001</v>
      </c>
      <c r="O291" s="19">
        <v>0.4698</v>
      </c>
      <c r="P291" s="20">
        <v>55198</v>
      </c>
      <c r="Q291" s="21" t="str">
        <f>HYPERLINK("https://webapps2.liu.edu/netpricecalc/Calculator.aspx?campus=B", "$23280")</f>
        <v>$23280</v>
      </c>
      <c r="R291" s="20">
        <v>30357</v>
      </c>
      <c r="S291" s="20">
        <v>33293</v>
      </c>
      <c r="T291" s="20">
        <v>4500</v>
      </c>
      <c r="U291" s="20">
        <v>18780</v>
      </c>
      <c r="W291" s="19">
        <v>0.51439999999999997</v>
      </c>
      <c r="X291" s="19">
        <v>0.77800000000000002</v>
      </c>
      <c r="Z291" s="18">
        <v>3748</v>
      </c>
    </row>
    <row r="292" spans="1:26" ht="15.75" customHeight="1" x14ac:dyDescent="0.2">
      <c r="A292" s="36" t="str">
        <f>HYPERLINK("https://liu.edu/Riverhead", "LIU Riverhead")</f>
        <v>LIU Riverhead</v>
      </c>
      <c r="B292" s="18" t="s">
        <v>32</v>
      </c>
      <c r="C292" s="18" t="s">
        <v>38</v>
      </c>
      <c r="D292" s="18" t="s">
        <v>881</v>
      </c>
      <c r="E292" s="18" t="s">
        <v>36</v>
      </c>
      <c r="F292" s="18" t="s">
        <v>36</v>
      </c>
      <c r="J292" s="19" t="s">
        <v>36</v>
      </c>
      <c r="K292" s="19">
        <v>0.33462033499999999</v>
      </c>
      <c r="L292" s="19" t="s">
        <v>36</v>
      </c>
      <c r="M292" s="19" t="s">
        <v>36</v>
      </c>
      <c r="N292" s="19" t="s">
        <v>36</v>
      </c>
      <c r="O292" s="19" t="s">
        <v>36</v>
      </c>
      <c r="P292" s="20" t="s">
        <v>36</v>
      </c>
      <c r="Q292" s="21" t="str">
        <f>HYPERLINK("https://webapps2.liu.edu/netpricecalc/Calculator.aspx?campus=P", "Not reported")</f>
        <v>Not reported</v>
      </c>
      <c r="R292" s="20" t="s">
        <v>36</v>
      </c>
      <c r="S292" s="20" t="s">
        <v>36</v>
      </c>
      <c r="T292" s="20" t="s">
        <v>36</v>
      </c>
      <c r="U292" s="20" t="s">
        <v>36</v>
      </c>
      <c r="W292" s="19">
        <v>0.55259999999999998</v>
      </c>
      <c r="X292" s="19">
        <v>0.53570000000000007</v>
      </c>
      <c r="Z292" s="18">
        <v>28</v>
      </c>
    </row>
    <row r="293" spans="1:26" ht="15.75" customHeight="1" x14ac:dyDescent="0.2">
      <c r="A293" s="36" t="str">
        <f>HYPERLINK("https://www.lasalle.edu", "La Salle University")</f>
        <v>La Salle University</v>
      </c>
      <c r="B293" s="18" t="s">
        <v>32</v>
      </c>
      <c r="C293" s="18" t="s">
        <v>65</v>
      </c>
      <c r="D293" s="18" t="s">
        <v>168</v>
      </c>
      <c r="E293" s="18" t="s">
        <v>36</v>
      </c>
      <c r="F293" s="18" t="s">
        <v>90</v>
      </c>
      <c r="J293" s="19">
        <v>0.66949999999999998</v>
      </c>
      <c r="K293" s="19">
        <v>0.46469248299999999</v>
      </c>
      <c r="L293" s="19">
        <v>0.74670000000000003</v>
      </c>
      <c r="M293" s="19">
        <v>0.5</v>
      </c>
      <c r="N293" s="19">
        <v>0.625</v>
      </c>
      <c r="O293" s="19">
        <v>0.64580000000000004</v>
      </c>
      <c r="P293" s="20">
        <v>45476</v>
      </c>
      <c r="Q293" s="21" t="str">
        <f>HYPERLINK("https://lasalle.studentaidcalculator.com/survey.aspx", "$24709")</f>
        <v>$24709</v>
      </c>
      <c r="R293" s="20">
        <v>23117</v>
      </c>
      <c r="S293" s="20">
        <v>25800</v>
      </c>
      <c r="T293" s="20">
        <v>2000</v>
      </c>
      <c r="U293" s="20">
        <v>22709</v>
      </c>
      <c r="W293" s="19">
        <v>0.4022</v>
      </c>
      <c r="X293" s="19">
        <v>0.49890000000000001</v>
      </c>
      <c r="Z293" s="18">
        <v>3708</v>
      </c>
    </row>
    <row r="294" spans="1:26" ht="15.75" customHeight="1" x14ac:dyDescent="0.2">
      <c r="A294" s="36" t="str">
        <f>HYPERLINK("https://www.lagrange.edu", "LaGrange College")</f>
        <v>LaGrange College</v>
      </c>
      <c r="B294" s="18" t="s">
        <v>32</v>
      </c>
      <c r="C294" s="18" t="s">
        <v>107</v>
      </c>
      <c r="D294" s="18" t="s">
        <v>883</v>
      </c>
      <c r="E294" s="18">
        <v>1100</v>
      </c>
      <c r="F294" s="18" t="s">
        <v>35</v>
      </c>
      <c r="J294" s="19">
        <v>0.40970000000000001</v>
      </c>
      <c r="K294" s="19">
        <v>0.436363636</v>
      </c>
      <c r="L294" s="19">
        <v>0.4551</v>
      </c>
      <c r="M294" s="19">
        <v>0.25580000000000003</v>
      </c>
      <c r="N294" s="19">
        <v>0.5</v>
      </c>
      <c r="O294" s="19">
        <v>0</v>
      </c>
      <c r="P294" s="20">
        <v>45160</v>
      </c>
      <c r="Q294" s="21" t="str">
        <f>HYPERLINK("https://www.lagrange.edu/admission-and-aid/financial-aid/net-price-calculator/index.html", "$18192")</f>
        <v>$18192</v>
      </c>
      <c r="R294" s="20">
        <v>20660</v>
      </c>
      <c r="S294" s="20">
        <v>21566</v>
      </c>
      <c r="T294" s="20">
        <v>3850</v>
      </c>
      <c r="U294" s="20">
        <v>14342</v>
      </c>
      <c r="W294" s="19">
        <v>0.41170000000000001</v>
      </c>
      <c r="X294" s="19">
        <v>0.27200000000000002</v>
      </c>
      <c r="Z294" s="18">
        <v>930</v>
      </c>
    </row>
    <row r="295" spans="1:26" ht="15.75" customHeight="1" x14ac:dyDescent="0.2">
      <c r="A295" s="36" t="str">
        <f>HYPERLINK("https://www.lec.edu", "Lake Erie College")</f>
        <v>Lake Erie College</v>
      </c>
      <c r="B295" s="18" t="s">
        <v>32</v>
      </c>
      <c r="C295" s="18" t="s">
        <v>75</v>
      </c>
      <c r="D295" s="18" t="s">
        <v>885</v>
      </c>
      <c r="E295" s="18">
        <v>1036</v>
      </c>
      <c r="F295" s="18" t="s">
        <v>115</v>
      </c>
      <c r="J295" s="19">
        <v>0.46410000000000001</v>
      </c>
      <c r="K295" s="19">
        <v>0.48936170200000001</v>
      </c>
      <c r="L295" s="19">
        <v>0.49359999999999998</v>
      </c>
      <c r="M295" s="19">
        <v>0.31819999999999998</v>
      </c>
      <c r="N295" s="19">
        <v>0.33329999999999999</v>
      </c>
      <c r="O295" s="19">
        <v>0.5</v>
      </c>
      <c r="P295" s="20">
        <v>44732</v>
      </c>
      <c r="Q295" s="21" t="str">
        <f>HYPERLINK("https://lec.studentaidcalculator.com/survey.aspx", "$16859")</f>
        <v>$16859</v>
      </c>
      <c r="R295" s="20">
        <v>18990</v>
      </c>
      <c r="S295" s="20">
        <v>21288</v>
      </c>
      <c r="T295" s="20">
        <v>4410</v>
      </c>
      <c r="U295" s="20">
        <v>12449</v>
      </c>
      <c r="W295" s="19">
        <v>0.30680000000000002</v>
      </c>
      <c r="X295" s="19">
        <v>0.30270000000000002</v>
      </c>
      <c r="Z295" s="18">
        <v>750</v>
      </c>
    </row>
    <row r="296" spans="1:26" ht="15.75" customHeight="1" x14ac:dyDescent="0.2">
      <c r="A296" s="36" t="str">
        <f>HYPERLINK("https://www.lssu.edu", "Lake Superior State University")</f>
        <v>Lake Superior State University</v>
      </c>
      <c r="B296" s="18" t="s">
        <v>49</v>
      </c>
      <c r="C296" s="18" t="s">
        <v>226</v>
      </c>
      <c r="D296" s="18" t="s">
        <v>888</v>
      </c>
      <c r="E296" s="18">
        <v>1148</v>
      </c>
      <c r="F296" s="18" t="s">
        <v>35</v>
      </c>
      <c r="J296" s="19">
        <v>0.44440000000000002</v>
      </c>
      <c r="K296" s="19">
        <v>0.32272727299999998</v>
      </c>
      <c r="L296" s="19">
        <v>0.45900000000000002</v>
      </c>
      <c r="M296" s="19">
        <v>0.36359999999999998</v>
      </c>
      <c r="N296" s="19">
        <v>0.3</v>
      </c>
      <c r="O296" s="19">
        <v>0.33329999999999999</v>
      </c>
      <c r="P296" s="20">
        <v>23721</v>
      </c>
      <c r="Q296" s="21" t="str">
        <f>HYPERLINK("https://www.lssu.edu/financial-aid/net-price-calculator/", "$9296")</f>
        <v>$9296</v>
      </c>
      <c r="R296" s="20">
        <v>15616</v>
      </c>
      <c r="S296" s="20">
        <v>17962</v>
      </c>
      <c r="T296" s="20">
        <v>2700</v>
      </c>
      <c r="U296" s="20">
        <v>6596.4528301886776</v>
      </c>
      <c r="W296" s="19">
        <v>0.36449999999999999</v>
      </c>
      <c r="X296" s="19">
        <v>0.19869999999999999</v>
      </c>
      <c r="Z296" s="18">
        <v>1912</v>
      </c>
    </row>
    <row r="297" spans="1:26" ht="15.75" customHeight="1" x14ac:dyDescent="0.2">
      <c r="A297" s="36" t="str">
        <f>HYPERLINK("https://www.lakeland.edu", "Lakeland College")</f>
        <v>Lakeland College</v>
      </c>
      <c r="B297" s="18" t="s">
        <v>32</v>
      </c>
      <c r="C297" s="18" t="s">
        <v>196</v>
      </c>
      <c r="D297" s="18" t="s">
        <v>890</v>
      </c>
      <c r="E297" s="18">
        <v>1008</v>
      </c>
      <c r="F297" s="18" t="s">
        <v>35</v>
      </c>
      <c r="J297" s="19">
        <v>0.59200000000000008</v>
      </c>
      <c r="K297" s="19">
        <v>0.32921810699999998</v>
      </c>
      <c r="L297" s="19">
        <v>0.62419999999999998</v>
      </c>
      <c r="M297" s="19">
        <v>0.23810000000000001</v>
      </c>
      <c r="N297" s="19">
        <v>0.71430000000000005</v>
      </c>
      <c r="O297" s="19" t="s">
        <v>36</v>
      </c>
      <c r="P297" s="20">
        <v>41170</v>
      </c>
      <c r="Q297" s="21" t="str">
        <f>HYPERLINK("https://lakeland.edu/Financial-Aid/financial-aid-calculator", "$17824")</f>
        <v>$17824</v>
      </c>
      <c r="R297" s="20">
        <v>18056</v>
      </c>
      <c r="S297" s="20">
        <v>20684</v>
      </c>
      <c r="T297" s="20">
        <v>4810</v>
      </c>
      <c r="U297" s="20">
        <v>13014</v>
      </c>
      <c r="W297" s="19">
        <v>0.3327</v>
      </c>
      <c r="X297" s="19">
        <v>0.23430000000000001</v>
      </c>
      <c r="Z297" s="18">
        <v>1835</v>
      </c>
    </row>
    <row r="298" spans="1:26" ht="15.75" customHeight="1" x14ac:dyDescent="0.2">
      <c r="A298" s="36" t="str">
        <f>HYPERLINK("https://www.lander.edu", "Lander University")</f>
        <v>Lander University</v>
      </c>
      <c r="B298" s="18" t="s">
        <v>49</v>
      </c>
      <c r="C298" s="18" t="s">
        <v>208</v>
      </c>
      <c r="D298" s="18" t="s">
        <v>893</v>
      </c>
      <c r="E298" s="18">
        <v>1022</v>
      </c>
      <c r="F298" s="18" t="s">
        <v>35</v>
      </c>
      <c r="J298" s="19">
        <v>0.42349999999999999</v>
      </c>
      <c r="K298" s="19">
        <v>0.36444444399999998</v>
      </c>
      <c r="L298" s="19">
        <v>0.48680000000000001</v>
      </c>
      <c r="M298" s="19">
        <v>0.32869999999999999</v>
      </c>
      <c r="N298" s="19">
        <v>0.58330000000000004</v>
      </c>
      <c r="O298" s="19" t="s">
        <v>36</v>
      </c>
      <c r="P298" s="20">
        <v>34100</v>
      </c>
      <c r="Q298" s="21" t="str">
        <f>HYPERLINK("https://www.lander.edu/npc/", "$23507")</f>
        <v>$23507</v>
      </c>
      <c r="R298" s="20">
        <v>26470</v>
      </c>
      <c r="S298" s="20">
        <v>27959</v>
      </c>
      <c r="T298" s="20">
        <v>3900</v>
      </c>
      <c r="U298" s="20">
        <v>19607.77966101695</v>
      </c>
      <c r="W298" s="19">
        <v>0.45390000000000003</v>
      </c>
      <c r="X298" s="19">
        <v>0.37949999999999989</v>
      </c>
      <c r="Z298" s="18">
        <v>2722</v>
      </c>
    </row>
    <row r="299" spans="1:26" ht="15.75" customHeight="1" x14ac:dyDescent="0.2">
      <c r="A299" s="36" t="str">
        <f>HYPERLINK("https://www.lanecollege.edu", "Lane College")</f>
        <v>Lane College</v>
      </c>
      <c r="B299" s="18" t="s">
        <v>32</v>
      </c>
      <c r="C299" s="18" t="s">
        <v>174</v>
      </c>
      <c r="D299" s="18" t="s">
        <v>419</v>
      </c>
      <c r="E299" s="18">
        <v>845</v>
      </c>
      <c r="F299" s="18" t="s">
        <v>115</v>
      </c>
      <c r="J299" s="19">
        <v>0.21199999999999999</v>
      </c>
      <c r="K299" s="19">
        <v>0.260726073</v>
      </c>
      <c r="L299" s="19" t="s">
        <v>36</v>
      </c>
      <c r="M299" s="19">
        <v>0.21199999999999999</v>
      </c>
      <c r="N299" s="19" t="s">
        <v>36</v>
      </c>
      <c r="O299" s="19" t="s">
        <v>36</v>
      </c>
      <c r="P299" s="20">
        <v>21610</v>
      </c>
      <c r="Q299" s="21" t="str">
        <f>HYPERLINK("https://www.lanecollege.edu/lanepage2.asp?id=050002035", "$12528")</f>
        <v>$12528</v>
      </c>
      <c r="R299" s="20">
        <v>12687</v>
      </c>
      <c r="S299" s="20" t="s">
        <v>36</v>
      </c>
      <c r="T299" s="20">
        <v>3650</v>
      </c>
      <c r="U299" s="20">
        <v>8878</v>
      </c>
      <c r="W299" s="19">
        <v>0.8921</v>
      </c>
      <c r="X299" s="19">
        <v>0.99790000000000001</v>
      </c>
      <c r="Z299" s="18">
        <v>1420</v>
      </c>
    </row>
    <row r="300" spans="1:26" ht="15.75" customHeight="1" x14ac:dyDescent="0.2">
      <c r="A300" s="36" t="str">
        <f>HYPERLINK("https://www.lasell.edu/", "Lasell College")</f>
        <v>Lasell College</v>
      </c>
      <c r="B300" s="18" t="s">
        <v>32</v>
      </c>
      <c r="C300" s="18" t="s">
        <v>33</v>
      </c>
      <c r="D300" s="18" t="s">
        <v>791</v>
      </c>
      <c r="E300" s="18">
        <v>1069</v>
      </c>
      <c r="F300" s="18" t="s">
        <v>35</v>
      </c>
      <c r="J300" s="19">
        <v>0.5413</v>
      </c>
      <c r="K300" s="19">
        <v>0.52713178299999996</v>
      </c>
      <c r="L300" s="19">
        <v>0.58760000000000001</v>
      </c>
      <c r="M300" s="19">
        <v>0.48280000000000001</v>
      </c>
      <c r="N300" s="19">
        <v>0.375</v>
      </c>
      <c r="O300" s="19">
        <v>0.5</v>
      </c>
      <c r="P300" s="20">
        <v>52900</v>
      </c>
      <c r="Q300" s="21" t="str">
        <f>HYPERLINK("https://www.lasell.edu/tuition-and-aid/net-price-calculator.html", "$22775")</f>
        <v>$22775</v>
      </c>
      <c r="R300" s="20">
        <v>22225</v>
      </c>
      <c r="S300" s="20">
        <v>25091</v>
      </c>
      <c r="T300" s="20">
        <v>3500</v>
      </c>
      <c r="U300" s="20">
        <v>19275</v>
      </c>
      <c r="W300" s="19">
        <v>0.30590000000000001</v>
      </c>
      <c r="X300" s="19">
        <v>0.31369999999999998</v>
      </c>
      <c r="Z300" s="18">
        <v>1696</v>
      </c>
    </row>
    <row r="301" spans="1:26" ht="15.75" customHeight="1" x14ac:dyDescent="0.2">
      <c r="A301" s="36" t="str">
        <f>HYPERLINK("https://www.letu.edu", "LeTourneau University")</f>
        <v>LeTourneau University</v>
      </c>
      <c r="B301" s="18" t="s">
        <v>32</v>
      </c>
      <c r="C301" s="18" t="s">
        <v>146</v>
      </c>
      <c r="D301" s="18" t="s">
        <v>899</v>
      </c>
      <c r="E301" s="18">
        <v>1190</v>
      </c>
      <c r="F301" s="18" t="s">
        <v>35</v>
      </c>
      <c r="J301" s="19">
        <v>0.60209999999999997</v>
      </c>
      <c r="K301" s="19">
        <v>0.36445783100000001</v>
      </c>
      <c r="L301" s="19">
        <v>0.63009999999999999</v>
      </c>
      <c r="M301" s="19">
        <v>0.36359999999999998</v>
      </c>
      <c r="N301" s="19">
        <v>0.45450000000000002</v>
      </c>
      <c r="O301" s="19">
        <v>0.5</v>
      </c>
      <c r="P301" s="20">
        <v>43388</v>
      </c>
      <c r="Q301" s="21" t="str">
        <f>HYPERLINK("https://tcc.noellevitz.com/(S(crms2iwt5oswa40jf3oer0at))/LeTourneau%20Unive rsity/Freshman%20Students", "$17792")</f>
        <v>$17792</v>
      </c>
      <c r="R301" s="20">
        <v>21118</v>
      </c>
      <c r="S301" s="20">
        <v>23426</v>
      </c>
      <c r="T301" s="20">
        <v>4198</v>
      </c>
      <c r="U301" s="20">
        <v>13594</v>
      </c>
      <c r="W301" s="19">
        <v>0.29520000000000002</v>
      </c>
      <c r="X301" s="19">
        <v>0.36399999999999999</v>
      </c>
      <c r="Z301" s="18">
        <v>1802</v>
      </c>
    </row>
    <row r="302" spans="1:26" ht="15.75" customHeight="1" x14ac:dyDescent="0.2">
      <c r="A302" s="36" t="str">
        <f>HYPERLINK("https://www.lvc.edu", "Lebanon Valley College")</f>
        <v>Lebanon Valley College</v>
      </c>
      <c r="B302" s="18" t="s">
        <v>32</v>
      </c>
      <c r="C302" s="18" t="s">
        <v>65</v>
      </c>
      <c r="D302" s="18" t="s">
        <v>901</v>
      </c>
      <c r="E302" s="18">
        <v>1162</v>
      </c>
      <c r="F302" s="18" t="s">
        <v>115</v>
      </c>
      <c r="J302" s="19">
        <v>0.73229999999999995</v>
      </c>
      <c r="K302" s="19">
        <v>0.55696202500000003</v>
      </c>
      <c r="L302" s="19">
        <v>0.75060000000000004</v>
      </c>
      <c r="M302" s="19">
        <v>0.23080000000000001</v>
      </c>
      <c r="N302" s="19">
        <v>0.69569999999999999</v>
      </c>
      <c r="O302" s="19">
        <v>0.66669999999999996</v>
      </c>
      <c r="P302" s="20">
        <v>57390</v>
      </c>
      <c r="Q302" s="21" t="str">
        <f>HYPERLINK("https://collegecostcalculator.org/LebanonValleyCollege", "$21795")</f>
        <v>$21795</v>
      </c>
      <c r="R302" s="20">
        <v>24300</v>
      </c>
      <c r="S302" s="20">
        <v>28140</v>
      </c>
      <c r="T302" s="20">
        <v>3750</v>
      </c>
      <c r="U302" s="20">
        <v>18045</v>
      </c>
      <c r="W302" s="19">
        <v>0.25409999999999999</v>
      </c>
      <c r="X302" s="19">
        <v>0.1731</v>
      </c>
      <c r="Z302" s="18">
        <v>1658</v>
      </c>
    </row>
    <row r="303" spans="1:26" ht="15.75" customHeight="1" x14ac:dyDescent="0.2">
      <c r="A303" s="36" t="str">
        <f>HYPERLINK("https://www.leeuniversity.edu", "Lee University")</f>
        <v>Lee University</v>
      </c>
      <c r="B303" s="18" t="s">
        <v>32</v>
      </c>
      <c r="C303" s="18" t="s">
        <v>174</v>
      </c>
      <c r="D303" s="18" t="s">
        <v>76</v>
      </c>
      <c r="E303" s="18">
        <v>1176</v>
      </c>
      <c r="F303" s="18" t="s">
        <v>35</v>
      </c>
      <c r="J303" s="19">
        <v>0.51949999999999996</v>
      </c>
      <c r="K303" s="19">
        <v>0.42970822299999989</v>
      </c>
      <c r="L303" s="19">
        <v>0.54990000000000006</v>
      </c>
      <c r="M303" s="19">
        <v>0.3019</v>
      </c>
      <c r="N303" s="19">
        <v>0.47220000000000001</v>
      </c>
      <c r="O303" s="19">
        <v>0.6</v>
      </c>
      <c r="P303" s="20">
        <v>31000</v>
      </c>
      <c r="Q303" s="21" t="str">
        <f>HYPERLINK("https://npc.collegeboard.org/student/app/lee", "$15869")</f>
        <v>$15869</v>
      </c>
      <c r="R303" s="20">
        <v>17380</v>
      </c>
      <c r="S303" s="20">
        <v>19012</v>
      </c>
      <c r="T303" s="20">
        <v>6190</v>
      </c>
      <c r="U303" s="20">
        <v>9679</v>
      </c>
      <c r="W303" s="19">
        <v>0.33439999999999998</v>
      </c>
      <c r="X303" s="19">
        <v>0.1923</v>
      </c>
      <c r="Z303" s="18">
        <v>4265</v>
      </c>
    </row>
    <row r="304" spans="1:26" ht="15.75" customHeight="1" x14ac:dyDescent="0.2">
      <c r="A304" s="36" t="str">
        <f>HYPERLINK("https://www.lmc.edu", "Lees-McRae College")</f>
        <v>Lees-McRae College</v>
      </c>
      <c r="B304" s="18" t="s">
        <v>32</v>
      </c>
      <c r="C304" s="18" t="s">
        <v>103</v>
      </c>
      <c r="D304" s="18" t="s">
        <v>906</v>
      </c>
      <c r="E304" s="18" t="s">
        <v>36</v>
      </c>
      <c r="F304" s="18" t="s">
        <v>90</v>
      </c>
      <c r="J304" s="19">
        <v>0.31879999999999997</v>
      </c>
      <c r="K304" s="19">
        <v>0.50549450600000001</v>
      </c>
      <c r="L304" s="19">
        <v>0.36209999999999998</v>
      </c>
      <c r="M304" s="19">
        <v>0.28570000000000001</v>
      </c>
      <c r="N304" s="19" t="s">
        <v>36</v>
      </c>
      <c r="O304" s="19" t="s">
        <v>36</v>
      </c>
      <c r="P304" s="20">
        <v>42680</v>
      </c>
      <c r="Q304" s="21" t="str">
        <f>HYPERLINK("https://www.lmc.edu/admissions/financial-aid/npcalc.htm", "$17178")</f>
        <v>$17178</v>
      </c>
      <c r="R304" s="20">
        <v>16128</v>
      </c>
      <c r="S304" s="20">
        <v>19644</v>
      </c>
      <c r="T304" s="20">
        <v>6044</v>
      </c>
      <c r="U304" s="20">
        <v>11134</v>
      </c>
      <c r="W304" s="19">
        <v>0.4753</v>
      </c>
      <c r="X304" s="19">
        <v>0.27929999999999999</v>
      </c>
      <c r="Z304" s="18">
        <v>920</v>
      </c>
    </row>
    <row r="305" spans="1:26" ht="15.75" customHeight="1" x14ac:dyDescent="0.2">
      <c r="A305" s="36" t="str">
        <f>HYPERLINK("https://www.lr.edu", "Lenoir-Rhyne University")</f>
        <v>Lenoir-Rhyne University</v>
      </c>
      <c r="B305" s="18" t="s">
        <v>32</v>
      </c>
      <c r="C305" s="18" t="s">
        <v>103</v>
      </c>
      <c r="D305" s="18" t="s">
        <v>908</v>
      </c>
      <c r="E305" s="18">
        <v>1070</v>
      </c>
      <c r="F305" s="18" t="s">
        <v>35</v>
      </c>
      <c r="J305" s="19">
        <v>0.4325</v>
      </c>
      <c r="K305" s="19">
        <v>0.4</v>
      </c>
      <c r="L305" s="19">
        <v>0.45760000000000001</v>
      </c>
      <c r="M305" s="19">
        <v>0.37659999999999999</v>
      </c>
      <c r="N305" s="19">
        <v>0.5</v>
      </c>
      <c r="O305" s="19">
        <v>0.28570000000000001</v>
      </c>
      <c r="P305" s="20">
        <v>51510</v>
      </c>
      <c r="Q305" s="21" t="str">
        <f>HYPERLINK("https://lr.studentaidcalculator.com/survey.aspx", "$17191")</f>
        <v>$17191</v>
      </c>
      <c r="R305" s="20">
        <v>18724</v>
      </c>
      <c r="S305" s="20">
        <v>20763</v>
      </c>
      <c r="T305" s="20">
        <v>4010</v>
      </c>
      <c r="U305" s="20">
        <v>13181</v>
      </c>
      <c r="W305" s="19">
        <v>0.39529999999999998</v>
      </c>
      <c r="X305" s="19">
        <v>0.32609999999999989</v>
      </c>
      <c r="Z305" s="18">
        <v>1573</v>
      </c>
    </row>
    <row r="306" spans="1:26" ht="15.75" customHeight="1" x14ac:dyDescent="0.2">
      <c r="A306" s="36" t="str">
        <f>HYPERLINK("https://www.lesley.edu", "Lesley University")</f>
        <v>Lesley University</v>
      </c>
      <c r="B306" s="18" t="s">
        <v>32</v>
      </c>
      <c r="C306" s="18" t="s">
        <v>33</v>
      </c>
      <c r="D306" s="18" t="s">
        <v>121</v>
      </c>
      <c r="E306" s="18">
        <v>1123</v>
      </c>
      <c r="F306" s="18" t="s">
        <v>35</v>
      </c>
      <c r="J306" s="19">
        <v>0.59660000000000002</v>
      </c>
      <c r="K306" s="19">
        <v>0.40259740300000002</v>
      </c>
      <c r="L306" s="19">
        <v>0.63370000000000004</v>
      </c>
      <c r="M306" s="19">
        <v>0.30769999999999997</v>
      </c>
      <c r="N306" s="19">
        <v>0.58620000000000005</v>
      </c>
      <c r="O306" s="19">
        <v>0.54549999999999998</v>
      </c>
      <c r="P306" s="20">
        <v>47475</v>
      </c>
      <c r="Q306" s="21" t="str">
        <f>HYPERLINK("https://www.lesley.edu/services/financial_aid/calculator.html", "$27280")</f>
        <v>$27280</v>
      </c>
      <c r="R306" s="20">
        <v>31959</v>
      </c>
      <c r="S306" s="20">
        <v>33082</v>
      </c>
      <c r="T306" s="20">
        <v>5050</v>
      </c>
      <c r="U306" s="20">
        <v>22230</v>
      </c>
      <c r="W306" s="19">
        <v>0.30230000000000001</v>
      </c>
      <c r="X306" s="19">
        <v>0.37080000000000002</v>
      </c>
      <c r="Z306" s="18">
        <v>2074</v>
      </c>
    </row>
    <row r="307" spans="1:26" ht="15.75" customHeight="1" x14ac:dyDescent="0.2">
      <c r="A307" s="36" t="str">
        <f>HYPERLINK("https://www.lewisu.edu", "Lewis University")</f>
        <v>Lewis University</v>
      </c>
      <c r="B307" s="18" t="s">
        <v>32</v>
      </c>
      <c r="C307" s="18" t="s">
        <v>137</v>
      </c>
      <c r="D307" s="18" t="s">
        <v>911</v>
      </c>
      <c r="E307" s="18">
        <v>1161</v>
      </c>
      <c r="F307" s="18" t="s">
        <v>35</v>
      </c>
      <c r="J307" s="19">
        <v>0.67030000000000001</v>
      </c>
      <c r="K307" s="19">
        <v>0.41538461500000001</v>
      </c>
      <c r="L307" s="19">
        <v>0.7218</v>
      </c>
      <c r="M307" s="19">
        <v>0.4219</v>
      </c>
      <c r="N307" s="19">
        <v>0.64490000000000003</v>
      </c>
      <c r="O307" s="19">
        <v>0.71430000000000005</v>
      </c>
      <c r="P307" s="20">
        <v>45440</v>
      </c>
      <c r="Q307" s="21" t="str">
        <f>HYPERLINK("https://www.lewisu.edu/admissions/finaid/scholarshipcalculator.htm", "$15575")</f>
        <v>$15575</v>
      </c>
      <c r="R307" s="20">
        <v>17461</v>
      </c>
      <c r="S307" s="20">
        <v>22403</v>
      </c>
      <c r="T307" s="20">
        <v>3730</v>
      </c>
      <c r="U307" s="20">
        <v>11845</v>
      </c>
      <c r="W307" s="19">
        <v>0.313</v>
      </c>
      <c r="X307" s="19">
        <v>0.41239999999999999</v>
      </c>
      <c r="Z307" s="18">
        <v>4372</v>
      </c>
    </row>
    <row r="308" spans="1:26" ht="15.75" customHeight="1" x14ac:dyDescent="0.2">
      <c r="A308" s="36" t="str">
        <f>HYPERLINK("https://www.lcsc.edu", "Lewis-Clark State College")</f>
        <v>Lewis-Clark State College</v>
      </c>
      <c r="B308" s="18" t="s">
        <v>49</v>
      </c>
      <c r="C308" s="18" t="s">
        <v>486</v>
      </c>
      <c r="D308" s="18" t="s">
        <v>44</v>
      </c>
      <c r="E308" s="18">
        <v>1013</v>
      </c>
      <c r="F308" s="18" t="s">
        <v>35</v>
      </c>
      <c r="J308" s="19">
        <v>0.27779999999999999</v>
      </c>
      <c r="K308" s="19">
        <v>0.31369150800000001</v>
      </c>
      <c r="L308" s="19">
        <v>0.29480000000000001</v>
      </c>
      <c r="M308" s="19">
        <v>0.16669999999999999</v>
      </c>
      <c r="N308" s="19">
        <v>0.24</v>
      </c>
      <c r="O308" s="19">
        <v>0.16669999999999999</v>
      </c>
      <c r="P308" s="20">
        <v>28810</v>
      </c>
      <c r="Q308" s="21" t="str">
        <f>HYPERLINK("https://connect.lcsc.edu/npcalc", "$22969")</f>
        <v>$22969</v>
      </c>
      <c r="R308" s="20">
        <v>24765</v>
      </c>
      <c r="S308" s="20">
        <v>25512</v>
      </c>
      <c r="T308" s="20">
        <v>3850</v>
      </c>
      <c r="U308" s="20">
        <v>19119.745222929942</v>
      </c>
      <c r="W308" s="19">
        <v>0.34510000000000002</v>
      </c>
      <c r="X308" s="19">
        <v>0.2064</v>
      </c>
      <c r="Z308" s="18">
        <v>2941</v>
      </c>
    </row>
    <row r="309" spans="1:26" ht="15.75" customHeight="1" x14ac:dyDescent="0.2">
      <c r="A309" s="36" t="str">
        <f>HYPERLINK("https://www.liberty.edu", "Liberty University")</f>
        <v>Liberty University</v>
      </c>
      <c r="B309" s="18" t="s">
        <v>32</v>
      </c>
      <c r="C309" s="18" t="s">
        <v>83</v>
      </c>
      <c r="D309" s="18" t="s">
        <v>449</v>
      </c>
      <c r="E309" s="18">
        <v>1157</v>
      </c>
      <c r="F309" s="18" t="s">
        <v>35</v>
      </c>
      <c r="J309" s="19">
        <v>0.46970000000000001</v>
      </c>
      <c r="K309" s="19">
        <v>0.26970645199999999</v>
      </c>
      <c r="L309" s="19">
        <v>0.57350000000000001</v>
      </c>
      <c r="M309" s="19">
        <v>0.12989999999999999</v>
      </c>
      <c r="N309" s="19">
        <v>0.25629999999999997</v>
      </c>
      <c r="O309" s="19">
        <v>0.54759999999999998</v>
      </c>
      <c r="P309" s="20">
        <v>38364</v>
      </c>
      <c r="Q309" s="21" t="str">
        <f>HYPERLINK("https://www.liberty.edu/npc/1516/userInfo?fn=null&amp;ln=null&amp;ad=null&amp;ci=null&amp;st=null&amp;zc=null&amp;ph=null&amp;em=null&amp;s=null&amp;l=null", "$25234")</f>
        <v>$25234</v>
      </c>
      <c r="R309" s="20">
        <v>26731</v>
      </c>
      <c r="S309" s="20">
        <v>29071</v>
      </c>
      <c r="T309" s="20">
        <v>7435</v>
      </c>
      <c r="U309" s="20">
        <v>17799</v>
      </c>
      <c r="W309" s="19">
        <v>0.45569999999999999</v>
      </c>
      <c r="X309" s="19">
        <v>0.50059999999999993</v>
      </c>
      <c r="Z309" s="18">
        <v>45364</v>
      </c>
    </row>
    <row r="310" spans="1:26" ht="15.75" customHeight="1" x14ac:dyDescent="0.2">
      <c r="A310" s="36" t="str">
        <f>HYPERLINK("https://www.limestone.edu", "Limestone College")</f>
        <v>Limestone College</v>
      </c>
      <c r="B310" s="18" t="s">
        <v>32</v>
      </c>
      <c r="C310" s="18" t="s">
        <v>208</v>
      </c>
      <c r="D310" s="18" t="s">
        <v>914</v>
      </c>
      <c r="E310" s="18">
        <v>1019</v>
      </c>
      <c r="F310" s="18" t="s">
        <v>35</v>
      </c>
      <c r="J310" s="19">
        <v>0.43359999999999999</v>
      </c>
      <c r="K310" s="19">
        <v>0.38407079700000002</v>
      </c>
      <c r="L310" s="19">
        <v>0.5746</v>
      </c>
      <c r="M310" s="19">
        <v>0.2414</v>
      </c>
      <c r="N310" s="19">
        <v>0.375</v>
      </c>
      <c r="O310" s="19">
        <v>0</v>
      </c>
      <c r="P310" s="20">
        <v>41001</v>
      </c>
      <c r="Q310" s="21" t="str">
        <f>HYPERLINK("https://lcnetprice.com/", "$22036")</f>
        <v>$22036</v>
      </c>
      <c r="R310" s="20">
        <v>26860</v>
      </c>
      <c r="S310" s="20">
        <v>25291</v>
      </c>
      <c r="T310" s="20">
        <v>7168</v>
      </c>
      <c r="U310" s="20">
        <v>14868</v>
      </c>
      <c r="W310" s="19">
        <v>0.50919999999999999</v>
      </c>
      <c r="X310" s="19">
        <v>0.54600000000000004</v>
      </c>
      <c r="Z310" s="18">
        <v>2491</v>
      </c>
    </row>
    <row r="311" spans="1:26" ht="15.75" customHeight="1" x14ac:dyDescent="0.2">
      <c r="A311" s="36" t="str">
        <f>HYPERLINK("https://www.lmunet.edu", "Lincoln Memorial University")</f>
        <v>Lincoln Memorial University</v>
      </c>
      <c r="B311" s="18" t="s">
        <v>32</v>
      </c>
      <c r="C311" s="18" t="s">
        <v>174</v>
      </c>
      <c r="D311" s="18" t="s">
        <v>915</v>
      </c>
      <c r="E311" s="18">
        <v>1098</v>
      </c>
      <c r="F311" s="18" t="s">
        <v>35</v>
      </c>
      <c r="J311" s="19">
        <v>0.46100000000000002</v>
      </c>
      <c r="K311" s="19">
        <v>0.42349726799999998</v>
      </c>
      <c r="L311" s="19">
        <v>0.49</v>
      </c>
      <c r="M311" s="19">
        <v>0.4</v>
      </c>
      <c r="N311" s="19">
        <v>0.5</v>
      </c>
      <c r="O311" s="19" t="s">
        <v>36</v>
      </c>
      <c r="P311" s="20">
        <v>36570</v>
      </c>
      <c r="Q311" s="21" t="str">
        <f>HYPERLINK("https://www.lmunet.edu/admissions/financial-aid/net-price-calculator", "$16323")</f>
        <v>$16323</v>
      </c>
      <c r="R311" s="20">
        <v>18152</v>
      </c>
      <c r="S311" s="20">
        <v>21459</v>
      </c>
      <c r="T311" s="20">
        <v>6870</v>
      </c>
      <c r="U311" s="20">
        <v>9453</v>
      </c>
      <c r="W311" s="19">
        <v>0.46089999999999998</v>
      </c>
      <c r="X311" s="19">
        <v>0.1472</v>
      </c>
      <c r="Z311" s="18">
        <v>1821</v>
      </c>
    </row>
    <row r="312" spans="1:26" ht="15.75" customHeight="1" x14ac:dyDescent="0.2">
      <c r="A312" s="36" t="str">
        <f>HYPERLINK("https://www.lindenwood.edu", "Lindenwood University")</f>
        <v>Lindenwood University</v>
      </c>
      <c r="B312" s="18" t="s">
        <v>32</v>
      </c>
      <c r="C312" s="18" t="s">
        <v>164</v>
      </c>
      <c r="D312" s="18" t="s">
        <v>917</v>
      </c>
      <c r="E312" s="18">
        <v>1097</v>
      </c>
      <c r="F312" s="18" t="s">
        <v>35</v>
      </c>
      <c r="J312" s="19">
        <v>0.4985</v>
      </c>
      <c r="K312" s="19">
        <v>0.42233632900000001</v>
      </c>
      <c r="L312" s="19">
        <v>0.53380000000000005</v>
      </c>
      <c r="M312" s="19">
        <v>0.23330000000000001</v>
      </c>
      <c r="N312" s="19">
        <v>0.5</v>
      </c>
      <c r="O312" s="19">
        <v>0.42859999999999998</v>
      </c>
      <c r="P312" s="20">
        <v>30560</v>
      </c>
      <c r="Q312" s="21" t="str">
        <f>HYPERLINK("https://www.aidcalc.com/lindenwood/netprice.htm", "$15010")</f>
        <v>$15010</v>
      </c>
      <c r="R312" s="20">
        <v>15484</v>
      </c>
      <c r="S312" s="20">
        <v>19251</v>
      </c>
      <c r="T312" s="20">
        <v>4800</v>
      </c>
      <c r="U312" s="20">
        <v>10210</v>
      </c>
      <c r="W312" s="19">
        <v>0.3377</v>
      </c>
      <c r="X312" s="19">
        <v>0.50019999999999998</v>
      </c>
      <c r="Z312" s="18">
        <v>6807</v>
      </c>
    </row>
    <row r="313" spans="1:26" ht="15.75" customHeight="1" x14ac:dyDescent="0.2">
      <c r="A313" s="36" t="str">
        <f>HYPERLINK("https://www.lindenwood.edu/belleville/", "Lindenwood University-Belleville")</f>
        <v>Lindenwood University-Belleville</v>
      </c>
      <c r="B313" s="18" t="s">
        <v>32</v>
      </c>
      <c r="C313" s="18" t="s">
        <v>137</v>
      </c>
      <c r="D313" s="18" t="s">
        <v>919</v>
      </c>
      <c r="E313" s="18" t="s">
        <v>36</v>
      </c>
      <c r="F313" s="18" t="s">
        <v>36</v>
      </c>
      <c r="J313" s="19" t="s">
        <v>36</v>
      </c>
      <c r="K313" s="19">
        <v>0.42233632900000001</v>
      </c>
      <c r="L313" s="19" t="s">
        <v>36</v>
      </c>
      <c r="M313" s="19" t="s">
        <v>36</v>
      </c>
      <c r="N313" s="19" t="s">
        <v>36</v>
      </c>
      <c r="O313" s="19" t="s">
        <v>36</v>
      </c>
      <c r="P313" s="20" t="s">
        <v>36</v>
      </c>
      <c r="Q313" s="35" t="s">
        <v>36</v>
      </c>
      <c r="R313" s="20" t="s">
        <v>36</v>
      </c>
      <c r="S313" s="20" t="s">
        <v>36</v>
      </c>
      <c r="T313" s="20" t="s">
        <v>36</v>
      </c>
      <c r="U313" s="20" t="s">
        <v>36</v>
      </c>
      <c r="W313" s="19" t="s">
        <v>36</v>
      </c>
      <c r="X313" s="19" t="s">
        <v>36</v>
      </c>
      <c r="Z313" s="18" t="s">
        <v>36</v>
      </c>
    </row>
    <row r="314" spans="1:26" ht="15.75" customHeight="1" x14ac:dyDescent="0.2">
      <c r="A314" s="36" t="str">
        <f>HYPERLINK("https://www.lindsey.edu", "Lindsey Wilson College")</f>
        <v>Lindsey Wilson College</v>
      </c>
      <c r="B314" s="18" t="s">
        <v>32</v>
      </c>
      <c r="C314" s="18" t="s">
        <v>205</v>
      </c>
      <c r="D314" s="18" t="s">
        <v>165</v>
      </c>
      <c r="E314" s="18" t="s">
        <v>36</v>
      </c>
      <c r="F314" s="18" t="s">
        <v>36</v>
      </c>
      <c r="J314" s="19">
        <v>0.35189999999999999</v>
      </c>
      <c r="K314" s="19">
        <v>0.34765625</v>
      </c>
      <c r="L314" s="19">
        <v>0.38240000000000002</v>
      </c>
      <c r="M314" s="19">
        <v>0.22220000000000001</v>
      </c>
      <c r="N314" s="19">
        <v>0.25</v>
      </c>
      <c r="O314" s="19">
        <v>1</v>
      </c>
      <c r="P314" s="20">
        <v>39789</v>
      </c>
      <c r="Q314" s="21" t="str">
        <f>HYPERLINK("https://portal.lindsey.edu/forms/financialaid/finaidcalc/", "$15939")</f>
        <v>$15939</v>
      </c>
      <c r="R314" s="20">
        <v>15070</v>
      </c>
      <c r="S314" s="20">
        <v>16971</v>
      </c>
      <c r="T314" s="20">
        <v>6243</v>
      </c>
      <c r="U314" s="20">
        <v>9696</v>
      </c>
      <c r="W314" s="19">
        <v>0.58379999999999999</v>
      </c>
      <c r="X314" s="19">
        <v>0.38150000000000001</v>
      </c>
      <c r="Z314" s="18">
        <v>1958</v>
      </c>
    </row>
    <row r="315" spans="1:26" ht="15.75" customHeight="1" x14ac:dyDescent="0.2">
      <c r="A315" s="36" t="str">
        <f>HYPERLINK("https://www.linfield.edu", "Linfield College-McMinnville Campus")</f>
        <v>Linfield College-McMinnville Campus</v>
      </c>
      <c r="B315" s="18" t="s">
        <v>32</v>
      </c>
      <c r="C315" s="18" t="s">
        <v>143</v>
      </c>
      <c r="D315" s="18" t="s">
        <v>922</v>
      </c>
      <c r="E315" s="18">
        <v>1126</v>
      </c>
      <c r="F315" s="18" t="s">
        <v>35</v>
      </c>
      <c r="J315" s="19">
        <v>0.77559999999999996</v>
      </c>
      <c r="K315" s="19">
        <v>0.57062146899999999</v>
      </c>
      <c r="L315" s="19">
        <v>0.7732</v>
      </c>
      <c r="M315" s="19">
        <v>0.66669999999999996</v>
      </c>
      <c r="N315" s="19">
        <v>0.77780000000000005</v>
      </c>
      <c r="O315" s="19">
        <v>0.7742</v>
      </c>
      <c r="P315" s="20">
        <v>56712</v>
      </c>
      <c r="Q315" s="21" t="str">
        <f>HYPERLINK("https://www.linfield.edu/financial-aid/calculator.html", "$20492")</f>
        <v>$20492</v>
      </c>
      <c r="R315" s="20">
        <v>24585</v>
      </c>
      <c r="S315" s="20">
        <v>28346</v>
      </c>
      <c r="T315" s="20">
        <v>2650</v>
      </c>
      <c r="U315" s="20">
        <v>17842</v>
      </c>
      <c r="W315" s="19">
        <v>0.26229999999999998</v>
      </c>
      <c r="X315" s="19">
        <v>0.40980000000000011</v>
      </c>
      <c r="Y315" s="18" t="s">
        <v>37</v>
      </c>
      <c r="Z315" s="18">
        <v>1503</v>
      </c>
    </row>
    <row r="316" spans="1:26" ht="15.75" customHeight="1" x14ac:dyDescent="0.2">
      <c r="A316" s="36" t="str">
        <f>HYPERLINK("https://liu.edu/CWPost", "LIU Post")</f>
        <v>LIU Post</v>
      </c>
      <c r="B316" s="18" t="s">
        <v>32</v>
      </c>
      <c r="C316" s="18" t="s">
        <v>38</v>
      </c>
      <c r="D316" s="18" t="s">
        <v>924</v>
      </c>
      <c r="E316" s="18">
        <v>1154</v>
      </c>
      <c r="F316" s="18" t="s">
        <v>35</v>
      </c>
      <c r="J316" s="19">
        <v>0.47320000000000001</v>
      </c>
      <c r="K316" s="19">
        <v>0.33462033499999999</v>
      </c>
      <c r="L316" s="19">
        <v>0.5675</v>
      </c>
      <c r="M316" s="19">
        <v>0.25829999999999997</v>
      </c>
      <c r="N316" s="19">
        <v>0.42980000000000002</v>
      </c>
      <c r="O316" s="19">
        <v>0.45829999999999999</v>
      </c>
      <c r="P316" s="20">
        <v>55198</v>
      </c>
      <c r="Q316" s="21" t="str">
        <f>HYPERLINK("https://webapps2.liu.edu/netpricecalc/Calculator.aspx?campus=P", "$24951")</f>
        <v>$24951</v>
      </c>
      <c r="R316" s="20">
        <v>28973</v>
      </c>
      <c r="S316" s="20">
        <v>31781</v>
      </c>
      <c r="T316" s="20">
        <v>4500</v>
      </c>
      <c r="U316" s="20">
        <v>20451</v>
      </c>
      <c r="W316" s="19">
        <v>0.15359999999999999</v>
      </c>
      <c r="X316" s="19">
        <v>0.52029999999999998</v>
      </c>
      <c r="Z316" s="18">
        <v>3133</v>
      </c>
    </row>
    <row r="317" spans="1:26" ht="15.75" customHeight="1" x14ac:dyDescent="0.2">
      <c r="A317" s="36" t="str">
        <f>HYPERLINK("https://www.longwood.edu", "Longwood University")</f>
        <v>Longwood University</v>
      </c>
      <c r="B317" s="18" t="s">
        <v>49</v>
      </c>
      <c r="C317" s="18" t="s">
        <v>83</v>
      </c>
      <c r="D317" s="18" t="s">
        <v>926</v>
      </c>
      <c r="E317" s="18">
        <v>1049</v>
      </c>
      <c r="F317" s="18" t="s">
        <v>35</v>
      </c>
      <c r="J317" s="19">
        <v>0.68320000000000003</v>
      </c>
      <c r="K317" s="19">
        <v>0.45180722899999998</v>
      </c>
      <c r="L317" s="19">
        <v>0.69499999999999995</v>
      </c>
      <c r="M317" s="19">
        <v>0.73129999999999995</v>
      </c>
      <c r="N317" s="19">
        <v>0.58540000000000003</v>
      </c>
      <c r="O317" s="19">
        <v>0.66669999999999996</v>
      </c>
      <c r="P317" s="20">
        <v>41848</v>
      </c>
      <c r="Q317" s="21" t="str">
        <f>HYPERLINK("https://www.longwood.edu/financialaid/net-price-calculator/", "$30965")</f>
        <v>$30965</v>
      </c>
      <c r="R317" s="20">
        <v>34475</v>
      </c>
      <c r="S317" s="20">
        <v>38008</v>
      </c>
      <c r="T317" s="20">
        <v>3768</v>
      </c>
      <c r="U317" s="20">
        <v>27197.54193548387</v>
      </c>
      <c r="W317" s="19">
        <v>0.2248</v>
      </c>
      <c r="X317" s="19">
        <v>0.25960000000000011</v>
      </c>
      <c r="Z317" s="18">
        <v>4230</v>
      </c>
    </row>
    <row r="318" spans="1:26" ht="15.75" customHeight="1" x14ac:dyDescent="0.2">
      <c r="A318" s="36" t="str">
        <f>HYPERLINK("https://www.myunion.edu", "Los Angeles Center")</f>
        <v>Los Angeles Center</v>
      </c>
      <c r="B318" s="18" t="s">
        <v>32</v>
      </c>
      <c r="C318" s="18" t="s">
        <v>68</v>
      </c>
      <c r="D318" s="18" t="s">
        <v>140</v>
      </c>
      <c r="E318" s="18" t="s">
        <v>36</v>
      </c>
      <c r="F318" s="18" t="s">
        <v>36</v>
      </c>
      <c r="J318" s="19" t="s">
        <v>36</v>
      </c>
      <c r="K318" s="19">
        <v>0.44725738399999998</v>
      </c>
      <c r="L318" s="19" t="s">
        <v>36</v>
      </c>
      <c r="M318" s="19" t="s">
        <v>36</v>
      </c>
      <c r="N318" s="19" t="s">
        <v>36</v>
      </c>
      <c r="O318" s="19" t="s">
        <v>36</v>
      </c>
      <c r="P318" s="20" t="s">
        <v>36</v>
      </c>
      <c r="Q318" s="35" t="s">
        <v>36</v>
      </c>
      <c r="R318" s="20" t="s">
        <v>36</v>
      </c>
      <c r="S318" s="20" t="s">
        <v>36</v>
      </c>
      <c r="T318" s="20" t="s">
        <v>36</v>
      </c>
      <c r="U318" s="20" t="s">
        <v>36</v>
      </c>
      <c r="W318" s="19" t="s">
        <v>36</v>
      </c>
      <c r="X318" s="19" t="s">
        <v>36</v>
      </c>
      <c r="Z318" s="18" t="s">
        <v>36</v>
      </c>
    </row>
    <row r="319" spans="1:26" ht="15.75" customHeight="1" x14ac:dyDescent="0.2">
      <c r="A319" s="36" t="str">
        <f>HYPERLINK("https://www.lapu.edu", "Azusa Pacific University College")</f>
        <v>Azusa Pacific University College</v>
      </c>
      <c r="B319" s="18" t="s">
        <v>32</v>
      </c>
      <c r="C319" s="18" t="s">
        <v>68</v>
      </c>
      <c r="D319" s="18" t="s">
        <v>929</v>
      </c>
      <c r="E319" s="18" t="s">
        <v>36</v>
      </c>
      <c r="F319" s="18" t="s">
        <v>36</v>
      </c>
      <c r="J319" s="19">
        <v>0.1111</v>
      </c>
      <c r="K319" s="19">
        <v>0.27482678999999999</v>
      </c>
      <c r="L319" s="19">
        <v>0.16669999999999999</v>
      </c>
      <c r="M319" s="19">
        <v>0</v>
      </c>
      <c r="N319" s="19">
        <v>0</v>
      </c>
      <c r="O319" s="19" t="s">
        <v>36</v>
      </c>
      <c r="P319" s="20">
        <v>24400</v>
      </c>
      <c r="Q319" s="21" t="str">
        <f>HYPERLINK("https://lapu.studentaidcalculator.com/survey.aspx", "$30241")</f>
        <v>$30241</v>
      </c>
      <c r="R319" s="20">
        <v>32649</v>
      </c>
      <c r="S319" s="20">
        <v>34715</v>
      </c>
      <c r="T319" s="20">
        <v>3200</v>
      </c>
      <c r="U319" s="20">
        <v>27041</v>
      </c>
      <c r="W319" s="19">
        <v>0.52200000000000002</v>
      </c>
      <c r="X319" s="19">
        <v>0.72750000000000004</v>
      </c>
      <c r="Z319" s="18">
        <v>1897</v>
      </c>
    </row>
    <row r="320" spans="1:26" ht="15.75" customHeight="1" x14ac:dyDescent="0.2">
      <c r="A320" s="36" t="str">
        <f>HYPERLINK("https://www.lacollege.edu", "Louisiana College")</f>
        <v>Louisiana College</v>
      </c>
      <c r="B320" s="18" t="s">
        <v>32</v>
      </c>
      <c r="C320" s="18" t="s">
        <v>158</v>
      </c>
      <c r="D320" s="18" t="s">
        <v>932</v>
      </c>
      <c r="E320" s="18">
        <v>1087</v>
      </c>
      <c r="F320" s="18" t="s">
        <v>35</v>
      </c>
      <c r="J320" s="19">
        <v>0.41899999999999998</v>
      </c>
      <c r="K320" s="19">
        <v>0.28301886799999998</v>
      </c>
      <c r="L320" s="19">
        <v>0.48499999999999999</v>
      </c>
      <c r="M320" s="19">
        <v>0.2281</v>
      </c>
      <c r="N320" s="19">
        <v>0.33329999999999999</v>
      </c>
      <c r="O320" s="19">
        <v>1</v>
      </c>
      <c r="P320" s="20">
        <v>25824</v>
      </c>
      <c r="Q320" s="21" t="str">
        <f>HYPERLINK("https://www.lacollege.edu/npc", "$14297")</f>
        <v>$14297</v>
      </c>
      <c r="R320" s="20">
        <v>16065</v>
      </c>
      <c r="S320" s="20">
        <v>18694</v>
      </c>
      <c r="T320" s="20">
        <v>4552</v>
      </c>
      <c r="U320" s="20">
        <v>9745</v>
      </c>
      <c r="W320" s="19">
        <v>0.46200000000000002</v>
      </c>
      <c r="X320" s="19">
        <v>0.37540000000000001</v>
      </c>
      <c r="Z320" s="18">
        <v>935</v>
      </c>
    </row>
    <row r="321" spans="1:26" ht="15.75" customHeight="1" x14ac:dyDescent="0.2">
      <c r="A321" s="36" t="str">
        <f>HYPERLINK("https://www.lsus.edu/", "Louisiana State University-Shreveport")</f>
        <v>Louisiana State University-Shreveport</v>
      </c>
      <c r="B321" s="18" t="s">
        <v>49</v>
      </c>
      <c r="C321" s="18" t="s">
        <v>158</v>
      </c>
      <c r="D321" s="18" t="s">
        <v>633</v>
      </c>
      <c r="E321" s="18">
        <v>1080</v>
      </c>
      <c r="F321" s="18" t="s">
        <v>35</v>
      </c>
      <c r="J321" s="19">
        <v>0.30480000000000002</v>
      </c>
      <c r="K321" s="19">
        <v>0.27436823100000002</v>
      </c>
      <c r="L321" s="19">
        <v>0.3483</v>
      </c>
      <c r="M321" s="19">
        <v>0.20630000000000001</v>
      </c>
      <c r="N321" s="19">
        <v>0.25</v>
      </c>
      <c r="O321" s="19">
        <v>0.6</v>
      </c>
      <c r="P321" s="20">
        <v>34832</v>
      </c>
      <c r="Q321" s="21" t="str">
        <f>HYPERLINK("https://www.lsus.edu/admissions-and-financial-aid/net-price-calculator", "$26217")</f>
        <v>$26217</v>
      </c>
      <c r="R321" s="20">
        <v>28634</v>
      </c>
      <c r="S321" s="20">
        <v>31519</v>
      </c>
      <c r="T321" s="20">
        <v>5258</v>
      </c>
      <c r="U321" s="20">
        <v>20959.067961165048</v>
      </c>
      <c r="W321" s="19">
        <v>0.37880000000000003</v>
      </c>
      <c r="X321" s="19">
        <v>0.46539999999999998</v>
      </c>
      <c r="Z321" s="18">
        <v>2237</v>
      </c>
    </row>
    <row r="322" spans="1:26" ht="15.75" customHeight="1" x14ac:dyDescent="0.2">
      <c r="A322" s="36" t="str">
        <f>HYPERLINK("https://www.lourdes.edu", "Lourdes University")</f>
        <v>Lourdes University</v>
      </c>
      <c r="B322" s="18" t="s">
        <v>32</v>
      </c>
      <c r="C322" s="18" t="s">
        <v>75</v>
      </c>
      <c r="D322" s="18" t="s">
        <v>934</v>
      </c>
      <c r="E322" s="18">
        <v>1059</v>
      </c>
      <c r="F322" s="18" t="s">
        <v>35</v>
      </c>
      <c r="J322" s="19">
        <v>0.33329999999999999</v>
      </c>
      <c r="K322" s="19">
        <v>0.25790754300000002</v>
      </c>
      <c r="L322" s="19">
        <v>0.40649999999999997</v>
      </c>
      <c r="M322" s="19">
        <v>0.16669999999999999</v>
      </c>
      <c r="N322" s="19">
        <v>9.0899999999999995E-2</v>
      </c>
      <c r="O322" s="19">
        <v>1</v>
      </c>
      <c r="P322" s="20">
        <v>35340</v>
      </c>
      <c r="Q322" s="21" t="str">
        <f>HYPERLINK("https://lourdes.edu/costs-financial-aid/net-price-calculator/", "$14099")</f>
        <v>$14099</v>
      </c>
      <c r="R322" s="20">
        <v>17353</v>
      </c>
      <c r="S322" s="20">
        <v>20190</v>
      </c>
      <c r="T322" s="20">
        <v>4100</v>
      </c>
      <c r="U322" s="20">
        <v>9999</v>
      </c>
      <c r="W322" s="19">
        <v>0.41070000000000001</v>
      </c>
      <c r="X322" s="19">
        <v>0.30120000000000002</v>
      </c>
      <c r="Z322" s="18">
        <v>1036</v>
      </c>
    </row>
    <row r="323" spans="1:26" ht="15.75" customHeight="1" x14ac:dyDescent="0.2">
      <c r="A323" s="36" t="str">
        <f>HYPERLINK("https://www.lcu.edu", "Lubbock Christian University")</f>
        <v>Lubbock Christian University</v>
      </c>
      <c r="B323" s="18" t="s">
        <v>32</v>
      </c>
      <c r="C323" s="18" t="s">
        <v>146</v>
      </c>
      <c r="D323" s="18" t="s">
        <v>935</v>
      </c>
      <c r="E323" s="18">
        <v>1091</v>
      </c>
      <c r="F323" s="18" t="s">
        <v>35</v>
      </c>
      <c r="J323" s="19">
        <v>0.46729999999999999</v>
      </c>
      <c r="K323" s="19">
        <v>0.46022727299999999</v>
      </c>
      <c r="L323" s="19">
        <v>0.55410000000000004</v>
      </c>
      <c r="M323" s="19">
        <v>0.1739</v>
      </c>
      <c r="N323" s="19">
        <v>0.22950000000000001</v>
      </c>
      <c r="O323" s="19" t="s">
        <v>36</v>
      </c>
      <c r="P323" s="20">
        <v>35320</v>
      </c>
      <c r="Q323" s="21" t="str">
        <f>HYPERLINK("https://lcu.edu/admissions/net-price-calculator/", "$19876")</f>
        <v>$19876</v>
      </c>
      <c r="R323" s="20">
        <v>22289</v>
      </c>
      <c r="S323" s="20">
        <v>22673</v>
      </c>
      <c r="T323" s="20">
        <v>6048</v>
      </c>
      <c r="U323" s="20">
        <v>13828</v>
      </c>
      <c r="W323" s="19">
        <v>0.35349999999999998</v>
      </c>
      <c r="X323" s="19">
        <v>0.3377</v>
      </c>
      <c r="Z323" s="18">
        <v>1439</v>
      </c>
    </row>
    <row r="324" spans="1:26" ht="15.75" customHeight="1" x14ac:dyDescent="0.2">
      <c r="A324" s="36" t="str">
        <f>HYPERLINK("https://www.lycoming.edu", "Lycoming College")</f>
        <v>Lycoming College</v>
      </c>
      <c r="B324" s="18" t="s">
        <v>32</v>
      </c>
      <c r="C324" s="18" t="s">
        <v>65</v>
      </c>
      <c r="D324" s="18" t="s">
        <v>936</v>
      </c>
      <c r="E324" s="18">
        <v>1105</v>
      </c>
      <c r="F324" s="18" t="s">
        <v>35</v>
      </c>
      <c r="J324" s="19">
        <v>0.67310000000000003</v>
      </c>
      <c r="K324" s="19">
        <v>0.58823529399999996</v>
      </c>
      <c r="L324" s="19">
        <v>0.71120000000000005</v>
      </c>
      <c r="M324" s="19">
        <v>0.32</v>
      </c>
      <c r="N324" s="19">
        <v>0.58330000000000004</v>
      </c>
      <c r="O324" s="19">
        <v>1</v>
      </c>
      <c r="P324" s="20">
        <v>53870</v>
      </c>
      <c r="Q324" s="21" t="str">
        <f>HYPERLINK("https://lycoming.studentaidcalculator.com", "$12648")</f>
        <v>$12648</v>
      </c>
      <c r="R324" s="20">
        <v>17520</v>
      </c>
      <c r="S324" s="20">
        <v>21687</v>
      </c>
      <c r="T324" s="20">
        <v>3272</v>
      </c>
      <c r="U324" s="20">
        <v>9376</v>
      </c>
      <c r="W324" s="19">
        <v>0.37690000000000001</v>
      </c>
      <c r="X324" s="19">
        <v>0.37</v>
      </c>
      <c r="Z324" s="18">
        <v>1192</v>
      </c>
    </row>
    <row r="325" spans="1:26" ht="15.75" customHeight="1" x14ac:dyDescent="0.2">
      <c r="A325" s="36" t="str">
        <f>HYPERLINK("https://WWW.LYNDONSTATE.EDU", "Lyndon State College")</f>
        <v>Lyndon State College</v>
      </c>
      <c r="B325" s="18" t="s">
        <v>49</v>
      </c>
      <c r="C325" s="18" t="s">
        <v>47</v>
      </c>
      <c r="D325" s="18" t="s">
        <v>938</v>
      </c>
      <c r="E325" s="18">
        <v>1034</v>
      </c>
      <c r="F325" s="18" t="s">
        <v>115</v>
      </c>
      <c r="J325" s="19">
        <v>0.42709999999999998</v>
      </c>
      <c r="K325" s="19">
        <v>0.256410256</v>
      </c>
      <c r="L325" s="19">
        <v>0.44109999999999999</v>
      </c>
      <c r="M325" s="19">
        <v>0.30769999999999997</v>
      </c>
      <c r="N325" s="19">
        <v>0.30769999999999997</v>
      </c>
      <c r="O325" s="19">
        <v>1</v>
      </c>
      <c r="P325" s="20">
        <v>36888</v>
      </c>
      <c r="Q325" s="21" t="str">
        <f>HYPERLINK("https://lsc.studentaidcalculator.com/", "$25948")</f>
        <v>$25948</v>
      </c>
      <c r="R325" s="20">
        <v>28891</v>
      </c>
      <c r="S325" s="20">
        <v>31574</v>
      </c>
      <c r="T325" s="20">
        <v>2700</v>
      </c>
      <c r="U325" s="20">
        <v>23248.26923076923</v>
      </c>
      <c r="W325" s="19">
        <v>0.39200000000000002</v>
      </c>
      <c r="X325" s="19">
        <v>0.1701</v>
      </c>
      <c r="Z325" s="18">
        <v>1011</v>
      </c>
    </row>
    <row r="326" spans="1:26" ht="15.75" customHeight="1" x14ac:dyDescent="0.2">
      <c r="A326" s="36" t="str">
        <f>HYPERLINK("https://www.lynn.edu", "Lynn University")</f>
        <v>Lynn University</v>
      </c>
      <c r="B326" s="18" t="s">
        <v>32</v>
      </c>
      <c r="C326" s="18" t="s">
        <v>162</v>
      </c>
      <c r="D326" s="18" t="s">
        <v>760</v>
      </c>
      <c r="E326" s="18" t="s">
        <v>36</v>
      </c>
      <c r="F326" s="18" t="s">
        <v>115</v>
      </c>
      <c r="J326" s="19">
        <v>0.51229999999999998</v>
      </c>
      <c r="K326" s="19">
        <v>0.50833333299999994</v>
      </c>
      <c r="L326" s="19">
        <v>0.47510000000000002</v>
      </c>
      <c r="M326" s="19">
        <v>0.48720000000000002</v>
      </c>
      <c r="N326" s="19">
        <v>0.38100000000000001</v>
      </c>
      <c r="O326" s="19">
        <v>0.25</v>
      </c>
      <c r="P326" s="20">
        <v>55923</v>
      </c>
      <c r="Q326" s="21" t="str">
        <f>HYPERLINK("https://lynn.aidcalculator.com/calculator", "$31139")</f>
        <v>$31139</v>
      </c>
      <c r="R326" s="20">
        <v>37088</v>
      </c>
      <c r="S326" s="20">
        <v>37630</v>
      </c>
      <c r="T326" s="20">
        <v>6443</v>
      </c>
      <c r="U326" s="20">
        <v>24696</v>
      </c>
      <c r="W326" s="19">
        <v>0.21340000000000001</v>
      </c>
      <c r="X326" s="19">
        <v>0.55679999999999996</v>
      </c>
      <c r="Z326" s="18">
        <v>2182</v>
      </c>
    </row>
    <row r="327" spans="1:26" ht="15.75" customHeight="1" x14ac:dyDescent="0.2">
      <c r="A327" s="36" t="str">
        <f>HYPERLINK("https://www.mcphs.edu", "MCPHS University")</f>
        <v>MCPHS University</v>
      </c>
      <c r="B327" s="18" t="s">
        <v>32</v>
      </c>
      <c r="C327" s="18" t="s">
        <v>33</v>
      </c>
      <c r="D327" s="18" t="s">
        <v>136</v>
      </c>
      <c r="E327" s="18">
        <v>1169</v>
      </c>
      <c r="F327" s="18" t="s">
        <v>35</v>
      </c>
      <c r="J327" s="19">
        <v>0.73839999999999995</v>
      </c>
      <c r="K327" s="19">
        <v>0.75833333299999994</v>
      </c>
      <c r="L327" s="19">
        <v>0.68389999999999995</v>
      </c>
      <c r="M327" s="19">
        <v>0.62160000000000004</v>
      </c>
      <c r="N327" s="19">
        <v>0.55559999999999998</v>
      </c>
      <c r="O327" s="19">
        <v>0.82379999999999998</v>
      </c>
      <c r="P327" s="20">
        <v>53362</v>
      </c>
      <c r="Q327" s="21" t="str">
        <f>HYPERLINK("https://www.mcphs.edu/admission-and-aid/financial-services/net-price-calculator", "$34675")</f>
        <v>$34675</v>
      </c>
      <c r="R327" s="20">
        <v>38853</v>
      </c>
      <c r="S327" s="20">
        <v>40282</v>
      </c>
      <c r="T327" s="20">
        <v>4372</v>
      </c>
      <c r="U327" s="20">
        <v>30303</v>
      </c>
      <c r="W327" s="19">
        <v>0.2868</v>
      </c>
      <c r="X327" s="19">
        <v>0.60650000000000004</v>
      </c>
      <c r="Z327" s="18">
        <v>3837</v>
      </c>
    </row>
    <row r="328" spans="1:26" ht="15.75" customHeight="1" x14ac:dyDescent="0.2">
      <c r="A328" s="36" t="str">
        <f>HYPERLINK("https://www.mac.edu", "MacMurray College")</f>
        <v>MacMurray College</v>
      </c>
      <c r="B328" s="18" t="s">
        <v>32</v>
      </c>
      <c r="C328" s="18" t="s">
        <v>137</v>
      </c>
      <c r="D328" s="18" t="s">
        <v>382</v>
      </c>
      <c r="E328" s="18">
        <v>1032</v>
      </c>
      <c r="F328" s="18" t="s">
        <v>35</v>
      </c>
      <c r="J328" s="19">
        <v>0.42859999999999998</v>
      </c>
      <c r="K328" s="19">
        <v>0.409090909</v>
      </c>
      <c r="L328" s="19">
        <v>0.46339999999999998</v>
      </c>
      <c r="M328" s="19">
        <v>0.2581</v>
      </c>
      <c r="N328" s="19">
        <v>0.71430000000000005</v>
      </c>
      <c r="O328" s="19" t="s">
        <v>36</v>
      </c>
      <c r="P328" s="20">
        <v>37725</v>
      </c>
      <c r="Q328" s="21" t="str">
        <f>HYPERLINK("https://www.mac.edu/financialaid/npc.asp", "$13980")</f>
        <v>$13980</v>
      </c>
      <c r="R328" s="20">
        <v>17940</v>
      </c>
      <c r="S328" s="20">
        <v>20191</v>
      </c>
      <c r="T328" s="20">
        <v>2700</v>
      </c>
      <c r="U328" s="20">
        <v>11280</v>
      </c>
      <c r="W328" s="19">
        <v>0.52810000000000001</v>
      </c>
      <c r="X328" s="19">
        <v>0.2361</v>
      </c>
      <c r="Z328" s="18">
        <v>521</v>
      </c>
    </row>
    <row r="329" spans="1:26" ht="15.75" customHeight="1" x14ac:dyDescent="0.2">
      <c r="A329" s="36" t="str">
        <f>HYPERLINK("https://www.meca.edu", "Maine College of Art")</f>
        <v>Maine College of Art</v>
      </c>
      <c r="B329" s="18" t="s">
        <v>32</v>
      </c>
      <c r="C329" s="18" t="s">
        <v>43</v>
      </c>
      <c r="D329" s="18" t="s">
        <v>144</v>
      </c>
      <c r="E329" s="18" t="s">
        <v>36</v>
      </c>
      <c r="F329" s="18" t="s">
        <v>90</v>
      </c>
      <c r="J329" s="19">
        <v>0.52939999999999998</v>
      </c>
      <c r="K329" s="19">
        <v>0.55263157900000004</v>
      </c>
      <c r="L329" s="19">
        <v>0.54320000000000002</v>
      </c>
      <c r="M329" s="19">
        <v>0.66669999999999996</v>
      </c>
      <c r="N329" s="19">
        <v>0.5</v>
      </c>
      <c r="O329" s="19" t="s">
        <v>36</v>
      </c>
      <c r="P329" s="20">
        <v>48970</v>
      </c>
      <c r="Q329" s="21" t="str">
        <f>HYPERLINK("https://www.meca.edu/financial-aid", "$27414")</f>
        <v>$27414</v>
      </c>
      <c r="R329" s="20">
        <v>28139</v>
      </c>
      <c r="S329" s="20">
        <v>31895</v>
      </c>
      <c r="T329" s="20">
        <v>3350</v>
      </c>
      <c r="U329" s="20">
        <v>24064</v>
      </c>
      <c r="W329" s="19">
        <v>0.36380000000000001</v>
      </c>
      <c r="X329" s="19">
        <v>0.20180000000000001</v>
      </c>
      <c r="Z329" s="18">
        <v>456</v>
      </c>
    </row>
    <row r="330" spans="1:26" ht="15.75" customHeight="1" x14ac:dyDescent="0.2">
      <c r="A330" s="36" t="str">
        <f>HYPERLINK("https://www.malone.edu", "Malone University")</f>
        <v>Malone University</v>
      </c>
      <c r="B330" s="18" t="s">
        <v>32</v>
      </c>
      <c r="C330" s="18" t="s">
        <v>75</v>
      </c>
      <c r="D330" s="18" t="s">
        <v>249</v>
      </c>
      <c r="E330" s="18">
        <v>1082</v>
      </c>
      <c r="F330" s="18" t="s">
        <v>35</v>
      </c>
      <c r="J330" s="19">
        <v>0.49030000000000001</v>
      </c>
      <c r="K330" s="19">
        <v>0.29166666699999999</v>
      </c>
      <c r="L330" s="19">
        <v>0.52490000000000003</v>
      </c>
      <c r="M330" s="19">
        <v>0.2</v>
      </c>
      <c r="N330" s="19">
        <v>0.375</v>
      </c>
      <c r="O330" s="19">
        <v>0.33329999999999999</v>
      </c>
      <c r="P330" s="20">
        <v>43400</v>
      </c>
      <c r="Q330" s="21" t="str">
        <f>HYPERLINK("https://www.malone.edu/admissions-aid/financial-aid-scholarships/net-price-calculator/", "$16413")</f>
        <v>$16413</v>
      </c>
      <c r="R330" s="20">
        <v>19235</v>
      </c>
      <c r="S330" s="20">
        <v>23492</v>
      </c>
      <c r="T330" s="20">
        <v>4200</v>
      </c>
      <c r="U330" s="20">
        <v>12213</v>
      </c>
      <c r="W330" s="19">
        <v>0.38519999999999999</v>
      </c>
      <c r="X330" s="19">
        <v>0.20330000000000001</v>
      </c>
      <c r="Z330" s="18">
        <v>1200</v>
      </c>
    </row>
    <row r="331" spans="1:26" ht="15.75" customHeight="1" x14ac:dyDescent="0.2">
      <c r="A331" s="36" t="str">
        <f>HYPERLINK("https://www.manchester.edu", "Manchester University")</f>
        <v>Manchester University</v>
      </c>
      <c r="B331" s="18" t="s">
        <v>32</v>
      </c>
      <c r="C331" s="18" t="s">
        <v>148</v>
      </c>
      <c r="D331" s="18" t="s">
        <v>944</v>
      </c>
      <c r="E331" s="18" t="s">
        <v>36</v>
      </c>
      <c r="F331" s="18" t="s">
        <v>45</v>
      </c>
      <c r="J331" s="19">
        <v>0.54959999999999998</v>
      </c>
      <c r="K331" s="19">
        <v>0.38383838399999998</v>
      </c>
      <c r="L331" s="19">
        <v>0.58150000000000002</v>
      </c>
      <c r="M331" s="19">
        <v>0.15379999999999999</v>
      </c>
      <c r="N331" s="19">
        <v>0.30769999999999997</v>
      </c>
      <c r="O331" s="19">
        <v>0.25</v>
      </c>
      <c r="P331" s="20">
        <v>44248</v>
      </c>
      <c r="Q331" s="21" t="str">
        <f>HYPERLINK("https://admissions.manchester.edu/costs-financial-aid/how-much-does-it-cost#net-price-calculator/", "$15708")</f>
        <v>$15708</v>
      </c>
      <c r="R331" s="20">
        <v>19676</v>
      </c>
      <c r="S331" s="20">
        <v>21574</v>
      </c>
      <c r="T331" s="20">
        <v>2488</v>
      </c>
      <c r="U331" s="20">
        <v>13220</v>
      </c>
      <c r="W331" s="19">
        <v>0.38129999999999997</v>
      </c>
      <c r="X331" s="19">
        <v>0.25700000000000001</v>
      </c>
      <c r="Z331" s="18">
        <v>1257</v>
      </c>
    </row>
    <row r="332" spans="1:26" ht="15.75" customHeight="1" x14ac:dyDescent="0.2">
      <c r="A332" s="36" t="str">
        <f>HYPERLINK("https://www.msmnyc.edu", "Manhattan School of Music")</f>
        <v>Manhattan School of Music</v>
      </c>
      <c r="B332" s="18" t="s">
        <v>32</v>
      </c>
      <c r="C332" s="18" t="s">
        <v>38</v>
      </c>
      <c r="D332" s="18" t="s">
        <v>39</v>
      </c>
      <c r="E332" s="18" t="s">
        <v>36</v>
      </c>
      <c r="F332" s="18" t="s">
        <v>45</v>
      </c>
      <c r="J332" s="19">
        <v>0.69389999999999996</v>
      </c>
      <c r="K332" s="19" t="s">
        <v>36</v>
      </c>
      <c r="L332" s="19">
        <v>0.5</v>
      </c>
      <c r="M332" s="19">
        <v>0.6</v>
      </c>
      <c r="N332" s="19">
        <v>0.85709999999999997</v>
      </c>
      <c r="O332" s="19">
        <v>0.6</v>
      </c>
      <c r="P332" s="20">
        <v>66200</v>
      </c>
      <c r="Q332" s="21" t="str">
        <f>HYPERLINK("https://www.msmnyc.edu/admissions/scholarships-financial-aid/net-price-calculator/", "$41767")</f>
        <v>$41767</v>
      </c>
      <c r="R332" s="20">
        <v>45536</v>
      </c>
      <c r="S332" s="20">
        <v>44292</v>
      </c>
      <c r="T332" s="20">
        <v>5600</v>
      </c>
      <c r="U332" s="20">
        <v>36167</v>
      </c>
      <c r="W332" s="19">
        <v>0.12909999999999999</v>
      </c>
      <c r="X332" s="19">
        <v>0.72950000000000004</v>
      </c>
      <c r="Z332" s="18">
        <v>488</v>
      </c>
    </row>
    <row r="333" spans="1:26" ht="15.75" customHeight="1" x14ac:dyDescent="0.2">
      <c r="A333" s="36" t="str">
        <f>HYPERLINK("https://www.marianuniversity.edu", "Marian University")</f>
        <v>Marian University</v>
      </c>
      <c r="B333" s="18" t="s">
        <v>32</v>
      </c>
      <c r="C333" s="18" t="s">
        <v>196</v>
      </c>
      <c r="D333" s="18" t="s">
        <v>946</v>
      </c>
      <c r="E333" s="18">
        <v>1010</v>
      </c>
      <c r="F333" s="18" t="s">
        <v>35</v>
      </c>
      <c r="J333" s="19">
        <v>0.47810000000000002</v>
      </c>
      <c r="K333" s="19">
        <v>0.38725490200000001</v>
      </c>
      <c r="L333" s="19">
        <v>0.51319999999999999</v>
      </c>
      <c r="M333" s="19">
        <v>0.2727</v>
      </c>
      <c r="N333" s="19">
        <v>0.3</v>
      </c>
      <c r="O333" s="19">
        <v>0.25</v>
      </c>
      <c r="P333" s="20">
        <v>38942</v>
      </c>
      <c r="Q333" s="21" t="str">
        <f>HYPERLINK("https://www.marianuniversity.edu/admission-financial-aid/financial-aid/net-price-calculator/", "$20894")</f>
        <v>$20894</v>
      </c>
      <c r="R333" s="20">
        <v>22379</v>
      </c>
      <c r="S333" s="20">
        <v>24208</v>
      </c>
      <c r="T333" s="20">
        <v>4320</v>
      </c>
      <c r="U333" s="20">
        <v>16574</v>
      </c>
      <c r="W333" s="19">
        <v>0.29859999999999998</v>
      </c>
      <c r="X333" s="19">
        <v>0.18390000000000001</v>
      </c>
      <c r="Z333" s="18">
        <v>1495</v>
      </c>
    </row>
    <row r="334" spans="1:26" ht="15.75" customHeight="1" x14ac:dyDescent="0.2">
      <c r="A334" s="36" t="str">
        <f>HYPERLINK("https://www.marian.edu", "Marian University")</f>
        <v>Marian University</v>
      </c>
      <c r="B334" s="18" t="s">
        <v>32</v>
      </c>
      <c r="C334" s="18" t="s">
        <v>148</v>
      </c>
      <c r="D334" s="18" t="s">
        <v>316</v>
      </c>
      <c r="E334" s="18">
        <v>1102</v>
      </c>
      <c r="F334" s="18" t="s">
        <v>35</v>
      </c>
      <c r="J334" s="19">
        <v>0.52170000000000005</v>
      </c>
      <c r="K334" s="19">
        <v>0.49180327899999998</v>
      </c>
      <c r="L334" s="19">
        <v>0.56359999999999999</v>
      </c>
      <c r="M334" s="19">
        <v>0.27779999999999999</v>
      </c>
      <c r="N334" s="19">
        <v>0.81820000000000004</v>
      </c>
      <c r="O334" s="19">
        <v>0.5</v>
      </c>
      <c r="P334" s="20">
        <v>47907</v>
      </c>
      <c r="Q334" s="21" t="str">
        <f>HYPERLINK("https://www.marian.edu/admissions/tuition-and-fees", "$15013")</f>
        <v>$15013</v>
      </c>
      <c r="R334" s="20">
        <v>20328</v>
      </c>
      <c r="S334" s="20">
        <v>22023</v>
      </c>
      <c r="T334" s="20">
        <v>4701</v>
      </c>
      <c r="U334" s="20">
        <v>10312</v>
      </c>
      <c r="W334" s="19">
        <v>0.2455</v>
      </c>
      <c r="X334" s="19">
        <v>0.25679999999999997</v>
      </c>
      <c r="Z334" s="18">
        <v>2173</v>
      </c>
    </row>
    <row r="335" spans="1:26" ht="15.75" customHeight="1" x14ac:dyDescent="0.2">
      <c r="A335" s="36" t="str">
        <f>HYPERLINK("https://www.marietta.edu", "Marietta College")</f>
        <v>Marietta College</v>
      </c>
      <c r="B335" s="18" t="s">
        <v>32</v>
      </c>
      <c r="C335" s="18" t="s">
        <v>75</v>
      </c>
      <c r="D335" s="18" t="s">
        <v>948</v>
      </c>
      <c r="E335" s="18">
        <v>1117</v>
      </c>
      <c r="F335" s="18" t="s">
        <v>35</v>
      </c>
      <c r="J335" s="19">
        <v>0.58840000000000003</v>
      </c>
      <c r="K335" s="19">
        <v>0.42391304400000002</v>
      </c>
      <c r="L335" s="19">
        <v>0.6522</v>
      </c>
      <c r="M335" s="19">
        <v>0.16</v>
      </c>
      <c r="N335" s="19">
        <v>0.5</v>
      </c>
      <c r="O335" s="19">
        <v>1</v>
      </c>
      <c r="P335" s="20">
        <v>50104</v>
      </c>
      <c r="Q335" s="21" t="str">
        <f>HYPERLINK("https://marietta.studentaidcalculator.com/survey.aspx", "$19468")</f>
        <v>$19468</v>
      </c>
      <c r="R335" s="20">
        <v>20168</v>
      </c>
      <c r="S335" s="20">
        <v>24621</v>
      </c>
      <c r="T335" s="20">
        <v>2734</v>
      </c>
      <c r="U335" s="20">
        <v>16734</v>
      </c>
      <c r="W335" s="19">
        <v>0.25169999999999998</v>
      </c>
      <c r="X335" s="19">
        <v>0.34129999999999999</v>
      </c>
      <c r="Z335" s="18">
        <v>964</v>
      </c>
    </row>
    <row r="336" spans="1:26" ht="15.75" customHeight="1" x14ac:dyDescent="0.2">
      <c r="A336" s="36" t="str">
        <f>HYPERLINK("https://www.marshall.edu/", "Marshall University")</f>
        <v>Marshall University</v>
      </c>
      <c r="B336" s="18" t="s">
        <v>49</v>
      </c>
      <c r="C336" s="18" t="s">
        <v>574</v>
      </c>
      <c r="D336" s="18" t="s">
        <v>830</v>
      </c>
      <c r="E336" s="18">
        <v>1099</v>
      </c>
      <c r="F336" s="18" t="s">
        <v>35</v>
      </c>
      <c r="J336" s="19">
        <v>0.49299999999999999</v>
      </c>
      <c r="K336" s="19">
        <v>0.37016052900000002</v>
      </c>
      <c r="L336" s="19">
        <v>0.4985</v>
      </c>
      <c r="M336" s="19">
        <v>0.45450000000000002</v>
      </c>
      <c r="N336" s="19">
        <v>0.58540000000000003</v>
      </c>
      <c r="O336" s="19">
        <v>0.54549999999999998</v>
      </c>
      <c r="P336" s="20">
        <v>31448</v>
      </c>
      <c r="Q336" s="21" t="str">
        <f>HYPERLINK("https://marshall.studentaidcalculator.com/survey.aspx", "$19723")</f>
        <v>$19723</v>
      </c>
      <c r="R336" s="20">
        <v>23286</v>
      </c>
      <c r="S336" s="20">
        <v>27080</v>
      </c>
      <c r="T336" s="20">
        <v>3466</v>
      </c>
      <c r="U336" s="20">
        <v>16257.50963222417</v>
      </c>
      <c r="W336" s="19">
        <v>0.40439999999999998</v>
      </c>
      <c r="X336" s="19">
        <v>0.15559999999999999</v>
      </c>
      <c r="Z336" s="18">
        <v>8554</v>
      </c>
    </row>
    <row r="337" spans="1:26" ht="15.75" customHeight="1" x14ac:dyDescent="0.2">
      <c r="A337" s="36" t="str">
        <f>HYPERLINK("https://www.marybaldwin.edu", "Mary Baldwin College")</f>
        <v>Mary Baldwin College</v>
      </c>
      <c r="B337" s="18" t="s">
        <v>32</v>
      </c>
      <c r="C337" s="18" t="s">
        <v>83</v>
      </c>
      <c r="D337" s="18" t="s">
        <v>949</v>
      </c>
      <c r="E337" s="18">
        <v>1093</v>
      </c>
      <c r="F337" s="18" t="s">
        <v>35</v>
      </c>
      <c r="J337" s="19">
        <v>0.45200000000000001</v>
      </c>
      <c r="K337" s="19">
        <v>0.44723618100000001</v>
      </c>
      <c r="L337" s="19">
        <v>0.46150000000000002</v>
      </c>
      <c r="M337" s="19">
        <v>0.44900000000000001</v>
      </c>
      <c r="N337" s="19">
        <v>0.5</v>
      </c>
      <c r="O337" s="19">
        <v>0.33329999999999999</v>
      </c>
      <c r="P337" s="20">
        <v>43550</v>
      </c>
      <c r="Q337" s="21" t="str">
        <f>HYPERLINK("https://marybaldwin.edu/financial-aid/net-price-calculator/", "$16224")</f>
        <v>$16224</v>
      </c>
      <c r="R337" s="20">
        <v>18044</v>
      </c>
      <c r="S337" s="20">
        <v>19538</v>
      </c>
      <c r="T337" s="20">
        <v>3030</v>
      </c>
      <c r="U337" s="20">
        <v>13194</v>
      </c>
      <c r="W337" s="19">
        <v>0.54269999999999996</v>
      </c>
      <c r="X337" s="19">
        <v>0.41779999999999989</v>
      </c>
      <c r="Z337" s="18">
        <v>1058</v>
      </c>
    </row>
    <row r="338" spans="1:26" ht="15.75" customHeight="1" x14ac:dyDescent="0.2">
      <c r="A338" s="36" t="str">
        <f>HYPERLINK("https://www.marygrove.edu", "Marygrove College")</f>
        <v>Marygrove College</v>
      </c>
      <c r="B338" s="18" t="s">
        <v>32</v>
      </c>
      <c r="C338" s="18" t="s">
        <v>226</v>
      </c>
      <c r="D338" s="18" t="s">
        <v>668</v>
      </c>
      <c r="E338" s="18">
        <v>1021</v>
      </c>
      <c r="F338" s="18" t="s">
        <v>35</v>
      </c>
      <c r="J338" s="19">
        <v>0.3261</v>
      </c>
      <c r="K338" s="19">
        <v>0.33093525200000001</v>
      </c>
      <c r="L338" s="19">
        <v>0.55559999999999998</v>
      </c>
      <c r="M338" s="19">
        <v>0.26150000000000001</v>
      </c>
      <c r="N338" s="19">
        <v>0</v>
      </c>
      <c r="O338" s="19" t="s">
        <v>36</v>
      </c>
      <c r="P338" s="20">
        <v>33050</v>
      </c>
      <c r="Q338" s="21" t="str">
        <f>HYPERLINK("https://npc.collegeboard.org/student/app/marygrove", "$9923")</f>
        <v>$9923</v>
      </c>
      <c r="R338" s="20">
        <v>14314</v>
      </c>
      <c r="S338" s="20">
        <v>16356</v>
      </c>
      <c r="T338" s="20">
        <v>2500</v>
      </c>
      <c r="U338" s="20">
        <v>7423</v>
      </c>
      <c r="W338" s="19">
        <v>0.62729999999999997</v>
      </c>
      <c r="X338" s="19">
        <v>0.88690000000000002</v>
      </c>
      <c r="Z338" s="18">
        <v>283</v>
      </c>
    </row>
    <row r="339" spans="1:26" ht="15.75" customHeight="1" x14ac:dyDescent="0.2">
      <c r="A339" s="36" t="str">
        <f>HYPERLINK("https://www.mica.edu", "Maryland Institute College of Art")</f>
        <v>Maryland Institute College of Art</v>
      </c>
      <c r="B339" s="18" t="s">
        <v>32</v>
      </c>
      <c r="C339" s="18" t="s">
        <v>124</v>
      </c>
      <c r="D339" s="18" t="s">
        <v>125</v>
      </c>
      <c r="E339" s="18">
        <v>1203</v>
      </c>
      <c r="F339" s="18" t="s">
        <v>35</v>
      </c>
      <c r="J339" s="19">
        <v>0.71809999999999996</v>
      </c>
      <c r="K339" s="19">
        <v>0.65656565700000002</v>
      </c>
      <c r="L339" s="19">
        <v>0.72350000000000003</v>
      </c>
      <c r="M339" s="19">
        <v>0.64290000000000003</v>
      </c>
      <c r="N339" s="19">
        <v>0.77780000000000005</v>
      </c>
      <c r="O339" s="19">
        <v>0.81479999999999997</v>
      </c>
      <c r="P339" s="20">
        <v>62850</v>
      </c>
      <c r="Q339" s="21" t="str">
        <f>HYPERLINK("https://mica.studentaidcalculator.com/survey.aspx", "$31252")</f>
        <v>$31252</v>
      </c>
      <c r="R339" s="20">
        <v>40420</v>
      </c>
      <c r="S339" s="20">
        <v>39602</v>
      </c>
      <c r="T339" s="20">
        <v>3000</v>
      </c>
      <c r="U339" s="20">
        <v>28252</v>
      </c>
      <c r="W339" s="19">
        <v>0.21010000000000001</v>
      </c>
      <c r="X339" s="19">
        <v>0.59379999999999999</v>
      </c>
      <c r="Z339" s="18">
        <v>1743</v>
      </c>
    </row>
    <row r="340" spans="1:26" ht="15.75" customHeight="1" x14ac:dyDescent="0.2">
      <c r="A340" s="36" t="str">
        <f>HYPERLINK("https://www.marymount.edu", "Marymount University")</f>
        <v>Marymount University</v>
      </c>
      <c r="B340" s="18" t="s">
        <v>32</v>
      </c>
      <c r="C340" s="18" t="s">
        <v>83</v>
      </c>
      <c r="D340" s="18" t="s">
        <v>727</v>
      </c>
      <c r="E340" s="18">
        <v>1058</v>
      </c>
      <c r="F340" s="18" t="s">
        <v>35</v>
      </c>
      <c r="J340" s="19">
        <v>0.53480000000000005</v>
      </c>
      <c r="K340" s="19">
        <v>0.43478260899999999</v>
      </c>
      <c r="L340" s="19">
        <v>0.59060000000000001</v>
      </c>
      <c r="M340" s="19">
        <v>0.39079999999999998</v>
      </c>
      <c r="N340" s="19">
        <v>0.58930000000000005</v>
      </c>
      <c r="O340" s="19">
        <v>0.51719999999999999</v>
      </c>
      <c r="P340" s="20">
        <v>48627</v>
      </c>
      <c r="Q340" s="21" t="str">
        <f>HYPERLINK("https://marymount.studentaidcalculator.com/survey.aspx", "$21219")</f>
        <v>$21219</v>
      </c>
      <c r="R340" s="20">
        <v>24719</v>
      </c>
      <c r="S340" s="20">
        <v>26507</v>
      </c>
      <c r="T340" s="20">
        <v>4946</v>
      </c>
      <c r="U340" s="20">
        <v>16273</v>
      </c>
      <c r="W340" s="19">
        <v>0.26090000000000002</v>
      </c>
      <c r="X340" s="19">
        <v>0.64610000000000001</v>
      </c>
      <c r="Z340" s="18">
        <v>2241</v>
      </c>
    </row>
    <row r="341" spans="1:26" ht="15.75" customHeight="1" x14ac:dyDescent="0.2">
      <c r="A341" s="36" t="str">
        <f>HYPERLINK("https://www.marywood.edu/", "Marywood University")</f>
        <v>Marywood University</v>
      </c>
      <c r="B341" s="18" t="s">
        <v>32</v>
      </c>
      <c r="C341" s="18" t="s">
        <v>65</v>
      </c>
      <c r="D341" s="18" t="s">
        <v>524</v>
      </c>
      <c r="E341" s="18">
        <v>1033</v>
      </c>
      <c r="F341" s="18" t="s">
        <v>35</v>
      </c>
      <c r="J341" s="19">
        <v>0.68640000000000001</v>
      </c>
      <c r="K341" s="19">
        <v>0.505</v>
      </c>
      <c r="L341" s="19">
        <v>0.67230000000000001</v>
      </c>
      <c r="M341" s="19">
        <v>1</v>
      </c>
      <c r="N341" s="19">
        <v>0.59260000000000002</v>
      </c>
      <c r="O341" s="19">
        <v>1</v>
      </c>
      <c r="P341" s="20">
        <v>50340</v>
      </c>
      <c r="Q341" s="21" t="str">
        <f>HYPERLINK("https://www.marywood.edu/admissions/calc.html", "$20596")</f>
        <v>$20596</v>
      </c>
      <c r="R341" s="20">
        <v>21243</v>
      </c>
      <c r="S341" s="20">
        <v>22902</v>
      </c>
      <c r="T341" s="20">
        <v>2500</v>
      </c>
      <c r="U341" s="20">
        <v>18096</v>
      </c>
      <c r="W341" s="19">
        <v>0.3221</v>
      </c>
      <c r="X341" s="19">
        <v>0.22070000000000001</v>
      </c>
      <c r="Z341" s="18">
        <v>1835</v>
      </c>
    </row>
    <row r="342" spans="1:26" ht="15.75" customHeight="1" x14ac:dyDescent="0.2">
      <c r="A342" s="36" t="str">
        <f>HYPERLINK("https://www.massart.edu", "Massachusetts College of Art and Design")</f>
        <v>Massachusetts College of Art and Design</v>
      </c>
      <c r="B342" s="18" t="s">
        <v>49</v>
      </c>
      <c r="C342" s="18" t="s">
        <v>33</v>
      </c>
      <c r="D342" s="18" t="s">
        <v>136</v>
      </c>
      <c r="E342" s="18" t="s">
        <v>36</v>
      </c>
      <c r="F342" s="18" t="s">
        <v>45</v>
      </c>
      <c r="J342" s="19">
        <v>0.73229999999999995</v>
      </c>
      <c r="K342" s="19">
        <v>0.571428571</v>
      </c>
      <c r="L342" s="19">
        <v>0.76749999999999996</v>
      </c>
      <c r="M342" s="19">
        <v>0.42859999999999998</v>
      </c>
      <c r="N342" s="19">
        <v>0.61899999999999999</v>
      </c>
      <c r="O342" s="19">
        <v>0.72219999999999995</v>
      </c>
      <c r="P342" s="20">
        <v>51400</v>
      </c>
      <c r="Q342" s="21" t="str">
        <f>HYPERLINK("https://massart.edu/net-price-calculator", "$41659")</f>
        <v>$41659</v>
      </c>
      <c r="R342" s="20">
        <v>43872</v>
      </c>
      <c r="S342" s="20">
        <v>45898</v>
      </c>
      <c r="T342" s="20">
        <v>3500</v>
      </c>
      <c r="U342" s="20">
        <v>38159.571428571428</v>
      </c>
      <c r="W342" s="19">
        <v>0.29189999999999999</v>
      </c>
      <c r="X342" s="19">
        <v>0.37580000000000002</v>
      </c>
      <c r="Z342" s="18">
        <v>1812</v>
      </c>
    </row>
    <row r="343" spans="1:26" ht="15.75" customHeight="1" x14ac:dyDescent="0.2">
      <c r="A343" s="36" t="str">
        <f>HYPERLINK("https://www.mcla.edu", "Massachusetts College of Liberal Arts")</f>
        <v>Massachusetts College of Liberal Arts</v>
      </c>
      <c r="B343" s="18" t="s">
        <v>49</v>
      </c>
      <c r="C343" s="18" t="s">
        <v>33</v>
      </c>
      <c r="D343" s="18" t="s">
        <v>950</v>
      </c>
      <c r="E343" s="18">
        <v>1085</v>
      </c>
      <c r="F343" s="18" t="s">
        <v>35</v>
      </c>
      <c r="J343" s="19">
        <v>0.54249999999999998</v>
      </c>
      <c r="K343" s="19">
        <v>0.48823529399999999</v>
      </c>
      <c r="L343" s="19">
        <v>0.5575</v>
      </c>
      <c r="M343" s="19">
        <v>0.5</v>
      </c>
      <c r="N343" s="19">
        <v>0.375</v>
      </c>
      <c r="O343" s="19">
        <v>0.6</v>
      </c>
      <c r="P343" s="20">
        <v>33580</v>
      </c>
      <c r="Q343" s="21" t="str">
        <f>HYPERLINK("https://www.mcla.edu/Admissions/npc/", "$24874")</f>
        <v>$24874</v>
      </c>
      <c r="R343" s="20">
        <v>27962</v>
      </c>
      <c r="S343" s="20">
        <v>30190</v>
      </c>
      <c r="T343" s="20">
        <v>3976</v>
      </c>
      <c r="U343" s="20">
        <v>20898.853658536591</v>
      </c>
      <c r="W343" s="19">
        <v>0.46329999999999999</v>
      </c>
      <c r="X343" s="19">
        <v>0.27129999999999999</v>
      </c>
      <c r="Z343" s="18">
        <v>1364</v>
      </c>
    </row>
    <row r="344" spans="1:26" ht="15.75" customHeight="1" x14ac:dyDescent="0.2">
      <c r="A344" s="36" t="str">
        <f>HYPERLINK("https://www.maritime.edu", "Massachusetts Maritime Academy")</f>
        <v>Massachusetts Maritime Academy</v>
      </c>
      <c r="B344" s="18" t="s">
        <v>49</v>
      </c>
      <c r="C344" s="18" t="s">
        <v>33</v>
      </c>
      <c r="D344" s="18" t="s">
        <v>951</v>
      </c>
      <c r="E344" s="18">
        <v>1122</v>
      </c>
      <c r="F344" s="18" t="s">
        <v>35</v>
      </c>
      <c r="J344" s="19">
        <v>0.75</v>
      </c>
      <c r="K344" s="19">
        <v>0.69230769199999997</v>
      </c>
      <c r="L344" s="19">
        <v>0.75619999999999998</v>
      </c>
      <c r="M344" s="19">
        <v>0.5</v>
      </c>
      <c r="N344" s="19">
        <v>0.71430000000000005</v>
      </c>
      <c r="O344" s="19">
        <v>0.75</v>
      </c>
      <c r="P344" s="20">
        <v>43085</v>
      </c>
      <c r="Q344" s="21" t="str">
        <f>HYPERLINK("https://www.maritime.edu/costs/", "$22962")</f>
        <v>$22962</v>
      </c>
      <c r="R344" s="20">
        <v>27928</v>
      </c>
      <c r="S344" s="20">
        <v>37896</v>
      </c>
      <c r="T344" s="20">
        <v>4955</v>
      </c>
      <c r="U344" s="20">
        <v>18007.076923076918</v>
      </c>
      <c r="W344" s="19">
        <v>0.15379999999999999</v>
      </c>
      <c r="X344" s="19">
        <v>0.1235000000000001</v>
      </c>
      <c r="Z344" s="18">
        <v>1627</v>
      </c>
    </row>
    <row r="345" spans="1:26" ht="15.75" customHeight="1" x14ac:dyDescent="0.2">
      <c r="A345" s="36" t="str">
        <f>HYPERLINK("https://www.mckendree.edu", "McKendree University")</f>
        <v>McKendree University</v>
      </c>
      <c r="B345" s="18" t="s">
        <v>32</v>
      </c>
      <c r="C345" s="18" t="s">
        <v>137</v>
      </c>
      <c r="D345" s="18" t="s">
        <v>687</v>
      </c>
      <c r="E345" s="18">
        <v>1100</v>
      </c>
      <c r="F345" s="18" t="s">
        <v>35</v>
      </c>
      <c r="J345" s="19">
        <v>0.51229999999999998</v>
      </c>
      <c r="K345" s="19">
        <v>0.43965517199999998</v>
      </c>
      <c r="L345" s="19">
        <v>0.52310000000000001</v>
      </c>
      <c r="M345" s="19">
        <v>0.40479999999999999</v>
      </c>
      <c r="N345" s="19">
        <v>0</v>
      </c>
      <c r="O345" s="19">
        <v>0.75</v>
      </c>
      <c r="P345" s="20">
        <v>42540</v>
      </c>
      <c r="Q345" s="21" t="str">
        <f>HYPERLINK("https://mckendree.studentaidcalculator.com/survey.aspx", "$16786")</f>
        <v>$16786</v>
      </c>
      <c r="R345" s="20">
        <v>20007</v>
      </c>
      <c r="S345" s="20">
        <v>22967</v>
      </c>
      <c r="T345" s="20">
        <v>3550</v>
      </c>
      <c r="U345" s="20">
        <v>13236</v>
      </c>
      <c r="W345" s="19">
        <v>0.40710000000000002</v>
      </c>
      <c r="X345" s="19">
        <v>0.3448</v>
      </c>
      <c r="Z345" s="18">
        <v>2065</v>
      </c>
    </row>
    <row r="346" spans="1:26" ht="15.75" customHeight="1" x14ac:dyDescent="0.2">
      <c r="A346" s="36" t="str">
        <f>HYPERLINK("https://ww2.mcm.edu", "McMurry University")</f>
        <v>McMurry University</v>
      </c>
      <c r="B346" s="18" t="s">
        <v>32</v>
      </c>
      <c r="C346" s="18" t="s">
        <v>146</v>
      </c>
      <c r="D346" s="18" t="s">
        <v>287</v>
      </c>
      <c r="E346" s="18">
        <v>1015</v>
      </c>
      <c r="F346" s="18" t="s">
        <v>35</v>
      </c>
      <c r="J346" s="19">
        <v>0.36359999999999998</v>
      </c>
      <c r="K346" s="19">
        <v>0.37019230800000003</v>
      </c>
      <c r="L346" s="19">
        <v>0.46910000000000002</v>
      </c>
      <c r="M346" s="19">
        <v>0.2</v>
      </c>
      <c r="N346" s="19">
        <v>0.35210000000000002</v>
      </c>
      <c r="O346" s="19">
        <v>0.33329999999999999</v>
      </c>
      <c r="P346" s="20">
        <v>40565</v>
      </c>
      <c r="Q346" s="21" t="str">
        <f>HYPERLINK("https://financial-aid.mcm.edu/calculators/index.html", "$19486")</f>
        <v>$19486</v>
      </c>
      <c r="R346" s="20">
        <v>22614</v>
      </c>
      <c r="S346" s="20">
        <v>24970</v>
      </c>
      <c r="T346" s="20">
        <v>5354</v>
      </c>
      <c r="U346" s="20">
        <v>14132</v>
      </c>
      <c r="W346" s="19">
        <v>0.46689999999999998</v>
      </c>
      <c r="X346" s="19">
        <v>0.53439999999999999</v>
      </c>
      <c r="Z346" s="18">
        <v>1031</v>
      </c>
    </row>
    <row r="347" spans="1:26" ht="15.75" customHeight="1" x14ac:dyDescent="0.2">
      <c r="A347" s="36" t="str">
        <f>HYPERLINK("https://www.mcneese.edu", "McNeese State University")</f>
        <v>McNeese State University</v>
      </c>
      <c r="B347" s="18" t="s">
        <v>49</v>
      </c>
      <c r="C347" s="18" t="s">
        <v>158</v>
      </c>
      <c r="D347" s="18" t="s">
        <v>954</v>
      </c>
      <c r="E347" s="18">
        <v>1124</v>
      </c>
      <c r="F347" s="18" t="s">
        <v>35</v>
      </c>
      <c r="J347" s="19">
        <v>0.42409999999999998</v>
      </c>
      <c r="K347" s="19">
        <v>0.34303797499999999</v>
      </c>
      <c r="L347" s="19">
        <v>0.45490000000000003</v>
      </c>
      <c r="M347" s="19">
        <v>0.27910000000000001</v>
      </c>
      <c r="N347" s="19">
        <v>0.43330000000000002</v>
      </c>
      <c r="O347" s="19">
        <v>0.5</v>
      </c>
      <c r="P347" s="20">
        <v>29404</v>
      </c>
      <c r="Q347" s="21" t="str">
        <f>HYPERLINK("https://www.mcneese.edu/ire/net_price_calculator", "$20844")</f>
        <v>$20844</v>
      </c>
      <c r="R347" s="20">
        <v>23238</v>
      </c>
      <c r="S347" s="20">
        <v>25920</v>
      </c>
      <c r="T347" s="20">
        <v>5258</v>
      </c>
      <c r="U347" s="20">
        <v>15586.29946524064</v>
      </c>
      <c r="W347" s="19">
        <v>0.31900000000000001</v>
      </c>
      <c r="X347" s="19">
        <v>0.33129999999999998</v>
      </c>
      <c r="Z347" s="18">
        <v>5956</v>
      </c>
    </row>
    <row r="348" spans="1:26" ht="15.75" customHeight="1" x14ac:dyDescent="0.2">
      <c r="A348" s="36" t="str">
        <f>HYPERLINK("https://www.mcpherson.edu", "McPherson College")</f>
        <v>McPherson College</v>
      </c>
      <c r="B348" s="18" t="s">
        <v>32</v>
      </c>
      <c r="C348" s="18" t="s">
        <v>307</v>
      </c>
      <c r="D348" s="18" t="s">
        <v>635</v>
      </c>
      <c r="E348" s="18">
        <v>1105</v>
      </c>
      <c r="F348" s="18" t="s">
        <v>35</v>
      </c>
      <c r="J348" s="19">
        <v>0.35610000000000003</v>
      </c>
      <c r="K348" s="19">
        <v>0.43859649099999998</v>
      </c>
      <c r="L348" s="19">
        <v>0.39579999999999999</v>
      </c>
      <c r="M348" s="19">
        <v>0.16669999999999999</v>
      </c>
      <c r="N348" s="19">
        <v>0.3125</v>
      </c>
      <c r="O348" s="19" t="s">
        <v>36</v>
      </c>
      <c r="P348" s="20">
        <v>41111</v>
      </c>
      <c r="Q348" s="21" t="str">
        <f>HYPERLINK("https://www.mcpherson.edu/admissions/financial-aid/net-price-calculator/", "$19226")</f>
        <v>$19226</v>
      </c>
      <c r="R348" s="20">
        <v>20647</v>
      </c>
      <c r="S348" s="20">
        <v>23466</v>
      </c>
      <c r="T348" s="20">
        <v>4976</v>
      </c>
      <c r="U348" s="20">
        <v>14250</v>
      </c>
      <c r="W348" s="19">
        <v>0.41820000000000002</v>
      </c>
      <c r="X348" s="19">
        <v>0.3619</v>
      </c>
      <c r="Z348" s="18">
        <v>688</v>
      </c>
    </row>
    <row r="349" spans="1:26" ht="15.75" customHeight="1" x14ac:dyDescent="0.2">
      <c r="A349" s="36" t="str">
        <f>HYPERLINK("https://www.medaille.edu", "Medaille College")</f>
        <v>Medaille College</v>
      </c>
      <c r="B349" s="18" t="s">
        <v>32</v>
      </c>
      <c r="C349" s="18" t="s">
        <v>38</v>
      </c>
      <c r="D349" s="18" t="s">
        <v>322</v>
      </c>
      <c r="E349" s="18">
        <v>978</v>
      </c>
      <c r="F349" s="18" t="s">
        <v>35</v>
      </c>
      <c r="J349" s="19">
        <v>0.43440000000000001</v>
      </c>
      <c r="K349" s="19">
        <v>0.33953488399999998</v>
      </c>
      <c r="L349" s="19">
        <v>0.52839999999999998</v>
      </c>
      <c r="M349" s="19">
        <v>0.21049999999999999</v>
      </c>
      <c r="N349" s="19">
        <v>0.43480000000000002</v>
      </c>
      <c r="O349" s="19">
        <v>0.5</v>
      </c>
      <c r="P349" s="20">
        <v>43900</v>
      </c>
      <c r="Q349" s="21" t="str">
        <f>HYPERLINK("https://www.medaille.edu/admissions/financial-aid-and-tuition/net-price-calculator", "$9010")</f>
        <v>$9010</v>
      </c>
      <c r="R349" s="20">
        <v>12651</v>
      </c>
      <c r="S349" s="20">
        <v>15963</v>
      </c>
      <c r="T349" s="20">
        <v>2200</v>
      </c>
      <c r="U349" s="20">
        <v>6810</v>
      </c>
      <c r="W349" s="19">
        <v>0.50360000000000005</v>
      </c>
      <c r="X349" s="19">
        <v>0.31569999999999998</v>
      </c>
      <c r="Z349" s="18">
        <v>1476</v>
      </c>
    </row>
    <row r="350" spans="1:26" ht="15.75" customHeight="1" x14ac:dyDescent="0.2">
      <c r="A350" s="36" t="str">
        <f>HYPERLINK("https://www.menlo.edu", "Menlo College")</f>
        <v>Menlo College</v>
      </c>
      <c r="B350" s="18" t="s">
        <v>32</v>
      </c>
      <c r="C350" s="18" t="s">
        <v>68</v>
      </c>
      <c r="D350" s="18" t="s">
        <v>956</v>
      </c>
      <c r="E350" s="18">
        <v>1086</v>
      </c>
      <c r="F350" s="18" t="s">
        <v>35</v>
      </c>
      <c r="J350" s="19">
        <v>0.5282</v>
      </c>
      <c r="K350" s="19">
        <v>0.446428571</v>
      </c>
      <c r="L350" s="19">
        <v>0.68289999999999995</v>
      </c>
      <c r="M350" s="19">
        <v>0.33329999999999999</v>
      </c>
      <c r="N350" s="19">
        <v>0.43240000000000001</v>
      </c>
      <c r="O350" s="19">
        <v>0.5</v>
      </c>
      <c r="P350" s="20">
        <v>58018</v>
      </c>
      <c r="Q350" s="21" t="str">
        <f>HYPERLINK("https://www.menlo.edu/NetPrice/npcalc.htm", "$25719")</f>
        <v>$25719</v>
      </c>
      <c r="R350" s="20">
        <v>25439</v>
      </c>
      <c r="S350" s="20">
        <v>26406</v>
      </c>
      <c r="T350" s="20">
        <v>2988</v>
      </c>
      <c r="U350" s="20">
        <v>22731</v>
      </c>
      <c r="W350" s="19">
        <v>0.1067</v>
      </c>
      <c r="X350" s="19">
        <v>0.76170000000000004</v>
      </c>
      <c r="Z350" s="18">
        <v>726</v>
      </c>
    </row>
    <row r="351" spans="1:26" ht="15.75" customHeight="1" x14ac:dyDescent="0.2">
      <c r="A351" s="36" t="str">
        <f>HYPERLINK("https://www.mercy.edu", "Mercy College")</f>
        <v>Mercy College</v>
      </c>
      <c r="B351" s="18" t="s">
        <v>32</v>
      </c>
      <c r="C351" s="18" t="s">
        <v>38</v>
      </c>
      <c r="D351" s="18" t="s">
        <v>957</v>
      </c>
      <c r="E351" s="18" t="s">
        <v>36</v>
      </c>
      <c r="F351" s="18" t="s">
        <v>45</v>
      </c>
      <c r="J351" s="19">
        <v>0.43030000000000002</v>
      </c>
      <c r="K351" s="19">
        <v>0.38287153699999998</v>
      </c>
      <c r="L351" s="19">
        <v>0.52649999999999997</v>
      </c>
      <c r="M351" s="19">
        <v>0.4108</v>
      </c>
      <c r="N351" s="19">
        <v>0.38740000000000002</v>
      </c>
      <c r="O351" s="19">
        <v>0.5</v>
      </c>
      <c r="P351" s="20">
        <v>37266</v>
      </c>
      <c r="Q351" s="21" t="str">
        <f>HYPERLINK("https://www.mercy.edu/admissions/financial-aid/net-price-calculator/", "$13394")</f>
        <v>$13394</v>
      </c>
      <c r="R351" s="20">
        <v>19911</v>
      </c>
      <c r="S351" s="20">
        <v>23707</v>
      </c>
      <c r="T351" s="20">
        <v>4652</v>
      </c>
      <c r="U351" s="20">
        <v>8742</v>
      </c>
      <c r="W351" s="19">
        <v>0.48720000000000002</v>
      </c>
      <c r="X351" s="19">
        <v>0.77090000000000003</v>
      </c>
      <c r="Z351" s="18">
        <v>6029</v>
      </c>
    </row>
    <row r="352" spans="1:26" ht="15.75" customHeight="1" x14ac:dyDescent="0.2">
      <c r="A352" s="36" t="str">
        <f>HYPERLINK("https://www.mchs.edu", "Mercy College of Health Sciences")</f>
        <v>Mercy College of Health Sciences</v>
      </c>
      <c r="B352" s="18" t="s">
        <v>32</v>
      </c>
      <c r="C352" s="18" t="s">
        <v>211</v>
      </c>
      <c r="D352" s="18" t="s">
        <v>348</v>
      </c>
      <c r="E352" s="18">
        <v>1030</v>
      </c>
      <c r="F352" s="18" t="s">
        <v>115</v>
      </c>
      <c r="J352" s="19">
        <v>0.3488</v>
      </c>
      <c r="K352" s="19">
        <v>0.50993377500000003</v>
      </c>
      <c r="L352" s="19">
        <v>0.37140000000000001</v>
      </c>
      <c r="M352" s="19" t="s">
        <v>36</v>
      </c>
      <c r="N352" s="19">
        <v>0.25</v>
      </c>
      <c r="O352" s="19">
        <v>0.33329999999999999</v>
      </c>
      <c r="P352" s="20">
        <v>29392</v>
      </c>
      <c r="Q352" s="21" t="str">
        <f>HYPERLINK("https://www.mchs.edu/Portals/0/Html/npcalc.html", "$17242")</f>
        <v>$17242</v>
      </c>
      <c r="R352" s="20">
        <v>23013</v>
      </c>
      <c r="S352" s="20">
        <v>23420</v>
      </c>
      <c r="T352" s="20">
        <v>6304</v>
      </c>
      <c r="U352" s="20">
        <v>10938</v>
      </c>
      <c r="W352" s="19">
        <v>0.3891</v>
      </c>
      <c r="X352" s="19">
        <v>0.19070000000000001</v>
      </c>
      <c r="Z352" s="18">
        <v>755</v>
      </c>
    </row>
    <row r="353" spans="1:26" ht="15.75" customHeight="1" x14ac:dyDescent="0.2">
      <c r="A353" s="36" t="str">
        <f>HYPERLINK("https://www.mercyhurst.edu", "Mercyhurst University")</f>
        <v>Mercyhurst University</v>
      </c>
      <c r="B353" s="18" t="s">
        <v>32</v>
      </c>
      <c r="C353" s="18" t="s">
        <v>65</v>
      </c>
      <c r="D353" s="18" t="s">
        <v>782</v>
      </c>
      <c r="E353" s="18" t="s">
        <v>36</v>
      </c>
      <c r="F353" s="18" t="s">
        <v>45</v>
      </c>
      <c r="J353" s="19">
        <v>0.68310000000000004</v>
      </c>
      <c r="K353" s="19">
        <v>0.25409836099999999</v>
      </c>
      <c r="L353" s="19">
        <v>0.69589999999999996</v>
      </c>
      <c r="M353" s="19">
        <v>0.46429999999999999</v>
      </c>
      <c r="N353" s="19">
        <v>0.65</v>
      </c>
      <c r="O353" s="19">
        <v>0.625</v>
      </c>
      <c r="P353" s="20">
        <v>51791</v>
      </c>
      <c r="Q353" s="21" t="str">
        <f>HYPERLINK("https://mercyhurst.studentaidcalculator.com/survey.aspx", "$14140")</f>
        <v>$14140</v>
      </c>
      <c r="R353" s="20">
        <v>16364</v>
      </c>
      <c r="S353" s="20">
        <v>20368</v>
      </c>
      <c r="T353" s="20">
        <v>3261</v>
      </c>
      <c r="U353" s="20">
        <v>10879</v>
      </c>
      <c r="W353" s="19">
        <v>0.26750000000000002</v>
      </c>
      <c r="X353" s="19">
        <v>0.28799999999999992</v>
      </c>
      <c r="Z353" s="18">
        <v>2448</v>
      </c>
    </row>
    <row r="354" spans="1:26" ht="15.75" customHeight="1" x14ac:dyDescent="0.2">
      <c r="A354" s="36" t="str">
        <f>HYPERLINK("https://www.meredith.edu", "Meredith College")</f>
        <v>Meredith College</v>
      </c>
      <c r="B354" s="18" t="s">
        <v>32</v>
      </c>
      <c r="C354" s="18" t="s">
        <v>103</v>
      </c>
      <c r="D354" s="18" t="s">
        <v>236</v>
      </c>
      <c r="E354" s="18">
        <v>1111</v>
      </c>
      <c r="F354" s="18" t="s">
        <v>35</v>
      </c>
      <c r="J354" s="19">
        <v>0.62970000000000004</v>
      </c>
      <c r="K354" s="19">
        <v>0.46913580300000002</v>
      </c>
      <c r="L354" s="19">
        <v>0.63829999999999998</v>
      </c>
      <c r="M354" s="19">
        <v>0.61899999999999999</v>
      </c>
      <c r="N354" s="19">
        <v>0.81820000000000004</v>
      </c>
      <c r="O354" s="19">
        <v>0.25</v>
      </c>
      <c r="P354" s="20">
        <v>49324</v>
      </c>
      <c r="Q354" s="21" t="str">
        <f>HYPERLINK("https://www.collegecostcalculator.org/meredith", "$21593")</f>
        <v>$21593</v>
      </c>
      <c r="R354" s="20">
        <v>21159</v>
      </c>
      <c r="S354" s="20">
        <v>25824</v>
      </c>
      <c r="T354" s="20">
        <v>2690</v>
      </c>
      <c r="U354" s="20">
        <v>18903</v>
      </c>
      <c r="W354" s="19">
        <v>0.30559999999999998</v>
      </c>
      <c r="X354" s="19">
        <v>0.29120000000000001</v>
      </c>
      <c r="Y354" s="18" t="s">
        <v>37</v>
      </c>
      <c r="Z354" s="18">
        <v>1638</v>
      </c>
    </row>
    <row r="355" spans="1:26" ht="15.75" customHeight="1" x14ac:dyDescent="0.2">
      <c r="A355" s="36" t="str">
        <f>HYPERLINK("https://www.merrimack.edu", "Merrimack College")</f>
        <v>Merrimack College</v>
      </c>
      <c r="B355" s="18" t="s">
        <v>32</v>
      </c>
      <c r="C355" s="18" t="s">
        <v>33</v>
      </c>
      <c r="D355" s="18" t="s">
        <v>960</v>
      </c>
      <c r="E355" s="18" t="s">
        <v>36</v>
      </c>
      <c r="F355" s="18" t="s">
        <v>45</v>
      </c>
      <c r="J355" s="19">
        <v>0.68469999999999998</v>
      </c>
      <c r="K355" s="19">
        <v>0.57843137299999992</v>
      </c>
      <c r="L355" s="19">
        <v>0.6986</v>
      </c>
      <c r="M355" s="19">
        <v>0.5</v>
      </c>
      <c r="N355" s="19">
        <v>0.68420000000000003</v>
      </c>
      <c r="O355" s="19">
        <v>0.5</v>
      </c>
      <c r="P355" s="20">
        <v>57865</v>
      </c>
      <c r="Q355" s="21" t="str">
        <f>HYPERLINK("https://www.collegecostcalculator.org/merrimack", "$26102")</f>
        <v>$26102</v>
      </c>
      <c r="R355" s="20">
        <v>29370</v>
      </c>
      <c r="S355" s="20">
        <v>31481</v>
      </c>
      <c r="T355" s="20">
        <v>2450</v>
      </c>
      <c r="U355" s="20">
        <v>23652</v>
      </c>
      <c r="W355" s="19">
        <v>0.19170000000000001</v>
      </c>
      <c r="X355" s="19">
        <v>0.22620000000000001</v>
      </c>
      <c r="Z355" s="18">
        <v>3404</v>
      </c>
    </row>
    <row r="356" spans="1:26" ht="15.75" customHeight="1" x14ac:dyDescent="0.2">
      <c r="A356" s="36" t="str">
        <f>HYPERLINK("https://www.methodist.edu", "Methodist University")</f>
        <v>Methodist University</v>
      </c>
      <c r="B356" s="18" t="s">
        <v>32</v>
      </c>
      <c r="C356" s="18" t="s">
        <v>103</v>
      </c>
      <c r="D356" s="18" t="s">
        <v>498</v>
      </c>
      <c r="E356" s="18">
        <v>1050</v>
      </c>
      <c r="F356" s="18" t="s">
        <v>35</v>
      </c>
      <c r="J356" s="19">
        <v>0.31380000000000002</v>
      </c>
      <c r="K356" s="19">
        <v>0.120437956</v>
      </c>
      <c r="L356" s="19">
        <v>0.38019999999999998</v>
      </c>
      <c r="M356" s="19">
        <v>0.14180000000000001</v>
      </c>
      <c r="N356" s="19">
        <v>4.5499999999999999E-2</v>
      </c>
      <c r="O356" s="19">
        <v>1</v>
      </c>
      <c r="P356" s="20">
        <v>54529</v>
      </c>
      <c r="Q356" s="21" t="str">
        <f>HYPERLINK("https://methodist.studentaidcalculator.com/survey.aspx", "$28443")</f>
        <v>$28443</v>
      </c>
      <c r="R356" s="20">
        <v>31227</v>
      </c>
      <c r="S356" s="20">
        <v>33374</v>
      </c>
      <c r="T356" s="20">
        <v>9459</v>
      </c>
      <c r="U356" s="20">
        <v>18984</v>
      </c>
      <c r="W356" s="19">
        <v>0.38540000000000002</v>
      </c>
      <c r="X356" s="19">
        <v>0.57230000000000003</v>
      </c>
      <c r="Z356" s="18">
        <v>1908</v>
      </c>
    </row>
    <row r="357" spans="1:26" ht="15.75" customHeight="1" x14ac:dyDescent="0.2">
      <c r="A357" s="36" t="str">
        <f>HYPERLINK("https://www.metrostate.edu", "Metropolitan State University")</f>
        <v>Metropolitan State University</v>
      </c>
      <c r="B357" s="18" t="s">
        <v>49</v>
      </c>
      <c r="C357" s="18" t="s">
        <v>72</v>
      </c>
      <c r="D357" s="18" t="s">
        <v>131</v>
      </c>
      <c r="E357" s="18" t="s">
        <v>36</v>
      </c>
      <c r="F357" s="18" t="s">
        <v>90</v>
      </c>
      <c r="J357" s="19">
        <v>0.27450000000000002</v>
      </c>
      <c r="K357" s="19">
        <v>0.50859454000000004</v>
      </c>
      <c r="L357" s="19">
        <v>0.4</v>
      </c>
      <c r="M357" s="19">
        <v>9.0899999999999995E-2</v>
      </c>
      <c r="N357" s="19">
        <v>0</v>
      </c>
      <c r="O357" s="19">
        <v>0.29170000000000001</v>
      </c>
      <c r="P357" s="20">
        <v>34646</v>
      </c>
      <c r="Q357" s="21" t="str">
        <f>HYPERLINK("https://www.minnstate.edu/admissions/calculator/metrostate.html", "$27891")</f>
        <v>$27891</v>
      </c>
      <c r="R357" s="20">
        <v>28284</v>
      </c>
      <c r="S357" s="20">
        <v>34525</v>
      </c>
      <c r="T357" s="20">
        <v>9866</v>
      </c>
      <c r="U357" s="20">
        <v>18025.599999999999</v>
      </c>
      <c r="W357" s="19">
        <v>0.42280000000000001</v>
      </c>
      <c r="X357" s="19">
        <v>0.48970000000000002</v>
      </c>
      <c r="Z357" s="18">
        <v>7080</v>
      </c>
    </row>
    <row r="358" spans="1:26" ht="15.75" customHeight="1" x14ac:dyDescent="0.2">
      <c r="A358" s="36" t="str">
        <f>HYPERLINK("https://www.mnu.edu", "MidAmerica Nazarene University")</f>
        <v>MidAmerica Nazarene University</v>
      </c>
      <c r="B358" s="18" t="s">
        <v>32</v>
      </c>
      <c r="C358" s="18" t="s">
        <v>307</v>
      </c>
      <c r="D358" s="18" t="s">
        <v>963</v>
      </c>
      <c r="E358" s="18">
        <v>1064</v>
      </c>
      <c r="F358" s="18" t="s">
        <v>115</v>
      </c>
      <c r="J358" s="19">
        <v>0.51459999999999995</v>
      </c>
      <c r="K358" s="19">
        <v>0.53488372100000003</v>
      </c>
      <c r="L358" s="19">
        <v>0.52990000000000004</v>
      </c>
      <c r="M358" s="19">
        <v>0.3125</v>
      </c>
      <c r="N358" s="19">
        <v>0.66669999999999996</v>
      </c>
      <c r="O358" s="19">
        <v>0.33329999999999999</v>
      </c>
      <c r="P358" s="20">
        <v>42042</v>
      </c>
      <c r="Q358" s="21" t="str">
        <f>HYPERLINK("https://www.mnu.edu/undergraduate/financial-aid/net-price-calculator", "$18664")</f>
        <v>$18664</v>
      </c>
      <c r="R358" s="20">
        <v>17089</v>
      </c>
      <c r="S358" s="20">
        <v>20358</v>
      </c>
      <c r="T358" s="20">
        <v>4234</v>
      </c>
      <c r="U358" s="20">
        <v>14430</v>
      </c>
      <c r="W358" s="19">
        <v>0.37280000000000002</v>
      </c>
      <c r="X358" s="19">
        <v>0.39589999999999997</v>
      </c>
      <c r="Z358" s="18">
        <v>1215</v>
      </c>
    </row>
    <row r="359" spans="1:26" ht="15.75" customHeight="1" x14ac:dyDescent="0.2">
      <c r="A359" s="36" t="str">
        <f>HYPERLINK("https://www.mtsu.edu", "Middle Tennessee State University")</f>
        <v>Middle Tennessee State University</v>
      </c>
      <c r="B359" s="18" t="s">
        <v>49</v>
      </c>
      <c r="C359" s="18" t="s">
        <v>174</v>
      </c>
      <c r="D359" s="18" t="s">
        <v>964</v>
      </c>
      <c r="E359" s="18">
        <v>1124</v>
      </c>
      <c r="F359" s="18" t="s">
        <v>35</v>
      </c>
      <c r="J359" s="19">
        <v>0.44009999999999999</v>
      </c>
      <c r="K359" s="19">
        <v>0.42490118599999999</v>
      </c>
      <c r="L359" s="19">
        <v>0.46010000000000001</v>
      </c>
      <c r="M359" s="19">
        <v>0.379</v>
      </c>
      <c r="N359" s="19">
        <v>0.54679999999999995</v>
      </c>
      <c r="O359" s="19">
        <v>0.44440000000000002</v>
      </c>
      <c r="P359" s="20">
        <v>40458</v>
      </c>
      <c r="Q359" s="21" t="str">
        <f>HYPERLINK("https://www.mtsu.edu/financialaid/npcalc/npcalc.htm", "$29578")</f>
        <v>$29578</v>
      </c>
      <c r="R359" s="20">
        <v>35137</v>
      </c>
      <c r="S359" s="20">
        <v>36832</v>
      </c>
      <c r="T359" s="20">
        <v>5718</v>
      </c>
      <c r="U359" s="20">
        <v>23860.393996247651</v>
      </c>
      <c r="W359" s="19">
        <v>0.40189999999999998</v>
      </c>
      <c r="X359" s="19">
        <v>0.36990000000000001</v>
      </c>
      <c r="Z359" s="18">
        <v>18600</v>
      </c>
    </row>
    <row r="360" spans="1:26" ht="15.75" customHeight="1" x14ac:dyDescent="0.2">
      <c r="A360" s="36" t="str">
        <f>HYPERLINK("https://www.midlandu.edu", "Midland University")</f>
        <v>Midland University</v>
      </c>
      <c r="B360" s="18" t="s">
        <v>32</v>
      </c>
      <c r="C360" s="18" t="s">
        <v>341</v>
      </c>
      <c r="D360" s="18" t="s">
        <v>966</v>
      </c>
      <c r="E360" s="18">
        <v>1039</v>
      </c>
      <c r="F360" s="18" t="s">
        <v>35</v>
      </c>
      <c r="J360" s="19">
        <v>0.48680000000000001</v>
      </c>
      <c r="K360" s="19">
        <v>0.21621621599999999</v>
      </c>
      <c r="L360" s="19">
        <v>0.55000000000000004</v>
      </c>
      <c r="M360" s="19">
        <v>0.41670000000000001</v>
      </c>
      <c r="N360" s="19">
        <v>9.5200000000000007E-2</v>
      </c>
      <c r="O360" s="19">
        <v>1</v>
      </c>
      <c r="P360" s="20">
        <v>43400</v>
      </c>
      <c r="Q360" s="21" t="str">
        <f>HYPERLINK("https://www.midlandu.edu/net-price-calculator", "$21580")</f>
        <v>$21580</v>
      </c>
      <c r="R360" s="20">
        <v>22080</v>
      </c>
      <c r="S360" s="20">
        <v>24115</v>
      </c>
      <c r="T360" s="20">
        <v>3496</v>
      </c>
      <c r="U360" s="20">
        <v>18084</v>
      </c>
      <c r="W360" s="19">
        <v>0.28939999999999999</v>
      </c>
      <c r="X360" s="19">
        <v>0.60610000000000008</v>
      </c>
      <c r="Z360" s="18">
        <v>1211</v>
      </c>
    </row>
    <row r="361" spans="1:26" ht="15.75" customHeight="1" x14ac:dyDescent="0.2">
      <c r="A361" s="36" t="str">
        <f>HYPERLINK("https://www.midway.edu", "Midway University")</f>
        <v>Midway University</v>
      </c>
      <c r="B361" s="18" t="s">
        <v>32</v>
      </c>
      <c r="C361" s="18" t="s">
        <v>205</v>
      </c>
      <c r="D361" s="18" t="s">
        <v>968</v>
      </c>
      <c r="E361" s="18">
        <v>1050</v>
      </c>
      <c r="F361" s="18" t="s">
        <v>35</v>
      </c>
      <c r="J361" s="19">
        <v>0.52429999999999999</v>
      </c>
      <c r="K361" s="19">
        <v>0.33774834399999998</v>
      </c>
      <c r="L361" s="19">
        <v>0.48</v>
      </c>
      <c r="M361" s="19">
        <v>0.33329999999999999</v>
      </c>
      <c r="N361" s="19">
        <v>1</v>
      </c>
      <c r="O361" s="19">
        <v>1</v>
      </c>
      <c r="P361" s="20">
        <v>40630</v>
      </c>
      <c r="Q361" s="21" t="str">
        <f>HYPERLINK("https://www.midway.edu/admissions-aid/cost-aid/net-price-calculator/", "$21713")</f>
        <v>$21713</v>
      </c>
      <c r="R361" s="20">
        <v>26364</v>
      </c>
      <c r="S361" s="20">
        <v>29635</v>
      </c>
      <c r="T361" s="20">
        <v>8200</v>
      </c>
      <c r="U361" s="20">
        <v>13513</v>
      </c>
      <c r="W361" s="19">
        <v>0.46970000000000001</v>
      </c>
      <c r="X361" s="19">
        <v>0.23050000000000001</v>
      </c>
      <c r="Z361" s="18">
        <v>989</v>
      </c>
    </row>
    <row r="362" spans="1:26" ht="15.75" customHeight="1" x14ac:dyDescent="0.2">
      <c r="A362" s="36" t="str">
        <f>HYPERLINK("https://www.mwsu.edu", "Midwestern State University")</f>
        <v>Midwestern State University</v>
      </c>
      <c r="B362" s="18" t="s">
        <v>49</v>
      </c>
      <c r="C362" s="18" t="s">
        <v>146</v>
      </c>
      <c r="D362" s="18" t="s">
        <v>969</v>
      </c>
      <c r="E362" s="18">
        <v>1034</v>
      </c>
      <c r="F362" s="18" t="s">
        <v>35</v>
      </c>
      <c r="J362" s="19">
        <v>0.44550000000000001</v>
      </c>
      <c r="K362" s="19">
        <v>0.46111111100000002</v>
      </c>
      <c r="L362" s="19">
        <v>0.48770000000000002</v>
      </c>
      <c r="M362" s="19">
        <v>0.2462</v>
      </c>
      <c r="N362" s="19">
        <v>0.3</v>
      </c>
      <c r="O362" s="19">
        <v>0.76470000000000005</v>
      </c>
      <c r="P362" s="20">
        <v>22096</v>
      </c>
      <c r="Q362" s="21" t="str">
        <f>HYPERLINK("https://www.mwsu.edu/finaid/net-price", "$11133")</f>
        <v>$11133</v>
      </c>
      <c r="R362" s="20">
        <v>15897</v>
      </c>
      <c r="S362" s="20">
        <v>19409</v>
      </c>
      <c r="T362" s="20">
        <v>2918</v>
      </c>
      <c r="U362" s="20">
        <v>8215.9090909090901</v>
      </c>
      <c r="W362" s="19">
        <v>0.38790000000000002</v>
      </c>
      <c r="X362" s="19">
        <v>0.50719999999999998</v>
      </c>
      <c r="Z362" s="18">
        <v>5329</v>
      </c>
    </row>
    <row r="363" spans="1:26" ht="15.75" customHeight="1" x14ac:dyDescent="0.2">
      <c r="A363" s="36" t="str">
        <f>HYPERLINK("https://www.millersville.edu", "Millersville University of Pennsylvania")</f>
        <v>Millersville University of Pennsylvania</v>
      </c>
      <c r="B363" s="18" t="s">
        <v>49</v>
      </c>
      <c r="C363" s="18" t="s">
        <v>65</v>
      </c>
      <c r="D363" s="18" t="s">
        <v>971</v>
      </c>
      <c r="E363" s="18">
        <v>1065</v>
      </c>
      <c r="F363" s="18" t="s">
        <v>35</v>
      </c>
      <c r="J363" s="19">
        <v>0.61550000000000005</v>
      </c>
      <c r="K363" s="19">
        <v>0.43970315399999998</v>
      </c>
      <c r="L363" s="19">
        <v>0.64329999999999998</v>
      </c>
      <c r="M363" s="19">
        <v>0.4667</v>
      </c>
      <c r="N363" s="19">
        <v>0.55420000000000003</v>
      </c>
      <c r="O363" s="19">
        <v>0.65380000000000005</v>
      </c>
      <c r="P363" s="20">
        <v>38569</v>
      </c>
      <c r="Q363" s="21" t="str">
        <f>HYPERLINK("https://www.passhe.edu/answers/Calculator/MI/npcalc-214041.htm", "$29432")</f>
        <v>$29432</v>
      </c>
      <c r="R363" s="20">
        <v>33351</v>
      </c>
      <c r="S363" s="20">
        <v>36693</v>
      </c>
      <c r="T363" s="20">
        <v>3344</v>
      </c>
      <c r="U363" s="20">
        <v>26088.833333333339</v>
      </c>
      <c r="W363" s="19">
        <v>0.29670000000000002</v>
      </c>
      <c r="X363" s="19">
        <v>0.26479999999999998</v>
      </c>
      <c r="Z363" s="18">
        <v>6613</v>
      </c>
    </row>
    <row r="364" spans="1:26" ht="15.75" customHeight="1" x14ac:dyDescent="0.2">
      <c r="A364" s="36" t="str">
        <f>HYPERLINK("https://www.millikin.edu", "Millikin University")</f>
        <v>Millikin University</v>
      </c>
      <c r="B364" s="18" t="s">
        <v>32</v>
      </c>
      <c r="C364" s="18" t="s">
        <v>137</v>
      </c>
      <c r="D364" s="18" t="s">
        <v>189</v>
      </c>
      <c r="E364" s="18">
        <v>1127</v>
      </c>
      <c r="F364" s="18" t="s">
        <v>35</v>
      </c>
      <c r="J364" s="19">
        <v>0.60560000000000003</v>
      </c>
      <c r="K364" s="19">
        <v>0.54639175299999998</v>
      </c>
      <c r="L364" s="19">
        <v>0.67820000000000003</v>
      </c>
      <c r="M364" s="19">
        <v>0.36249999999999999</v>
      </c>
      <c r="N364" s="19">
        <v>0.66669999999999996</v>
      </c>
      <c r="O364" s="19">
        <v>0.66669999999999996</v>
      </c>
      <c r="P364" s="20">
        <v>47664</v>
      </c>
      <c r="Q364" s="21" t="str">
        <f>HYPERLINK("https://millikin.studentaidcalculator.com", "$17528")</f>
        <v>$17528</v>
      </c>
      <c r="R364" s="20">
        <v>19327</v>
      </c>
      <c r="S364" s="20">
        <v>23014</v>
      </c>
      <c r="T364" s="20">
        <v>3100</v>
      </c>
      <c r="U364" s="20">
        <v>14428</v>
      </c>
      <c r="W364" s="19">
        <v>0.36980000000000002</v>
      </c>
      <c r="X364" s="19">
        <v>0.30589999999999989</v>
      </c>
      <c r="Z364" s="18">
        <v>1883</v>
      </c>
    </row>
    <row r="365" spans="1:26" ht="15.75" customHeight="1" x14ac:dyDescent="0.2">
      <c r="A365" s="36" t="str">
        <f>HYPERLINK("https://MCAD.EDU", "Minneapolis College of Art and Design")</f>
        <v>Minneapolis College of Art and Design</v>
      </c>
      <c r="B365" s="18" t="s">
        <v>32</v>
      </c>
      <c r="C365" s="18" t="s">
        <v>72</v>
      </c>
      <c r="D365" s="18" t="s">
        <v>283</v>
      </c>
      <c r="E365" s="18">
        <v>1141</v>
      </c>
      <c r="F365" s="18" t="s">
        <v>35</v>
      </c>
      <c r="J365" s="19">
        <v>0.59260000000000002</v>
      </c>
      <c r="K365" s="19">
        <v>0.47169811299999997</v>
      </c>
      <c r="L365" s="19">
        <v>0.53700000000000003</v>
      </c>
      <c r="M365" s="19">
        <v>0.5</v>
      </c>
      <c r="N365" s="19">
        <v>1</v>
      </c>
      <c r="O365" s="19">
        <v>0.66669999999999996</v>
      </c>
      <c r="P365" s="20">
        <v>49688</v>
      </c>
      <c r="Q365" s="21" t="str">
        <f>HYPERLINK("https://mcad.edu/tuition-calculator", "$23085")</f>
        <v>$23085</v>
      </c>
      <c r="R365" s="20">
        <v>24500</v>
      </c>
      <c r="S365" s="20">
        <v>27502</v>
      </c>
      <c r="T365" s="20">
        <v>4326</v>
      </c>
      <c r="U365" s="20">
        <v>18759</v>
      </c>
      <c r="W365" s="19">
        <v>0.4168</v>
      </c>
      <c r="X365" s="19">
        <v>0.33040000000000003</v>
      </c>
      <c r="Z365" s="18">
        <v>675</v>
      </c>
    </row>
    <row r="366" spans="1:26" ht="15.75" customHeight="1" x14ac:dyDescent="0.2">
      <c r="A366" s="36" t="str">
        <f>HYPERLINK("https://www.mnstate.edu/", "Minnesota State University Moorhead")</f>
        <v>Minnesota State University Moorhead</v>
      </c>
      <c r="B366" s="18" t="s">
        <v>49</v>
      </c>
      <c r="C366" s="18" t="s">
        <v>72</v>
      </c>
      <c r="D366" s="18" t="s">
        <v>679</v>
      </c>
      <c r="E366" s="18">
        <v>1123</v>
      </c>
      <c r="F366" s="18" t="s">
        <v>35</v>
      </c>
      <c r="J366" s="19">
        <v>0.4632</v>
      </c>
      <c r="K366" s="19">
        <v>0.48616600799999998</v>
      </c>
      <c r="L366" s="19">
        <v>0.46600000000000003</v>
      </c>
      <c r="M366" s="19">
        <v>0.38890000000000002</v>
      </c>
      <c r="N366" s="19">
        <v>0.42859999999999998</v>
      </c>
      <c r="O366" s="19">
        <v>0.33329999999999999</v>
      </c>
      <c r="P366" s="20">
        <v>29156</v>
      </c>
      <c r="Q366" s="21" t="str">
        <f>HYPERLINK("https://www.mnstate.edu/cost-aid/net-price-calculator.aspx", "$20731")</f>
        <v>$20731</v>
      </c>
      <c r="R366" s="20">
        <v>24178</v>
      </c>
      <c r="S366" s="20">
        <v>26936</v>
      </c>
      <c r="T366" s="20">
        <v>4270</v>
      </c>
      <c r="U366" s="20">
        <v>16461.805309734511</v>
      </c>
      <c r="W366" s="19">
        <v>0.27450000000000002</v>
      </c>
      <c r="X366" s="19">
        <v>0.21310000000000001</v>
      </c>
      <c r="Z366" s="18">
        <v>4834</v>
      </c>
    </row>
    <row r="367" spans="1:26" ht="15.75" customHeight="1" x14ac:dyDescent="0.2">
      <c r="A367" s="36" t="str">
        <f>HYPERLINK("https://mankato.mnsu.edu/", "Minnesota State University-Mankato")</f>
        <v>Minnesota State University-Mankato</v>
      </c>
      <c r="B367" s="18" t="s">
        <v>49</v>
      </c>
      <c r="C367" s="18" t="s">
        <v>72</v>
      </c>
      <c r="D367" s="18" t="s">
        <v>975</v>
      </c>
      <c r="E367" s="18">
        <v>1105</v>
      </c>
      <c r="F367" s="18" t="s">
        <v>35</v>
      </c>
      <c r="J367" s="19">
        <v>0.4768</v>
      </c>
      <c r="K367" s="19">
        <v>0.41437908499999998</v>
      </c>
      <c r="L367" s="19">
        <v>0.51029999999999998</v>
      </c>
      <c r="M367" s="19">
        <v>0.19020000000000001</v>
      </c>
      <c r="N367" s="19">
        <v>0.2442</v>
      </c>
      <c r="O367" s="19">
        <v>0.3896</v>
      </c>
      <c r="P367" s="20">
        <v>28278</v>
      </c>
      <c r="Q367" s="21" t="str">
        <f>HYPERLINK("https://minnstate.edu/admissions/calculator/msumankato.html", "$20469")</f>
        <v>$20469</v>
      </c>
      <c r="R367" s="20">
        <v>23265</v>
      </c>
      <c r="S367" s="20">
        <v>26860</v>
      </c>
      <c r="T367" s="20">
        <v>2966</v>
      </c>
      <c r="U367" s="20">
        <v>17503.351800554021</v>
      </c>
      <c r="W367" s="19">
        <v>0.26190000000000002</v>
      </c>
      <c r="X367" s="19">
        <v>0.27300000000000002</v>
      </c>
      <c r="Z367" s="18">
        <v>11966</v>
      </c>
    </row>
    <row r="368" spans="1:26" ht="15.75" customHeight="1" x14ac:dyDescent="0.2">
      <c r="A368" s="36" t="str">
        <f>HYPERLINK("https://www.minotstateu.edu", "Minot State University")</f>
        <v>Minot State University</v>
      </c>
      <c r="B368" s="18" t="s">
        <v>49</v>
      </c>
      <c r="C368" s="18" t="s">
        <v>730</v>
      </c>
      <c r="D368" s="18" t="s">
        <v>976</v>
      </c>
      <c r="E368" s="18">
        <v>1090</v>
      </c>
      <c r="F368" s="18" t="s">
        <v>35</v>
      </c>
      <c r="J368" s="19">
        <v>0.37009999999999998</v>
      </c>
      <c r="K368" s="19">
        <v>0.29927007300000003</v>
      </c>
      <c r="L368" s="19">
        <v>0.37</v>
      </c>
      <c r="M368" s="19">
        <v>0.375</v>
      </c>
      <c r="N368" s="19">
        <v>7.6899999999999996E-2</v>
      </c>
      <c r="O368" s="19">
        <v>0.5</v>
      </c>
      <c r="P368" s="20">
        <v>17754</v>
      </c>
      <c r="Q368" s="21" t="str">
        <f>HYPERLINK("https://www.minotstateu.edu/finaid/net_calc.shtml", "$9925")</f>
        <v>$9925</v>
      </c>
      <c r="R368" s="20">
        <v>12518</v>
      </c>
      <c r="S368" s="20">
        <v>14906</v>
      </c>
      <c r="T368" s="20">
        <v>4600</v>
      </c>
      <c r="U368" s="20">
        <v>5325</v>
      </c>
      <c r="W368" s="19">
        <v>0.2009</v>
      </c>
      <c r="X368" s="19">
        <v>0.31059999999999999</v>
      </c>
      <c r="Z368" s="18">
        <v>2466</v>
      </c>
    </row>
    <row r="369" spans="1:26" ht="15.75" customHeight="1" x14ac:dyDescent="0.2">
      <c r="A369" s="36" t="str">
        <f>HYPERLINK("https://www.misericordia.edu", "Misericordia University")</f>
        <v>Misericordia University</v>
      </c>
      <c r="B369" s="18" t="s">
        <v>32</v>
      </c>
      <c r="C369" s="18" t="s">
        <v>65</v>
      </c>
      <c r="D369" s="18" t="s">
        <v>152</v>
      </c>
      <c r="E369" s="18">
        <v>1127</v>
      </c>
      <c r="F369" s="18" t="s">
        <v>35</v>
      </c>
      <c r="J369" s="19">
        <v>0.76090000000000002</v>
      </c>
      <c r="K369" s="19">
        <v>0.52879581200000003</v>
      </c>
      <c r="L369" s="19">
        <v>0.75790000000000002</v>
      </c>
      <c r="M369" s="19">
        <v>1</v>
      </c>
      <c r="N369" s="19">
        <v>0.77780000000000005</v>
      </c>
      <c r="O369" s="19">
        <v>0.75</v>
      </c>
      <c r="P369" s="20">
        <v>47460</v>
      </c>
      <c r="Q369" s="21" t="str">
        <f>HYPERLINK("https://www.misericordia.edu/financialaid", "$19306")</f>
        <v>$19306</v>
      </c>
      <c r="R369" s="20">
        <v>22353</v>
      </c>
      <c r="S369" s="20">
        <v>26785</v>
      </c>
      <c r="T369" s="20">
        <v>2250</v>
      </c>
      <c r="U369" s="20">
        <v>17056</v>
      </c>
      <c r="W369" s="19">
        <v>0.26919999999999999</v>
      </c>
      <c r="X369" s="19">
        <v>0.13139999999999999</v>
      </c>
      <c r="Z369" s="18">
        <v>2100</v>
      </c>
    </row>
    <row r="370" spans="1:26" ht="15.75" customHeight="1" x14ac:dyDescent="0.2">
      <c r="A370" s="36" t="str">
        <f>HYPERLINK("https://www.mc.edu", "Mississippi College")</f>
        <v>Mississippi College</v>
      </c>
      <c r="B370" s="18" t="s">
        <v>32</v>
      </c>
      <c r="C370" s="18" t="s">
        <v>59</v>
      </c>
      <c r="D370" s="18" t="s">
        <v>118</v>
      </c>
      <c r="E370" s="18">
        <v>1229</v>
      </c>
      <c r="F370" s="18" t="s">
        <v>35</v>
      </c>
      <c r="J370" s="19">
        <v>0.59189999999999998</v>
      </c>
      <c r="K370" s="19">
        <v>0.40384615400000001</v>
      </c>
      <c r="L370" s="19">
        <v>0.6522</v>
      </c>
      <c r="M370" s="19">
        <v>0.3412</v>
      </c>
      <c r="N370" s="19">
        <v>0.5</v>
      </c>
      <c r="O370" s="19">
        <v>1</v>
      </c>
      <c r="P370" s="20">
        <v>32385</v>
      </c>
      <c r="Q370" s="21" t="str">
        <f>HYPERLINK("https://www.mc.edu/npc", "$14830")</f>
        <v>$14830</v>
      </c>
      <c r="R370" s="20">
        <v>16485</v>
      </c>
      <c r="S370" s="20">
        <v>18219</v>
      </c>
      <c r="T370" s="20">
        <v>5383</v>
      </c>
      <c r="U370" s="20">
        <v>9447</v>
      </c>
      <c r="W370" s="19">
        <v>0.29349999999999998</v>
      </c>
      <c r="X370" s="19">
        <v>0.30059999999999998</v>
      </c>
      <c r="Z370" s="18">
        <v>3041</v>
      </c>
    </row>
    <row r="371" spans="1:26" ht="15.75" customHeight="1" x14ac:dyDescent="0.2">
      <c r="A371" s="36" t="str">
        <f>HYPERLINK("https://www.msstate.edu", "Mississippi State University")</f>
        <v>Mississippi State University</v>
      </c>
      <c r="B371" s="18" t="s">
        <v>49</v>
      </c>
      <c r="C371" s="18" t="s">
        <v>59</v>
      </c>
      <c r="D371" s="18" t="s">
        <v>980</v>
      </c>
      <c r="E371" s="18">
        <v>1195</v>
      </c>
      <c r="F371" s="18" t="s">
        <v>35</v>
      </c>
      <c r="J371" s="19">
        <v>0.57899999999999996</v>
      </c>
      <c r="K371" s="19">
        <v>0.44746787599999999</v>
      </c>
      <c r="L371" s="19">
        <v>0.66120000000000001</v>
      </c>
      <c r="M371" s="19">
        <v>0.3846</v>
      </c>
      <c r="N371" s="19">
        <v>0.53449999999999998</v>
      </c>
      <c r="O371" s="19">
        <v>0.74360000000000004</v>
      </c>
      <c r="P371" s="20">
        <v>38410</v>
      </c>
      <c r="Q371" s="21" t="str">
        <f>HYPERLINK("https://tcc.noellevitz.com/%28S%28e2egpuxdatl2c35cpxwfecks%29%29/Mississippi%20State%20University/Freshman-Students", "$29006")</f>
        <v>$29006</v>
      </c>
      <c r="R371" s="20">
        <v>33347</v>
      </c>
      <c r="S371" s="20">
        <v>34351</v>
      </c>
      <c r="T371" s="20">
        <v>6438</v>
      </c>
      <c r="U371" s="20">
        <v>22568</v>
      </c>
      <c r="W371" s="19">
        <v>0.31850000000000001</v>
      </c>
      <c r="X371" s="19">
        <v>0.27910000000000001</v>
      </c>
      <c r="Z371" s="18">
        <v>17723</v>
      </c>
    </row>
    <row r="372" spans="1:26" ht="15.75" customHeight="1" x14ac:dyDescent="0.2">
      <c r="A372" s="36" t="str">
        <f>HYPERLINK("https://www.mobap.edu", "Missouri Baptist University")</f>
        <v>Missouri Baptist University</v>
      </c>
      <c r="B372" s="18" t="s">
        <v>32</v>
      </c>
      <c r="C372" s="18" t="s">
        <v>164</v>
      </c>
      <c r="D372" s="18" t="s">
        <v>179</v>
      </c>
      <c r="E372" s="18">
        <v>1041</v>
      </c>
      <c r="F372" s="18" t="s">
        <v>35</v>
      </c>
      <c r="J372" s="19">
        <v>0.37719999999999998</v>
      </c>
      <c r="K372" s="19">
        <v>0.37551020400000001</v>
      </c>
      <c r="L372" s="19">
        <v>0.44579999999999997</v>
      </c>
      <c r="M372" s="19">
        <v>0.18920000000000001</v>
      </c>
      <c r="N372" s="19">
        <v>0</v>
      </c>
      <c r="O372" s="19">
        <v>0</v>
      </c>
      <c r="P372" s="20">
        <v>41185</v>
      </c>
      <c r="Q372" s="21" t="str">
        <f>HYPERLINK("https://www.mobap.edu/freshmannetcostcalculator/", "$16264")</f>
        <v>$16264</v>
      </c>
      <c r="R372" s="20">
        <v>19145</v>
      </c>
      <c r="S372" s="20">
        <v>22303</v>
      </c>
      <c r="T372" s="20">
        <v>4060</v>
      </c>
      <c r="U372" s="20">
        <v>12204</v>
      </c>
      <c r="W372" s="19">
        <v>0.18049999999999999</v>
      </c>
      <c r="X372" s="19">
        <v>0.2732</v>
      </c>
      <c r="Z372" s="18">
        <v>1819</v>
      </c>
    </row>
    <row r="373" spans="1:26" ht="15.75" customHeight="1" x14ac:dyDescent="0.2">
      <c r="A373" s="36" t="str">
        <f>HYPERLINK("https://www.mssu.edu", "Missouri Southern State University")</f>
        <v>Missouri Southern State University</v>
      </c>
      <c r="B373" s="18" t="s">
        <v>49</v>
      </c>
      <c r="C373" s="18" t="s">
        <v>164</v>
      </c>
      <c r="D373" s="18" t="s">
        <v>981</v>
      </c>
      <c r="E373" s="18">
        <v>1085</v>
      </c>
      <c r="F373" s="18" t="s">
        <v>35</v>
      </c>
      <c r="J373" s="19">
        <v>0.33189999999999997</v>
      </c>
      <c r="K373" s="19">
        <v>0.30218446599999998</v>
      </c>
      <c r="L373" s="19">
        <v>0.34279999999999999</v>
      </c>
      <c r="M373" s="19">
        <v>0.36170000000000002</v>
      </c>
      <c r="N373" s="19">
        <v>0.25</v>
      </c>
      <c r="O373" s="19">
        <v>0.4667</v>
      </c>
      <c r="P373" s="20">
        <v>22621</v>
      </c>
      <c r="Q373" s="21" t="str">
        <f>HYPERLINK("https://www.mssu.edu/student-affairs/financial-aid/npcalc.htm", "$15611")</f>
        <v>$15611</v>
      </c>
      <c r="R373" s="20">
        <v>18462</v>
      </c>
      <c r="S373" s="20">
        <v>19832</v>
      </c>
      <c r="T373" s="20">
        <v>4152</v>
      </c>
      <c r="U373" s="20">
        <v>11459.96394230769</v>
      </c>
      <c r="W373" s="19">
        <v>0.44469999999999998</v>
      </c>
      <c r="X373" s="19">
        <v>0.25640000000000002</v>
      </c>
      <c r="Z373" s="18">
        <v>5426</v>
      </c>
    </row>
    <row r="374" spans="1:26" ht="15.75" customHeight="1" x14ac:dyDescent="0.2">
      <c r="A374" s="36" t="str">
        <f>HYPERLINK("https://www.moval.edu", "Missouri Valley College")</f>
        <v>Missouri Valley College</v>
      </c>
      <c r="B374" s="18" t="s">
        <v>32</v>
      </c>
      <c r="C374" s="18" t="s">
        <v>164</v>
      </c>
      <c r="D374" s="18" t="s">
        <v>709</v>
      </c>
      <c r="E374" s="18" t="s">
        <v>36</v>
      </c>
      <c r="F374" s="18" t="s">
        <v>90</v>
      </c>
      <c r="J374" s="19">
        <v>0.2853</v>
      </c>
      <c r="K374" s="19">
        <v>0.248962656</v>
      </c>
      <c r="L374" s="19">
        <v>0.30170000000000002</v>
      </c>
      <c r="M374" s="19">
        <v>0.18990000000000001</v>
      </c>
      <c r="N374" s="19">
        <v>0.30430000000000001</v>
      </c>
      <c r="O374" s="19">
        <v>0</v>
      </c>
      <c r="P374" s="20">
        <v>33830</v>
      </c>
      <c r="Q374" s="21" t="str">
        <f>HYPERLINK("https://npc.collegeboard.org/student/app/moval", "$16619")</f>
        <v>$16619</v>
      </c>
      <c r="R374" s="20">
        <v>19660</v>
      </c>
      <c r="S374" s="20">
        <v>20504</v>
      </c>
      <c r="T374" s="20">
        <v>4880</v>
      </c>
      <c r="U374" s="20">
        <v>11739</v>
      </c>
      <c r="W374" s="19">
        <v>0.37669999999999998</v>
      </c>
      <c r="X374" s="19">
        <v>0.5403</v>
      </c>
      <c r="Z374" s="18">
        <v>1329</v>
      </c>
    </row>
    <row r="375" spans="1:26" ht="15.75" customHeight="1" x14ac:dyDescent="0.2">
      <c r="A375" s="36" t="str">
        <f>HYPERLINK("https://www.mitchell.edu", "Mitchell College")</f>
        <v>Mitchell College</v>
      </c>
      <c r="B375" s="18" t="s">
        <v>32</v>
      </c>
      <c r="C375" s="18" t="s">
        <v>94</v>
      </c>
      <c r="D375" s="18" t="s">
        <v>95</v>
      </c>
      <c r="E375" s="18" t="s">
        <v>36</v>
      </c>
      <c r="F375" s="18" t="s">
        <v>45</v>
      </c>
      <c r="J375" s="19">
        <v>0.39579999999999999</v>
      </c>
      <c r="K375" s="19">
        <v>0.37647058799999999</v>
      </c>
      <c r="L375" s="19">
        <v>0.47199999999999998</v>
      </c>
      <c r="M375" s="19">
        <v>0.17860000000000001</v>
      </c>
      <c r="N375" s="19">
        <v>0.28000000000000003</v>
      </c>
      <c r="O375" s="19">
        <v>0.33329999999999999</v>
      </c>
      <c r="P375" s="20">
        <v>49592</v>
      </c>
      <c r="Q375" s="21" t="str">
        <f>HYPERLINK("https://community.mitchell.edu/CostCalculator", "$18478")</f>
        <v>$18478</v>
      </c>
      <c r="R375" s="20">
        <v>24246</v>
      </c>
      <c r="S375" s="20">
        <v>27221</v>
      </c>
      <c r="T375" s="20">
        <v>4400</v>
      </c>
      <c r="U375" s="20">
        <v>14078</v>
      </c>
      <c r="W375" s="19">
        <v>0.33090000000000003</v>
      </c>
      <c r="X375" s="19">
        <v>0.46679999999999999</v>
      </c>
      <c r="Z375" s="18">
        <v>617</v>
      </c>
    </row>
    <row r="376" spans="1:26" ht="15.75" customHeight="1" x14ac:dyDescent="0.2">
      <c r="A376" s="36" t="str">
        <f>HYPERLINK("https://www.molloy.edu", "Molloy College")</f>
        <v>Molloy College</v>
      </c>
      <c r="B376" s="18" t="s">
        <v>32</v>
      </c>
      <c r="C376" s="18" t="s">
        <v>38</v>
      </c>
      <c r="D376" s="18" t="s">
        <v>983</v>
      </c>
      <c r="E376" s="18">
        <v>1148</v>
      </c>
      <c r="F376" s="18" t="s">
        <v>35</v>
      </c>
      <c r="J376" s="19">
        <v>0.71970000000000001</v>
      </c>
      <c r="K376" s="19">
        <v>0.68421052599999999</v>
      </c>
      <c r="L376" s="19">
        <v>0.77439999999999998</v>
      </c>
      <c r="M376" s="19">
        <v>0.5</v>
      </c>
      <c r="N376" s="19">
        <v>0.55559999999999998</v>
      </c>
      <c r="O376" s="19">
        <v>0.8</v>
      </c>
      <c r="P376" s="20">
        <v>50356</v>
      </c>
      <c r="Q376" s="21" t="str">
        <f>HYPERLINK("https://www.molloy.edu/admissions/financial-aid/net-price-calculator", "$24573")</f>
        <v>$24573</v>
      </c>
      <c r="R376" s="20">
        <v>26936</v>
      </c>
      <c r="S376" s="20">
        <v>28440</v>
      </c>
      <c r="T376" s="20">
        <v>5334</v>
      </c>
      <c r="U376" s="20">
        <v>19239</v>
      </c>
      <c r="W376" s="19">
        <v>0.29409999999999997</v>
      </c>
      <c r="X376" s="19">
        <v>0.39600000000000002</v>
      </c>
      <c r="Z376" s="18">
        <v>3505</v>
      </c>
    </row>
    <row r="377" spans="1:26" ht="15.75" customHeight="1" x14ac:dyDescent="0.2">
      <c r="A377" s="36" t="str">
        <f>HYPERLINK("https://www.monmouthcollege.edu", "Monmouth College")</f>
        <v>Monmouth College</v>
      </c>
      <c r="B377" s="18" t="s">
        <v>32</v>
      </c>
      <c r="C377" s="18" t="s">
        <v>137</v>
      </c>
      <c r="D377" s="18" t="s">
        <v>984</v>
      </c>
      <c r="E377" s="18">
        <v>1115</v>
      </c>
      <c r="F377" s="18" t="s">
        <v>35</v>
      </c>
      <c r="J377" s="19">
        <v>0.5988</v>
      </c>
      <c r="K377" s="19">
        <v>0.44186046499999998</v>
      </c>
      <c r="L377" s="19">
        <v>0.63519999999999999</v>
      </c>
      <c r="M377" s="19">
        <v>0.40539999999999998</v>
      </c>
      <c r="N377" s="19">
        <v>0.62860000000000005</v>
      </c>
      <c r="O377" s="19">
        <v>0</v>
      </c>
      <c r="P377" s="20">
        <v>47970</v>
      </c>
      <c r="Q377" s="21" t="str">
        <f>HYPERLINK("https://ou.monmouthcollege.edu/admissions/financial-aid/calculator.aspx", "$12993")</f>
        <v>$12993</v>
      </c>
      <c r="R377" s="20">
        <v>15566</v>
      </c>
      <c r="S377" s="20">
        <v>18603</v>
      </c>
      <c r="T377" s="20">
        <v>2950</v>
      </c>
      <c r="U377" s="20">
        <v>10043</v>
      </c>
      <c r="W377" s="19">
        <v>0.37230000000000002</v>
      </c>
      <c r="X377" s="19">
        <v>0.37330000000000002</v>
      </c>
      <c r="Z377" s="18">
        <v>1010</v>
      </c>
    </row>
    <row r="378" spans="1:26" ht="15.75" customHeight="1" x14ac:dyDescent="0.2">
      <c r="A378" s="36" t="str">
        <f>HYPERLINK("https://www.monmouth.edu", "Monmouth University")</f>
        <v>Monmouth University</v>
      </c>
      <c r="B378" s="18" t="s">
        <v>32</v>
      </c>
      <c r="C378" s="18" t="s">
        <v>141</v>
      </c>
      <c r="D378" s="18" t="s">
        <v>986</v>
      </c>
      <c r="E378" s="18">
        <v>1088</v>
      </c>
      <c r="F378" s="18" t="s">
        <v>35</v>
      </c>
      <c r="J378" s="19">
        <v>0.70440000000000003</v>
      </c>
      <c r="K378" s="19">
        <v>0.62698412700000006</v>
      </c>
      <c r="L378" s="19">
        <v>0.72589999999999999</v>
      </c>
      <c r="M378" s="19">
        <v>0.59089999999999998</v>
      </c>
      <c r="N378" s="19">
        <v>0.63529999999999998</v>
      </c>
      <c r="O378" s="19">
        <v>0.66669999999999996</v>
      </c>
      <c r="P378" s="20">
        <v>54859</v>
      </c>
      <c r="Q378" s="21" t="str">
        <f>HYPERLINK("https://monmouth.studentaidcalculator.com/survey.aspx", "$20628")</f>
        <v>$20628</v>
      </c>
      <c r="R378" s="20">
        <v>27296</v>
      </c>
      <c r="S378" s="20">
        <v>34305</v>
      </c>
      <c r="T378" s="20">
        <v>4676</v>
      </c>
      <c r="U378" s="20">
        <v>15952</v>
      </c>
      <c r="W378" s="19">
        <v>0.27850000000000003</v>
      </c>
      <c r="X378" s="19">
        <v>0.28810000000000002</v>
      </c>
      <c r="Z378" s="18">
        <v>4683</v>
      </c>
    </row>
    <row r="379" spans="1:26" ht="15.75" customHeight="1" x14ac:dyDescent="0.2">
      <c r="A379" s="36" t="str">
        <f>HYPERLINK("https://www.mtech.edu", "Montana Tech of the University of Montana")</f>
        <v>Montana Tech of the University of Montana</v>
      </c>
      <c r="B379" s="18" t="s">
        <v>49</v>
      </c>
      <c r="C379" s="18" t="s">
        <v>421</v>
      </c>
      <c r="D379" s="18" t="s">
        <v>987</v>
      </c>
      <c r="E379" s="18">
        <v>1201</v>
      </c>
      <c r="F379" s="18" t="s">
        <v>35</v>
      </c>
      <c r="J379" s="19">
        <v>0.41370000000000001</v>
      </c>
      <c r="K379" s="19">
        <v>0.20519480500000001</v>
      </c>
      <c r="L379" s="19">
        <v>0.43130000000000002</v>
      </c>
      <c r="M379" s="19">
        <v>0.2</v>
      </c>
      <c r="N379" s="19">
        <v>0.1</v>
      </c>
      <c r="O379" s="19">
        <v>0.66669999999999996</v>
      </c>
      <c r="P379" s="20">
        <v>35755</v>
      </c>
      <c r="Q379" s="21" t="str">
        <f>HYPERLINK("https://www.mtech.edu/financial-aid/", "$27738")</f>
        <v>$27738</v>
      </c>
      <c r="R379" s="20">
        <v>30719</v>
      </c>
      <c r="S379" s="20">
        <v>33134</v>
      </c>
      <c r="T379" s="20">
        <v>4510</v>
      </c>
      <c r="U379" s="20">
        <v>23228.15384615384</v>
      </c>
      <c r="W379" s="19">
        <v>0.29830000000000001</v>
      </c>
      <c r="X379" s="19">
        <v>0.24210000000000001</v>
      </c>
      <c r="Z379" s="18">
        <v>1640</v>
      </c>
    </row>
    <row r="380" spans="1:26" ht="15.75" customHeight="1" x14ac:dyDescent="0.2">
      <c r="A380" s="36" t="str">
        <f>HYPERLINK("https://www.montclair.edu", "Montclair State University")</f>
        <v>Montclair State University</v>
      </c>
      <c r="B380" s="18" t="s">
        <v>49</v>
      </c>
      <c r="C380" s="18" t="s">
        <v>141</v>
      </c>
      <c r="D380" s="18" t="s">
        <v>988</v>
      </c>
      <c r="E380" s="18">
        <v>1070</v>
      </c>
      <c r="F380" s="18" t="s">
        <v>115</v>
      </c>
      <c r="J380" s="19">
        <v>0.65329999999999999</v>
      </c>
      <c r="K380" s="19">
        <v>0.65475070599999996</v>
      </c>
      <c r="L380" s="19">
        <v>0.66359999999999997</v>
      </c>
      <c r="M380" s="19">
        <v>0.62619999999999998</v>
      </c>
      <c r="N380" s="19">
        <v>0.63980000000000004</v>
      </c>
      <c r="O380" s="19">
        <v>0.61950000000000005</v>
      </c>
      <c r="P380" s="20">
        <v>38435</v>
      </c>
      <c r="Q380" s="21" t="str">
        <f>HYPERLINK("https://montclair.studentaidcalculator.com/survey.aspx", "$26888")</f>
        <v>$26888</v>
      </c>
      <c r="R380" s="20">
        <v>33333</v>
      </c>
      <c r="S380" s="20">
        <v>37480</v>
      </c>
      <c r="T380" s="20">
        <v>3410</v>
      </c>
      <c r="U380" s="20">
        <v>23478.502604166661</v>
      </c>
      <c r="W380" s="19">
        <v>0.41739999999999999</v>
      </c>
      <c r="X380" s="19">
        <v>0.58539999999999992</v>
      </c>
      <c r="Z380" s="18">
        <v>16673</v>
      </c>
    </row>
    <row r="381" spans="1:26" ht="15.75" customHeight="1" x14ac:dyDescent="0.2">
      <c r="A381" s="36" t="str">
        <f>HYPERLINK("https://www.montserrat.edu/", "Montserrat College of Art")</f>
        <v>Montserrat College of Art</v>
      </c>
      <c r="B381" s="18" t="s">
        <v>32</v>
      </c>
      <c r="C381" s="18" t="s">
        <v>33</v>
      </c>
      <c r="D381" s="18" t="s">
        <v>739</v>
      </c>
      <c r="E381" s="18" t="s">
        <v>36</v>
      </c>
      <c r="F381" s="18" t="s">
        <v>36</v>
      </c>
      <c r="J381" s="19">
        <v>0.56589999999999996</v>
      </c>
      <c r="K381" s="19">
        <v>0.4</v>
      </c>
      <c r="L381" s="19">
        <v>0.56189999999999996</v>
      </c>
      <c r="M381" s="19">
        <v>0.8</v>
      </c>
      <c r="N381" s="19">
        <v>0.57140000000000002</v>
      </c>
      <c r="O381" s="19">
        <v>0</v>
      </c>
      <c r="P381" s="20">
        <v>47100</v>
      </c>
      <c r="Q381" s="21" t="str">
        <f>HYPERLINK("https://www.montserrat.edu/admissions/tuition-and-financial-aid/net-price-calculator/", "$24761")</f>
        <v>$24761</v>
      </c>
      <c r="R381" s="20">
        <v>26007</v>
      </c>
      <c r="S381" s="20">
        <v>33269</v>
      </c>
      <c r="T381" s="20">
        <v>3600</v>
      </c>
      <c r="U381" s="20">
        <v>21161</v>
      </c>
      <c r="W381" s="19">
        <v>0.39129999999999998</v>
      </c>
      <c r="X381" s="19">
        <v>0.5655</v>
      </c>
      <c r="Z381" s="18">
        <v>359</v>
      </c>
    </row>
    <row r="382" spans="1:26" ht="15.75" customHeight="1" x14ac:dyDescent="0.2">
      <c r="A382" s="36" t="str">
        <f>HYPERLINK("https://www.moore.edu", "Moore College of Art and Design")</f>
        <v>Moore College of Art and Design</v>
      </c>
      <c r="B382" s="18" t="s">
        <v>32</v>
      </c>
      <c r="C382" s="18" t="s">
        <v>65</v>
      </c>
      <c r="D382" s="18" t="s">
        <v>168</v>
      </c>
      <c r="E382" s="18">
        <v>1140</v>
      </c>
      <c r="F382" s="18" t="s">
        <v>115</v>
      </c>
      <c r="J382" s="19">
        <v>0.56520000000000004</v>
      </c>
      <c r="K382" s="19">
        <v>0.625</v>
      </c>
      <c r="L382" s="19">
        <v>0.6</v>
      </c>
      <c r="M382" s="19">
        <v>0.3846</v>
      </c>
      <c r="N382" s="19">
        <v>0.75</v>
      </c>
      <c r="O382" s="19">
        <v>0.66669999999999996</v>
      </c>
      <c r="P382" s="20">
        <v>58798</v>
      </c>
      <c r="Q382" s="21" t="str">
        <f>HYPERLINK("https://www.moore.edu/bfa_admissions/tuition_and_financial_aid", "$33183")</f>
        <v>$33183</v>
      </c>
      <c r="R382" s="20">
        <v>36838</v>
      </c>
      <c r="S382" s="20">
        <v>37838</v>
      </c>
      <c r="T382" s="20">
        <v>4000</v>
      </c>
      <c r="U382" s="20">
        <v>29183</v>
      </c>
      <c r="W382" s="19">
        <v>0.38140000000000002</v>
      </c>
      <c r="X382" s="19">
        <v>0.46110000000000001</v>
      </c>
      <c r="Z382" s="18">
        <v>373</v>
      </c>
    </row>
    <row r="383" spans="1:26" ht="15.75" customHeight="1" x14ac:dyDescent="0.2">
      <c r="A383" s="36" t="str">
        <f>HYPERLINK("https://www.moreheadstate.edu", "Morehead State University")</f>
        <v>Morehead State University</v>
      </c>
      <c r="B383" s="18" t="s">
        <v>49</v>
      </c>
      <c r="C383" s="18" t="s">
        <v>205</v>
      </c>
      <c r="D383" s="18" t="s">
        <v>992</v>
      </c>
      <c r="E383" s="18">
        <v>1144</v>
      </c>
      <c r="F383" s="18" t="s">
        <v>35</v>
      </c>
      <c r="J383" s="19">
        <v>0.41749999999999998</v>
      </c>
      <c r="K383" s="19">
        <v>0.38181818200000001</v>
      </c>
      <c r="L383" s="19">
        <v>0.41899999999999998</v>
      </c>
      <c r="M383" s="19">
        <v>0.35709999999999997</v>
      </c>
      <c r="N383" s="19">
        <v>0.1176</v>
      </c>
      <c r="O383" s="19">
        <v>0.5</v>
      </c>
      <c r="P383" s="20">
        <v>26802</v>
      </c>
      <c r="Q383" s="21" t="str">
        <f>HYPERLINK("https://npc.collegeboard.org/student/app/moreheadstate", "$16354")</f>
        <v>$16354</v>
      </c>
      <c r="R383" s="20">
        <v>19463</v>
      </c>
      <c r="S383" s="20">
        <v>21776</v>
      </c>
      <c r="T383" s="20">
        <v>3940</v>
      </c>
      <c r="U383" s="20">
        <v>12414.384615384621</v>
      </c>
      <c r="W383" s="19">
        <v>0.3221</v>
      </c>
      <c r="X383" s="19">
        <v>0.11700000000000001</v>
      </c>
      <c r="Z383" s="18">
        <v>6410</v>
      </c>
    </row>
    <row r="384" spans="1:26" ht="15.75" customHeight="1" x14ac:dyDescent="0.2">
      <c r="A384" s="36" t="str">
        <f>HYPERLINK("https://www.morehouse.edu", "Morehouse College")</f>
        <v>Morehouse College</v>
      </c>
      <c r="B384" s="18" t="s">
        <v>32</v>
      </c>
      <c r="C384" s="18" t="s">
        <v>107</v>
      </c>
      <c r="D384" s="18" t="s">
        <v>108</v>
      </c>
      <c r="E384" s="18">
        <v>1050</v>
      </c>
      <c r="F384" s="18" t="s">
        <v>35</v>
      </c>
      <c r="J384" s="19">
        <v>0.5524</v>
      </c>
      <c r="K384" s="19">
        <v>0.33193277300000001</v>
      </c>
      <c r="L384" s="19">
        <v>1</v>
      </c>
      <c r="M384" s="19">
        <v>0.55559999999999998</v>
      </c>
      <c r="N384" s="19">
        <v>0.5</v>
      </c>
      <c r="O384" s="19">
        <v>0</v>
      </c>
      <c r="P384" s="20">
        <v>48723</v>
      </c>
      <c r="Q384" s="21" t="str">
        <f>HYPERLINK("https://morehouse.studentaidcalculator.com/survey.aspx", "$30884")</f>
        <v>$30884</v>
      </c>
      <c r="R384" s="20">
        <v>37922</v>
      </c>
      <c r="S384" s="20">
        <v>40859</v>
      </c>
      <c r="T384" s="20">
        <v>7888</v>
      </c>
      <c r="U384" s="20">
        <v>22996</v>
      </c>
      <c r="W384" s="19">
        <v>0.4824</v>
      </c>
      <c r="X384" s="19">
        <v>0.99770000000000003</v>
      </c>
      <c r="Z384" s="18">
        <v>2199</v>
      </c>
    </row>
    <row r="385" spans="1:26" ht="15.75" customHeight="1" x14ac:dyDescent="0.2">
      <c r="A385" s="36" t="str">
        <f>HYPERLINK("https://www.mtmercy.edu", "Mount Mercy University")</f>
        <v>Mount Mercy University</v>
      </c>
      <c r="B385" s="18" t="s">
        <v>32</v>
      </c>
      <c r="C385" s="18" t="s">
        <v>211</v>
      </c>
      <c r="D385" s="18" t="s">
        <v>333</v>
      </c>
      <c r="E385" s="18">
        <v>1085</v>
      </c>
      <c r="F385" s="18" t="s">
        <v>35</v>
      </c>
      <c r="J385" s="19">
        <v>0.57999999999999996</v>
      </c>
      <c r="K385" s="19">
        <v>0.66666666699999999</v>
      </c>
      <c r="L385" s="19">
        <v>0.63080000000000003</v>
      </c>
      <c r="M385" s="19">
        <v>0.2</v>
      </c>
      <c r="N385" s="19">
        <v>0</v>
      </c>
      <c r="O385" s="19">
        <v>0</v>
      </c>
      <c r="P385" s="20">
        <v>44756</v>
      </c>
      <c r="Q385" s="21" t="str">
        <f>HYPERLINK("https://www.mtmercy.edu/net-price-calculator", "$17683")</f>
        <v>$17683</v>
      </c>
      <c r="R385" s="20">
        <v>20574</v>
      </c>
      <c r="S385" s="20">
        <v>21326</v>
      </c>
      <c r="T385" s="20">
        <v>5008</v>
      </c>
      <c r="U385" s="20">
        <v>12675</v>
      </c>
      <c r="W385" s="19">
        <v>0.35570000000000002</v>
      </c>
      <c r="X385" s="19">
        <v>0.21110000000000001</v>
      </c>
      <c r="Z385" s="18">
        <v>1502</v>
      </c>
    </row>
    <row r="386" spans="1:26" ht="15.75" customHeight="1" x14ac:dyDescent="0.2">
      <c r="A386" s="36" t="str">
        <f>HYPERLINK("https://www.msj.edu", "Mount Saint Joseph University")</f>
        <v>Mount Saint Joseph University</v>
      </c>
      <c r="B386" s="18" t="s">
        <v>32</v>
      </c>
      <c r="C386" s="18" t="s">
        <v>75</v>
      </c>
      <c r="D386" s="18" t="s">
        <v>502</v>
      </c>
      <c r="E386" s="18">
        <v>1097</v>
      </c>
      <c r="F386" s="18" t="s">
        <v>35</v>
      </c>
      <c r="J386" s="19">
        <v>0.6069</v>
      </c>
      <c r="K386" s="19">
        <v>0.19047619099999999</v>
      </c>
      <c r="L386" s="19">
        <v>0.64590000000000003</v>
      </c>
      <c r="M386" s="19">
        <v>0.23530000000000001</v>
      </c>
      <c r="N386" s="19">
        <v>0.2727</v>
      </c>
      <c r="O386" s="19" t="s">
        <v>36</v>
      </c>
      <c r="P386" s="20">
        <v>40566</v>
      </c>
      <c r="Q386" s="21" t="str">
        <f>HYPERLINK("https://msj.aidcalculator.com/", "$13282")</f>
        <v>$13282</v>
      </c>
      <c r="R386" s="20">
        <v>18105</v>
      </c>
      <c r="S386" s="20">
        <v>19688</v>
      </c>
      <c r="T386" s="20">
        <v>2200</v>
      </c>
      <c r="U386" s="20">
        <v>11082</v>
      </c>
      <c r="W386" s="19">
        <v>0.32340000000000002</v>
      </c>
      <c r="X386" s="19">
        <v>0.2218</v>
      </c>
      <c r="Z386" s="18">
        <v>1177</v>
      </c>
    </row>
    <row r="387" spans="1:26" ht="15.75" customHeight="1" x14ac:dyDescent="0.2">
      <c r="A387" s="36" t="str">
        <f>HYPERLINK("https://www.msmc.edu", "Mount Saint Mary College")</f>
        <v>Mount Saint Mary College</v>
      </c>
      <c r="B387" s="18" t="s">
        <v>32</v>
      </c>
      <c r="C387" s="18" t="s">
        <v>38</v>
      </c>
      <c r="D387" s="18" t="s">
        <v>994</v>
      </c>
      <c r="E387" s="18">
        <v>1081</v>
      </c>
      <c r="F387" s="18" t="s">
        <v>35</v>
      </c>
      <c r="G387" s="18" t="s">
        <v>40</v>
      </c>
      <c r="H387" s="18" t="s">
        <v>995</v>
      </c>
      <c r="I387" s="18" t="s">
        <v>996</v>
      </c>
      <c r="J387" s="19">
        <v>0.53759999999999997</v>
      </c>
      <c r="K387" s="19">
        <v>0.54891304399999996</v>
      </c>
      <c r="L387" s="19">
        <v>0.58299999999999996</v>
      </c>
      <c r="M387" s="19">
        <v>0.2</v>
      </c>
      <c r="N387" s="19">
        <v>0.41299999999999998</v>
      </c>
      <c r="O387" s="19">
        <v>0.4375</v>
      </c>
      <c r="P387" s="20">
        <v>47298</v>
      </c>
      <c r="Q387" s="21" t="str">
        <f>HYPERLINK("https://www.msmc.edu/Student_Services/student_financial_services/Financial_Aid/netprice.be", "$16091")</f>
        <v>$16091</v>
      </c>
      <c r="R387" s="20">
        <v>23825</v>
      </c>
      <c r="S387" s="20">
        <v>26609</v>
      </c>
      <c r="T387" s="20">
        <v>2850</v>
      </c>
      <c r="U387" s="20">
        <v>13241</v>
      </c>
      <c r="W387" s="19">
        <v>0.32100000000000001</v>
      </c>
      <c r="X387" s="19">
        <v>0.39359999999999989</v>
      </c>
      <c r="Z387" s="18">
        <v>2030</v>
      </c>
    </row>
    <row r="388" spans="1:26" ht="15.75" customHeight="1" x14ac:dyDescent="0.2">
      <c r="A388" s="36" t="str">
        <f>HYPERLINK("https://www.msmu.edu", "Mount Saint Mary's University")</f>
        <v>Mount Saint Mary's University</v>
      </c>
      <c r="B388" s="18" t="s">
        <v>32</v>
      </c>
      <c r="C388" s="18" t="s">
        <v>68</v>
      </c>
      <c r="D388" s="18" t="s">
        <v>140</v>
      </c>
      <c r="E388" s="18">
        <v>1013</v>
      </c>
      <c r="F388" s="18" t="s">
        <v>35</v>
      </c>
      <c r="J388" s="19">
        <v>0.65799999999999992</v>
      </c>
      <c r="K388" s="19">
        <v>0.63897763600000002</v>
      </c>
      <c r="L388" s="19">
        <v>0.7</v>
      </c>
      <c r="M388" s="19">
        <v>0.5</v>
      </c>
      <c r="N388" s="19">
        <v>0.67920000000000003</v>
      </c>
      <c r="O388" s="19">
        <v>0.69569999999999999</v>
      </c>
      <c r="P388" s="20">
        <v>59392</v>
      </c>
      <c r="Q388" s="21" t="str">
        <f>HYPERLINK("https://www.msmu.edu/academics/financial-aid/cost-calculator.aspx", "$25849")</f>
        <v>$25849</v>
      </c>
      <c r="R388" s="20">
        <v>28060</v>
      </c>
      <c r="S388" s="20">
        <v>29511</v>
      </c>
      <c r="T388" s="20">
        <v>7646</v>
      </c>
      <c r="U388" s="20">
        <v>18203</v>
      </c>
      <c r="W388" s="19">
        <v>0.57189999999999996</v>
      </c>
      <c r="X388" s="19">
        <v>0.92430000000000001</v>
      </c>
      <c r="Z388" s="18">
        <v>2575</v>
      </c>
    </row>
    <row r="389" spans="1:26" ht="15.75" customHeight="1" x14ac:dyDescent="0.2">
      <c r="A389" s="36" t="str">
        <f>HYPERLINK("https://www.msmu.edu", "Mount Saint Mary's University - Doheny Campus")</f>
        <v>Mount Saint Mary's University - Doheny Campus</v>
      </c>
      <c r="B389" s="18" t="s">
        <v>32</v>
      </c>
      <c r="C389" s="18" t="s">
        <v>68</v>
      </c>
      <c r="D389" s="18" t="s">
        <v>140</v>
      </c>
      <c r="E389" s="18" t="s">
        <v>36</v>
      </c>
      <c r="F389" s="18" t="s">
        <v>36</v>
      </c>
      <c r="J389" s="19" t="s">
        <v>36</v>
      </c>
      <c r="K389" s="19">
        <v>0.63897763600000002</v>
      </c>
      <c r="L389" s="19" t="s">
        <v>36</v>
      </c>
      <c r="M389" s="19" t="s">
        <v>36</v>
      </c>
      <c r="N389" s="19" t="s">
        <v>36</v>
      </c>
      <c r="O389" s="19" t="s">
        <v>36</v>
      </c>
      <c r="P389" s="20" t="s">
        <v>36</v>
      </c>
      <c r="Q389" s="35" t="s">
        <v>36</v>
      </c>
      <c r="R389" s="20" t="s">
        <v>36</v>
      </c>
      <c r="S389" s="20" t="s">
        <v>36</v>
      </c>
      <c r="T389" s="20" t="s">
        <v>36</v>
      </c>
      <c r="U389" s="20" t="s">
        <v>36</v>
      </c>
      <c r="W389" s="19" t="s">
        <v>36</v>
      </c>
      <c r="X389" s="19" t="s">
        <v>36</v>
      </c>
      <c r="Z389" s="18" t="s">
        <v>36</v>
      </c>
    </row>
    <row r="390" spans="1:26" ht="15.75" customHeight="1" x14ac:dyDescent="0.2">
      <c r="A390" s="36" t="str">
        <f>HYPERLINK("https://www.msmary.edu", "Mount St Mary's University")</f>
        <v>Mount St Mary's University</v>
      </c>
      <c r="B390" s="18" t="s">
        <v>32</v>
      </c>
      <c r="C390" s="18" t="s">
        <v>124</v>
      </c>
      <c r="D390" s="18" t="s">
        <v>999</v>
      </c>
      <c r="E390" s="18">
        <v>1085</v>
      </c>
      <c r="F390" s="18" t="s">
        <v>35</v>
      </c>
      <c r="G390" s="19"/>
      <c r="H390" s="19"/>
      <c r="I390" s="19"/>
      <c r="J390" s="19">
        <v>0.63290000000000002</v>
      </c>
      <c r="K390" s="19">
        <v>0.52941176499999998</v>
      </c>
      <c r="L390" s="19">
        <v>0.69969999999999999</v>
      </c>
      <c r="M390" s="19">
        <v>0.40739999999999998</v>
      </c>
      <c r="N390" s="19">
        <v>0.57140000000000002</v>
      </c>
      <c r="O390" s="19">
        <v>0.72729999999999995</v>
      </c>
      <c r="P390" s="20">
        <v>56080</v>
      </c>
      <c r="Q390" s="21" t="str">
        <f>HYPERLINK("https://msmary.edu/admissions/net_price_calculator.html", "$23602")</f>
        <v>$23602</v>
      </c>
      <c r="R390" s="20">
        <v>29112</v>
      </c>
      <c r="S390" s="20">
        <v>29840</v>
      </c>
      <c r="T390" s="20">
        <v>2700</v>
      </c>
      <c r="U390" s="20">
        <v>20902</v>
      </c>
      <c r="W390" s="19">
        <v>0.22439999999999999</v>
      </c>
      <c r="X390" s="19">
        <v>0.372</v>
      </c>
      <c r="Z390" s="18">
        <v>1785</v>
      </c>
    </row>
    <row r="391" spans="1:26" ht="15.75" customHeight="1" x14ac:dyDescent="0.2">
      <c r="A391" s="36" t="str">
        <f>HYPERLINK("https://www.mvnu.edu", "Mount Vernon Nazarene University")</f>
        <v>Mount Vernon Nazarene University</v>
      </c>
      <c r="B391" s="18" t="s">
        <v>32</v>
      </c>
      <c r="C391" s="18" t="s">
        <v>75</v>
      </c>
      <c r="D391" s="18" t="s">
        <v>212</v>
      </c>
      <c r="E391" s="18">
        <v>1102</v>
      </c>
      <c r="F391" s="18" t="s">
        <v>35</v>
      </c>
      <c r="J391" s="19">
        <v>0.63200000000000001</v>
      </c>
      <c r="K391" s="19">
        <v>0.43274853800000002</v>
      </c>
      <c r="L391" s="19">
        <v>0.64739999999999998</v>
      </c>
      <c r="M391" s="19">
        <v>0.375</v>
      </c>
      <c r="N391" s="19">
        <v>0.5</v>
      </c>
      <c r="O391" s="19">
        <v>0</v>
      </c>
      <c r="P391" s="20">
        <v>41144</v>
      </c>
      <c r="Q391" s="21" t="str">
        <f>HYPERLINK("https://calculator.mvnu.edu/", "$20796")</f>
        <v>$20796</v>
      </c>
      <c r="R391" s="20">
        <v>21476</v>
      </c>
      <c r="S391" s="20">
        <v>20670</v>
      </c>
      <c r="T391" s="20">
        <v>5200</v>
      </c>
      <c r="U391" s="20">
        <v>15596</v>
      </c>
      <c r="W391" s="19">
        <v>0.35120000000000001</v>
      </c>
      <c r="X391" s="19">
        <v>0.14910000000000001</v>
      </c>
      <c r="Z391" s="18">
        <v>1623</v>
      </c>
    </row>
    <row r="392" spans="1:26" ht="15.75" customHeight="1" x14ac:dyDescent="0.2">
      <c r="A392" s="36" t="str">
        <f>HYPERLINK("https://www.murraystate.edu", "Murray State University")</f>
        <v>Murray State University</v>
      </c>
      <c r="B392" s="18" t="s">
        <v>49</v>
      </c>
      <c r="C392" s="18" t="s">
        <v>205</v>
      </c>
      <c r="D392" s="18" t="s">
        <v>1000</v>
      </c>
      <c r="E392" s="18">
        <v>1173</v>
      </c>
      <c r="F392" s="18" t="s">
        <v>35</v>
      </c>
      <c r="J392" s="19">
        <v>0.49099999999999999</v>
      </c>
      <c r="K392" s="19">
        <v>0.40896739100000001</v>
      </c>
      <c r="L392" s="19">
        <v>0.51919999999999999</v>
      </c>
      <c r="M392" s="19">
        <v>0.2923</v>
      </c>
      <c r="N392" s="19">
        <v>0.4138</v>
      </c>
      <c r="O392" s="19">
        <v>0.5</v>
      </c>
      <c r="P392" s="20">
        <v>37870</v>
      </c>
      <c r="Q392" s="21" t="str">
        <f>HYPERLINK("https://murraystate.studentaidcalculator.com/survey.aspx", "$26860")</f>
        <v>$26860</v>
      </c>
      <c r="R392" s="20">
        <v>30865</v>
      </c>
      <c r="S392" s="20">
        <v>33146</v>
      </c>
      <c r="T392" s="20">
        <v>5144</v>
      </c>
      <c r="U392" s="20">
        <v>21716.949806949811</v>
      </c>
      <c r="W392" s="19">
        <v>0.30819999999999997</v>
      </c>
      <c r="X392" s="19">
        <v>0.17749999999999999</v>
      </c>
      <c r="Z392" s="18">
        <v>7218</v>
      </c>
    </row>
    <row r="393" spans="1:26" ht="15.75" customHeight="1" x14ac:dyDescent="0.2">
      <c r="A393" s="36" t="str">
        <f>HYPERLINK("https://www.muskingum.edu/", "Muskingum University")</f>
        <v>Muskingum University</v>
      </c>
      <c r="B393" s="18" t="s">
        <v>32</v>
      </c>
      <c r="C393" s="18" t="s">
        <v>75</v>
      </c>
      <c r="D393" s="18" t="s">
        <v>1001</v>
      </c>
      <c r="E393" s="18">
        <v>1077</v>
      </c>
      <c r="F393" s="18" t="s">
        <v>35</v>
      </c>
      <c r="J393" s="19">
        <v>0.48230000000000001</v>
      </c>
      <c r="K393" s="19">
        <v>0.37195122000000003</v>
      </c>
      <c r="L393" s="19">
        <v>0.51129999999999998</v>
      </c>
      <c r="M393" s="19">
        <v>0.2258</v>
      </c>
      <c r="N393" s="19">
        <v>0</v>
      </c>
      <c r="O393" s="19">
        <v>0</v>
      </c>
      <c r="P393" s="20">
        <v>41420</v>
      </c>
      <c r="Q393" s="21" t="str">
        <f>HYPERLINK("https://muskingum.studentaidcalculator.com/survey.aspx", "$15251")</f>
        <v>$15251</v>
      </c>
      <c r="R393" s="20">
        <v>18432</v>
      </c>
      <c r="S393" s="20">
        <v>22196</v>
      </c>
      <c r="T393" s="20">
        <v>2734</v>
      </c>
      <c r="U393" s="20">
        <v>12517</v>
      </c>
      <c r="W393" s="19">
        <v>0.41830000000000001</v>
      </c>
      <c r="X393" s="19">
        <v>0.21049999999999999</v>
      </c>
      <c r="Z393" s="18">
        <v>1525</v>
      </c>
    </row>
    <row r="394" spans="1:26" ht="15.75" customHeight="1" x14ac:dyDescent="0.2">
      <c r="A394" s="36" t="str">
        <f>HYPERLINK("https://www.naropa.edu", "Naropa University")</f>
        <v>Naropa University</v>
      </c>
      <c r="B394" s="18" t="s">
        <v>32</v>
      </c>
      <c r="C394" s="18" t="s">
        <v>87</v>
      </c>
      <c r="D394" s="18" t="s">
        <v>503</v>
      </c>
      <c r="E394" s="18" t="s">
        <v>36</v>
      </c>
      <c r="F394" s="18" t="s">
        <v>45</v>
      </c>
      <c r="J394" s="19">
        <v>0.30769999999999997</v>
      </c>
      <c r="K394" s="19">
        <v>0.60714285700000004</v>
      </c>
      <c r="L394" s="19">
        <v>0.25640000000000002</v>
      </c>
      <c r="M394" s="19">
        <v>1</v>
      </c>
      <c r="N394" s="19">
        <v>0.25</v>
      </c>
      <c r="O394" s="19" t="s">
        <v>36</v>
      </c>
      <c r="P394" s="20">
        <v>49990</v>
      </c>
      <c r="Q394" s="21" t="str">
        <f>HYPERLINK("https://www.naropa.edu/admissions/affording/undergraduate-costs-aid/cost-calculator.php", "$22595")</f>
        <v>$22595</v>
      </c>
      <c r="R394" s="20">
        <v>23875</v>
      </c>
      <c r="S394" s="20">
        <v>34790</v>
      </c>
      <c r="T394" s="20">
        <v>6712</v>
      </c>
      <c r="U394" s="20">
        <v>15883</v>
      </c>
      <c r="W394" s="19">
        <v>0.49480000000000002</v>
      </c>
      <c r="X394" s="19">
        <v>0.37759999999999999</v>
      </c>
      <c r="Z394" s="18">
        <v>384</v>
      </c>
    </row>
    <row r="395" spans="1:26" ht="15.75" customHeight="1" x14ac:dyDescent="0.2">
      <c r="A395" s="36" t="str">
        <f>HYPERLINK("https://www.nu.edu", "National University")</f>
        <v>National University</v>
      </c>
      <c r="B395" s="18" t="s">
        <v>32</v>
      </c>
      <c r="C395" s="18" t="s">
        <v>68</v>
      </c>
      <c r="D395" s="18" t="s">
        <v>499</v>
      </c>
      <c r="E395" s="18" t="s">
        <v>36</v>
      </c>
      <c r="F395" s="18" t="s">
        <v>36</v>
      </c>
      <c r="J395" s="19">
        <v>0.4219</v>
      </c>
      <c r="K395" s="19">
        <v>0.39146431199999998</v>
      </c>
      <c r="L395" s="19">
        <v>0.375</v>
      </c>
      <c r="M395" s="19">
        <v>0.5</v>
      </c>
      <c r="N395" s="19">
        <v>0.35289999999999999</v>
      </c>
      <c r="O395" s="19">
        <v>1</v>
      </c>
      <c r="P395" s="20">
        <v>30248</v>
      </c>
      <c r="Q395" s="21" t="str">
        <f>HYPERLINK("https://www.nu.edu/npcalc/npcalc.htm", "$25705")</f>
        <v>$25705</v>
      </c>
      <c r="R395" s="20">
        <v>25586</v>
      </c>
      <c r="S395" s="20">
        <v>27409</v>
      </c>
      <c r="T395" s="20">
        <v>5416</v>
      </c>
      <c r="U395" s="20">
        <v>20289</v>
      </c>
      <c r="W395" s="19">
        <v>0.35499999999999998</v>
      </c>
      <c r="X395" s="19">
        <v>0.64660000000000006</v>
      </c>
      <c r="Z395" s="18">
        <v>7360</v>
      </c>
    </row>
    <row r="396" spans="1:26" ht="15.75" customHeight="1" x14ac:dyDescent="0.2">
      <c r="A396" s="36" t="str">
        <f>HYPERLINK("https://www.myunion.edu", "New England Center")</f>
        <v>New England Center</v>
      </c>
      <c r="B396" s="18" t="s">
        <v>32</v>
      </c>
      <c r="C396" s="18" t="s">
        <v>47</v>
      </c>
      <c r="D396" s="18" t="s">
        <v>1002</v>
      </c>
      <c r="E396" s="18" t="s">
        <v>36</v>
      </c>
      <c r="F396" s="18" t="s">
        <v>36</v>
      </c>
      <c r="J396" s="19" t="s">
        <v>36</v>
      </c>
      <c r="K396" s="19">
        <v>0.44725738399999998</v>
      </c>
      <c r="L396" s="19" t="s">
        <v>36</v>
      </c>
      <c r="M396" s="19" t="s">
        <v>36</v>
      </c>
      <c r="N396" s="19" t="s">
        <v>36</v>
      </c>
      <c r="O396" s="19" t="s">
        <v>36</v>
      </c>
      <c r="P396" s="20" t="s">
        <v>36</v>
      </c>
      <c r="Q396" s="35" t="s">
        <v>36</v>
      </c>
      <c r="R396" s="20" t="s">
        <v>36</v>
      </c>
      <c r="S396" s="20" t="s">
        <v>36</v>
      </c>
      <c r="T396" s="20" t="s">
        <v>36</v>
      </c>
      <c r="U396" s="20" t="s">
        <v>36</v>
      </c>
      <c r="W396" s="19" t="s">
        <v>36</v>
      </c>
      <c r="X396" s="19" t="s">
        <v>36</v>
      </c>
      <c r="Z396" s="18" t="s">
        <v>36</v>
      </c>
    </row>
    <row r="397" spans="1:26" ht="15.75" customHeight="1" x14ac:dyDescent="0.2">
      <c r="A397" s="36" t="str">
        <f>HYPERLINK("https://www.njcu.edu", "New Jersey City University")</f>
        <v>New Jersey City University</v>
      </c>
      <c r="B397" s="18" t="s">
        <v>49</v>
      </c>
      <c r="C397" s="18" t="s">
        <v>141</v>
      </c>
      <c r="D397" s="18" t="s">
        <v>1004</v>
      </c>
      <c r="E397" s="18">
        <v>975</v>
      </c>
      <c r="F397" s="18" t="s">
        <v>35</v>
      </c>
      <c r="J397" s="19">
        <v>0.32890000000000003</v>
      </c>
      <c r="K397" s="19">
        <v>0.40114613199999999</v>
      </c>
      <c r="L397" s="19">
        <v>0.39069999999999999</v>
      </c>
      <c r="M397" s="19">
        <v>0.2331</v>
      </c>
      <c r="N397" s="19">
        <v>0.31900000000000001</v>
      </c>
      <c r="O397" s="19">
        <v>0.5</v>
      </c>
      <c r="P397" s="20">
        <v>39756</v>
      </c>
      <c r="Q397" s="21" t="str">
        <f>HYPERLINK("https://www.njcu.edu/about/bursar/tuition-fees", "$27792")</f>
        <v>$27792</v>
      </c>
      <c r="R397" s="20">
        <v>31803</v>
      </c>
      <c r="S397" s="20">
        <v>37067</v>
      </c>
      <c r="T397" s="20">
        <v>5900</v>
      </c>
      <c r="U397" s="20">
        <v>21892.304761904761</v>
      </c>
      <c r="W397" s="19">
        <v>0.57530000000000003</v>
      </c>
      <c r="X397" s="19">
        <v>0.78959999999999997</v>
      </c>
      <c r="Z397" s="18">
        <v>6359</v>
      </c>
    </row>
    <row r="398" spans="1:26" ht="15.75" customHeight="1" x14ac:dyDescent="0.2">
      <c r="A398" s="36" t="str">
        <f>HYPERLINK("https://www.nmsu.edu/", "New Mexico State University-Main Campus")</f>
        <v>New Mexico State University-Main Campus</v>
      </c>
      <c r="B398" s="18" t="s">
        <v>49</v>
      </c>
      <c r="C398" s="18" t="s">
        <v>234</v>
      </c>
      <c r="D398" s="18" t="s">
        <v>1005</v>
      </c>
      <c r="E398" s="18">
        <v>1043</v>
      </c>
      <c r="F398" s="18" t="s">
        <v>35</v>
      </c>
      <c r="J398" s="19">
        <v>0.45860000000000001</v>
      </c>
      <c r="K398" s="19">
        <v>0.296712109</v>
      </c>
      <c r="L398" s="19">
        <v>0.52759999999999996</v>
      </c>
      <c r="M398" s="19">
        <v>0.34289999999999998</v>
      </c>
      <c r="N398" s="19">
        <v>0.4204</v>
      </c>
      <c r="O398" s="19">
        <v>0.5</v>
      </c>
      <c r="P398" s="20">
        <v>34720</v>
      </c>
      <c r="Q398" s="21" t="str">
        <f>HYPERLINK("https://fa.nmsu.edu/true-cost-calculator/", "$24530")</f>
        <v>$24530</v>
      </c>
      <c r="R398" s="20">
        <v>27147</v>
      </c>
      <c r="S398" s="20">
        <v>30784</v>
      </c>
      <c r="T398" s="20">
        <v>5012</v>
      </c>
      <c r="U398" s="20">
        <v>19518.46570397112</v>
      </c>
      <c r="W398" s="19">
        <v>0.41360000000000002</v>
      </c>
      <c r="X398" s="19">
        <v>0.72960000000000003</v>
      </c>
      <c r="Z398" s="18">
        <v>11173</v>
      </c>
    </row>
    <row r="399" spans="1:26" ht="15.75" customHeight="1" x14ac:dyDescent="0.2">
      <c r="A399" s="36" t="str">
        <f>HYPERLINK("https://www.newbury.edu", "Newbury College")</f>
        <v>Newbury College</v>
      </c>
      <c r="B399" s="18" t="s">
        <v>32</v>
      </c>
      <c r="C399" s="18" t="s">
        <v>33</v>
      </c>
      <c r="D399" s="18" t="s">
        <v>1006</v>
      </c>
      <c r="E399" s="18" t="s">
        <v>36</v>
      </c>
      <c r="F399" s="18" t="s">
        <v>90</v>
      </c>
      <c r="J399" s="19">
        <v>0.39190000000000003</v>
      </c>
      <c r="K399" s="19">
        <v>0.31159420300000001</v>
      </c>
      <c r="L399" s="19">
        <v>0.41799999999999998</v>
      </c>
      <c r="M399" s="19">
        <v>0.3654</v>
      </c>
      <c r="N399" s="19">
        <v>0.36959999999999998</v>
      </c>
      <c r="O399" s="19">
        <v>0.5</v>
      </c>
      <c r="P399" s="20">
        <v>52570</v>
      </c>
      <c r="Q399" s="21" t="str">
        <f>HYPERLINK("https://www.newbury.edu/admissions-and-aid/financial-aid-and-billing/financial-aid/net-price-calculator", "$22783")</f>
        <v>$22783</v>
      </c>
      <c r="R399" s="20">
        <v>24176</v>
      </c>
      <c r="S399" s="20">
        <v>28519</v>
      </c>
      <c r="T399" s="20">
        <v>3600</v>
      </c>
      <c r="U399" s="20">
        <v>19183</v>
      </c>
      <c r="W399" s="19">
        <v>0.58589999999999998</v>
      </c>
      <c r="X399" s="19">
        <v>0.61450000000000005</v>
      </c>
      <c r="Z399" s="18">
        <v>620</v>
      </c>
    </row>
    <row r="400" spans="1:26" ht="15.75" customHeight="1" x14ac:dyDescent="0.2">
      <c r="A400" s="36" t="str">
        <f>HYPERLINK("https://www.newmanu.edu", "Newman University")</f>
        <v>Newman University</v>
      </c>
      <c r="B400" s="18" t="s">
        <v>32</v>
      </c>
      <c r="C400" s="18" t="s">
        <v>307</v>
      </c>
      <c r="D400" s="18" t="s">
        <v>778</v>
      </c>
      <c r="E400" s="18">
        <v>1107</v>
      </c>
      <c r="F400" s="18" t="s">
        <v>35</v>
      </c>
      <c r="J400" s="19">
        <v>0.52349999999999997</v>
      </c>
      <c r="K400" s="19">
        <v>0.44578313299999989</v>
      </c>
      <c r="L400" s="19">
        <v>0.58819999999999995</v>
      </c>
      <c r="M400" s="19">
        <v>0.1</v>
      </c>
      <c r="N400" s="19">
        <v>0.52170000000000005</v>
      </c>
      <c r="O400" s="19">
        <v>0.4</v>
      </c>
      <c r="P400" s="20">
        <v>41994</v>
      </c>
      <c r="Q400" s="21" t="str">
        <f>HYPERLINK("https://collegecostcalculator.org/newmanuniversity", "$10997")</f>
        <v>$10997</v>
      </c>
      <c r="R400" s="20">
        <v>12037</v>
      </c>
      <c r="S400" s="20">
        <v>14704</v>
      </c>
      <c r="T400" s="20">
        <v>4772</v>
      </c>
      <c r="U400" s="20">
        <v>6225</v>
      </c>
      <c r="W400" s="19">
        <v>0.15029999999999999</v>
      </c>
      <c r="X400" s="19">
        <v>0.38169999999999998</v>
      </c>
      <c r="Z400" s="18">
        <v>1103</v>
      </c>
    </row>
    <row r="401" spans="1:26" ht="15.75" customHeight="1" x14ac:dyDescent="0.2">
      <c r="A401" s="36" t="str">
        <f>HYPERLINK("https://www.niagara.edu", "Niagara University")</f>
        <v>Niagara University</v>
      </c>
      <c r="B401" s="18" t="s">
        <v>32</v>
      </c>
      <c r="C401" s="18" t="s">
        <v>38</v>
      </c>
      <c r="D401" s="18" t="s">
        <v>1007</v>
      </c>
      <c r="E401" s="18">
        <v>1121</v>
      </c>
      <c r="F401" s="18" t="s">
        <v>35</v>
      </c>
      <c r="G401" s="18" t="s">
        <v>40</v>
      </c>
      <c r="H401" s="18" t="s">
        <v>1008</v>
      </c>
      <c r="I401" s="18" t="s">
        <v>1009</v>
      </c>
      <c r="J401" s="19">
        <v>0.67620000000000002</v>
      </c>
      <c r="K401" s="19">
        <v>0.52542372900000001</v>
      </c>
      <c r="L401" s="19">
        <v>0.70440000000000003</v>
      </c>
      <c r="M401" s="19">
        <v>0.4</v>
      </c>
      <c r="N401" s="19">
        <v>0.59089999999999998</v>
      </c>
      <c r="O401" s="19">
        <v>1</v>
      </c>
      <c r="P401" s="20">
        <v>47400</v>
      </c>
      <c r="Q401" s="21" t="str">
        <f>HYPERLINK("https://www.niagara.edu/scholarship-and-net-price-calculator", "$13743")</f>
        <v>$13743</v>
      </c>
      <c r="R401" s="20">
        <v>18296</v>
      </c>
      <c r="S401" s="20">
        <v>21184</v>
      </c>
      <c r="T401" s="20">
        <v>2500</v>
      </c>
      <c r="U401" s="20">
        <v>11243</v>
      </c>
      <c r="W401" s="19">
        <v>0.26590000000000003</v>
      </c>
      <c r="X401" s="19">
        <v>0.28770000000000001</v>
      </c>
      <c r="Z401" s="18">
        <v>2902</v>
      </c>
    </row>
    <row r="402" spans="1:26" ht="15.75" customHeight="1" x14ac:dyDescent="0.2">
      <c r="A402" s="36" t="str">
        <f>HYPERLINK("https://www.nicholls.edu", "Nicholls State University")</f>
        <v>Nicholls State University</v>
      </c>
      <c r="B402" s="18" t="s">
        <v>49</v>
      </c>
      <c r="C402" s="18" t="s">
        <v>158</v>
      </c>
      <c r="D402" s="18" t="s">
        <v>1010</v>
      </c>
      <c r="E402" s="18">
        <v>1104</v>
      </c>
      <c r="F402" s="18" t="s">
        <v>35</v>
      </c>
      <c r="J402" s="19">
        <v>0.46789999999999998</v>
      </c>
      <c r="K402" s="19">
        <v>0.36553945300000001</v>
      </c>
      <c r="L402" s="19">
        <v>0.5212</v>
      </c>
      <c r="M402" s="19">
        <v>0.30220000000000002</v>
      </c>
      <c r="N402" s="19">
        <v>0.32140000000000002</v>
      </c>
      <c r="O402" s="19">
        <v>0.5</v>
      </c>
      <c r="P402" s="20">
        <v>23013</v>
      </c>
      <c r="Q402" s="21" t="str">
        <f>HYPERLINK("https://www.nicholls.edu/apps/ir/net-price-calculator/", "$14300")</f>
        <v>$14300</v>
      </c>
      <c r="R402" s="20">
        <v>17873</v>
      </c>
      <c r="S402" s="20">
        <v>19998</v>
      </c>
      <c r="T402" s="20">
        <v>4746</v>
      </c>
      <c r="U402" s="20">
        <v>9554.8382687927115</v>
      </c>
      <c r="W402" s="19">
        <v>0.37780000000000002</v>
      </c>
      <c r="X402" s="19">
        <v>0.31979999999999997</v>
      </c>
      <c r="Z402" s="18">
        <v>5401</v>
      </c>
    </row>
    <row r="403" spans="1:26" ht="15.75" customHeight="1" x14ac:dyDescent="0.2">
      <c r="A403" s="36" t="str">
        <f>HYPERLINK("https://www.ncwc.edu", "North Carolina Wesleyan College")</f>
        <v>North Carolina Wesleyan College</v>
      </c>
      <c r="B403" s="18" t="s">
        <v>32</v>
      </c>
      <c r="C403" s="18" t="s">
        <v>103</v>
      </c>
      <c r="D403" s="18" t="s">
        <v>1011</v>
      </c>
      <c r="E403" s="18">
        <v>967</v>
      </c>
      <c r="F403" s="18" t="s">
        <v>35</v>
      </c>
      <c r="J403" s="19">
        <v>0.31409999999999999</v>
      </c>
      <c r="K403" s="19">
        <v>0.40076335899999999</v>
      </c>
      <c r="L403" s="19">
        <v>0.32650000000000001</v>
      </c>
      <c r="M403" s="19">
        <v>0.3049</v>
      </c>
      <c r="N403" s="19">
        <v>0.5</v>
      </c>
      <c r="O403" s="19">
        <v>1</v>
      </c>
      <c r="P403" s="20">
        <v>42450</v>
      </c>
      <c r="Q403" s="21" t="str">
        <f>HYPERLINK("https://ncwc.edu/npcalc.htm", "$14483")</f>
        <v>$14483</v>
      </c>
      <c r="R403" s="20">
        <v>15260</v>
      </c>
      <c r="S403" s="20">
        <v>20337</v>
      </c>
      <c r="T403" s="20">
        <v>2500</v>
      </c>
      <c r="U403" s="20">
        <v>11983</v>
      </c>
      <c r="W403" s="19">
        <v>0.55279999999999996</v>
      </c>
      <c r="X403" s="19">
        <v>0.67979999999999996</v>
      </c>
      <c r="Z403" s="18">
        <v>2086</v>
      </c>
    </row>
    <row r="404" spans="1:26" ht="15.75" customHeight="1" x14ac:dyDescent="0.2">
      <c r="A404" s="36" t="str">
        <f>HYPERLINK("https://www.northcentral.edu", "North Central University")</f>
        <v>North Central University</v>
      </c>
      <c r="B404" s="18" t="s">
        <v>32</v>
      </c>
      <c r="C404" s="18" t="s">
        <v>72</v>
      </c>
      <c r="D404" s="18" t="s">
        <v>283</v>
      </c>
      <c r="E404" s="18">
        <v>1118</v>
      </c>
      <c r="F404" s="18" t="s">
        <v>35</v>
      </c>
      <c r="J404" s="19">
        <v>0.3992</v>
      </c>
      <c r="K404" s="19">
        <v>0.30275229399999998</v>
      </c>
      <c r="L404" s="19">
        <v>0.44230000000000003</v>
      </c>
      <c r="M404" s="19">
        <v>7.6899999999999996E-2</v>
      </c>
      <c r="N404" s="19">
        <v>0.2727</v>
      </c>
      <c r="O404" s="19">
        <v>0.2</v>
      </c>
      <c r="P404" s="20">
        <v>34924</v>
      </c>
      <c r="Q404" s="21" t="str">
        <f>HYPERLINK("https://www.northcentral.edu/financial-aid/net-price-calculator", "$16620")</f>
        <v>$16620</v>
      </c>
      <c r="R404" s="20">
        <v>19270</v>
      </c>
      <c r="S404" s="20">
        <v>22864</v>
      </c>
      <c r="T404" s="20">
        <v>4314</v>
      </c>
      <c r="U404" s="20">
        <v>12306</v>
      </c>
      <c r="W404" s="19">
        <v>0.37130000000000002</v>
      </c>
      <c r="X404" s="19">
        <v>0.27550000000000002</v>
      </c>
      <c r="Z404" s="18">
        <v>893</v>
      </c>
    </row>
    <row r="405" spans="1:26" ht="15.75" customHeight="1" x14ac:dyDescent="0.2">
      <c r="A405" s="36" t="str">
        <f>HYPERLINK("https://www.ndsu.edu", "North Dakota State University-Main Campus")</f>
        <v>North Dakota State University-Main Campus</v>
      </c>
      <c r="B405" s="18" t="s">
        <v>49</v>
      </c>
      <c r="C405" s="18" t="s">
        <v>730</v>
      </c>
      <c r="D405" s="18" t="s">
        <v>1012</v>
      </c>
      <c r="E405" s="18">
        <v>1166</v>
      </c>
      <c r="F405" s="18" t="s">
        <v>35</v>
      </c>
      <c r="J405" s="19">
        <v>0.57979999999999998</v>
      </c>
      <c r="K405" s="19">
        <v>0.45423143399999999</v>
      </c>
      <c r="L405" s="19">
        <v>0.59360000000000002</v>
      </c>
      <c r="M405" s="19">
        <v>0.31819999999999998</v>
      </c>
      <c r="N405" s="19">
        <v>0.41670000000000001</v>
      </c>
      <c r="O405" s="19">
        <v>0.51719999999999999</v>
      </c>
      <c r="P405" s="20">
        <v>33478</v>
      </c>
      <c r="Q405" s="21" t="str">
        <f>HYPERLINK("https://www.ndsu.edu/onestop/finaid/netpricecalculator/", "$24282")</f>
        <v>$24282</v>
      </c>
      <c r="R405" s="20">
        <v>28334</v>
      </c>
      <c r="S405" s="20">
        <v>30094</v>
      </c>
      <c r="T405" s="20">
        <v>4200</v>
      </c>
      <c r="U405" s="20">
        <v>20082.375</v>
      </c>
      <c r="W405" s="19">
        <v>0.1978</v>
      </c>
      <c r="X405" s="19">
        <v>0.1308</v>
      </c>
      <c r="Z405" s="18">
        <v>11687</v>
      </c>
    </row>
    <row r="406" spans="1:26" ht="15.75" customHeight="1" x14ac:dyDescent="0.2">
      <c r="A406" s="36" t="str">
        <f>HYPERLINK("https://www.northpark.edu", "North Park University")</f>
        <v>North Park University</v>
      </c>
      <c r="B406" s="18" t="s">
        <v>32</v>
      </c>
      <c r="C406" s="18" t="s">
        <v>137</v>
      </c>
      <c r="D406" s="18" t="s">
        <v>161</v>
      </c>
      <c r="E406" s="18">
        <v>1086</v>
      </c>
      <c r="F406" s="18" t="s">
        <v>35</v>
      </c>
      <c r="J406" s="19">
        <v>0.58630000000000004</v>
      </c>
      <c r="K406" s="19">
        <v>0.40201005000000001</v>
      </c>
      <c r="L406" s="19">
        <v>0.65610000000000002</v>
      </c>
      <c r="M406" s="19">
        <v>0.51060000000000005</v>
      </c>
      <c r="N406" s="19">
        <v>0.42620000000000002</v>
      </c>
      <c r="O406" s="19">
        <v>0.57689999999999997</v>
      </c>
      <c r="P406" s="20">
        <v>41430</v>
      </c>
      <c r="Q406" s="21" t="str">
        <f>HYPERLINK("https://www.northpark.edu/Financial-Aid/Undergraduate/Cost/Net-Price-Calculator", "$17918")</f>
        <v>$17918</v>
      </c>
      <c r="R406" s="20">
        <v>18188</v>
      </c>
      <c r="S406" s="20">
        <v>20667</v>
      </c>
      <c r="T406" s="20">
        <v>3500</v>
      </c>
      <c r="U406" s="20">
        <v>14418</v>
      </c>
      <c r="W406" s="19">
        <v>0.38290000000000002</v>
      </c>
      <c r="X406" s="19">
        <v>0.58719999999999994</v>
      </c>
      <c r="Z406" s="18">
        <v>2018</v>
      </c>
    </row>
    <row r="407" spans="1:26" ht="15.75" customHeight="1" x14ac:dyDescent="0.2">
      <c r="A407" s="36" t="str">
        <f>HYPERLINK("https://www.neiu.edu/", "Northeastern Illinois University")</f>
        <v>Northeastern Illinois University</v>
      </c>
      <c r="B407" s="18" t="s">
        <v>49</v>
      </c>
      <c r="C407" s="18" t="s">
        <v>137</v>
      </c>
      <c r="D407" s="18" t="s">
        <v>161</v>
      </c>
      <c r="E407" s="18">
        <v>910</v>
      </c>
      <c r="F407" s="18" t="s">
        <v>35</v>
      </c>
      <c r="J407" s="19">
        <v>0.23019999999999999</v>
      </c>
      <c r="K407" s="19">
        <v>0.38115942000000003</v>
      </c>
      <c r="L407" s="19">
        <v>0.36620000000000003</v>
      </c>
      <c r="M407" s="19">
        <v>8.1100000000000005E-2</v>
      </c>
      <c r="N407" s="19">
        <v>0.1928</v>
      </c>
      <c r="O407" s="19">
        <v>0.26879999999999998</v>
      </c>
      <c r="P407" s="20">
        <v>40105</v>
      </c>
      <c r="Q407" s="21" t="str">
        <f>HYPERLINK("https://www.neiu.edu/financial-aid/financing-your-education/calculating-your-net-cost", "$32538")</f>
        <v>$32538</v>
      </c>
      <c r="R407" s="20">
        <v>36040</v>
      </c>
      <c r="S407" s="20">
        <v>39518</v>
      </c>
      <c r="T407" s="20">
        <v>8889</v>
      </c>
      <c r="U407" s="20">
        <v>23649.909090909088</v>
      </c>
      <c r="W407" s="19">
        <v>0.47849999999999998</v>
      </c>
      <c r="X407" s="19">
        <v>0.72</v>
      </c>
      <c r="Z407" s="18">
        <v>7014</v>
      </c>
    </row>
    <row r="408" spans="1:26" ht="15.75" customHeight="1" x14ac:dyDescent="0.2">
      <c r="A408" s="36" t="str">
        <f>HYPERLINK("https://nau.edu/", "Northern Arizona University")</f>
        <v>Northern Arizona University</v>
      </c>
      <c r="B408" s="18" t="s">
        <v>49</v>
      </c>
      <c r="C408" s="18" t="s">
        <v>354</v>
      </c>
      <c r="D408" s="18" t="s">
        <v>1014</v>
      </c>
      <c r="E408" s="18" t="s">
        <v>36</v>
      </c>
      <c r="F408" s="18" t="s">
        <v>90</v>
      </c>
      <c r="J408" s="19">
        <v>0.55289999999999995</v>
      </c>
      <c r="K408" s="19">
        <v>0.46264940199999999</v>
      </c>
      <c r="L408" s="19">
        <v>0.59289999999999998</v>
      </c>
      <c r="M408" s="19">
        <v>0.33329999999999999</v>
      </c>
      <c r="N408" s="19">
        <v>0.48</v>
      </c>
      <c r="O408" s="19">
        <v>0.48980000000000001</v>
      </c>
      <c r="P408" s="20">
        <v>40705</v>
      </c>
      <c r="Q408" s="21" t="str">
        <f>HYPERLINK("https://nau.edu/office-of-scholarships-and-financial-aid/budgeting-for-college/", "$26047")</f>
        <v>$26047</v>
      </c>
      <c r="R408" s="20">
        <v>28716</v>
      </c>
      <c r="S408" s="20">
        <v>32365</v>
      </c>
      <c r="T408" s="20">
        <v>5920</v>
      </c>
      <c r="U408" s="20">
        <v>20127.562694300519</v>
      </c>
      <c r="W408" s="19">
        <v>0.34620000000000001</v>
      </c>
      <c r="X408" s="19">
        <v>0.43120000000000003</v>
      </c>
      <c r="Z408" s="18">
        <v>26974</v>
      </c>
    </row>
    <row r="409" spans="1:26" ht="15.75" customHeight="1" x14ac:dyDescent="0.2">
      <c r="A409" s="36" t="str">
        <f>HYPERLINK("https://www.niu.edu", "Northern Illinois University")</f>
        <v>Northern Illinois University</v>
      </c>
      <c r="B409" s="18" t="s">
        <v>49</v>
      </c>
      <c r="C409" s="18" t="s">
        <v>137</v>
      </c>
      <c r="D409" s="18" t="s">
        <v>1016</v>
      </c>
      <c r="E409" s="18">
        <v>1085</v>
      </c>
      <c r="F409" s="18" t="s">
        <v>35</v>
      </c>
      <c r="J409" s="19">
        <v>0.44969999999999999</v>
      </c>
      <c r="K409" s="19">
        <v>0.48306997699999998</v>
      </c>
      <c r="L409" s="19">
        <v>0.54449999999999998</v>
      </c>
      <c r="M409" s="19">
        <v>0.29399999999999998</v>
      </c>
      <c r="N409" s="19">
        <v>0.38119999999999998</v>
      </c>
      <c r="O409" s="19">
        <v>0.51959999999999995</v>
      </c>
      <c r="P409" s="20">
        <v>38314</v>
      </c>
      <c r="Q409" s="21" t="str">
        <f>HYPERLINK("https://www.niu.edu/bursar/tuition/estimator.shtml", "$26958")</f>
        <v>$26958</v>
      </c>
      <c r="R409" s="20">
        <v>28969</v>
      </c>
      <c r="S409" s="20">
        <v>32159</v>
      </c>
      <c r="T409" s="20">
        <v>3618</v>
      </c>
      <c r="U409" s="20">
        <v>23340.97288676236</v>
      </c>
      <c r="W409" s="19">
        <v>0.4279</v>
      </c>
      <c r="X409" s="19">
        <v>0.45209999999999989</v>
      </c>
      <c r="Z409" s="18">
        <v>13430</v>
      </c>
    </row>
    <row r="410" spans="1:26" ht="15.75" customHeight="1" x14ac:dyDescent="0.2">
      <c r="A410" s="36" t="str">
        <f>HYPERLINK("https://www.nku.edu", "Northern Kentucky University")</f>
        <v>Northern Kentucky University</v>
      </c>
      <c r="B410" s="18" t="s">
        <v>49</v>
      </c>
      <c r="C410" s="18" t="s">
        <v>205</v>
      </c>
      <c r="D410" s="18" t="s">
        <v>1017</v>
      </c>
      <c r="E410" s="18">
        <v>1142</v>
      </c>
      <c r="F410" s="18" t="s">
        <v>35</v>
      </c>
      <c r="J410" s="19">
        <v>0.3967</v>
      </c>
      <c r="K410" s="19">
        <v>0.36866791700000001</v>
      </c>
      <c r="L410" s="19">
        <v>0.41020000000000001</v>
      </c>
      <c r="M410" s="19">
        <v>0.26590000000000003</v>
      </c>
      <c r="N410" s="19">
        <v>0.28070000000000001</v>
      </c>
      <c r="O410" s="19">
        <v>0.2727</v>
      </c>
      <c r="P410" s="20">
        <v>32136</v>
      </c>
      <c r="Q410" s="21" t="str">
        <f>HYPERLINK("https://nku.studentaidcalculator.com/welcome.aspx", "$20104")</f>
        <v>$20104</v>
      </c>
      <c r="R410" s="20">
        <v>24783</v>
      </c>
      <c r="S410" s="20">
        <v>27899</v>
      </c>
      <c r="T410" s="20">
        <v>3300</v>
      </c>
      <c r="U410" s="20">
        <v>16804.95404814004</v>
      </c>
      <c r="W410" s="19">
        <v>0.30959999999999999</v>
      </c>
      <c r="X410" s="19">
        <v>0.18740000000000001</v>
      </c>
      <c r="Z410" s="18">
        <v>10728</v>
      </c>
    </row>
    <row r="411" spans="1:26" ht="15.75" customHeight="1" x14ac:dyDescent="0.2">
      <c r="A411" s="36" t="str">
        <f>HYPERLINK("https://www.northern.edu", "Northern State University")</f>
        <v>Northern State University</v>
      </c>
      <c r="B411" s="18" t="s">
        <v>49</v>
      </c>
      <c r="C411" s="18" t="s">
        <v>302</v>
      </c>
      <c r="D411" s="18" t="s">
        <v>814</v>
      </c>
      <c r="E411" s="18">
        <v>1083</v>
      </c>
      <c r="F411" s="18" t="s">
        <v>35</v>
      </c>
      <c r="J411" s="19">
        <v>0.45119999999999999</v>
      </c>
      <c r="K411" s="19">
        <v>0.27272727299999999</v>
      </c>
      <c r="L411" s="19">
        <v>0.46850000000000003</v>
      </c>
      <c r="M411" s="19">
        <v>0.5</v>
      </c>
      <c r="N411" s="19">
        <v>0</v>
      </c>
      <c r="O411" s="19">
        <v>0</v>
      </c>
      <c r="P411" s="20">
        <v>24254</v>
      </c>
      <c r="Q411" s="21" t="str">
        <f>HYPERLINK("https://www.northern.edu/net-price-calculator", "$16120")</f>
        <v>$16120</v>
      </c>
      <c r="R411" s="20">
        <v>20835</v>
      </c>
      <c r="S411" s="20">
        <v>22135</v>
      </c>
      <c r="T411" s="20">
        <v>5200</v>
      </c>
      <c r="U411" s="20">
        <v>10920.32051282051</v>
      </c>
      <c r="W411" s="19">
        <v>0.17069999999999999</v>
      </c>
      <c r="X411" s="19">
        <v>0.19020000000000001</v>
      </c>
      <c r="Z411" s="18">
        <v>1488</v>
      </c>
    </row>
    <row r="412" spans="1:26" ht="15.75" customHeight="1" x14ac:dyDescent="0.2">
      <c r="A412" s="36" t="str">
        <f>HYPERLINK("https://www.northernvermont.edu", "Johnson State College")</f>
        <v>Johnson State College</v>
      </c>
      <c r="B412" s="18" t="s">
        <v>49</v>
      </c>
      <c r="C412" s="18" t="s">
        <v>47</v>
      </c>
      <c r="D412" s="18" t="s">
        <v>1019</v>
      </c>
      <c r="E412" s="18">
        <v>1022</v>
      </c>
      <c r="F412" s="18" t="s">
        <v>115</v>
      </c>
      <c r="J412" s="19">
        <v>0.37819999999999998</v>
      </c>
      <c r="K412" s="19">
        <v>0.37391304400000003</v>
      </c>
      <c r="L412" s="19">
        <v>0.36940000000000001</v>
      </c>
      <c r="M412" s="19">
        <v>0.16669999999999999</v>
      </c>
      <c r="N412" s="19">
        <v>0.63639999999999997</v>
      </c>
      <c r="O412" s="19">
        <v>0.5</v>
      </c>
      <c r="P412" s="20">
        <v>37930</v>
      </c>
      <c r="Q412" s="21" t="str">
        <f>HYPERLINK("https://www.northernvermont.edu/admissions-and-aid/tuition-and-fees/calculate-net-cost", "$26894")</f>
        <v>$26894</v>
      </c>
      <c r="R412" s="20">
        <v>29331</v>
      </c>
      <c r="S412" s="20">
        <v>33034</v>
      </c>
      <c r="T412" s="20">
        <v>2950</v>
      </c>
      <c r="U412" s="20">
        <v>23944.074074074069</v>
      </c>
      <c r="W412" s="19">
        <v>0.47939999999999999</v>
      </c>
      <c r="X412" s="19">
        <v>0.21560000000000001</v>
      </c>
      <c r="Z412" s="18">
        <v>1317</v>
      </c>
    </row>
    <row r="413" spans="1:26" ht="15.75" customHeight="1" x14ac:dyDescent="0.2">
      <c r="A413" s="36" t="str">
        <f>HYPERLINK("https://www.northland.edu", "Northland College")</f>
        <v>Northland College</v>
      </c>
      <c r="B413" s="18" t="s">
        <v>32</v>
      </c>
      <c r="C413" s="18" t="s">
        <v>196</v>
      </c>
      <c r="D413" s="18" t="s">
        <v>563</v>
      </c>
      <c r="E413" s="18" t="s">
        <v>36</v>
      </c>
      <c r="F413" s="18" t="s">
        <v>45</v>
      </c>
      <c r="J413" s="19">
        <v>0.63700000000000001</v>
      </c>
      <c r="K413" s="19">
        <v>0.33333333300000001</v>
      </c>
      <c r="L413" s="19">
        <v>0.68700000000000006</v>
      </c>
      <c r="M413" s="19">
        <v>0</v>
      </c>
      <c r="N413" s="19">
        <v>0.45450000000000002</v>
      </c>
      <c r="O413" s="19">
        <v>1</v>
      </c>
      <c r="P413" s="20">
        <v>47493</v>
      </c>
      <c r="Q413" s="21" t="str">
        <f>HYPERLINK("https://applynow.northland.edu/register/NPC", "$14092")</f>
        <v>$14092</v>
      </c>
      <c r="R413" s="20">
        <v>17882</v>
      </c>
      <c r="S413" s="20">
        <v>21906</v>
      </c>
      <c r="T413" s="20">
        <v>3450</v>
      </c>
      <c r="U413" s="20">
        <v>10642</v>
      </c>
      <c r="W413" s="19">
        <v>0.3402</v>
      </c>
      <c r="X413" s="19">
        <v>0.20430000000000001</v>
      </c>
      <c r="Z413" s="18">
        <v>602</v>
      </c>
    </row>
    <row r="414" spans="1:26" ht="15.75" customHeight="1" x14ac:dyDescent="0.2">
      <c r="A414" s="36" t="str">
        <f>HYPERLINK("https://www.nwmissouri.edu", "Northwest Missouri State University")</f>
        <v>Northwest Missouri State University</v>
      </c>
      <c r="B414" s="18" t="s">
        <v>49</v>
      </c>
      <c r="C414" s="18" t="s">
        <v>164</v>
      </c>
      <c r="D414" s="18" t="s">
        <v>413</v>
      </c>
      <c r="E414" s="18">
        <v>1124</v>
      </c>
      <c r="F414" s="18" t="s">
        <v>35</v>
      </c>
      <c r="J414" s="19">
        <v>0.49780000000000002</v>
      </c>
      <c r="K414" s="19">
        <v>0.35990888399999998</v>
      </c>
      <c r="L414" s="19">
        <v>0.51539999999999997</v>
      </c>
      <c r="M414" s="19">
        <v>0.25</v>
      </c>
      <c r="N414" s="19">
        <v>0.46</v>
      </c>
      <c r="O414" s="19">
        <v>0.75</v>
      </c>
      <c r="P414" s="20">
        <v>24597</v>
      </c>
      <c r="Q414" s="21" t="str">
        <f>HYPERLINK("https://www.nwmissouri.edu/finaid/net-price-calculator/", "$13851")</f>
        <v>$13851</v>
      </c>
      <c r="R414" s="20">
        <v>17497</v>
      </c>
      <c r="S414" s="20">
        <v>20282</v>
      </c>
      <c r="T414" s="20">
        <v>2975</v>
      </c>
      <c r="U414" s="20">
        <v>10876.750902527079</v>
      </c>
      <c r="W414" s="19">
        <v>0.31909999999999999</v>
      </c>
      <c r="X414" s="19">
        <v>0.19589999999999999</v>
      </c>
      <c r="Z414" s="18">
        <v>5065</v>
      </c>
    </row>
    <row r="415" spans="1:26" ht="15.75" customHeight="1" x14ac:dyDescent="0.2">
      <c r="A415" s="36" t="str">
        <f>HYPERLINK("https://www.nnu.edu", "Northwest Nazarene University")</f>
        <v>Northwest Nazarene University</v>
      </c>
      <c r="B415" s="18" t="s">
        <v>32</v>
      </c>
      <c r="C415" s="18" t="s">
        <v>486</v>
      </c>
      <c r="D415" s="18" t="s">
        <v>1021</v>
      </c>
      <c r="E415" s="18">
        <v>1142</v>
      </c>
      <c r="F415" s="18" t="s">
        <v>35</v>
      </c>
      <c r="J415" s="19">
        <v>0.55859999999999999</v>
      </c>
      <c r="K415" s="19">
        <v>0.45762711900000003</v>
      </c>
      <c r="L415" s="19">
        <v>0.57279999999999998</v>
      </c>
      <c r="M415" s="19">
        <v>1</v>
      </c>
      <c r="N415" s="19">
        <v>0.52170000000000005</v>
      </c>
      <c r="O415" s="19">
        <v>0</v>
      </c>
      <c r="P415" s="20">
        <v>39690</v>
      </c>
      <c r="Q415" s="21" t="str">
        <f>HYPERLINK("https://nnu.studentaidcalculator.com/survey.aspx", "$16902")</f>
        <v>$16902</v>
      </c>
      <c r="R415" s="20">
        <v>17986</v>
      </c>
      <c r="S415" s="20">
        <v>20888</v>
      </c>
      <c r="T415" s="20">
        <v>3690</v>
      </c>
      <c r="U415" s="20">
        <v>13212</v>
      </c>
      <c r="W415" s="19">
        <v>0.375</v>
      </c>
      <c r="X415" s="19">
        <v>0.22159999999999999</v>
      </c>
      <c r="Z415" s="18">
        <v>1268</v>
      </c>
    </row>
    <row r="416" spans="1:26" ht="15.75" customHeight="1" x14ac:dyDescent="0.2">
      <c r="A416" s="36" t="str">
        <f>HYPERLINK("https://www.northwestu.edu", "Northwest University")</f>
        <v>Northwest University</v>
      </c>
      <c r="B416" s="18" t="s">
        <v>32</v>
      </c>
      <c r="C416" s="18" t="s">
        <v>184</v>
      </c>
      <c r="D416" s="18" t="s">
        <v>1022</v>
      </c>
      <c r="E416" s="18">
        <v>1122</v>
      </c>
      <c r="F416" s="18" t="s">
        <v>35</v>
      </c>
      <c r="J416" s="19">
        <v>0.58860000000000001</v>
      </c>
      <c r="K416" s="19">
        <v>0.39423076899999998</v>
      </c>
      <c r="L416" s="19">
        <v>0.61650000000000005</v>
      </c>
      <c r="M416" s="19">
        <v>0.1429</v>
      </c>
      <c r="N416" s="19">
        <v>0.63639999999999997</v>
      </c>
      <c r="O416" s="19">
        <v>0.66669999999999996</v>
      </c>
      <c r="P416" s="20">
        <v>41990</v>
      </c>
      <c r="Q416" s="21" t="str">
        <f>HYPERLINK("https://tcc.noellevitz.com/(S(uktpuecywdncxhdcl50tvx3l))/Northwest%20University/Freshman%20Students", "$17333")</f>
        <v>$17333</v>
      </c>
      <c r="R416" s="20">
        <v>19121</v>
      </c>
      <c r="S416" s="20">
        <v>22671</v>
      </c>
      <c r="T416" s="20">
        <v>3270</v>
      </c>
      <c r="U416" s="20">
        <v>14063</v>
      </c>
      <c r="W416" s="19">
        <v>0.3145</v>
      </c>
      <c r="X416" s="19">
        <v>0.32600000000000001</v>
      </c>
      <c r="Z416" s="18">
        <v>911</v>
      </c>
    </row>
    <row r="417" spans="1:26" ht="15.75" customHeight="1" x14ac:dyDescent="0.2">
      <c r="A417" s="36" t="str">
        <f>HYPERLINK("https://www.nsula.edu/", "Northwestern State University of Louisiana")</f>
        <v>Northwestern State University of Louisiana</v>
      </c>
      <c r="B417" s="18" t="s">
        <v>49</v>
      </c>
      <c r="C417" s="18" t="s">
        <v>158</v>
      </c>
      <c r="D417" s="18" t="s">
        <v>1024</v>
      </c>
      <c r="E417" s="18">
        <v>1083</v>
      </c>
      <c r="F417" s="18" t="s">
        <v>35</v>
      </c>
      <c r="J417" s="19">
        <v>0.39439999999999997</v>
      </c>
      <c r="K417" s="19">
        <v>0.40796555400000001</v>
      </c>
      <c r="L417" s="19">
        <v>0.40410000000000001</v>
      </c>
      <c r="M417" s="19">
        <v>0.3473</v>
      </c>
      <c r="N417" s="19">
        <v>0.19350000000000001</v>
      </c>
      <c r="O417" s="19">
        <v>1</v>
      </c>
      <c r="P417" s="20">
        <v>32187</v>
      </c>
      <c r="Q417" s="21" t="str">
        <f>HYPERLINK("https://www.nsula.edu/financialaid/cost-of-attendance/", "$22114")</f>
        <v>$22114</v>
      </c>
      <c r="R417" s="20">
        <v>24159</v>
      </c>
      <c r="S417" s="20">
        <v>25479</v>
      </c>
      <c r="T417" s="20">
        <v>4673</v>
      </c>
      <c r="U417" s="20">
        <v>17441.028571428571</v>
      </c>
      <c r="W417" s="19">
        <v>0.40129999999999999</v>
      </c>
      <c r="X417" s="19">
        <v>0.47399999999999998</v>
      </c>
      <c r="Z417" s="18">
        <v>7994</v>
      </c>
    </row>
    <row r="418" spans="1:26" ht="15.75" customHeight="1" x14ac:dyDescent="0.2">
      <c r="A418" s="36" t="str">
        <f>HYPERLINK("https://www.northwood.edu", "Northwood University-Michigan")</f>
        <v>Northwood University-Michigan</v>
      </c>
      <c r="B418" s="18" t="s">
        <v>32</v>
      </c>
      <c r="C418" s="18" t="s">
        <v>226</v>
      </c>
      <c r="D418" s="18" t="s">
        <v>710</v>
      </c>
      <c r="E418" s="18">
        <v>1095</v>
      </c>
      <c r="F418" s="18" t="s">
        <v>35</v>
      </c>
      <c r="J418" s="19">
        <v>0.55420000000000003</v>
      </c>
      <c r="K418" s="19">
        <v>0.43258426999999999</v>
      </c>
      <c r="L418" s="19">
        <v>0.63480000000000003</v>
      </c>
      <c r="M418" s="19">
        <v>0.35420000000000001</v>
      </c>
      <c r="N418" s="19">
        <v>0.31709999999999999</v>
      </c>
      <c r="O418" s="19">
        <v>0.8</v>
      </c>
      <c r="P418" s="20">
        <v>40376</v>
      </c>
      <c r="Q418" s="21" t="str">
        <f>HYPERLINK("https://www.northwood.edu/webapps/finaid/coa/", "$21352")</f>
        <v>$21352</v>
      </c>
      <c r="R418" s="20">
        <v>21809</v>
      </c>
      <c r="S418" s="20">
        <v>24945</v>
      </c>
      <c r="T418" s="20">
        <v>4126</v>
      </c>
      <c r="U418" s="20">
        <v>17226</v>
      </c>
      <c r="W418" s="19">
        <v>0.3095</v>
      </c>
      <c r="X418" s="19">
        <v>0.43089999999999989</v>
      </c>
      <c r="Z418" s="18">
        <v>2880</v>
      </c>
    </row>
    <row r="419" spans="1:26" ht="15.75" customHeight="1" x14ac:dyDescent="0.2">
      <c r="A419" s="36" t="str">
        <f>HYPERLINK("https://www.norwich.edu/", "Norwich University")</f>
        <v>Norwich University</v>
      </c>
      <c r="B419" s="18" t="s">
        <v>32</v>
      </c>
      <c r="C419" s="18" t="s">
        <v>47</v>
      </c>
      <c r="D419" s="18" t="s">
        <v>73</v>
      </c>
      <c r="E419" s="18" t="s">
        <v>36</v>
      </c>
      <c r="F419" s="18" t="s">
        <v>90</v>
      </c>
      <c r="J419" s="19">
        <v>0.59109999999999996</v>
      </c>
      <c r="K419" s="19">
        <v>0.52713178299999996</v>
      </c>
      <c r="L419" s="19">
        <v>0.62170000000000003</v>
      </c>
      <c r="M419" s="19">
        <v>0.16669999999999999</v>
      </c>
      <c r="N419" s="19">
        <v>0.4783</v>
      </c>
      <c r="O419" s="19">
        <v>0.57140000000000002</v>
      </c>
      <c r="P419" s="20">
        <v>56234</v>
      </c>
      <c r="Q419" s="21" t="str">
        <f>HYPERLINK("https://www.norwich.edu/financial-aid/net-price-calculator", "$15507")</f>
        <v>$15507</v>
      </c>
      <c r="R419" s="20">
        <v>19479</v>
      </c>
      <c r="S419" s="20">
        <v>23095</v>
      </c>
      <c r="T419" s="20">
        <v>4200</v>
      </c>
      <c r="U419" s="20">
        <v>11307</v>
      </c>
      <c r="W419" s="19">
        <v>0.26219999999999999</v>
      </c>
      <c r="X419" s="19">
        <v>0.2883</v>
      </c>
      <c r="Z419" s="18">
        <v>3160</v>
      </c>
    </row>
    <row r="420" spans="1:26" ht="15.75" customHeight="1" x14ac:dyDescent="0.2">
      <c r="A420" s="36" t="str">
        <f>HYPERLINK("https://www.notredamecollege.edu", "Notre Dame College")</f>
        <v>Notre Dame College</v>
      </c>
      <c r="B420" s="18" t="s">
        <v>32</v>
      </c>
      <c r="C420" s="18" t="s">
        <v>75</v>
      </c>
      <c r="D420" s="18" t="s">
        <v>76</v>
      </c>
      <c r="E420" s="18">
        <v>994</v>
      </c>
      <c r="F420" s="18" t="s">
        <v>35</v>
      </c>
      <c r="J420" s="19">
        <v>0.36549999999999999</v>
      </c>
      <c r="K420" s="19">
        <v>0.25738396600000002</v>
      </c>
      <c r="L420" s="19">
        <v>0.41389999999999999</v>
      </c>
      <c r="M420" s="19">
        <v>0.23749999999999999</v>
      </c>
      <c r="N420" s="19">
        <v>0.25</v>
      </c>
      <c r="O420" s="19">
        <v>0.83330000000000004</v>
      </c>
      <c r="P420" s="20">
        <v>44290</v>
      </c>
      <c r="Q420" s="21" t="str">
        <f>HYPERLINK("https://www.notredamecollege.edu/admissions/undergraduate/NDC-Net-Price-Calculator", "$17220")</f>
        <v>$17220</v>
      </c>
      <c r="R420" s="20">
        <v>22934</v>
      </c>
      <c r="S420" s="20">
        <v>24228</v>
      </c>
      <c r="T420" s="20">
        <v>4490</v>
      </c>
      <c r="U420" s="20">
        <v>12730</v>
      </c>
      <c r="W420" s="19">
        <v>0.33960000000000001</v>
      </c>
      <c r="X420" s="19">
        <v>0.46400000000000002</v>
      </c>
      <c r="Z420" s="18">
        <v>1500</v>
      </c>
    </row>
    <row r="421" spans="1:26" ht="15.75" customHeight="1" x14ac:dyDescent="0.2">
      <c r="A421" s="36" t="str">
        <f>HYPERLINK("https://www.ndm.edu", "Notre Dame of Maryland University")</f>
        <v>Notre Dame of Maryland University</v>
      </c>
      <c r="B421" s="18" t="s">
        <v>32</v>
      </c>
      <c r="C421" s="18" t="s">
        <v>124</v>
      </c>
      <c r="D421" s="18" t="s">
        <v>125</v>
      </c>
      <c r="E421" s="18">
        <v>993</v>
      </c>
      <c r="F421" s="18" t="s">
        <v>115</v>
      </c>
      <c r="J421" s="19">
        <v>0.43070000000000003</v>
      </c>
      <c r="K421" s="19">
        <v>0.49122807000000002</v>
      </c>
      <c r="L421" s="19">
        <v>0.53449999999999998</v>
      </c>
      <c r="M421" s="19">
        <v>0.36</v>
      </c>
      <c r="N421" s="19">
        <v>0.36359999999999998</v>
      </c>
      <c r="O421" s="19">
        <v>0.44440000000000002</v>
      </c>
      <c r="P421" s="20">
        <v>50420</v>
      </c>
      <c r="Q421" s="21" t="str">
        <f>HYPERLINK("https://www.ndm.edu/admissions/financial-aid/net-price-calculator/", "$16002")</f>
        <v>$16002</v>
      </c>
      <c r="R421" s="20">
        <v>14617</v>
      </c>
      <c r="S421" s="20" t="s">
        <v>36</v>
      </c>
      <c r="T421" s="20">
        <v>2850</v>
      </c>
      <c r="U421" s="20">
        <v>13152</v>
      </c>
      <c r="W421" s="19">
        <v>0.33179999999999998</v>
      </c>
      <c r="X421" s="19">
        <v>0.55689999999999995</v>
      </c>
      <c r="Z421" s="18">
        <v>808</v>
      </c>
    </row>
    <row r="422" spans="1:26" ht="15.75" customHeight="1" x14ac:dyDescent="0.2">
      <c r="A422" s="36" t="str">
        <f>HYPERLINK("https://www.nyack.edu/consumerinfo", "Nyack College")</f>
        <v>Nyack College</v>
      </c>
      <c r="B422" s="18" t="s">
        <v>32</v>
      </c>
      <c r="C422" s="18" t="s">
        <v>38</v>
      </c>
      <c r="D422" s="18" t="s">
        <v>1025</v>
      </c>
      <c r="E422" s="18">
        <v>995</v>
      </c>
      <c r="F422" s="18" t="s">
        <v>35</v>
      </c>
      <c r="G422" s="18" t="s">
        <v>40</v>
      </c>
      <c r="H422" s="18" t="s">
        <v>1026</v>
      </c>
      <c r="I422" s="18" t="s">
        <v>1027</v>
      </c>
      <c r="J422" s="19">
        <v>0.4456</v>
      </c>
      <c r="K422" s="19">
        <v>0.315028902</v>
      </c>
      <c r="L422" s="19">
        <v>0.55320000000000003</v>
      </c>
      <c r="M422" s="19">
        <v>0.36620000000000003</v>
      </c>
      <c r="N422" s="19">
        <v>0.3523</v>
      </c>
      <c r="O422" s="19">
        <v>0.61109999999999998</v>
      </c>
      <c r="P422" s="20">
        <v>40395</v>
      </c>
      <c r="Q422" s="21" t="str">
        <f>HYPERLINK("https://www.nyack.edu/netcalc", "$19929")</f>
        <v>$19929</v>
      </c>
      <c r="R422" s="20">
        <v>21931</v>
      </c>
      <c r="S422" s="20">
        <v>24237</v>
      </c>
      <c r="T422" s="20">
        <v>5595</v>
      </c>
      <c r="U422" s="20">
        <v>14334</v>
      </c>
      <c r="W422" s="19">
        <v>0.56510000000000005</v>
      </c>
      <c r="X422" s="19">
        <v>0.78659999999999997</v>
      </c>
      <c r="Z422" s="18">
        <v>1387</v>
      </c>
    </row>
    <row r="423" spans="1:26" ht="15.75" customHeight="1" x14ac:dyDescent="0.2">
      <c r="A423" s="36" t="str">
        <f>HYPERLINK("https://www2.oakwood.edu", "Oakwood University")</f>
        <v>Oakwood University</v>
      </c>
      <c r="B423" s="18" t="s">
        <v>32</v>
      </c>
      <c r="C423" s="18" t="s">
        <v>300</v>
      </c>
      <c r="D423" s="18" t="s">
        <v>497</v>
      </c>
      <c r="E423" s="18">
        <v>1005</v>
      </c>
      <c r="F423" s="18" t="s">
        <v>35</v>
      </c>
      <c r="J423" s="19">
        <v>0.47149999999999997</v>
      </c>
      <c r="K423" s="19">
        <v>0.26630434800000002</v>
      </c>
      <c r="L423" s="19" t="s">
        <v>36</v>
      </c>
      <c r="M423" s="19">
        <v>0.45269999999999999</v>
      </c>
      <c r="N423" s="19">
        <v>0</v>
      </c>
      <c r="O423" s="19">
        <v>0</v>
      </c>
      <c r="P423" s="20">
        <v>35750</v>
      </c>
      <c r="Q423" s="21" t="str">
        <f>HYPERLINK("https://oakwood.studentaidcalculator.com", "$24498")</f>
        <v>$24498</v>
      </c>
      <c r="R423" s="20">
        <v>25937</v>
      </c>
      <c r="S423" s="20">
        <v>29755</v>
      </c>
      <c r="T423" s="20">
        <v>9330</v>
      </c>
      <c r="U423" s="20">
        <v>15168</v>
      </c>
      <c r="W423" s="19">
        <v>0.52680000000000005</v>
      </c>
      <c r="X423" s="19">
        <v>0.99509999999999998</v>
      </c>
      <c r="Z423" s="18">
        <v>1623</v>
      </c>
    </row>
    <row r="424" spans="1:26" ht="15.75" customHeight="1" x14ac:dyDescent="0.2">
      <c r="A424" s="36" t="str">
        <f>HYPERLINK("https://www.ohiodominican.edu", "Ohio Dominican University")</f>
        <v>Ohio Dominican University</v>
      </c>
      <c r="B424" s="18" t="s">
        <v>32</v>
      </c>
      <c r="C424" s="18" t="s">
        <v>75</v>
      </c>
      <c r="D424" s="18" t="s">
        <v>237</v>
      </c>
      <c r="E424" s="18">
        <v>1086</v>
      </c>
      <c r="F424" s="18" t="s">
        <v>115</v>
      </c>
      <c r="J424" s="19">
        <v>0.47399999999999998</v>
      </c>
      <c r="K424" s="19">
        <v>0.34671532900000002</v>
      </c>
      <c r="L424" s="19">
        <v>0.51419999999999999</v>
      </c>
      <c r="M424" s="19">
        <v>0.41789999999999999</v>
      </c>
      <c r="N424" s="19">
        <v>0.71430000000000005</v>
      </c>
      <c r="O424" s="19">
        <v>0</v>
      </c>
      <c r="P424" s="20">
        <v>45220</v>
      </c>
      <c r="Q424" s="21" t="str">
        <f>HYPERLINK("https://www.ohiodominican.edu/finaid", "$17470")</f>
        <v>$17470</v>
      </c>
      <c r="R424" s="20">
        <v>19444</v>
      </c>
      <c r="S424" s="20">
        <v>20386</v>
      </c>
      <c r="T424" s="20">
        <v>3212</v>
      </c>
      <c r="U424" s="20">
        <v>14258</v>
      </c>
      <c r="W424" s="19">
        <v>0.25669999999999998</v>
      </c>
      <c r="X424" s="19">
        <v>0.44009999999999999</v>
      </c>
      <c r="Z424" s="18">
        <v>1077</v>
      </c>
    </row>
    <row r="425" spans="1:26" ht="15.75" customHeight="1" x14ac:dyDescent="0.2">
      <c r="A425" s="36" t="str">
        <f>HYPERLINK("https://www.ohio.edu", "Ohio University-Main Campus")</f>
        <v>Ohio University-Main Campus</v>
      </c>
      <c r="B425" s="18" t="s">
        <v>49</v>
      </c>
      <c r="C425" s="18" t="s">
        <v>75</v>
      </c>
      <c r="D425" s="18" t="s">
        <v>278</v>
      </c>
      <c r="E425" s="18">
        <v>1183</v>
      </c>
      <c r="F425" s="18" t="s">
        <v>35</v>
      </c>
      <c r="J425" s="19">
        <v>0.64080000000000004</v>
      </c>
      <c r="K425" s="19">
        <v>0.25959723099999998</v>
      </c>
      <c r="L425" s="19">
        <v>0.65369999999999995</v>
      </c>
      <c r="M425" s="19">
        <v>0.54069999999999996</v>
      </c>
      <c r="N425" s="19">
        <v>0.56859999999999999</v>
      </c>
      <c r="O425" s="19">
        <v>0.56520000000000004</v>
      </c>
      <c r="P425" s="20">
        <v>36706</v>
      </c>
      <c r="Q425" s="21" t="str">
        <f>HYPERLINK("https://npc.collegeboard.org/app/ohio", "$26586")</f>
        <v>$26586</v>
      </c>
      <c r="R425" s="20">
        <v>30777</v>
      </c>
      <c r="S425" s="20">
        <v>33411</v>
      </c>
      <c r="T425" s="20">
        <v>3748</v>
      </c>
      <c r="U425" s="20">
        <v>22838.71727748691</v>
      </c>
      <c r="W425" s="19">
        <v>0.26629999999999998</v>
      </c>
      <c r="X425" s="19">
        <v>0.16779999999999989</v>
      </c>
      <c r="Z425" s="18">
        <v>22936</v>
      </c>
    </row>
    <row r="426" spans="1:26" ht="15.75" customHeight="1" x14ac:dyDescent="0.2">
      <c r="A426" s="36" t="str">
        <f>HYPERLINK("https://www.owu.edu/", "Ohio Wesleyan University")</f>
        <v>Ohio Wesleyan University</v>
      </c>
      <c r="B426" s="18" t="s">
        <v>32</v>
      </c>
      <c r="C426" s="18" t="s">
        <v>75</v>
      </c>
      <c r="D426" s="18" t="s">
        <v>1030</v>
      </c>
      <c r="E426" s="18" t="s">
        <v>36</v>
      </c>
      <c r="F426" s="18" t="s">
        <v>90</v>
      </c>
      <c r="J426" s="19">
        <v>0.69569999999999999</v>
      </c>
      <c r="K426" s="19">
        <v>0.54838709699999999</v>
      </c>
      <c r="L426" s="19">
        <v>0.74170000000000003</v>
      </c>
      <c r="M426" s="19">
        <v>0.56000000000000005</v>
      </c>
      <c r="N426" s="19">
        <v>0.76470000000000005</v>
      </c>
      <c r="O426" s="19">
        <v>0.71430000000000005</v>
      </c>
      <c r="P426" s="20">
        <v>60350</v>
      </c>
      <c r="Q426" s="21" t="str">
        <f>HYPERLINK("https://finaid.owu.edu/", "$20291")</f>
        <v>$20291</v>
      </c>
      <c r="R426" s="20">
        <v>22156</v>
      </c>
      <c r="S426" s="20">
        <v>27467</v>
      </c>
      <c r="T426" s="20">
        <v>3200</v>
      </c>
      <c r="U426" s="20">
        <v>17091</v>
      </c>
      <c r="W426" s="19">
        <v>0.28139999999999998</v>
      </c>
      <c r="X426" s="19">
        <v>0.31380000000000002</v>
      </c>
      <c r="Z426" s="18">
        <v>1549</v>
      </c>
    </row>
    <row r="427" spans="1:26" ht="15.75" customHeight="1" x14ac:dyDescent="0.2">
      <c r="A427" s="36" t="str">
        <f>HYPERLINK("https://www.okwu.edu", "Oklahoma Wesleyan University")</f>
        <v>Oklahoma Wesleyan University</v>
      </c>
      <c r="B427" s="18" t="s">
        <v>32</v>
      </c>
      <c r="C427" s="18" t="s">
        <v>290</v>
      </c>
      <c r="D427" s="18" t="s">
        <v>1032</v>
      </c>
      <c r="E427" s="18">
        <v>1048</v>
      </c>
      <c r="F427" s="18" t="s">
        <v>35</v>
      </c>
      <c r="J427" s="19">
        <v>0.45450000000000002</v>
      </c>
      <c r="K427" s="19">
        <v>0.47368421100000002</v>
      </c>
      <c r="L427" s="19">
        <v>0.59699999999999998</v>
      </c>
      <c r="M427" s="19">
        <v>0.41670000000000001</v>
      </c>
      <c r="N427" s="19">
        <v>0.4138</v>
      </c>
      <c r="O427" s="19" t="s">
        <v>36</v>
      </c>
      <c r="P427" s="20">
        <v>39326</v>
      </c>
      <c r="Q427" s="21" t="str">
        <f>HYPERLINK("https://www.okwu.edu/net-price-calculator/npcalc.htm", "$23726")</f>
        <v>$23726</v>
      </c>
      <c r="R427" s="20">
        <v>25998</v>
      </c>
      <c r="S427" s="20">
        <v>28742</v>
      </c>
      <c r="T427" s="20">
        <v>4892</v>
      </c>
      <c r="U427" s="20">
        <v>18834</v>
      </c>
      <c r="W427" s="19">
        <v>0.40100000000000002</v>
      </c>
      <c r="X427" s="19">
        <v>0.3569</v>
      </c>
      <c r="Z427" s="18">
        <v>1006</v>
      </c>
    </row>
    <row r="428" spans="1:26" ht="15.75" customHeight="1" x14ac:dyDescent="0.2">
      <c r="A428" s="36" t="str">
        <f>HYPERLINK("https://www.odu.edu", "Old Dominion University")</f>
        <v>Old Dominion University</v>
      </c>
      <c r="B428" s="18" t="s">
        <v>49</v>
      </c>
      <c r="C428" s="18" t="s">
        <v>83</v>
      </c>
      <c r="D428" s="18" t="s">
        <v>800</v>
      </c>
      <c r="E428" s="18">
        <v>1089</v>
      </c>
      <c r="F428" s="18" t="s">
        <v>35</v>
      </c>
      <c r="J428" s="19">
        <v>0.54400000000000004</v>
      </c>
      <c r="K428" s="19">
        <v>0.42135922299999989</v>
      </c>
      <c r="L428" s="19">
        <v>0.57650000000000001</v>
      </c>
      <c r="M428" s="19">
        <v>0.5</v>
      </c>
      <c r="N428" s="19">
        <v>0.51659999999999995</v>
      </c>
      <c r="O428" s="19">
        <v>0.60750000000000004</v>
      </c>
      <c r="P428" s="20">
        <v>43444</v>
      </c>
      <c r="Q428" s="21" t="str">
        <f>HYPERLINK("https://www.odu.edu/tuition-aid/financial-aid/net-price-calculator", "$31473")</f>
        <v>$31473</v>
      </c>
      <c r="R428" s="20">
        <v>36401</v>
      </c>
      <c r="S428" s="20">
        <v>39177</v>
      </c>
      <c r="T428" s="20">
        <v>4276</v>
      </c>
      <c r="U428" s="20">
        <v>27197.19059107358</v>
      </c>
      <c r="W428" s="19">
        <v>0.3735</v>
      </c>
      <c r="X428" s="19">
        <v>0.5534</v>
      </c>
      <c r="Z428" s="18">
        <v>19364</v>
      </c>
    </row>
    <row r="429" spans="1:26" ht="15.75" customHeight="1" x14ac:dyDescent="0.2">
      <c r="A429" s="36" t="str">
        <f>HYPERLINK("https://www.olivetcollege.edu", "Olivet College")</f>
        <v>Olivet College</v>
      </c>
      <c r="B429" s="18" t="s">
        <v>32</v>
      </c>
      <c r="C429" s="18" t="s">
        <v>226</v>
      </c>
      <c r="D429" s="18" t="s">
        <v>1034</v>
      </c>
      <c r="E429" s="18" t="s">
        <v>36</v>
      </c>
      <c r="F429" s="18" t="s">
        <v>115</v>
      </c>
      <c r="J429" s="19">
        <v>0.53239999999999998</v>
      </c>
      <c r="K429" s="19">
        <v>0.3984375</v>
      </c>
      <c r="L429" s="19">
        <v>0.50290000000000001</v>
      </c>
      <c r="M429" s="19">
        <v>0.7</v>
      </c>
      <c r="N429" s="19">
        <v>0.5625</v>
      </c>
      <c r="O429" s="19" t="s">
        <v>36</v>
      </c>
      <c r="P429" s="20">
        <v>39971</v>
      </c>
      <c r="Q429" s="21" t="str">
        <f>HYPERLINK("https://www.olivetcollege.edu/undergraduate/tuition-financial-aid/net-price-calculator/", "$18235")</f>
        <v>$18235</v>
      </c>
      <c r="R429" s="20">
        <v>18770</v>
      </c>
      <c r="S429" s="20">
        <v>22450</v>
      </c>
      <c r="T429" s="20">
        <v>3966</v>
      </c>
      <c r="U429" s="20">
        <v>14269</v>
      </c>
      <c r="W429" s="19">
        <v>0.47460000000000002</v>
      </c>
      <c r="X429" s="19">
        <v>0.34549999999999997</v>
      </c>
      <c r="Z429" s="18">
        <v>1039</v>
      </c>
    </row>
    <row r="430" spans="1:26" ht="15.75" customHeight="1" x14ac:dyDescent="0.2">
      <c r="A430" s="36" t="str">
        <f>HYPERLINK("https://www.olivet.edu", "Olivet Nazarene University")</f>
        <v>Olivet Nazarene University</v>
      </c>
      <c r="B430" s="18" t="s">
        <v>32</v>
      </c>
      <c r="C430" s="18" t="s">
        <v>137</v>
      </c>
      <c r="D430" s="18" t="s">
        <v>1035</v>
      </c>
      <c r="E430" s="18">
        <v>1140</v>
      </c>
      <c r="F430" s="18" t="s">
        <v>35</v>
      </c>
      <c r="J430" s="19">
        <v>0.66290000000000004</v>
      </c>
      <c r="K430" s="19">
        <v>0.39047619099999997</v>
      </c>
      <c r="L430" s="19">
        <v>0.69240000000000002</v>
      </c>
      <c r="M430" s="19">
        <v>0.47060000000000002</v>
      </c>
      <c r="N430" s="19">
        <v>0.45450000000000002</v>
      </c>
      <c r="O430" s="19">
        <v>0.69230000000000003</v>
      </c>
      <c r="P430" s="20">
        <v>46540</v>
      </c>
      <c r="Q430" s="21" t="str">
        <f>HYPERLINK("https://www2.olivet.edu/financialaid/calculator/", "$17443")</f>
        <v>$17443</v>
      </c>
      <c r="R430" s="20">
        <v>18945</v>
      </c>
      <c r="S430" s="20">
        <v>22147</v>
      </c>
      <c r="T430" s="20">
        <v>3700</v>
      </c>
      <c r="U430" s="20">
        <v>13743</v>
      </c>
      <c r="W430" s="19">
        <v>0.30170000000000002</v>
      </c>
      <c r="X430" s="19">
        <v>0.2271</v>
      </c>
      <c r="Z430" s="18">
        <v>3356</v>
      </c>
    </row>
    <row r="431" spans="1:26" ht="15.75" customHeight="1" x14ac:dyDescent="0.2">
      <c r="A431" s="36" t="str">
        <f>HYPERLINK("https://oru.edu", "Oral Roberts University")</f>
        <v>Oral Roberts University</v>
      </c>
      <c r="B431" s="18" t="s">
        <v>32</v>
      </c>
      <c r="C431" s="18" t="s">
        <v>290</v>
      </c>
      <c r="D431" s="18" t="s">
        <v>291</v>
      </c>
      <c r="E431" s="18">
        <v>1133</v>
      </c>
      <c r="F431" s="18" t="s">
        <v>35</v>
      </c>
      <c r="J431" s="19">
        <v>0.56530000000000002</v>
      </c>
      <c r="K431" s="19">
        <v>0.35580524299999999</v>
      </c>
      <c r="L431" s="19">
        <v>0.60729999999999995</v>
      </c>
      <c r="M431" s="19">
        <v>0.55559999999999998</v>
      </c>
      <c r="N431" s="19">
        <v>0.4138</v>
      </c>
      <c r="O431" s="19">
        <v>0.625</v>
      </c>
      <c r="P431" s="20">
        <v>41054</v>
      </c>
      <c r="Q431" s="21" t="str">
        <f>HYPERLINK("https://www.oru.edu/financial_assistance/", "$15802")</f>
        <v>$15802</v>
      </c>
      <c r="R431" s="20">
        <v>17404</v>
      </c>
      <c r="S431" s="20">
        <v>21731</v>
      </c>
      <c r="T431" s="20">
        <v>5482</v>
      </c>
      <c r="U431" s="20">
        <v>10320</v>
      </c>
      <c r="W431" s="19">
        <v>0.4148</v>
      </c>
      <c r="X431" s="19">
        <v>0.56099999999999994</v>
      </c>
      <c r="Z431" s="18">
        <v>3068</v>
      </c>
    </row>
    <row r="432" spans="1:26" ht="15.75" customHeight="1" x14ac:dyDescent="0.2">
      <c r="A432" s="36" t="str">
        <f>HYPERLINK("https://www.oit.edu", "Oregon Institute of Technology")</f>
        <v>Oregon Institute of Technology</v>
      </c>
      <c r="B432" s="18" t="s">
        <v>49</v>
      </c>
      <c r="C432" s="18" t="s">
        <v>143</v>
      </c>
      <c r="D432" s="18" t="s">
        <v>1037</v>
      </c>
      <c r="E432" s="18">
        <v>1141</v>
      </c>
      <c r="F432" s="18" t="s">
        <v>35</v>
      </c>
      <c r="J432" s="19">
        <v>0.44969999999999999</v>
      </c>
      <c r="K432" s="19">
        <v>0.44897959199999998</v>
      </c>
      <c r="L432" s="19">
        <v>0.45669999999999999</v>
      </c>
      <c r="M432" s="19" t="s">
        <v>36</v>
      </c>
      <c r="N432" s="19">
        <v>0.48149999999999998</v>
      </c>
      <c r="O432" s="19">
        <v>0.77780000000000005</v>
      </c>
      <c r="P432" s="20">
        <v>42093</v>
      </c>
      <c r="Q432" s="21" t="str">
        <f>HYPERLINK("https://www.oit.edu/college-costs/tuition-fees/net-price-calculator", "$33722")</f>
        <v>$33722</v>
      </c>
      <c r="R432" s="20">
        <v>35735</v>
      </c>
      <c r="S432" s="20">
        <v>39902</v>
      </c>
      <c r="T432" s="20">
        <v>4520</v>
      </c>
      <c r="U432" s="20">
        <v>29202.47058823529</v>
      </c>
      <c r="W432" s="19">
        <v>0.25090000000000001</v>
      </c>
      <c r="X432" s="19">
        <v>0.3034</v>
      </c>
      <c r="Z432" s="18">
        <v>3543</v>
      </c>
    </row>
    <row r="433" spans="1:26" ht="15.75" customHeight="1" x14ac:dyDescent="0.2">
      <c r="A433" s="36" t="str">
        <f>HYPERLINK("https://oregonstate.edu", "Oregon State University")</f>
        <v>Oregon State University</v>
      </c>
      <c r="B433" s="18" t="s">
        <v>49</v>
      </c>
      <c r="C433" s="18" t="s">
        <v>143</v>
      </c>
      <c r="D433" s="18" t="s">
        <v>1038</v>
      </c>
      <c r="E433" s="18">
        <v>1197</v>
      </c>
      <c r="F433" s="18" t="s">
        <v>35</v>
      </c>
      <c r="J433" s="19">
        <v>0.65339999999999998</v>
      </c>
      <c r="K433" s="19">
        <v>0.52468729400000003</v>
      </c>
      <c r="L433" s="19">
        <v>0.66069999999999995</v>
      </c>
      <c r="M433" s="19">
        <v>0.48720000000000002</v>
      </c>
      <c r="N433" s="19">
        <v>0.59930000000000005</v>
      </c>
      <c r="O433" s="19">
        <v>0.75090000000000001</v>
      </c>
      <c r="P433" s="20">
        <v>44706</v>
      </c>
      <c r="Q433" s="21" t="str">
        <f>HYPERLINK("https://financialaid.oregonstate.edu/net-price-calculator", "$34321")</f>
        <v>$34321</v>
      </c>
      <c r="R433" s="20">
        <v>39209</v>
      </c>
      <c r="S433" s="20">
        <v>41719</v>
      </c>
      <c r="T433" s="20">
        <v>3804</v>
      </c>
      <c r="U433" s="20">
        <v>30517.202429149791</v>
      </c>
      <c r="W433" s="19">
        <v>0.2636</v>
      </c>
      <c r="X433" s="19">
        <v>0.3579</v>
      </c>
      <c r="Z433" s="18">
        <v>24921</v>
      </c>
    </row>
    <row r="434" spans="1:26" ht="15.75" customHeight="1" x14ac:dyDescent="0.2">
      <c r="A434" s="36" t="str">
        <f>HYPERLINK("https://osucascades.edu", "Oregon State University-Cascades Campus")</f>
        <v>Oregon State University-Cascades Campus</v>
      </c>
      <c r="B434" s="18" t="s">
        <v>49</v>
      </c>
      <c r="C434" s="18" t="s">
        <v>143</v>
      </c>
      <c r="D434" s="18" t="s">
        <v>1040</v>
      </c>
      <c r="E434" s="18">
        <v>1131</v>
      </c>
      <c r="F434" s="18" t="s">
        <v>35</v>
      </c>
      <c r="J434" s="19" t="s">
        <v>36</v>
      </c>
      <c r="K434" s="19">
        <v>0.52468729400000003</v>
      </c>
      <c r="L434" s="19" t="s">
        <v>36</v>
      </c>
      <c r="M434" s="19" t="s">
        <v>36</v>
      </c>
      <c r="N434" s="19" t="s">
        <v>36</v>
      </c>
      <c r="O434" s="19" t="s">
        <v>36</v>
      </c>
      <c r="P434" s="20">
        <v>43998</v>
      </c>
      <c r="Q434" s="21" t="str">
        <f>HYPERLINK("https://financialaid.oregonstate.edu/net-price-calculator", "Not reported")</f>
        <v>Not reported</v>
      </c>
      <c r="R434" s="20">
        <v>39260</v>
      </c>
      <c r="S434" s="20">
        <v>42007</v>
      </c>
      <c r="T434" s="20">
        <v>3804</v>
      </c>
      <c r="U434" s="20" t="s">
        <v>36</v>
      </c>
      <c r="W434" s="19">
        <v>0.51319999999999999</v>
      </c>
      <c r="X434" s="19">
        <v>0.2366</v>
      </c>
      <c r="Z434" s="18">
        <v>917</v>
      </c>
    </row>
    <row r="435" spans="1:26" ht="15.75" customHeight="1" x14ac:dyDescent="0.2">
      <c r="A435" s="36" t="str">
        <f>HYPERLINK("https://www.otis.edu", "Otis College of Art and Design")</f>
        <v>Otis College of Art and Design</v>
      </c>
      <c r="B435" s="18" t="s">
        <v>32</v>
      </c>
      <c r="C435" s="18" t="s">
        <v>68</v>
      </c>
      <c r="D435" s="18" t="s">
        <v>140</v>
      </c>
      <c r="E435" s="18" t="s">
        <v>36</v>
      </c>
      <c r="F435" s="18" t="s">
        <v>90</v>
      </c>
      <c r="J435" s="19">
        <v>0.5514</v>
      </c>
      <c r="K435" s="19">
        <v>0.64406779700000005</v>
      </c>
      <c r="L435" s="19">
        <v>0.40479999999999999</v>
      </c>
      <c r="M435" s="19">
        <v>0.55559999999999998</v>
      </c>
      <c r="N435" s="19">
        <v>0.59089999999999998</v>
      </c>
      <c r="O435" s="19">
        <v>0.61040000000000005</v>
      </c>
      <c r="P435" s="20">
        <v>64660</v>
      </c>
      <c r="Q435" s="21" t="str">
        <f>HYPERLINK("https://www.otis.edu/otis-net-price-calculator", "$37828")</f>
        <v>$37828</v>
      </c>
      <c r="R435" s="20">
        <v>41330</v>
      </c>
      <c r="S435" s="20">
        <v>46679</v>
      </c>
      <c r="T435" s="20">
        <v>4350</v>
      </c>
      <c r="U435" s="20">
        <v>33478</v>
      </c>
      <c r="W435" s="19">
        <v>0.38419999999999999</v>
      </c>
      <c r="X435" s="19">
        <v>0.72730000000000006</v>
      </c>
      <c r="Z435" s="18">
        <v>1056</v>
      </c>
    </row>
    <row r="436" spans="1:26" ht="15.75" customHeight="1" x14ac:dyDescent="0.2">
      <c r="A436" s="36" t="str">
        <f>HYPERLINK("https://www.otterbein.edu", "Otterbein University")</f>
        <v>Otterbein University</v>
      </c>
      <c r="B436" s="18" t="s">
        <v>32</v>
      </c>
      <c r="C436" s="18" t="s">
        <v>75</v>
      </c>
      <c r="D436" s="18" t="s">
        <v>1042</v>
      </c>
      <c r="E436" s="18">
        <v>1179</v>
      </c>
      <c r="F436" s="18" t="s">
        <v>35</v>
      </c>
      <c r="J436" s="19">
        <v>0.63670000000000004</v>
      </c>
      <c r="K436" s="19">
        <v>0.38414634199999997</v>
      </c>
      <c r="L436" s="19">
        <v>0.66790000000000005</v>
      </c>
      <c r="M436" s="19">
        <v>0.42549999999999999</v>
      </c>
      <c r="N436" s="19">
        <v>0.57140000000000002</v>
      </c>
      <c r="O436" s="19">
        <v>0.75</v>
      </c>
      <c r="P436" s="20">
        <v>46390</v>
      </c>
      <c r="Q436" s="21" t="str">
        <f>HYPERLINK("https://www.otterbein.edu/estimator/npcalc.htm", "$19414")</f>
        <v>$19414</v>
      </c>
      <c r="R436" s="20">
        <v>23684</v>
      </c>
      <c r="S436" s="20">
        <v>25860</v>
      </c>
      <c r="T436" s="20">
        <v>3988</v>
      </c>
      <c r="U436" s="20">
        <v>15426</v>
      </c>
      <c r="W436" s="19">
        <v>0.24399999999999999</v>
      </c>
      <c r="X436" s="19">
        <v>0.22259999999999999</v>
      </c>
      <c r="Z436" s="18">
        <v>2367</v>
      </c>
    </row>
    <row r="437" spans="1:26" ht="15.75" customHeight="1" x14ac:dyDescent="0.2">
      <c r="A437" s="36" t="str">
        <f>HYPERLINK("https://www.pacificu.edu", "Pacific University")</f>
        <v>Pacific University</v>
      </c>
      <c r="B437" s="18" t="s">
        <v>32</v>
      </c>
      <c r="C437" s="18" t="s">
        <v>143</v>
      </c>
      <c r="D437" s="18" t="s">
        <v>1044</v>
      </c>
      <c r="E437" s="18">
        <v>1180</v>
      </c>
      <c r="F437" s="18" t="s">
        <v>35</v>
      </c>
      <c r="J437" s="19">
        <v>0.64439999999999997</v>
      </c>
      <c r="K437" s="19">
        <v>0.64102564100000003</v>
      </c>
      <c r="L437" s="19">
        <v>0.67159999999999997</v>
      </c>
      <c r="M437" s="19">
        <v>0</v>
      </c>
      <c r="N437" s="19">
        <v>0.52629999999999999</v>
      </c>
      <c r="O437" s="19">
        <v>0.77139999999999997</v>
      </c>
      <c r="P437" s="20">
        <v>57488</v>
      </c>
      <c r="Q437" s="21" t="str">
        <f>HYPERLINK("https://www.pacificu.edu/financial-aid-scholarships/net-price-calculator", "$22330")</f>
        <v>$22330</v>
      </c>
      <c r="R437" s="20">
        <v>27471</v>
      </c>
      <c r="S437" s="20">
        <v>29891</v>
      </c>
      <c r="T437" s="20">
        <v>2732</v>
      </c>
      <c r="U437" s="20">
        <v>19598</v>
      </c>
      <c r="W437" s="19">
        <v>0.30830000000000002</v>
      </c>
      <c r="X437" s="19">
        <v>0.49249999999999999</v>
      </c>
      <c r="Z437" s="18">
        <v>1809</v>
      </c>
    </row>
    <row r="438" spans="1:26" ht="15.75" customHeight="1" x14ac:dyDescent="0.2">
      <c r="A438" s="36" t="str">
        <f>HYPERLINK("https://www.pba.edu", "Palm Beach Atlantic University")</f>
        <v>Palm Beach Atlantic University</v>
      </c>
      <c r="B438" s="18" t="s">
        <v>32</v>
      </c>
      <c r="C438" s="18" t="s">
        <v>162</v>
      </c>
      <c r="D438" s="18" t="s">
        <v>1046</v>
      </c>
      <c r="E438" s="18">
        <v>1115</v>
      </c>
      <c r="F438" s="18" t="s">
        <v>35</v>
      </c>
      <c r="J438" s="19">
        <v>0.53049999999999997</v>
      </c>
      <c r="K438" s="19">
        <v>0.45937499999999998</v>
      </c>
      <c r="L438" s="19">
        <v>0.56610000000000005</v>
      </c>
      <c r="M438" s="19">
        <v>0.28210000000000002</v>
      </c>
      <c r="N438" s="19">
        <v>0.52380000000000004</v>
      </c>
      <c r="O438" s="19">
        <v>0.5</v>
      </c>
      <c r="P438" s="20">
        <v>45794</v>
      </c>
      <c r="Q438" s="21" t="str">
        <f>HYPERLINK("https://www.pba.edu/net-price-calculator", "$21749")</f>
        <v>$21749</v>
      </c>
      <c r="R438" s="20">
        <v>22316</v>
      </c>
      <c r="S438" s="20">
        <v>25665</v>
      </c>
      <c r="T438" s="20">
        <v>6184</v>
      </c>
      <c r="U438" s="20">
        <v>15565</v>
      </c>
      <c r="W438" s="19">
        <v>0.27610000000000001</v>
      </c>
      <c r="X438" s="19">
        <v>0.37490000000000001</v>
      </c>
      <c r="Z438" s="18">
        <v>2475</v>
      </c>
    </row>
    <row r="439" spans="1:26" ht="15.75" customHeight="1" x14ac:dyDescent="0.2">
      <c r="A439" s="36" t="str">
        <f>HYPERLINK("https://www.park.edu", "Park University")</f>
        <v>Park University</v>
      </c>
      <c r="B439" s="18" t="s">
        <v>32</v>
      </c>
      <c r="C439" s="18" t="s">
        <v>164</v>
      </c>
      <c r="D439" s="18" t="s">
        <v>1048</v>
      </c>
      <c r="E439" s="18" t="s">
        <v>36</v>
      </c>
      <c r="F439" s="18" t="s">
        <v>90</v>
      </c>
      <c r="J439" s="19">
        <v>0.23330000000000001</v>
      </c>
      <c r="K439" s="19">
        <v>0.36731391600000002</v>
      </c>
      <c r="L439" s="19">
        <v>0.22409999999999999</v>
      </c>
      <c r="M439" s="19">
        <v>0.125</v>
      </c>
      <c r="N439" s="19">
        <v>0.28570000000000001</v>
      </c>
      <c r="O439" s="19">
        <v>0.5</v>
      </c>
      <c r="P439" s="20">
        <v>23482</v>
      </c>
      <c r="Q439" s="21" t="str">
        <f>HYPERLINK("https://www.park.edu/admissions/", "$16879")</f>
        <v>$16879</v>
      </c>
      <c r="R439" s="20">
        <v>18882</v>
      </c>
      <c r="S439" s="20">
        <v>20307</v>
      </c>
      <c r="T439" s="20">
        <v>5036</v>
      </c>
      <c r="U439" s="20">
        <v>11843</v>
      </c>
      <c r="W439" s="19">
        <v>0.33189999999999997</v>
      </c>
      <c r="X439" s="19">
        <v>0.5343</v>
      </c>
      <c r="Z439" s="18">
        <v>9442</v>
      </c>
    </row>
    <row r="440" spans="1:26" ht="15.75" customHeight="1" x14ac:dyDescent="0.2">
      <c r="A440" s="36" t="str">
        <f>HYPERLINK("https://abington.psu.edu/", "Pennsylvania State University-Penn State Abington")</f>
        <v>Pennsylvania State University-Penn State Abington</v>
      </c>
      <c r="B440" s="18" t="s">
        <v>49</v>
      </c>
      <c r="C440" s="18" t="s">
        <v>65</v>
      </c>
      <c r="D440" s="18" t="s">
        <v>1049</v>
      </c>
      <c r="E440" s="18">
        <v>1097</v>
      </c>
      <c r="F440" s="18" t="s">
        <v>35</v>
      </c>
      <c r="J440" s="19">
        <v>0.49809999999999999</v>
      </c>
      <c r="K440" s="19">
        <v>0.485670194</v>
      </c>
      <c r="L440" s="19">
        <v>0.51839999999999997</v>
      </c>
      <c r="M440" s="19">
        <v>0.4</v>
      </c>
      <c r="N440" s="19">
        <v>0.35210000000000002</v>
      </c>
      <c r="O440" s="19">
        <v>0.58640000000000003</v>
      </c>
      <c r="P440" s="20">
        <v>40466</v>
      </c>
      <c r="Q440" s="21" t="str">
        <f>HYPERLINK("https://tuition.psu.edu/CostEstimate.aspx", "$28386")</f>
        <v>$28386</v>
      </c>
      <c r="R440" s="20">
        <v>32694</v>
      </c>
      <c r="S440" s="20">
        <v>36264</v>
      </c>
      <c r="T440" s="20">
        <v>6628</v>
      </c>
      <c r="U440" s="20">
        <v>21758.73498233216</v>
      </c>
      <c r="W440" s="19">
        <v>0.39219999999999999</v>
      </c>
      <c r="X440" s="19">
        <v>0.54549999999999998</v>
      </c>
      <c r="Z440" s="18">
        <v>3674</v>
      </c>
    </row>
    <row r="441" spans="1:26" ht="15.75" customHeight="1" x14ac:dyDescent="0.2">
      <c r="A441" s="36" t="str">
        <f>HYPERLINK("https://altoona.psu.edu/", "Pennsylvania State University-Penn State Altoona")</f>
        <v>Pennsylvania State University-Penn State Altoona</v>
      </c>
      <c r="B441" s="18" t="s">
        <v>49</v>
      </c>
      <c r="C441" s="18" t="s">
        <v>65</v>
      </c>
      <c r="D441" s="18" t="s">
        <v>1051</v>
      </c>
      <c r="E441" s="18">
        <v>1099</v>
      </c>
      <c r="F441" s="18" t="s">
        <v>35</v>
      </c>
      <c r="J441" s="19">
        <v>0.64359999999999995</v>
      </c>
      <c r="K441" s="19">
        <v>0.485670194</v>
      </c>
      <c r="L441" s="19">
        <v>0.66479999999999995</v>
      </c>
      <c r="M441" s="19">
        <v>0.48199999999999998</v>
      </c>
      <c r="N441" s="19">
        <v>0.60489999999999999</v>
      </c>
      <c r="O441" s="19">
        <v>0.66669999999999996</v>
      </c>
      <c r="P441" s="20">
        <v>41600</v>
      </c>
      <c r="Q441" s="21" t="str">
        <f>HYPERLINK("https://tuition.psu.edu/CostEstimate.aspx", "$30170")</f>
        <v>$30170</v>
      </c>
      <c r="R441" s="20">
        <v>32993</v>
      </c>
      <c r="S441" s="20">
        <v>37786</v>
      </c>
      <c r="T441" s="20">
        <v>6628</v>
      </c>
      <c r="U441" s="20">
        <v>23542.63636363636</v>
      </c>
      <c r="W441" s="19">
        <v>0.29820000000000002</v>
      </c>
      <c r="X441" s="19">
        <v>0.25760000000000011</v>
      </c>
      <c r="Z441" s="18">
        <v>3451</v>
      </c>
    </row>
    <row r="442" spans="1:26" ht="15.75" customHeight="1" x14ac:dyDescent="0.2">
      <c r="A442" s="36" t="str">
        <f>HYPERLINK("https://beaver.psu.edu/", "Pennsylvania State University-Penn State Beaver")</f>
        <v>Pennsylvania State University-Penn State Beaver</v>
      </c>
      <c r="B442" s="18" t="s">
        <v>49</v>
      </c>
      <c r="C442" s="18" t="s">
        <v>65</v>
      </c>
      <c r="D442" s="18" t="s">
        <v>1053</v>
      </c>
      <c r="E442" s="18">
        <v>1101</v>
      </c>
      <c r="F442" s="18" t="s">
        <v>35</v>
      </c>
      <c r="J442" s="19">
        <v>0.46</v>
      </c>
      <c r="K442" s="19">
        <v>0.485670194</v>
      </c>
      <c r="L442" s="19">
        <v>0.5</v>
      </c>
      <c r="M442" s="19">
        <v>0.2727</v>
      </c>
      <c r="N442" s="19">
        <v>0.46150000000000002</v>
      </c>
      <c r="O442" s="19">
        <v>0.75</v>
      </c>
      <c r="P442" s="20">
        <v>39236</v>
      </c>
      <c r="Q442" s="21" t="str">
        <f>HYPERLINK("https://tuition.psu.edu/CostEstimate.aspx", "$26822")</f>
        <v>$26822</v>
      </c>
      <c r="R442" s="20">
        <v>31118</v>
      </c>
      <c r="S442" s="20">
        <v>35783</v>
      </c>
      <c r="T442" s="20">
        <v>6628</v>
      </c>
      <c r="U442" s="20">
        <v>20194.7</v>
      </c>
      <c r="W442" s="19">
        <v>0.3402</v>
      </c>
      <c r="X442" s="19">
        <v>0.25590000000000002</v>
      </c>
      <c r="Z442" s="18">
        <v>598</v>
      </c>
    </row>
    <row r="443" spans="1:26" ht="15.75" customHeight="1" x14ac:dyDescent="0.2">
      <c r="A443" s="36" t="str">
        <f>HYPERLINK("https://berks.psu.edu/", "Pennsylvania State University-Penn State Berks")</f>
        <v>Pennsylvania State University-Penn State Berks</v>
      </c>
      <c r="B443" s="18" t="s">
        <v>49</v>
      </c>
      <c r="C443" s="18" t="s">
        <v>65</v>
      </c>
      <c r="D443" s="18" t="s">
        <v>551</v>
      </c>
      <c r="E443" s="18">
        <v>1094</v>
      </c>
      <c r="F443" s="18" t="s">
        <v>35</v>
      </c>
      <c r="J443" s="19">
        <v>0.57130000000000003</v>
      </c>
      <c r="K443" s="19">
        <v>0.485670194</v>
      </c>
      <c r="L443" s="19">
        <v>0.59489999999999998</v>
      </c>
      <c r="M443" s="19">
        <v>0.40789999999999998</v>
      </c>
      <c r="N443" s="19">
        <v>0.53520000000000001</v>
      </c>
      <c r="O443" s="19">
        <v>0.57140000000000002</v>
      </c>
      <c r="P443" s="20">
        <v>41600</v>
      </c>
      <c r="Q443" s="21" t="str">
        <f>HYPERLINK("https://tuition.psu.edu/CostEstimate.aspx", "$30654")</f>
        <v>$30654</v>
      </c>
      <c r="R443" s="20">
        <v>35125</v>
      </c>
      <c r="S443" s="20">
        <v>39002</v>
      </c>
      <c r="T443" s="20">
        <v>6628</v>
      </c>
      <c r="U443" s="20">
        <v>24026.07954545454</v>
      </c>
      <c r="W443" s="19">
        <v>0.33169999999999999</v>
      </c>
      <c r="X443" s="19">
        <v>0.33210000000000001</v>
      </c>
      <c r="Z443" s="18">
        <v>2635</v>
      </c>
    </row>
    <row r="444" spans="1:26" ht="15.75" customHeight="1" x14ac:dyDescent="0.2">
      <c r="A444" s="36" t="str">
        <f>HYPERLINK("https://brandywine.psu.edu/", "Pennsylvania State University-Penn State Brandywine")</f>
        <v>Pennsylvania State University-Penn State Brandywine</v>
      </c>
      <c r="B444" s="18" t="s">
        <v>49</v>
      </c>
      <c r="C444" s="18" t="s">
        <v>65</v>
      </c>
      <c r="D444" s="18" t="s">
        <v>1054</v>
      </c>
      <c r="E444" s="18">
        <v>1083</v>
      </c>
      <c r="F444" s="18" t="s">
        <v>35</v>
      </c>
      <c r="J444" s="19">
        <v>0.41880000000000001</v>
      </c>
      <c r="K444" s="19">
        <v>0.485670194</v>
      </c>
      <c r="L444" s="19">
        <v>0.43480000000000002</v>
      </c>
      <c r="M444" s="19">
        <v>0.31430000000000002</v>
      </c>
      <c r="N444" s="19">
        <v>0.15379999999999999</v>
      </c>
      <c r="O444" s="19">
        <v>0.47220000000000001</v>
      </c>
      <c r="P444" s="20">
        <v>40286</v>
      </c>
      <c r="Q444" s="21" t="str">
        <f>HYPERLINK("https://tuition.psu.edu/CostEstimate.aspx", "$28701")</f>
        <v>$28701</v>
      </c>
      <c r="R444" s="20">
        <v>34286</v>
      </c>
      <c r="S444" s="20">
        <v>36439</v>
      </c>
      <c r="T444" s="20">
        <v>6628</v>
      </c>
      <c r="U444" s="20">
        <v>22073.916666666661</v>
      </c>
      <c r="W444" s="19">
        <v>0.36480000000000001</v>
      </c>
      <c r="X444" s="19">
        <v>0.43409999999999999</v>
      </c>
      <c r="Z444" s="18">
        <v>1366</v>
      </c>
    </row>
    <row r="445" spans="1:26" ht="15.75" customHeight="1" x14ac:dyDescent="0.2">
      <c r="A445" s="36" t="str">
        <f>HYPERLINK("https://behrend.psu.edu/", "Pennsylvania State University-Penn State Erie-Behrend College")</f>
        <v>Pennsylvania State University-Penn State Erie-Behrend College</v>
      </c>
      <c r="B445" s="18" t="s">
        <v>49</v>
      </c>
      <c r="C445" s="18" t="s">
        <v>65</v>
      </c>
      <c r="D445" s="18" t="s">
        <v>782</v>
      </c>
      <c r="E445" s="18">
        <v>1158</v>
      </c>
      <c r="F445" s="18" t="s">
        <v>35</v>
      </c>
      <c r="J445" s="19">
        <v>0.65180000000000005</v>
      </c>
      <c r="K445" s="19">
        <v>0.485670194</v>
      </c>
      <c r="L445" s="19">
        <v>0.69140000000000001</v>
      </c>
      <c r="M445" s="19">
        <v>0.35089999999999999</v>
      </c>
      <c r="N445" s="19">
        <v>0.51849999999999996</v>
      </c>
      <c r="O445" s="19">
        <v>0.5161</v>
      </c>
      <c r="P445" s="20">
        <v>41600</v>
      </c>
      <c r="Q445" s="21" t="str">
        <f>HYPERLINK("https://tuition.psu.edu/CostEstimate.aspx", "$29853")</f>
        <v>$29853</v>
      </c>
      <c r="R445" s="20">
        <v>33833</v>
      </c>
      <c r="S445" s="20">
        <v>38714</v>
      </c>
      <c r="T445" s="20">
        <v>6628</v>
      </c>
      <c r="U445" s="20">
        <v>23225.773480662981</v>
      </c>
      <c r="W445" s="19">
        <v>0.28460000000000002</v>
      </c>
      <c r="X445" s="19">
        <v>0.23069999999999999</v>
      </c>
      <c r="Z445" s="18">
        <v>4283</v>
      </c>
    </row>
    <row r="446" spans="1:26" ht="15.75" customHeight="1" x14ac:dyDescent="0.2">
      <c r="A446" s="36" t="str">
        <f>HYPERLINK("https://greaterallegheny.psu.edu/", "Pennsylvania State University-Penn State Greater Allegheny")</f>
        <v>Pennsylvania State University-Penn State Greater Allegheny</v>
      </c>
      <c r="B446" s="18" t="s">
        <v>49</v>
      </c>
      <c r="C446" s="18" t="s">
        <v>65</v>
      </c>
      <c r="D446" s="18" t="s">
        <v>1056</v>
      </c>
      <c r="E446" s="18">
        <v>1074</v>
      </c>
      <c r="F446" s="18" t="s">
        <v>35</v>
      </c>
      <c r="J446" s="19">
        <v>0.43480000000000002</v>
      </c>
      <c r="K446" s="19">
        <v>0.485670194</v>
      </c>
      <c r="L446" s="19">
        <v>0.53100000000000003</v>
      </c>
      <c r="M446" s="19">
        <v>0.27060000000000001</v>
      </c>
      <c r="N446" s="19">
        <v>0.375</v>
      </c>
      <c r="O446" s="19">
        <v>0.5</v>
      </c>
      <c r="P446" s="20">
        <v>39236</v>
      </c>
      <c r="Q446" s="21" t="str">
        <f>HYPERLINK("https://tuition.psu.edu/CostEstimate.aspx", "$26823")</f>
        <v>$26823</v>
      </c>
      <c r="R446" s="20">
        <v>30703</v>
      </c>
      <c r="S446" s="20">
        <v>35173</v>
      </c>
      <c r="T446" s="20">
        <v>6628</v>
      </c>
      <c r="U446" s="20">
        <v>20195.2</v>
      </c>
      <c r="W446" s="19">
        <v>0.46360000000000001</v>
      </c>
      <c r="X446" s="19">
        <v>0.38109999999999999</v>
      </c>
      <c r="Z446" s="18">
        <v>488</v>
      </c>
    </row>
    <row r="447" spans="1:26" ht="15.75" customHeight="1" x14ac:dyDescent="0.2">
      <c r="A447" s="36" t="str">
        <f>HYPERLINK("https://harrisburg.psu.edu", "Pennsylvania State University-Penn State Harrisburg")</f>
        <v>Pennsylvania State University-Penn State Harrisburg</v>
      </c>
      <c r="B447" s="18" t="s">
        <v>49</v>
      </c>
      <c r="C447" s="18" t="s">
        <v>65</v>
      </c>
      <c r="D447" s="18" t="s">
        <v>183</v>
      </c>
      <c r="E447" s="18">
        <v>1154</v>
      </c>
      <c r="F447" s="18" t="s">
        <v>35</v>
      </c>
      <c r="J447" s="19">
        <v>0.58099999999999996</v>
      </c>
      <c r="K447" s="19">
        <v>0.485670194</v>
      </c>
      <c r="L447" s="19">
        <v>0.63580000000000003</v>
      </c>
      <c r="M447" s="19">
        <v>0.44119999999999998</v>
      </c>
      <c r="N447" s="19">
        <v>0.5</v>
      </c>
      <c r="O447" s="19">
        <v>0.55359999999999998</v>
      </c>
      <c r="P447" s="20">
        <v>41600</v>
      </c>
      <c r="Q447" s="21" t="str">
        <f>HYPERLINK("https://tuition.psu.edu/CostEstimate.aspx", "$29636")</f>
        <v>$29636</v>
      </c>
      <c r="R447" s="20">
        <v>34511</v>
      </c>
      <c r="S447" s="20">
        <v>37943</v>
      </c>
      <c r="T447" s="20">
        <v>6628</v>
      </c>
      <c r="U447" s="20">
        <v>23008.184000000001</v>
      </c>
      <c r="W447" s="19">
        <v>0.29260000000000003</v>
      </c>
      <c r="X447" s="19">
        <v>0.46319999999999989</v>
      </c>
      <c r="Z447" s="18">
        <v>4223</v>
      </c>
    </row>
    <row r="448" spans="1:26" ht="15.75" customHeight="1" x14ac:dyDescent="0.2">
      <c r="A448" s="36" t="str">
        <f>HYPERLINK("https://hazleton.psu.edu/", "Pennsylvania State University-Penn State Hazleton")</f>
        <v>Pennsylvania State University-Penn State Hazleton</v>
      </c>
      <c r="B448" s="18" t="s">
        <v>49</v>
      </c>
      <c r="C448" s="18" t="s">
        <v>65</v>
      </c>
      <c r="D448" s="18" t="s">
        <v>1057</v>
      </c>
      <c r="E448" s="18">
        <v>1040</v>
      </c>
      <c r="F448" s="18" t="s">
        <v>35</v>
      </c>
      <c r="J448" s="19">
        <v>0.52749999999999997</v>
      </c>
      <c r="K448" s="19">
        <v>0.485670194</v>
      </c>
      <c r="L448" s="19">
        <v>0.56269999999999998</v>
      </c>
      <c r="M448" s="19">
        <v>0.54790000000000005</v>
      </c>
      <c r="N448" s="19">
        <v>0.37880000000000003</v>
      </c>
      <c r="O448" s="19">
        <v>0.56000000000000005</v>
      </c>
      <c r="P448" s="20">
        <v>40286</v>
      </c>
      <c r="Q448" s="21" t="str">
        <f>HYPERLINK("https://tuition.psu.edu/CostEstimate.aspx", "$29480")</f>
        <v>$29480</v>
      </c>
      <c r="R448" s="20">
        <v>29682</v>
      </c>
      <c r="S448" s="20">
        <v>34937</v>
      </c>
      <c r="T448" s="20">
        <v>6628</v>
      </c>
      <c r="U448" s="20">
        <v>22852.313432835821</v>
      </c>
      <c r="W448" s="19">
        <v>0.40089999999999998</v>
      </c>
      <c r="X448" s="19">
        <v>0.33050000000000002</v>
      </c>
      <c r="Z448" s="18">
        <v>699</v>
      </c>
    </row>
    <row r="449" spans="1:26" ht="15.75" customHeight="1" x14ac:dyDescent="0.2">
      <c r="A449" s="36" t="str">
        <f>HYPERLINK("https://lehighvalley.psu.edu/", "Pennsylvania State University-Penn State Lehigh Valley")</f>
        <v>Pennsylvania State University-Penn State Lehigh Valley</v>
      </c>
      <c r="B449" s="18" t="s">
        <v>49</v>
      </c>
      <c r="C449" s="18" t="s">
        <v>65</v>
      </c>
      <c r="D449" s="18" t="s">
        <v>700</v>
      </c>
      <c r="E449" s="18">
        <v>1105</v>
      </c>
      <c r="F449" s="18" t="s">
        <v>35</v>
      </c>
      <c r="J449" s="19">
        <v>0.54549999999999998</v>
      </c>
      <c r="K449" s="19">
        <v>0.485670194</v>
      </c>
      <c r="L449" s="19">
        <v>0.55000000000000004</v>
      </c>
      <c r="M449" s="19">
        <v>0.35709999999999997</v>
      </c>
      <c r="N449" s="19">
        <v>0.46150000000000002</v>
      </c>
      <c r="O449" s="19">
        <v>0.70369999999999999</v>
      </c>
      <c r="P449" s="20">
        <v>40286</v>
      </c>
      <c r="Q449" s="21" t="str">
        <f>HYPERLINK("https://tuition.psu.edu/CostEstimate.aspx", "$28785")</f>
        <v>$28785</v>
      </c>
      <c r="R449" s="20">
        <v>30682</v>
      </c>
      <c r="S449" s="20">
        <v>34862</v>
      </c>
      <c r="T449" s="20">
        <v>6628</v>
      </c>
      <c r="U449" s="20">
        <v>22157.27586206896</v>
      </c>
      <c r="W449" s="19">
        <v>0.36409999999999998</v>
      </c>
      <c r="X449" s="19">
        <v>0.39489999999999997</v>
      </c>
      <c r="Z449" s="18">
        <v>823</v>
      </c>
    </row>
    <row r="450" spans="1:26" ht="15.75" customHeight="1" x14ac:dyDescent="0.2">
      <c r="A450" s="36" t="str">
        <f>HYPERLINK("https://montalto.psu.edu/", "Pennsylvania State University-Penn State Mont Alto")</f>
        <v>Pennsylvania State University-Penn State Mont Alto</v>
      </c>
      <c r="B450" s="18" t="s">
        <v>49</v>
      </c>
      <c r="C450" s="18" t="s">
        <v>65</v>
      </c>
      <c r="D450" s="18" t="s">
        <v>1059</v>
      </c>
      <c r="E450" s="18">
        <v>1072</v>
      </c>
      <c r="F450" s="18" t="s">
        <v>35</v>
      </c>
      <c r="J450" s="19">
        <v>0.42709999999999998</v>
      </c>
      <c r="K450" s="19">
        <v>0.485670194</v>
      </c>
      <c r="L450" s="19">
        <v>0.45960000000000001</v>
      </c>
      <c r="M450" s="19">
        <v>0.34849999999999998</v>
      </c>
      <c r="N450" s="19">
        <v>0.35289999999999999</v>
      </c>
      <c r="O450" s="19">
        <v>0.45450000000000002</v>
      </c>
      <c r="P450" s="20">
        <v>39236</v>
      </c>
      <c r="Q450" s="21" t="str">
        <f>HYPERLINK("https://tuition.psu.edu/CostEstimate.aspx", "$27396")</f>
        <v>$27396</v>
      </c>
      <c r="R450" s="20">
        <v>30174</v>
      </c>
      <c r="S450" s="20">
        <v>35377</v>
      </c>
      <c r="T450" s="20">
        <v>6628</v>
      </c>
      <c r="U450" s="20">
        <v>20768.37704918033</v>
      </c>
      <c r="W450" s="19">
        <v>0.31709999999999999</v>
      </c>
      <c r="X450" s="19">
        <v>0.20820000000000011</v>
      </c>
      <c r="Z450" s="18">
        <v>759</v>
      </c>
    </row>
    <row r="451" spans="1:26" ht="15.75" customHeight="1" x14ac:dyDescent="0.2">
      <c r="A451" s="36" t="str">
        <f>HYPERLINK("https://schuylkill.psu.edu/", "Pennsylvania State University-Penn State Schuylkill")</f>
        <v>Pennsylvania State University-Penn State Schuylkill</v>
      </c>
      <c r="B451" s="18" t="s">
        <v>49</v>
      </c>
      <c r="C451" s="18" t="s">
        <v>65</v>
      </c>
      <c r="D451" s="18" t="s">
        <v>1061</v>
      </c>
      <c r="E451" s="18">
        <v>1007</v>
      </c>
      <c r="F451" s="18" t="s">
        <v>35</v>
      </c>
      <c r="J451" s="19">
        <v>0.3765</v>
      </c>
      <c r="K451" s="19">
        <v>0.485670194</v>
      </c>
      <c r="L451" s="19">
        <v>0.41010000000000002</v>
      </c>
      <c r="M451" s="19">
        <v>0.35249999999999998</v>
      </c>
      <c r="N451" s="19">
        <v>0.37930000000000003</v>
      </c>
      <c r="O451" s="19">
        <v>0.16669999999999999</v>
      </c>
      <c r="P451" s="20">
        <v>40224</v>
      </c>
      <c r="Q451" s="21" t="str">
        <f>HYPERLINK("https://tuition.psu.edu/CostEstimate.aspx", "$28699")</f>
        <v>$28699</v>
      </c>
      <c r="R451" s="20">
        <v>31791</v>
      </c>
      <c r="S451" s="20">
        <v>36048</v>
      </c>
      <c r="T451" s="20">
        <v>6628</v>
      </c>
      <c r="U451" s="20">
        <v>22071.65625</v>
      </c>
      <c r="W451" s="19">
        <v>0.45590000000000003</v>
      </c>
      <c r="X451" s="19">
        <v>0.28349999999999997</v>
      </c>
      <c r="Z451" s="18">
        <v>695</v>
      </c>
    </row>
    <row r="452" spans="1:26" ht="15.75" customHeight="1" x14ac:dyDescent="0.2">
      <c r="A452" s="36" t="str">
        <f>HYPERLINK("https://scranton.psu.edu/", "Pennsylvania State University-Penn State Worthington Scranton")</f>
        <v>Pennsylvania State University-Penn State Worthington Scranton</v>
      </c>
      <c r="B452" s="18" t="s">
        <v>49</v>
      </c>
      <c r="C452" s="18" t="s">
        <v>65</v>
      </c>
      <c r="D452" s="18" t="s">
        <v>1062</v>
      </c>
      <c r="E452" s="18">
        <v>1037</v>
      </c>
      <c r="F452" s="18" t="s">
        <v>35</v>
      </c>
      <c r="J452" s="19">
        <v>0.377</v>
      </c>
      <c r="K452" s="19">
        <v>0.485670194</v>
      </c>
      <c r="L452" s="19">
        <v>0.39019999999999999</v>
      </c>
      <c r="M452" s="19">
        <v>0.16669999999999999</v>
      </c>
      <c r="N452" s="19">
        <v>0.26669999999999999</v>
      </c>
      <c r="O452" s="19">
        <v>0.36840000000000001</v>
      </c>
      <c r="P452" s="20">
        <v>40286</v>
      </c>
      <c r="Q452" s="21" t="str">
        <f>HYPERLINK("https://tuition.psu.edu/CostEstimate.aspx", "$29924")</f>
        <v>$29924</v>
      </c>
      <c r="R452" s="20">
        <v>32066</v>
      </c>
      <c r="S452" s="20">
        <v>36187</v>
      </c>
      <c r="T452" s="20">
        <v>6628</v>
      </c>
      <c r="U452" s="20">
        <v>23296.767676767671</v>
      </c>
      <c r="W452" s="19">
        <v>0.47499999999999998</v>
      </c>
      <c r="X452" s="19">
        <v>0.23530000000000001</v>
      </c>
      <c r="Z452" s="18">
        <v>1003</v>
      </c>
    </row>
    <row r="453" spans="1:26" ht="15.75" customHeight="1" x14ac:dyDescent="0.2">
      <c r="A453" s="36" t="str">
        <f>HYPERLINK("https://york.psu.edu/", "Pennsylvania State University-Penn State York")</f>
        <v>Pennsylvania State University-Penn State York</v>
      </c>
      <c r="B453" s="18" t="s">
        <v>49</v>
      </c>
      <c r="C453" s="18" t="s">
        <v>65</v>
      </c>
      <c r="D453" s="18" t="s">
        <v>1064</v>
      </c>
      <c r="E453" s="18">
        <v>1161</v>
      </c>
      <c r="F453" s="18" t="s">
        <v>35</v>
      </c>
      <c r="J453" s="19">
        <v>0.56830000000000003</v>
      </c>
      <c r="K453" s="19">
        <v>0.485670194</v>
      </c>
      <c r="L453" s="19">
        <v>0.58430000000000004</v>
      </c>
      <c r="M453" s="19">
        <v>0.44</v>
      </c>
      <c r="N453" s="19">
        <v>0.5</v>
      </c>
      <c r="O453" s="19">
        <v>0.63160000000000005</v>
      </c>
      <c r="P453" s="20">
        <v>40286</v>
      </c>
      <c r="Q453" s="21" t="str">
        <f>HYPERLINK("https://tuition.psu.edu/CostEstimate.aspx", "$29727")</f>
        <v>$29727</v>
      </c>
      <c r="R453" s="20">
        <v>31880</v>
      </c>
      <c r="S453" s="20">
        <v>38227</v>
      </c>
      <c r="T453" s="20">
        <v>6628</v>
      </c>
      <c r="U453" s="20">
        <v>23099.787234042549</v>
      </c>
      <c r="W453" s="19">
        <v>0.27550000000000002</v>
      </c>
      <c r="X453" s="19">
        <v>0.42490000000000011</v>
      </c>
      <c r="Z453" s="18">
        <v>899</v>
      </c>
    </row>
    <row r="454" spans="1:26" ht="15.75" customHeight="1" x14ac:dyDescent="0.2">
      <c r="A454" s="36" t="str">
        <f>HYPERLINK("https://www.pfeiffer.edu", "Pfeiffer University")</f>
        <v>Pfeiffer University</v>
      </c>
      <c r="B454" s="18" t="s">
        <v>32</v>
      </c>
      <c r="C454" s="18" t="s">
        <v>103</v>
      </c>
      <c r="D454" s="18" t="s">
        <v>1066</v>
      </c>
      <c r="E454" s="18">
        <v>997</v>
      </c>
      <c r="F454" s="18" t="s">
        <v>115</v>
      </c>
      <c r="J454" s="19">
        <v>0.42109999999999997</v>
      </c>
      <c r="K454" s="19">
        <v>0.36448598100000001</v>
      </c>
      <c r="L454" s="19">
        <v>0.4662</v>
      </c>
      <c r="M454" s="19">
        <v>0.26319999999999999</v>
      </c>
      <c r="N454" s="19">
        <v>0.66669999999999996</v>
      </c>
      <c r="O454" s="19">
        <v>1</v>
      </c>
      <c r="P454" s="20">
        <v>44032</v>
      </c>
      <c r="Q454" s="21" t="str">
        <f>HYPERLINK("https://www.pfeiffer.edu/net-price-calculator", "$19184")</f>
        <v>$19184</v>
      </c>
      <c r="R454" s="20">
        <v>29944</v>
      </c>
      <c r="S454" s="20">
        <v>26910</v>
      </c>
      <c r="T454" s="20">
        <v>3500</v>
      </c>
      <c r="U454" s="20">
        <v>15684</v>
      </c>
      <c r="W454" s="19">
        <v>0.48349999999999999</v>
      </c>
      <c r="X454" s="19">
        <v>0.37390000000000001</v>
      </c>
      <c r="Z454" s="18">
        <v>813</v>
      </c>
    </row>
    <row r="455" spans="1:26" ht="15.75" customHeight="1" x14ac:dyDescent="0.2">
      <c r="A455" s="36" t="str">
        <f>HYPERLINK("https://www.piedmont.edu", "Piedmont College")</f>
        <v>Piedmont College</v>
      </c>
      <c r="B455" s="18" t="s">
        <v>32</v>
      </c>
      <c r="C455" s="18" t="s">
        <v>107</v>
      </c>
      <c r="D455" s="18" t="s">
        <v>1067</v>
      </c>
      <c r="E455" s="18">
        <v>1059</v>
      </c>
      <c r="F455" s="18" t="s">
        <v>35</v>
      </c>
      <c r="J455" s="19">
        <v>0.496</v>
      </c>
      <c r="K455" s="19">
        <v>0.48677248699999998</v>
      </c>
      <c r="L455" s="19">
        <v>0.51239999999999997</v>
      </c>
      <c r="M455" s="19">
        <v>0.4667</v>
      </c>
      <c r="N455" s="19">
        <v>0.1429</v>
      </c>
      <c r="O455" s="19">
        <v>0.33329999999999999</v>
      </c>
      <c r="P455" s="20">
        <v>38724</v>
      </c>
      <c r="Q455" s="21" t="str">
        <f>HYPERLINK("https://www.piedmont.edu/pc/index.php/netprice-calculator", "$14807")</f>
        <v>$14807</v>
      </c>
      <c r="R455" s="20">
        <v>17308</v>
      </c>
      <c r="S455" s="20">
        <v>19586</v>
      </c>
      <c r="T455" s="20">
        <v>4390</v>
      </c>
      <c r="U455" s="20">
        <v>10417</v>
      </c>
      <c r="W455" s="19">
        <v>0.45750000000000002</v>
      </c>
      <c r="X455" s="19">
        <v>0.33100000000000002</v>
      </c>
      <c r="Z455" s="18">
        <v>1281</v>
      </c>
    </row>
    <row r="456" spans="1:26" ht="15.75" customHeight="1" x14ac:dyDescent="0.2">
      <c r="A456" s="36" t="str">
        <f>HYPERLINK("https://www.pittstate.edu", "Pittsburg State University")</f>
        <v>Pittsburg State University</v>
      </c>
      <c r="B456" s="18" t="s">
        <v>49</v>
      </c>
      <c r="C456" s="18" t="s">
        <v>307</v>
      </c>
      <c r="D456" s="18" t="s">
        <v>1068</v>
      </c>
      <c r="E456" s="18">
        <v>1105</v>
      </c>
      <c r="F456" s="18" t="s">
        <v>35</v>
      </c>
      <c r="J456" s="19">
        <v>0.47210000000000002</v>
      </c>
      <c r="K456" s="19">
        <v>0.42987249500000002</v>
      </c>
      <c r="L456" s="19">
        <v>0.5121</v>
      </c>
      <c r="M456" s="19">
        <v>0.40350000000000003</v>
      </c>
      <c r="N456" s="19">
        <v>0.4</v>
      </c>
      <c r="O456" s="19">
        <v>0.4</v>
      </c>
      <c r="P456" s="20">
        <v>30618</v>
      </c>
      <c r="Q456" s="21" t="str">
        <f>HYPERLINK("https://office.pittstate.edu/financial-aid/npc/", "$24344")</f>
        <v>$24344</v>
      </c>
      <c r="R456" s="20">
        <v>26941</v>
      </c>
      <c r="S456" s="20">
        <v>28984</v>
      </c>
      <c r="T456" s="20">
        <v>4766</v>
      </c>
      <c r="U456" s="20">
        <v>19578.438016528929</v>
      </c>
      <c r="W456" s="19">
        <v>0.35699999999999998</v>
      </c>
      <c r="X456" s="19">
        <v>0.21310000000000001</v>
      </c>
      <c r="Z456" s="18">
        <v>5340</v>
      </c>
    </row>
    <row r="457" spans="1:26" ht="15.75" customHeight="1" x14ac:dyDescent="0.2">
      <c r="A457" s="36" t="str">
        <f>HYPERLINK("https://www.plymouth.edu", "Plymouth State University")</f>
        <v>Plymouth State University</v>
      </c>
      <c r="B457" s="18" t="s">
        <v>49</v>
      </c>
      <c r="C457" s="18" t="s">
        <v>101</v>
      </c>
      <c r="D457" s="18" t="s">
        <v>890</v>
      </c>
      <c r="E457" s="18" t="s">
        <v>36</v>
      </c>
      <c r="F457" s="18" t="s">
        <v>45</v>
      </c>
      <c r="J457" s="19">
        <v>0.54469999999999996</v>
      </c>
      <c r="K457" s="19">
        <v>0.45338983100000002</v>
      </c>
      <c r="L457" s="19">
        <v>0.55299999999999994</v>
      </c>
      <c r="M457" s="19">
        <v>0.42859999999999998</v>
      </c>
      <c r="N457" s="19">
        <v>0.54169999999999996</v>
      </c>
      <c r="O457" s="19">
        <v>0.54549999999999998</v>
      </c>
      <c r="P457" s="20">
        <v>36774</v>
      </c>
      <c r="Q457" s="21" t="str">
        <f>HYPERLINK("https://www.plymouth.edu/office/financial-aid/estimated-cost/net-price-calculator/", "$28081")</f>
        <v>$28081</v>
      </c>
      <c r="R457" s="20">
        <v>30883</v>
      </c>
      <c r="S457" s="20">
        <v>33004</v>
      </c>
      <c r="T457" s="20">
        <v>3584</v>
      </c>
      <c r="U457" s="20">
        <v>24497.483221476508</v>
      </c>
      <c r="W457" s="19">
        <v>0.30330000000000001</v>
      </c>
      <c r="X457" s="19">
        <v>0.17019999999999999</v>
      </c>
      <c r="Z457" s="18">
        <v>4072</v>
      </c>
    </row>
    <row r="458" spans="1:26" ht="15.75" customHeight="1" x14ac:dyDescent="0.2">
      <c r="A458" s="36" t="str">
        <f>HYPERLINK("https://www.pointpark.edu", "Point Park University")</f>
        <v>Point Park University</v>
      </c>
      <c r="B458" s="18" t="s">
        <v>32</v>
      </c>
      <c r="C458" s="18" t="s">
        <v>65</v>
      </c>
      <c r="D458" s="18" t="s">
        <v>74</v>
      </c>
      <c r="E458" s="18">
        <v>1091</v>
      </c>
      <c r="F458" s="18" t="s">
        <v>35</v>
      </c>
      <c r="J458" s="19">
        <v>0.54710000000000003</v>
      </c>
      <c r="K458" s="19">
        <v>0.37625754500000003</v>
      </c>
      <c r="L458" s="19">
        <v>0.57399999999999995</v>
      </c>
      <c r="M458" s="19">
        <v>0.3846</v>
      </c>
      <c r="N458" s="19">
        <v>0.35289999999999999</v>
      </c>
      <c r="O458" s="19">
        <v>1</v>
      </c>
      <c r="P458" s="20">
        <v>44730</v>
      </c>
      <c r="Q458" s="21" t="str">
        <f>HYPERLINK("https://www.pointpark.edu/Admissions/CostsandFinancialAid/NetPriceCalc", "$15162")</f>
        <v>$15162</v>
      </c>
      <c r="R458" s="20">
        <v>19278</v>
      </c>
      <c r="S458" s="20">
        <v>20928</v>
      </c>
      <c r="T458" s="20">
        <v>3500</v>
      </c>
      <c r="U458" s="20">
        <v>11662</v>
      </c>
      <c r="W458" s="19">
        <v>0.38090000000000002</v>
      </c>
      <c r="X458" s="19">
        <v>0.27960000000000002</v>
      </c>
      <c r="Z458" s="18">
        <v>3230</v>
      </c>
    </row>
    <row r="459" spans="1:26" ht="15.75" customHeight="1" x14ac:dyDescent="0.2">
      <c r="A459" s="36" t="str">
        <f>HYPERLINK("https://point.edu", "Point University")</f>
        <v>Point University</v>
      </c>
      <c r="B459" s="18" t="s">
        <v>32</v>
      </c>
      <c r="C459" s="18" t="s">
        <v>107</v>
      </c>
      <c r="D459" s="18" t="s">
        <v>1071</v>
      </c>
      <c r="E459" s="18">
        <v>968</v>
      </c>
      <c r="F459" s="18" t="s">
        <v>115</v>
      </c>
      <c r="J459" s="19">
        <v>0.26850000000000002</v>
      </c>
      <c r="K459" s="19">
        <v>0.47619047599999997</v>
      </c>
      <c r="L459" s="19">
        <v>0.33800000000000002</v>
      </c>
      <c r="M459" s="19">
        <v>0.18970000000000001</v>
      </c>
      <c r="N459" s="19">
        <v>0.41670000000000001</v>
      </c>
      <c r="O459" s="19" t="s">
        <v>36</v>
      </c>
      <c r="P459" s="20">
        <v>30500</v>
      </c>
      <c r="Q459" s="21" t="str">
        <f>HYPERLINK("https://point.studentaidcalculator.com/survey.aspx", "$17339")</f>
        <v>$17339</v>
      </c>
      <c r="R459" s="20">
        <v>23889</v>
      </c>
      <c r="S459" s="20">
        <v>28131</v>
      </c>
      <c r="T459" s="20">
        <v>2000</v>
      </c>
      <c r="U459" s="20">
        <v>15339</v>
      </c>
      <c r="W459" s="19">
        <v>0.16109999999999999</v>
      </c>
      <c r="X459" s="19">
        <v>0.57820000000000005</v>
      </c>
      <c r="Z459" s="18">
        <v>1126</v>
      </c>
    </row>
    <row r="460" spans="1:26" ht="15.75" customHeight="1" x14ac:dyDescent="0.2">
      <c r="A460" s="36" t="str">
        <f>HYPERLINK("https://www.pdx.edu", "Portland State University")</f>
        <v>Portland State University</v>
      </c>
      <c r="B460" s="18" t="s">
        <v>49</v>
      </c>
      <c r="C460" s="18" t="s">
        <v>143</v>
      </c>
      <c r="D460" s="18" t="s">
        <v>144</v>
      </c>
      <c r="E460" s="18">
        <v>1105</v>
      </c>
      <c r="F460" s="18" t="s">
        <v>115</v>
      </c>
      <c r="J460" s="19">
        <v>0.4894</v>
      </c>
      <c r="K460" s="19">
        <v>0.452404001</v>
      </c>
      <c r="L460" s="19">
        <v>0.45500000000000002</v>
      </c>
      <c r="M460" s="19">
        <v>0.52170000000000005</v>
      </c>
      <c r="N460" s="19">
        <v>0.5252</v>
      </c>
      <c r="O460" s="19">
        <v>0.58040000000000003</v>
      </c>
      <c r="P460" s="20">
        <v>43989</v>
      </c>
      <c r="Q460" s="21" t="str">
        <f>HYPERLINK("https://www.pdx.edu/finaid/net-price-calculator", "$35768")</f>
        <v>$35768</v>
      </c>
      <c r="R460" s="20">
        <v>38301</v>
      </c>
      <c r="S460" s="20">
        <v>41189</v>
      </c>
      <c r="T460" s="20">
        <v>5028</v>
      </c>
      <c r="U460" s="20">
        <v>30740.8443877551</v>
      </c>
      <c r="W460" s="19">
        <v>0.38109999999999999</v>
      </c>
      <c r="X460" s="19">
        <v>0.45069999999999999</v>
      </c>
      <c r="Z460" s="18">
        <v>18585</v>
      </c>
    </row>
    <row r="461" spans="1:26" ht="15.75" customHeight="1" x14ac:dyDescent="0.2">
      <c r="A461" s="36" t="str">
        <f>HYPERLINK("https://www.post.edu/", "Post University")</f>
        <v>Post University</v>
      </c>
      <c r="B461" s="18" t="s">
        <v>368</v>
      </c>
      <c r="C461" s="18" t="s">
        <v>94</v>
      </c>
      <c r="D461" s="18" t="s">
        <v>887</v>
      </c>
      <c r="E461" s="18" t="s">
        <v>36</v>
      </c>
      <c r="F461" s="18" t="s">
        <v>45</v>
      </c>
      <c r="J461" s="19">
        <v>0.2457</v>
      </c>
      <c r="K461" s="19">
        <v>0.166868198</v>
      </c>
      <c r="L461" s="19">
        <v>0.46879999999999999</v>
      </c>
      <c r="M461" s="19">
        <v>0.1613</v>
      </c>
      <c r="N461" s="19">
        <v>0.2</v>
      </c>
      <c r="O461" s="19" t="s">
        <v>36</v>
      </c>
      <c r="P461" s="20">
        <v>31510</v>
      </c>
      <c r="Q461" s="21" t="str">
        <f>HYPERLINK("https://www.post.edu/financial-aid/net-price-calculator", "$22348")</f>
        <v>$22348</v>
      </c>
      <c r="R461" s="20">
        <v>16688</v>
      </c>
      <c r="S461" s="20">
        <v>14062</v>
      </c>
      <c r="T461" s="20">
        <v>3400</v>
      </c>
      <c r="U461" s="20">
        <v>18948</v>
      </c>
      <c r="W461" s="19">
        <v>0.58220000000000005</v>
      </c>
      <c r="X461" s="19">
        <v>0.59210000000000007</v>
      </c>
      <c r="Z461" s="18">
        <v>7808</v>
      </c>
    </row>
    <row r="462" spans="1:26" ht="15.75" customHeight="1" x14ac:dyDescent="0.2">
      <c r="A462" s="36" t="str">
        <f>HYPERLINK("https://www.pratt.edu", "Pratt Institute-Main")</f>
        <v>Pratt Institute-Main</v>
      </c>
      <c r="B462" s="18" t="s">
        <v>32</v>
      </c>
      <c r="C462" s="18" t="s">
        <v>38</v>
      </c>
      <c r="D462" s="18" t="s">
        <v>593</v>
      </c>
      <c r="E462" s="18">
        <v>1201</v>
      </c>
      <c r="F462" s="18" t="s">
        <v>35</v>
      </c>
      <c r="G462" s="18" t="s">
        <v>40</v>
      </c>
      <c r="H462" s="18" t="s">
        <v>1074</v>
      </c>
      <c r="I462" s="18" t="s">
        <v>1075</v>
      </c>
      <c r="J462" s="19">
        <v>0.66290000000000004</v>
      </c>
      <c r="K462" s="19">
        <v>0.56862745100000001</v>
      </c>
      <c r="L462" s="19">
        <v>0.66090000000000004</v>
      </c>
      <c r="M462" s="19">
        <v>0.61539999999999995</v>
      </c>
      <c r="N462" s="19">
        <v>0.75439999999999996</v>
      </c>
      <c r="O462" s="19">
        <v>0.69110000000000005</v>
      </c>
      <c r="P462" s="20">
        <v>65308</v>
      </c>
      <c r="Q462" s="21" t="str">
        <f>HYPERLINK("https://www.pratt.edu/admissions/financing-your-education/", "$40992")</f>
        <v>$40992</v>
      </c>
      <c r="R462" s="20">
        <v>42716</v>
      </c>
      <c r="S462" s="20">
        <v>48329</v>
      </c>
      <c r="T462" s="20">
        <v>3250</v>
      </c>
      <c r="U462" s="20">
        <v>37742</v>
      </c>
      <c r="W462" s="19">
        <v>0.21210000000000001</v>
      </c>
      <c r="X462" s="19">
        <v>0.61099999999999999</v>
      </c>
      <c r="Z462" s="18">
        <v>3602</v>
      </c>
    </row>
    <row r="463" spans="1:26" ht="15.75" customHeight="1" x14ac:dyDescent="0.2">
      <c r="A463" s="36" t="str">
        <f>HYPERLINK("https://www.pratt.edu", "Pratt Manhattan-A Division of Pratt Institute")</f>
        <v>Pratt Manhattan-A Division of Pratt Institute</v>
      </c>
      <c r="B463" s="18" t="s">
        <v>32</v>
      </c>
      <c r="C463" s="18" t="s">
        <v>38</v>
      </c>
      <c r="D463" s="18" t="s">
        <v>39</v>
      </c>
      <c r="E463" s="18" t="s">
        <v>36</v>
      </c>
      <c r="F463" s="18" t="s">
        <v>36</v>
      </c>
      <c r="J463" s="19" t="s">
        <v>36</v>
      </c>
      <c r="K463" s="19">
        <v>0.56862745100000001</v>
      </c>
      <c r="L463" s="19" t="s">
        <v>36</v>
      </c>
      <c r="M463" s="19" t="s">
        <v>36</v>
      </c>
      <c r="N463" s="19" t="s">
        <v>36</v>
      </c>
      <c r="O463" s="19" t="s">
        <v>36</v>
      </c>
      <c r="P463" s="20" t="s">
        <v>36</v>
      </c>
      <c r="Q463" s="35" t="s">
        <v>36</v>
      </c>
      <c r="R463" s="20" t="s">
        <v>36</v>
      </c>
      <c r="S463" s="20" t="s">
        <v>36</v>
      </c>
      <c r="T463" s="20" t="s">
        <v>36</v>
      </c>
      <c r="U463" s="20" t="s">
        <v>36</v>
      </c>
      <c r="W463" s="19" t="s">
        <v>36</v>
      </c>
      <c r="X463" s="19" t="s">
        <v>36</v>
      </c>
      <c r="Z463" s="18" t="s">
        <v>36</v>
      </c>
    </row>
    <row r="464" spans="1:26" ht="15.75" customHeight="1" x14ac:dyDescent="0.2">
      <c r="A464" s="36" t="str">
        <f>HYPERLINK("https://www.prescott.edu", "Prescott College")</f>
        <v>Prescott College</v>
      </c>
      <c r="B464" s="18" t="s">
        <v>32</v>
      </c>
      <c r="C464" s="18" t="s">
        <v>354</v>
      </c>
      <c r="D464" s="18" t="s">
        <v>355</v>
      </c>
      <c r="E464" s="18">
        <v>1132</v>
      </c>
      <c r="F464" s="18" t="s">
        <v>115</v>
      </c>
      <c r="J464" s="19">
        <v>0.4355</v>
      </c>
      <c r="K464" s="19">
        <v>0.31690140900000002</v>
      </c>
      <c r="L464" s="19">
        <v>0.55259999999999998</v>
      </c>
      <c r="M464" s="19">
        <v>0</v>
      </c>
      <c r="N464" s="19">
        <v>0.125</v>
      </c>
      <c r="O464" s="19">
        <v>0</v>
      </c>
      <c r="P464" s="20">
        <v>42253</v>
      </c>
      <c r="Q464" s="21" t="str">
        <f>HYPERLINK("https://www.prescott.edu/apply/true-cost-calculator/index.html", "$17973")</f>
        <v>$17973</v>
      </c>
      <c r="R464" s="20">
        <v>22330</v>
      </c>
      <c r="S464" s="20">
        <v>20367</v>
      </c>
      <c r="T464" s="20">
        <v>2430</v>
      </c>
      <c r="U464" s="20">
        <v>15543</v>
      </c>
      <c r="W464" s="19">
        <v>0.4642</v>
      </c>
      <c r="X464" s="19">
        <v>0.38290000000000002</v>
      </c>
      <c r="Y464" s="18" t="s">
        <v>37</v>
      </c>
      <c r="Z464" s="18">
        <v>350</v>
      </c>
    </row>
    <row r="465" spans="1:26" ht="15.75" customHeight="1" x14ac:dyDescent="0.2">
      <c r="A465" s="36" t="str">
        <f>HYPERLINK("https://www.radford.edu", "Radford University")</f>
        <v>Radford University</v>
      </c>
      <c r="B465" s="18" t="s">
        <v>49</v>
      </c>
      <c r="C465" s="18" t="s">
        <v>83</v>
      </c>
      <c r="D465" s="18" t="s">
        <v>1077</v>
      </c>
      <c r="E465" s="18" t="s">
        <v>36</v>
      </c>
      <c r="F465" s="18" t="s">
        <v>90</v>
      </c>
      <c r="J465" s="19">
        <v>0.55169999999999997</v>
      </c>
      <c r="K465" s="19">
        <v>0.62051282100000005</v>
      </c>
      <c r="L465" s="19">
        <v>0.56940000000000002</v>
      </c>
      <c r="M465" s="19">
        <v>0.51580000000000004</v>
      </c>
      <c r="N465" s="19">
        <v>0.47560000000000002</v>
      </c>
      <c r="O465" s="19">
        <v>0.29170000000000001</v>
      </c>
      <c r="P465" s="20">
        <v>35331</v>
      </c>
      <c r="Q465" s="21" t="str">
        <f>HYPERLINK("https://npc.collegeboard.org/student/app/radford", "$25060")</f>
        <v>$25060</v>
      </c>
      <c r="R465" s="20">
        <v>29571</v>
      </c>
      <c r="S465" s="20">
        <v>33647</v>
      </c>
      <c r="T465" s="20">
        <v>4100</v>
      </c>
      <c r="U465" s="20">
        <v>20960.02132196162</v>
      </c>
      <c r="W465" s="19">
        <v>0.32719999999999999</v>
      </c>
      <c r="X465" s="19">
        <v>0.33169999999999999</v>
      </c>
      <c r="Z465" s="18">
        <v>8376</v>
      </c>
    </row>
    <row r="466" spans="1:26" ht="15.75" customHeight="1" x14ac:dyDescent="0.2">
      <c r="A466" s="36" t="str">
        <f>HYPERLINK("https://www.ramapo.edu", "Ramapo College of New Jersey")</f>
        <v>Ramapo College of New Jersey</v>
      </c>
      <c r="B466" s="18" t="s">
        <v>49</v>
      </c>
      <c r="C466" s="18" t="s">
        <v>141</v>
      </c>
      <c r="D466" s="18" t="s">
        <v>1079</v>
      </c>
      <c r="E466" s="18">
        <v>1146</v>
      </c>
      <c r="F466" s="18" t="s">
        <v>35</v>
      </c>
      <c r="J466" s="19">
        <v>0.74019999999999997</v>
      </c>
      <c r="K466" s="19">
        <v>0.571428571</v>
      </c>
      <c r="L466" s="19">
        <v>0.7823</v>
      </c>
      <c r="M466" s="19">
        <v>0.59089999999999998</v>
      </c>
      <c r="N466" s="19">
        <v>0.65849999999999997</v>
      </c>
      <c r="O466" s="19">
        <v>0.73329999999999995</v>
      </c>
      <c r="P466" s="20">
        <v>39973</v>
      </c>
      <c r="Q466" s="21" t="str">
        <f>HYPERLINK("https://www.finaid.org/calculators/", "$23978")</f>
        <v>$23978</v>
      </c>
      <c r="R466" s="20">
        <v>34071</v>
      </c>
      <c r="S466" s="20">
        <v>38175</v>
      </c>
      <c r="T466" s="20">
        <v>4579</v>
      </c>
      <c r="U466" s="20">
        <v>19399.62827225131</v>
      </c>
      <c r="W466" s="19">
        <v>0.2477</v>
      </c>
      <c r="X466" s="19">
        <v>0.36430000000000001</v>
      </c>
      <c r="Z466" s="18">
        <v>5314</v>
      </c>
    </row>
    <row r="467" spans="1:26" ht="15.75" customHeight="1" x14ac:dyDescent="0.2">
      <c r="A467" s="36" t="str">
        <f>HYPERLINK("https://www.rmc.edu", "Randolph-Macon College")</f>
        <v>Randolph-Macon College</v>
      </c>
      <c r="B467" s="18" t="s">
        <v>32</v>
      </c>
      <c r="C467" s="18" t="s">
        <v>83</v>
      </c>
      <c r="D467" s="18" t="s">
        <v>563</v>
      </c>
      <c r="E467" s="18">
        <v>1152</v>
      </c>
      <c r="F467" s="18" t="s">
        <v>35</v>
      </c>
      <c r="J467" s="19">
        <v>0.66259999999999997</v>
      </c>
      <c r="K467" s="19">
        <v>0.51282051299999998</v>
      </c>
      <c r="L467" s="19">
        <v>0.70589999999999997</v>
      </c>
      <c r="M467" s="19">
        <v>0.55740000000000001</v>
      </c>
      <c r="N467" s="19">
        <v>0.42109999999999997</v>
      </c>
      <c r="O467" s="19">
        <v>1</v>
      </c>
      <c r="P467" s="20">
        <v>54180</v>
      </c>
      <c r="Q467" s="21" t="str">
        <f>HYPERLINK("https://www.rmc.edu/prospective-students/paying-for-college/net-price-calculator", "$20132")</f>
        <v>$20132</v>
      </c>
      <c r="R467" s="20">
        <v>22796</v>
      </c>
      <c r="S467" s="20">
        <v>26742</v>
      </c>
      <c r="T467" s="20">
        <v>2700</v>
      </c>
      <c r="U467" s="20">
        <v>17432</v>
      </c>
      <c r="W467" s="19">
        <v>0.2268</v>
      </c>
      <c r="X467" s="19">
        <v>0.22929999999999989</v>
      </c>
      <c r="Z467" s="18">
        <v>1439</v>
      </c>
    </row>
    <row r="468" spans="1:26" ht="15.75" customHeight="1" x14ac:dyDescent="0.2">
      <c r="A468" s="36" t="str">
        <f>HYPERLINK("https://www.regis.edu/", "Regis University")</f>
        <v>Regis University</v>
      </c>
      <c r="B468" s="18" t="s">
        <v>32</v>
      </c>
      <c r="C468" s="18" t="s">
        <v>87</v>
      </c>
      <c r="D468" s="18" t="s">
        <v>508</v>
      </c>
      <c r="E468" s="18">
        <v>1150</v>
      </c>
      <c r="F468" s="18" t="s">
        <v>35</v>
      </c>
      <c r="J468" s="19">
        <v>0.71209999999999996</v>
      </c>
      <c r="K468" s="19">
        <v>0.21982758599999999</v>
      </c>
      <c r="L468" s="19">
        <v>0.70089999999999997</v>
      </c>
      <c r="M468" s="19">
        <v>0.6</v>
      </c>
      <c r="N468" s="19">
        <v>0.76039999999999996</v>
      </c>
      <c r="O468" s="19">
        <v>0.8125</v>
      </c>
      <c r="P468" s="20">
        <v>51202</v>
      </c>
      <c r="Q468" s="21" t="str">
        <f>HYPERLINK("https://www.regis.edu/RC/Financial-Aid/Applying-for-Aid/Net-Price-Calculator.aspx", "$20095")</f>
        <v>$20095</v>
      </c>
      <c r="R468" s="20">
        <v>21117</v>
      </c>
      <c r="S468" s="20">
        <v>24223</v>
      </c>
      <c r="T468" s="20">
        <v>4822</v>
      </c>
      <c r="U468" s="20">
        <v>15273</v>
      </c>
      <c r="W468" s="19">
        <v>0.2545</v>
      </c>
      <c r="X468" s="19">
        <v>0.48930000000000001</v>
      </c>
      <c r="Z468" s="18">
        <v>4016</v>
      </c>
    </row>
    <row r="469" spans="1:26" ht="15.75" customHeight="1" x14ac:dyDescent="0.2">
      <c r="A469" s="36" t="str">
        <f>HYPERLINK("https://www.reinhardt.edu", "Reinhardt University")</f>
        <v>Reinhardt University</v>
      </c>
      <c r="B469" s="18" t="s">
        <v>32</v>
      </c>
      <c r="C469" s="18" t="s">
        <v>107</v>
      </c>
      <c r="D469" s="18" t="s">
        <v>1081</v>
      </c>
      <c r="E469" s="18">
        <v>1038</v>
      </c>
      <c r="F469" s="18" t="s">
        <v>35</v>
      </c>
      <c r="J469" s="19">
        <v>0.36859999999999998</v>
      </c>
      <c r="K469" s="19" t="s">
        <v>36</v>
      </c>
      <c r="L469" s="19">
        <v>0.39379999999999998</v>
      </c>
      <c r="M469" s="19">
        <v>0.28949999999999998</v>
      </c>
      <c r="N469" s="19">
        <v>0.31580000000000003</v>
      </c>
      <c r="O469" s="19">
        <v>0</v>
      </c>
      <c r="P469" s="20">
        <v>37748</v>
      </c>
      <c r="Q469" s="21" t="str">
        <f>HYPERLINK("https://www.reinhardt.edu/student-life/student-services-resources/financial-aid/undergraduate-financial-aid/net-price-calculator/", "$19745")</f>
        <v>$19745</v>
      </c>
      <c r="R469" s="20">
        <v>21630</v>
      </c>
      <c r="S469" s="20">
        <v>18881</v>
      </c>
      <c r="T469" s="20">
        <v>7060</v>
      </c>
      <c r="U469" s="20">
        <v>12685</v>
      </c>
      <c r="W469" s="19">
        <v>0.38669999999999999</v>
      </c>
      <c r="X469" s="19">
        <v>0.36930000000000002</v>
      </c>
      <c r="Z469" s="18">
        <v>1381</v>
      </c>
    </row>
    <row r="470" spans="1:26" ht="15.75" customHeight="1" x14ac:dyDescent="0.2">
      <c r="A470" s="36" t="str">
        <f>HYPERLINK("https://www.risd.edu", "Rhode Island School of Design")</f>
        <v>Rhode Island School of Design</v>
      </c>
      <c r="B470" s="18" t="s">
        <v>32</v>
      </c>
      <c r="C470" s="18" t="s">
        <v>63</v>
      </c>
      <c r="D470" s="18" t="s">
        <v>64</v>
      </c>
      <c r="E470" s="18">
        <v>1276</v>
      </c>
      <c r="F470" s="18" t="s">
        <v>35</v>
      </c>
      <c r="J470" s="19">
        <v>0.91149999999999998</v>
      </c>
      <c r="K470" s="19" t="s">
        <v>36</v>
      </c>
      <c r="L470" s="19">
        <v>0.93459999999999999</v>
      </c>
      <c r="M470" s="19">
        <v>0.8</v>
      </c>
      <c r="N470" s="19">
        <v>0.88570000000000004</v>
      </c>
      <c r="O470" s="19">
        <v>0.9143</v>
      </c>
      <c r="P470" s="20">
        <v>67620</v>
      </c>
      <c r="Q470" s="21" t="str">
        <f>HYPERLINK("https://risd.studentaidcalculator.com/survey.aspx", "$35617")</f>
        <v>$35617</v>
      </c>
      <c r="R470" s="20">
        <v>37697</v>
      </c>
      <c r="S470" s="20">
        <v>43077</v>
      </c>
      <c r="T470" s="20">
        <v>6200</v>
      </c>
      <c r="U470" s="20">
        <v>29417</v>
      </c>
      <c r="W470" s="19">
        <v>0.15759999999999999</v>
      </c>
      <c r="X470" s="19">
        <v>0.68880000000000008</v>
      </c>
      <c r="Z470" s="18">
        <v>1976</v>
      </c>
    </row>
    <row r="471" spans="1:26" ht="15.75" customHeight="1" x14ac:dyDescent="0.2">
      <c r="A471" s="36" t="str">
        <f>HYPERLINK("https://www.rider.edu", "Rider University")</f>
        <v>Rider University</v>
      </c>
      <c r="B471" s="18" t="s">
        <v>32</v>
      </c>
      <c r="C471" s="18" t="s">
        <v>141</v>
      </c>
      <c r="D471" s="18" t="s">
        <v>1082</v>
      </c>
      <c r="E471" s="18">
        <v>1097</v>
      </c>
      <c r="F471" s="18" t="s">
        <v>35</v>
      </c>
      <c r="J471" s="19">
        <v>0.62339999999999995</v>
      </c>
      <c r="K471" s="19">
        <v>0.59807074000000005</v>
      </c>
      <c r="L471" s="19">
        <v>0.68510000000000004</v>
      </c>
      <c r="M471" s="19">
        <v>0.45629999999999998</v>
      </c>
      <c r="N471" s="19">
        <v>0.48980000000000001</v>
      </c>
      <c r="O471" s="19">
        <v>0.62160000000000004</v>
      </c>
      <c r="P471" s="20">
        <v>59700</v>
      </c>
      <c r="Q471" s="21" t="str">
        <f>HYPERLINK("https://www.rider.edu/netpricecalculator/", "$20899")</f>
        <v>$20899</v>
      </c>
      <c r="R471" s="20">
        <v>28895</v>
      </c>
      <c r="S471" s="20">
        <v>32124</v>
      </c>
      <c r="T471" s="20">
        <v>3530</v>
      </c>
      <c r="U471" s="20">
        <v>17369</v>
      </c>
      <c r="W471" s="19">
        <v>0.29039999999999999</v>
      </c>
      <c r="X471" s="19">
        <v>0.40899999999999997</v>
      </c>
      <c r="Z471" s="18">
        <v>4042</v>
      </c>
    </row>
    <row r="472" spans="1:26" ht="15.75" customHeight="1" x14ac:dyDescent="0.2">
      <c r="A472" s="36" t="str">
        <f>HYPERLINK("https://www.ringling.edu", "Ringling College of Art and Design")</f>
        <v>Ringling College of Art and Design</v>
      </c>
      <c r="B472" s="18" t="s">
        <v>32</v>
      </c>
      <c r="C472" s="18" t="s">
        <v>162</v>
      </c>
      <c r="D472" s="18" t="s">
        <v>233</v>
      </c>
      <c r="E472" s="18" t="s">
        <v>36</v>
      </c>
      <c r="F472" s="18" t="s">
        <v>45</v>
      </c>
      <c r="J472" s="19">
        <v>0.65159999999999996</v>
      </c>
      <c r="K472" s="19">
        <v>0.58585858600000007</v>
      </c>
      <c r="L472" s="19">
        <v>0.62780000000000002</v>
      </c>
      <c r="M472" s="19">
        <v>0.54549999999999998</v>
      </c>
      <c r="N472" s="19">
        <v>0.67569999999999997</v>
      </c>
      <c r="O472" s="19">
        <v>0.58819999999999995</v>
      </c>
      <c r="P472" s="20">
        <v>65524</v>
      </c>
      <c r="Q472" s="21" t="str">
        <f>HYPERLINK("https://npc.collegeboard.org/student/app/ringling", "$44334")</f>
        <v>$44334</v>
      </c>
      <c r="R472" s="20">
        <v>47914</v>
      </c>
      <c r="S472" s="20">
        <v>50024</v>
      </c>
      <c r="T472" s="20">
        <v>6364</v>
      </c>
      <c r="U472" s="20">
        <v>37970</v>
      </c>
      <c r="W472" s="19">
        <v>0.28820000000000001</v>
      </c>
      <c r="X472" s="19">
        <v>0.52410000000000001</v>
      </c>
      <c r="Z472" s="18">
        <v>1454</v>
      </c>
    </row>
    <row r="473" spans="1:26" ht="15.75" customHeight="1" x14ac:dyDescent="0.2">
      <c r="A473" s="36" t="str">
        <f>HYPERLINK("https://www.ripon.edu", "Ripon College")</f>
        <v>Ripon College</v>
      </c>
      <c r="B473" s="18" t="s">
        <v>32</v>
      </c>
      <c r="C473" s="18" t="s">
        <v>196</v>
      </c>
      <c r="D473" s="18" t="s">
        <v>1083</v>
      </c>
      <c r="E473" s="18">
        <v>1145</v>
      </c>
      <c r="F473" s="18" t="s">
        <v>115</v>
      </c>
      <c r="J473" s="19">
        <v>0.6784</v>
      </c>
      <c r="K473" s="19">
        <v>0.44</v>
      </c>
      <c r="L473" s="19">
        <v>0.71279999999999999</v>
      </c>
      <c r="M473" s="19">
        <v>0.25</v>
      </c>
      <c r="N473" s="19">
        <v>0.54549999999999998</v>
      </c>
      <c r="O473" s="19">
        <v>1</v>
      </c>
      <c r="P473" s="20">
        <v>52341</v>
      </c>
      <c r="Q473" s="21" t="str">
        <f>HYPERLINK("https://www.ripon.edu/admission/calculator/", "$15108")</f>
        <v>$15108</v>
      </c>
      <c r="R473" s="20">
        <v>16261</v>
      </c>
      <c r="S473" s="20">
        <v>19763</v>
      </c>
      <c r="T473" s="20">
        <v>2350</v>
      </c>
      <c r="U473" s="20">
        <v>12758</v>
      </c>
      <c r="W473" s="19">
        <v>0.3392</v>
      </c>
      <c r="X473" s="19">
        <v>0.20269999999999999</v>
      </c>
      <c r="Z473" s="18">
        <v>740</v>
      </c>
    </row>
    <row r="474" spans="1:26" ht="15.75" customHeight="1" x14ac:dyDescent="0.2">
      <c r="A474" s="36" t="str">
        <f>HYPERLINK("https://www.roanoke.edu", "Roanoke College")</f>
        <v>Roanoke College</v>
      </c>
      <c r="B474" s="18" t="s">
        <v>32</v>
      </c>
      <c r="C474" s="18" t="s">
        <v>83</v>
      </c>
      <c r="D474" s="18" t="s">
        <v>343</v>
      </c>
      <c r="E474" s="18">
        <v>1154</v>
      </c>
      <c r="F474" s="18" t="s">
        <v>35</v>
      </c>
      <c r="J474" s="19">
        <v>0.6704</v>
      </c>
      <c r="K474" s="19">
        <v>0.64566929100000003</v>
      </c>
      <c r="L474" s="19">
        <v>0.66959999999999997</v>
      </c>
      <c r="M474" s="19">
        <v>0.60870000000000002</v>
      </c>
      <c r="N474" s="19">
        <v>0.71430000000000005</v>
      </c>
      <c r="O474" s="19">
        <v>0.5</v>
      </c>
      <c r="P474" s="20">
        <v>59327</v>
      </c>
      <c r="Q474" s="21" t="str">
        <f>HYPERLINK("https://admapp.roanoke.edu/netcalc", "$21505")</f>
        <v>$21505</v>
      </c>
      <c r="R474" s="20">
        <v>26320</v>
      </c>
      <c r="S474" s="20">
        <v>28551</v>
      </c>
      <c r="T474" s="20">
        <v>3250</v>
      </c>
      <c r="U474" s="20">
        <v>18255</v>
      </c>
      <c r="W474" s="19">
        <v>0.2424</v>
      </c>
      <c r="X474" s="19">
        <v>0.19700000000000009</v>
      </c>
      <c r="Z474" s="18">
        <v>1990</v>
      </c>
    </row>
    <row r="475" spans="1:26" ht="15.75" customHeight="1" x14ac:dyDescent="0.2">
      <c r="A475" s="36" t="str">
        <f>HYPERLINK("https://www.rmu.edu", "Robert Morris University")</f>
        <v>Robert Morris University</v>
      </c>
      <c r="B475" s="18" t="s">
        <v>32</v>
      </c>
      <c r="C475" s="18" t="s">
        <v>65</v>
      </c>
      <c r="D475" s="18" t="s">
        <v>1085</v>
      </c>
      <c r="E475" s="18">
        <v>1127</v>
      </c>
      <c r="F475" s="18" t="s">
        <v>35</v>
      </c>
      <c r="J475" s="19">
        <v>0.6069</v>
      </c>
      <c r="K475" s="19">
        <v>0.49689441000000001</v>
      </c>
      <c r="L475" s="19">
        <v>0.63880000000000003</v>
      </c>
      <c r="M475" s="19">
        <v>0.33850000000000002</v>
      </c>
      <c r="N475" s="19">
        <v>0.5333</v>
      </c>
      <c r="O475" s="19">
        <v>0.54549999999999998</v>
      </c>
      <c r="P475" s="20">
        <v>46316</v>
      </c>
      <c r="Q475" s="21" t="str">
        <f>HYPERLINK("https://rmu.edu/admissions/financial-aid/net-price-calculator", "$22081")</f>
        <v>$22081</v>
      </c>
      <c r="R475" s="20">
        <v>22720</v>
      </c>
      <c r="S475" s="20">
        <v>27201</v>
      </c>
      <c r="T475" s="20">
        <v>3996</v>
      </c>
      <c r="U475" s="20">
        <v>18085</v>
      </c>
      <c r="W475" s="19">
        <v>0.28029999999999999</v>
      </c>
      <c r="X475" s="19">
        <v>0.26819999999999999</v>
      </c>
      <c r="Z475" s="18">
        <v>4213</v>
      </c>
    </row>
    <row r="476" spans="1:26" ht="15.75" customHeight="1" x14ac:dyDescent="0.2">
      <c r="A476" s="36" t="str">
        <f>HYPERLINK("https://www.roberts.edu", "Roberts Wesleyan College")</f>
        <v>Roberts Wesleyan College</v>
      </c>
      <c r="B476" s="18" t="s">
        <v>32</v>
      </c>
      <c r="C476" s="18" t="s">
        <v>38</v>
      </c>
      <c r="D476" s="18" t="s">
        <v>170</v>
      </c>
      <c r="E476" s="18">
        <v>1144</v>
      </c>
      <c r="F476" s="18" t="s">
        <v>35</v>
      </c>
      <c r="J476" s="19">
        <v>0.59750000000000003</v>
      </c>
      <c r="K476" s="19">
        <v>0.4</v>
      </c>
      <c r="L476" s="19">
        <v>0.63639999999999997</v>
      </c>
      <c r="M476" s="19">
        <v>0.38100000000000001</v>
      </c>
      <c r="N476" s="19">
        <v>0.375</v>
      </c>
      <c r="O476" s="19">
        <v>1</v>
      </c>
      <c r="P476" s="20">
        <v>45138</v>
      </c>
      <c r="Q476" s="21" t="str">
        <f>HYPERLINK("https://www.roberts.edu/undergraduate/tuition-and-aid/net-price-calculator.aspx", "$18582")</f>
        <v>$18582</v>
      </c>
      <c r="R476" s="20">
        <v>22535</v>
      </c>
      <c r="S476" s="20">
        <v>24463</v>
      </c>
      <c r="T476" s="20">
        <v>4022</v>
      </c>
      <c r="U476" s="20">
        <v>14560</v>
      </c>
      <c r="W476" s="19">
        <v>6.08E-2</v>
      </c>
      <c r="X476" s="19">
        <v>0.26450000000000001</v>
      </c>
      <c r="Z476" s="18">
        <v>1297</v>
      </c>
    </row>
    <row r="477" spans="1:26" ht="15.75" customHeight="1" x14ac:dyDescent="0.2">
      <c r="A477" s="36" t="str">
        <f>HYPERLINK("https://www.rc.edu", "Rochester College")</f>
        <v>Rochester College</v>
      </c>
      <c r="B477" s="18" t="s">
        <v>32</v>
      </c>
      <c r="C477" s="18" t="s">
        <v>226</v>
      </c>
      <c r="D477" s="18" t="s">
        <v>434</v>
      </c>
      <c r="E477" s="18">
        <v>997</v>
      </c>
      <c r="F477" s="18" t="s">
        <v>35</v>
      </c>
      <c r="J477" s="19">
        <v>0.4194</v>
      </c>
      <c r="K477" s="19">
        <v>0.51851851900000001</v>
      </c>
      <c r="L477" s="19">
        <v>0.52939999999999998</v>
      </c>
      <c r="M477" s="19">
        <v>0.125</v>
      </c>
      <c r="N477" s="19">
        <v>0.66669999999999996</v>
      </c>
      <c r="O477" s="19" t="s">
        <v>36</v>
      </c>
      <c r="P477" s="20">
        <v>32028</v>
      </c>
      <c r="Q477" s="21" t="str">
        <f>HYPERLINK("https://www.rc.edu/admissions/financial-services/cost-of-college/", "$14794")</f>
        <v>$14794</v>
      </c>
      <c r="R477" s="20">
        <v>17543</v>
      </c>
      <c r="S477" s="20">
        <v>19747</v>
      </c>
      <c r="T477" s="20">
        <v>2556</v>
      </c>
      <c r="U477" s="20">
        <v>12238</v>
      </c>
      <c r="W477" s="19">
        <v>0.36580000000000001</v>
      </c>
      <c r="X477" s="19">
        <v>0.28270000000000001</v>
      </c>
      <c r="Z477" s="18">
        <v>987</v>
      </c>
    </row>
    <row r="478" spans="1:26" ht="15.75" customHeight="1" x14ac:dyDescent="0.2">
      <c r="A478" s="36" t="str">
        <f>HYPERLINK("https://www.rockford.edu", "Rockford University")</f>
        <v>Rockford University</v>
      </c>
      <c r="B478" s="18" t="s">
        <v>32</v>
      </c>
      <c r="C478" s="18" t="s">
        <v>137</v>
      </c>
      <c r="D478" s="18" t="s">
        <v>1088</v>
      </c>
      <c r="E478" s="18">
        <v>1059</v>
      </c>
      <c r="F478" s="18" t="s">
        <v>35</v>
      </c>
      <c r="J478" s="19">
        <v>0.41460000000000002</v>
      </c>
      <c r="K478" s="19">
        <v>0.41830065399999999</v>
      </c>
      <c r="L478" s="19">
        <v>0.46150000000000002</v>
      </c>
      <c r="M478" s="19">
        <v>0.15379999999999999</v>
      </c>
      <c r="N478" s="19">
        <v>0.36359999999999998</v>
      </c>
      <c r="O478" s="19" t="s">
        <v>36</v>
      </c>
      <c r="P478" s="20">
        <v>43130</v>
      </c>
      <c r="Q478" s="21" t="str">
        <f>HYPERLINK("https://www.rockford.edu/admission/financialaid/netpricecalculator/", "$19856")</f>
        <v>$19856</v>
      </c>
      <c r="R478" s="20">
        <v>19030</v>
      </c>
      <c r="S478" s="20">
        <v>22201</v>
      </c>
      <c r="T478" s="20">
        <v>4660</v>
      </c>
      <c r="U478" s="20">
        <v>15196</v>
      </c>
      <c r="W478" s="19">
        <v>0.47810000000000002</v>
      </c>
      <c r="X478" s="19">
        <v>0.37719999999999998</v>
      </c>
      <c r="Z478" s="18">
        <v>1018</v>
      </c>
    </row>
    <row r="479" spans="1:26" ht="15.75" customHeight="1" x14ac:dyDescent="0.2">
      <c r="A479" s="36" t="str">
        <f>HYPERLINK("https://www.rockhurst.edu", "Rockhurst University")</f>
        <v>Rockhurst University</v>
      </c>
      <c r="B479" s="18" t="s">
        <v>32</v>
      </c>
      <c r="C479" s="18" t="s">
        <v>164</v>
      </c>
      <c r="D479" s="18" t="s">
        <v>515</v>
      </c>
      <c r="E479" s="18">
        <v>1198</v>
      </c>
      <c r="F479" s="18" t="s">
        <v>35</v>
      </c>
      <c r="J479" s="19">
        <v>0.74539999999999995</v>
      </c>
      <c r="K479" s="19">
        <v>0.52884615400000001</v>
      </c>
      <c r="L479" s="19">
        <v>0.8024</v>
      </c>
      <c r="M479" s="19">
        <v>0.40910000000000002</v>
      </c>
      <c r="N479" s="19">
        <v>0.30430000000000001</v>
      </c>
      <c r="O479" s="19">
        <v>1</v>
      </c>
      <c r="P479" s="20">
        <v>51631</v>
      </c>
      <c r="Q479" s="21" t="str">
        <f>HYPERLINK("https://www.rockhurst.edu/admissions/scholarships-financial-aid/undergraduate-students/net-price-calculator/", "$18844")</f>
        <v>$18844</v>
      </c>
      <c r="R479" s="20">
        <v>20874</v>
      </c>
      <c r="S479" s="20">
        <v>24244</v>
      </c>
      <c r="T479" s="20">
        <v>5681</v>
      </c>
      <c r="U479" s="20">
        <v>13163</v>
      </c>
      <c r="W479" s="19">
        <v>0.13270000000000001</v>
      </c>
      <c r="X479" s="19">
        <v>0.27969999999999989</v>
      </c>
      <c r="Z479" s="18">
        <v>1623</v>
      </c>
    </row>
    <row r="480" spans="1:26" ht="15.75" customHeight="1" x14ac:dyDescent="0.2">
      <c r="A480" s="36" t="str">
        <f>HYPERLINK("https://www.rocky.edu", "Rocky Mountain College")</f>
        <v>Rocky Mountain College</v>
      </c>
      <c r="B480" s="18" t="s">
        <v>32</v>
      </c>
      <c r="C480" s="18" t="s">
        <v>421</v>
      </c>
      <c r="D480" s="18" t="s">
        <v>685</v>
      </c>
      <c r="E480" s="18">
        <v>1099</v>
      </c>
      <c r="F480" s="18" t="s">
        <v>35</v>
      </c>
      <c r="J480" s="19">
        <v>0.52439999999999998</v>
      </c>
      <c r="K480" s="19">
        <v>0.32954545499999999</v>
      </c>
      <c r="L480" s="19">
        <v>0.54139999999999999</v>
      </c>
      <c r="M480" s="19">
        <v>0</v>
      </c>
      <c r="N480" s="19">
        <v>0.33329999999999999</v>
      </c>
      <c r="O480" s="19">
        <v>0</v>
      </c>
      <c r="P480" s="20">
        <v>40346</v>
      </c>
      <c r="Q480" s="21" t="str">
        <f>HYPERLINK("https://www.rocky.edu/admissions-aid/financial-aid/net-price-calculator", "$18464")</f>
        <v>$18464</v>
      </c>
      <c r="R480" s="20">
        <v>19508</v>
      </c>
      <c r="S480" s="20">
        <v>20009</v>
      </c>
      <c r="T480" s="20">
        <v>4570</v>
      </c>
      <c r="U480" s="20">
        <v>13894</v>
      </c>
      <c r="W480" s="19">
        <v>0.32600000000000001</v>
      </c>
      <c r="X480" s="19">
        <v>0.22509999999999999</v>
      </c>
      <c r="Z480" s="18">
        <v>884</v>
      </c>
    </row>
    <row r="481" spans="1:26" ht="15.75" customHeight="1" x14ac:dyDescent="0.2">
      <c r="A481" s="36" t="str">
        <f>HYPERLINK("https://www.rmcad.edu", "Rocky Mountain College of Art and Design")</f>
        <v>Rocky Mountain College of Art and Design</v>
      </c>
      <c r="B481" s="18" t="s">
        <v>368</v>
      </c>
      <c r="C481" s="18" t="s">
        <v>87</v>
      </c>
      <c r="D481" s="18" t="s">
        <v>338</v>
      </c>
      <c r="E481" s="18" t="s">
        <v>36</v>
      </c>
      <c r="F481" s="18" t="s">
        <v>36</v>
      </c>
      <c r="J481" s="19">
        <v>0.46239999999999998</v>
      </c>
      <c r="K481" s="19">
        <v>0.33783783799999989</v>
      </c>
      <c r="L481" s="19">
        <v>0.5161</v>
      </c>
      <c r="M481" s="19">
        <v>0</v>
      </c>
      <c r="N481" s="19">
        <v>0.44440000000000002</v>
      </c>
      <c r="O481" s="19">
        <v>0</v>
      </c>
      <c r="P481" s="20">
        <v>30295</v>
      </c>
      <c r="Q481" s="21" t="str">
        <f>HYPERLINK("https://www.rmcad.edu/consumer-information", "$22448")</f>
        <v>$22448</v>
      </c>
      <c r="R481" s="20">
        <v>23616</v>
      </c>
      <c r="S481" s="20">
        <v>26983</v>
      </c>
      <c r="T481" s="20">
        <v>4972</v>
      </c>
      <c r="U481" s="20">
        <v>17476</v>
      </c>
      <c r="W481" s="19">
        <v>0.4294</v>
      </c>
      <c r="X481" s="19">
        <v>0.39670000000000011</v>
      </c>
      <c r="Z481" s="18">
        <v>852</v>
      </c>
    </row>
    <row r="482" spans="1:26" ht="15.75" customHeight="1" x14ac:dyDescent="0.2">
      <c r="A482" s="36" t="str">
        <f>HYPERLINK("https://www.rsu.edu/", "Rogers State University")</f>
        <v>Rogers State University</v>
      </c>
      <c r="B482" s="18" t="s">
        <v>49</v>
      </c>
      <c r="C482" s="18" t="s">
        <v>290</v>
      </c>
      <c r="D482" s="18" t="s">
        <v>1091</v>
      </c>
      <c r="E482" s="18" t="s">
        <v>36</v>
      </c>
      <c r="F482" s="18" t="s">
        <v>36</v>
      </c>
      <c r="J482" s="19">
        <v>0.16600000000000001</v>
      </c>
      <c r="K482" s="19">
        <v>0.18301610500000001</v>
      </c>
      <c r="L482" s="19">
        <v>0.17330000000000001</v>
      </c>
      <c r="M482" s="19">
        <v>7.8899999999999998E-2</v>
      </c>
      <c r="N482" s="19">
        <v>0.15629999999999999</v>
      </c>
      <c r="O482" s="19">
        <v>0.25</v>
      </c>
      <c r="P482" s="20">
        <v>30170</v>
      </c>
      <c r="Q482" s="21" t="str">
        <f>HYPERLINK("https://www.rsu.edu/s/npcalc/", "$22911")</f>
        <v>$22911</v>
      </c>
      <c r="R482" s="20">
        <v>26520</v>
      </c>
      <c r="S482" s="20">
        <v>28732</v>
      </c>
      <c r="T482" s="20">
        <v>5146</v>
      </c>
      <c r="U482" s="20">
        <v>17765.271493212669</v>
      </c>
      <c r="W482" s="19">
        <v>0.42880000000000001</v>
      </c>
      <c r="X482" s="19">
        <v>0.43159999999999998</v>
      </c>
      <c r="Z482" s="18">
        <v>3216</v>
      </c>
    </row>
    <row r="483" spans="1:26" ht="15.75" customHeight="1" x14ac:dyDescent="0.2">
      <c r="A483" s="36" t="str">
        <f>HYPERLINK("https://www.rosemont.edu", "Rosemont College")</f>
        <v>Rosemont College</v>
      </c>
      <c r="B483" s="18" t="s">
        <v>32</v>
      </c>
      <c r="C483" s="18" t="s">
        <v>65</v>
      </c>
      <c r="D483" s="18" t="s">
        <v>1093</v>
      </c>
      <c r="E483" s="18">
        <v>993</v>
      </c>
      <c r="F483" s="18" t="s">
        <v>35</v>
      </c>
      <c r="J483" s="19">
        <v>0.61319999999999997</v>
      </c>
      <c r="K483" s="19">
        <v>0.37606837599999998</v>
      </c>
      <c r="L483" s="19">
        <v>0.70369999999999999</v>
      </c>
      <c r="M483" s="19">
        <v>0.5806</v>
      </c>
      <c r="N483" s="19">
        <v>0.25</v>
      </c>
      <c r="O483" s="19">
        <v>1</v>
      </c>
      <c r="P483" s="20">
        <v>34464</v>
      </c>
      <c r="Q483" s="21" t="str">
        <f>HYPERLINK("https://www.rosemont.edu/admissions/tuition-and-aid/cost-of-attendance/net-price-calculator.php", "$16152")</f>
        <v>$16152</v>
      </c>
      <c r="R483" s="20">
        <v>19297</v>
      </c>
      <c r="S483" s="20">
        <v>25213</v>
      </c>
      <c r="T483" s="20">
        <v>3018</v>
      </c>
      <c r="U483" s="20">
        <v>13134</v>
      </c>
      <c r="W483" s="19">
        <v>0.54359999999999997</v>
      </c>
      <c r="X483" s="19">
        <v>0.64529999999999998</v>
      </c>
      <c r="Z483" s="18">
        <v>609</v>
      </c>
    </row>
    <row r="484" spans="1:26" ht="15.75" customHeight="1" x14ac:dyDescent="0.2">
      <c r="A484" s="36" t="str">
        <f>HYPERLINK("https://www.rustcollege.edu", "Rust College")</f>
        <v>Rust College</v>
      </c>
      <c r="B484" s="18" t="s">
        <v>32</v>
      </c>
      <c r="C484" s="18" t="s">
        <v>59</v>
      </c>
      <c r="D484" s="18" t="s">
        <v>1094</v>
      </c>
      <c r="E484" s="18" t="s">
        <v>36</v>
      </c>
      <c r="F484" s="18" t="s">
        <v>90</v>
      </c>
      <c r="J484" s="19">
        <v>0.38819999999999999</v>
      </c>
      <c r="K484" s="19">
        <v>0.28348909700000002</v>
      </c>
      <c r="L484" s="19">
        <v>0</v>
      </c>
      <c r="M484" s="19">
        <v>0.37890000000000001</v>
      </c>
      <c r="N484" s="19" t="s">
        <v>36</v>
      </c>
      <c r="O484" s="19">
        <v>1</v>
      </c>
      <c r="P484" s="20">
        <v>16500</v>
      </c>
      <c r="Q484" s="21" t="str">
        <f>HYPERLINK("https://www.rustcollege.edu/administration/financial%2Daid/npcalc.htm", "$9535")</f>
        <v>$9535</v>
      </c>
      <c r="R484" s="20">
        <v>13339</v>
      </c>
      <c r="S484" s="20" t="s">
        <v>36</v>
      </c>
      <c r="T484" s="20">
        <v>2500</v>
      </c>
      <c r="U484" s="20">
        <v>7035</v>
      </c>
      <c r="W484" s="19">
        <v>0.79979999999999996</v>
      </c>
      <c r="X484" s="19">
        <v>0.99419999999999997</v>
      </c>
      <c r="Z484" s="18">
        <v>860</v>
      </c>
    </row>
    <row r="485" spans="1:26" ht="15.75" customHeight="1" x14ac:dyDescent="0.2">
      <c r="A485" s="36" t="str">
        <f>HYPERLINK("https://www.camden.rutgers.edu/", "Rutgers University-Camden")</f>
        <v>Rutgers University-Camden</v>
      </c>
      <c r="B485" s="18" t="s">
        <v>49</v>
      </c>
      <c r="C485" s="18" t="s">
        <v>141</v>
      </c>
      <c r="D485" s="18" t="s">
        <v>1095</v>
      </c>
      <c r="E485" s="18">
        <v>1090</v>
      </c>
      <c r="F485" s="18" t="s">
        <v>35</v>
      </c>
      <c r="J485" s="19">
        <v>0.57999999999999996</v>
      </c>
      <c r="K485" s="19">
        <v>0.68906410699999998</v>
      </c>
      <c r="L485" s="19">
        <v>0.61509999999999998</v>
      </c>
      <c r="M485" s="19">
        <v>0.45569999999999999</v>
      </c>
      <c r="N485" s="19">
        <v>0.51249999999999996</v>
      </c>
      <c r="O485" s="19">
        <v>0.72729999999999995</v>
      </c>
      <c r="P485" s="20">
        <v>46505</v>
      </c>
      <c r="Q485" s="21" t="str">
        <f>HYPERLINK("https://financialaid.rutgers.edu/tools-and-resources/net-price-calculator/", "$30050")</f>
        <v>$30050</v>
      </c>
      <c r="R485" s="20">
        <v>32715</v>
      </c>
      <c r="S485" s="20">
        <v>38906</v>
      </c>
      <c r="T485" s="20">
        <v>4487</v>
      </c>
      <c r="U485" s="20">
        <v>25563.791821561339</v>
      </c>
      <c r="W485" s="19">
        <v>0.43269999999999997</v>
      </c>
      <c r="X485" s="19">
        <v>0.50900000000000001</v>
      </c>
      <c r="Z485" s="18">
        <v>5360</v>
      </c>
    </row>
    <row r="486" spans="1:26" ht="15.75" customHeight="1" x14ac:dyDescent="0.2">
      <c r="A486" s="36" t="str">
        <f>HYPERLINK("https://www.newark.rutgers.edu/", "Rutgers University-Newark")</f>
        <v>Rutgers University-Newark</v>
      </c>
      <c r="B486" s="18" t="s">
        <v>49</v>
      </c>
      <c r="C486" s="18" t="s">
        <v>141</v>
      </c>
      <c r="D486" s="18" t="s">
        <v>425</v>
      </c>
      <c r="E486" s="18">
        <v>1090</v>
      </c>
      <c r="F486" s="18" t="s">
        <v>35</v>
      </c>
      <c r="J486" s="19">
        <v>0.67889999999999995</v>
      </c>
      <c r="K486" s="19">
        <v>0.68906410699999998</v>
      </c>
      <c r="L486" s="19">
        <v>0.67279999999999995</v>
      </c>
      <c r="M486" s="19">
        <v>0.6583</v>
      </c>
      <c r="N486" s="19">
        <v>0.64710000000000001</v>
      </c>
      <c r="O486" s="19">
        <v>0.70909999999999995</v>
      </c>
      <c r="P486" s="20">
        <v>47779</v>
      </c>
      <c r="Q486" s="21" t="str">
        <f>HYPERLINK("https://financialaid.rutgers.edu/tools-and-resources/net-price-calculator/", "$32273")</f>
        <v>$32273</v>
      </c>
      <c r="R486" s="20">
        <v>39000</v>
      </c>
      <c r="S486" s="20">
        <v>43722</v>
      </c>
      <c r="T486" s="20">
        <v>4487</v>
      </c>
      <c r="U486" s="20">
        <v>27786.445993031361</v>
      </c>
      <c r="W486" s="19">
        <v>0.4995</v>
      </c>
      <c r="X486" s="19">
        <v>0.77429999999999999</v>
      </c>
      <c r="Z486" s="18">
        <v>8122</v>
      </c>
    </row>
    <row r="487" spans="1:26" ht="15.75" customHeight="1" x14ac:dyDescent="0.2">
      <c r="A487" s="36" t="str">
        <f>HYPERLINK("https://suny.buffalostate.edu/", "SUNY Buffalo State")</f>
        <v>SUNY Buffalo State</v>
      </c>
      <c r="B487" s="18" t="s">
        <v>49</v>
      </c>
      <c r="C487" s="18" t="s">
        <v>38</v>
      </c>
      <c r="D487" s="18" t="s">
        <v>322</v>
      </c>
      <c r="E487" s="18">
        <v>975</v>
      </c>
      <c r="F487" s="18" t="s">
        <v>35</v>
      </c>
      <c r="G487" s="18" t="s">
        <v>51</v>
      </c>
      <c r="H487" s="18" t="s">
        <v>1096</v>
      </c>
      <c r="I487" s="18" t="s">
        <v>1097</v>
      </c>
      <c r="J487" s="19">
        <v>0.4738</v>
      </c>
      <c r="K487" s="19">
        <v>0.47391304400000001</v>
      </c>
      <c r="L487" s="19">
        <v>0.50119999999999998</v>
      </c>
      <c r="M487" s="19">
        <v>0.43690000000000001</v>
      </c>
      <c r="N487" s="19">
        <v>0.45269999999999999</v>
      </c>
      <c r="O487" s="19">
        <v>0.29730000000000001</v>
      </c>
      <c r="P487" s="20">
        <v>25208</v>
      </c>
      <c r="Q487" s="21" t="str">
        <f>HYPERLINK("https://financialaid.buffalostate.edu/net-price-calculator", "$10201")</f>
        <v>$10201</v>
      </c>
      <c r="R487" s="20">
        <v>17160</v>
      </c>
      <c r="S487" s="20">
        <v>19606</v>
      </c>
      <c r="T487" s="20">
        <v>3746</v>
      </c>
      <c r="U487" s="20">
        <v>6455</v>
      </c>
      <c r="W487" s="19">
        <v>0.53769999999999996</v>
      </c>
      <c r="X487" s="19">
        <v>0.55099999999999993</v>
      </c>
      <c r="Z487" s="18">
        <v>8395</v>
      </c>
    </row>
    <row r="488" spans="1:26" ht="15.75" customHeight="1" x14ac:dyDescent="0.2">
      <c r="A488" s="36" t="str">
        <f>HYPERLINK("https://www.oldwestbury.edu", "SUNY College at Old Westbury")</f>
        <v>SUNY College at Old Westbury</v>
      </c>
      <c r="B488" s="18" t="s">
        <v>49</v>
      </c>
      <c r="C488" s="18" t="s">
        <v>38</v>
      </c>
      <c r="D488" s="18" t="s">
        <v>426</v>
      </c>
      <c r="E488" s="18">
        <v>1028</v>
      </c>
      <c r="F488" s="18" t="s">
        <v>35</v>
      </c>
      <c r="G488" s="18" t="s">
        <v>51</v>
      </c>
      <c r="H488" s="18" t="s">
        <v>1099</v>
      </c>
      <c r="I488" s="18" t="s">
        <v>1100</v>
      </c>
      <c r="J488" s="19">
        <v>0.47870000000000001</v>
      </c>
      <c r="K488" s="19">
        <v>0.29818181799999999</v>
      </c>
      <c r="L488" s="19">
        <v>0.44829999999999998</v>
      </c>
      <c r="M488" s="19">
        <v>0.49399999999999999</v>
      </c>
      <c r="N488" s="19">
        <v>0.4773</v>
      </c>
      <c r="O488" s="19">
        <v>0.4375</v>
      </c>
      <c r="P488" s="20">
        <v>23363</v>
      </c>
      <c r="Q488" s="21" t="str">
        <f>HYPERLINK("https://www.oldwestbury.edu/financial-aid/net-price-calculator", "$7544")</f>
        <v>$7544</v>
      </c>
      <c r="R488" s="20">
        <v>14417</v>
      </c>
      <c r="S488" s="20">
        <v>18167</v>
      </c>
      <c r="T488" s="20">
        <v>4460</v>
      </c>
      <c r="U488" s="20">
        <v>3084</v>
      </c>
      <c r="W488" s="19">
        <v>0.48770000000000002</v>
      </c>
      <c r="X488" s="19">
        <v>0.70609999999999995</v>
      </c>
      <c r="Z488" s="18">
        <v>4481</v>
      </c>
    </row>
    <row r="489" spans="1:26" ht="15.75" customHeight="1" x14ac:dyDescent="0.2">
      <c r="A489" s="36" t="str">
        <f>HYPERLINK("https://www.oswego.edu/", "SUNY College at Oswego")</f>
        <v>SUNY College at Oswego</v>
      </c>
      <c r="B489" s="18" t="s">
        <v>49</v>
      </c>
      <c r="C489" s="18" t="s">
        <v>38</v>
      </c>
      <c r="D489" s="18" t="s">
        <v>1102</v>
      </c>
      <c r="E489" s="18">
        <v>1162</v>
      </c>
      <c r="F489" s="18" t="s">
        <v>35</v>
      </c>
      <c r="G489" s="18" t="s">
        <v>51</v>
      </c>
      <c r="H489" s="18" t="s">
        <v>1103</v>
      </c>
      <c r="I489" s="18" t="s">
        <v>1104</v>
      </c>
      <c r="J489" s="19">
        <v>0.65669999999999995</v>
      </c>
      <c r="K489" s="19">
        <v>0.53191489400000003</v>
      </c>
      <c r="L489" s="19">
        <v>0.67310000000000003</v>
      </c>
      <c r="M489" s="19">
        <v>0.6835</v>
      </c>
      <c r="N489" s="19">
        <v>0.63500000000000001</v>
      </c>
      <c r="O489" s="19">
        <v>0.4375</v>
      </c>
      <c r="P489" s="20">
        <v>24131</v>
      </c>
      <c r="Q489" s="21" t="str">
        <f>HYPERLINK("https://www.oswego.edu/financial-aid/net-price-calculator", "$10978")</f>
        <v>$10978</v>
      </c>
      <c r="R489" s="20">
        <v>17482</v>
      </c>
      <c r="S489" s="20">
        <v>20768</v>
      </c>
      <c r="T489" s="20">
        <v>2200</v>
      </c>
      <c r="U489" s="20">
        <v>8778</v>
      </c>
      <c r="W489" s="19">
        <v>0.42170000000000002</v>
      </c>
      <c r="X489" s="19">
        <v>0.29390000000000011</v>
      </c>
      <c r="Z489" s="18">
        <v>7090</v>
      </c>
    </row>
    <row r="490" spans="1:26" ht="15.75" customHeight="1" x14ac:dyDescent="0.2">
      <c r="A490" s="36" t="str">
        <f>HYPERLINK("https://www.plattsburgh.edu", "SUNY College at Plattsburgh")</f>
        <v>SUNY College at Plattsburgh</v>
      </c>
      <c r="B490" s="18" t="s">
        <v>49</v>
      </c>
      <c r="C490" s="18" t="s">
        <v>38</v>
      </c>
      <c r="D490" s="18" t="s">
        <v>1106</v>
      </c>
      <c r="E490" s="18">
        <v>1126</v>
      </c>
      <c r="F490" s="18" t="s">
        <v>35</v>
      </c>
      <c r="G490" s="18" t="s">
        <v>51</v>
      </c>
      <c r="H490" s="18" t="s">
        <v>1107</v>
      </c>
      <c r="I490" s="18" t="s">
        <v>1108</v>
      </c>
      <c r="J490" s="19">
        <v>0.62570000000000003</v>
      </c>
      <c r="K490" s="19">
        <v>0.53472222200000008</v>
      </c>
      <c r="L490" s="19">
        <v>0.64329999999999998</v>
      </c>
      <c r="M490" s="19">
        <v>0.60489999999999999</v>
      </c>
      <c r="N490" s="19">
        <v>0.59799999999999998</v>
      </c>
      <c r="O490" s="19">
        <v>0.625</v>
      </c>
      <c r="P490" s="20">
        <v>24648</v>
      </c>
      <c r="Q490" s="21" t="str">
        <f>HYPERLINK("https://www.plattsburgh.edu/offices/admin/financialaid/netpricecalc.php", "$7655")</f>
        <v>$7655</v>
      </c>
      <c r="R490" s="20">
        <v>14536</v>
      </c>
      <c r="S490" s="20">
        <v>18984</v>
      </c>
      <c r="T490" s="20">
        <v>4010</v>
      </c>
      <c r="U490" s="20">
        <v>3645</v>
      </c>
      <c r="W490" s="19">
        <v>0.37559999999999999</v>
      </c>
      <c r="X490" s="19">
        <v>0.36040000000000011</v>
      </c>
      <c r="Z490" s="18">
        <v>5272</v>
      </c>
    </row>
    <row r="491" spans="1:26" ht="15.75" customHeight="1" x14ac:dyDescent="0.2">
      <c r="A491" s="36" t="str">
        <f>HYPERLINK("https://www.cobleskill.edu/", "SUNY College of Agriculture and Technology at Cobleskill")</f>
        <v>SUNY College of Agriculture and Technology at Cobleskill</v>
      </c>
      <c r="B491" s="18" t="s">
        <v>49</v>
      </c>
      <c r="C491" s="18" t="s">
        <v>38</v>
      </c>
      <c r="D491" s="18" t="s">
        <v>1109</v>
      </c>
      <c r="E491" s="18">
        <v>975</v>
      </c>
      <c r="F491" s="18" t="s">
        <v>35</v>
      </c>
      <c r="G491" s="18" t="s">
        <v>51</v>
      </c>
      <c r="H491" s="18" t="s">
        <v>1110</v>
      </c>
      <c r="I491" s="18" t="s">
        <v>1111</v>
      </c>
      <c r="J491" s="19">
        <v>0.44330000000000003</v>
      </c>
      <c r="K491" s="19">
        <v>0.26943005199999998</v>
      </c>
      <c r="L491" s="19">
        <v>0.48280000000000001</v>
      </c>
      <c r="M491" s="19">
        <v>0.24049999999999999</v>
      </c>
      <c r="N491" s="19">
        <v>0.34379999999999999</v>
      </c>
      <c r="O491" s="19">
        <v>0.4</v>
      </c>
      <c r="P491" s="20">
        <v>24813</v>
      </c>
      <c r="Q491" s="21" t="str">
        <f>HYPERLINK("https://www.suny.edu/howmuch/netpricecalculator.xhtml", "$12482")</f>
        <v>$12482</v>
      </c>
      <c r="R491" s="20">
        <v>18994</v>
      </c>
      <c r="S491" s="20">
        <v>20902</v>
      </c>
      <c r="T491" s="20">
        <v>3492</v>
      </c>
      <c r="U491" s="20">
        <v>8990</v>
      </c>
      <c r="W491" s="19">
        <v>0.51600000000000001</v>
      </c>
      <c r="X491" s="19">
        <v>0.33</v>
      </c>
      <c r="Z491" s="18">
        <v>2270</v>
      </c>
    </row>
    <row r="492" spans="1:26" ht="15.75" customHeight="1" x14ac:dyDescent="0.2">
      <c r="A492" s="36" t="str">
        <f>HYPERLINK("https://www.esc.edu", "SUNY Empire State College")</f>
        <v>SUNY Empire State College</v>
      </c>
      <c r="B492" s="18" t="s">
        <v>49</v>
      </c>
      <c r="C492" s="18" t="s">
        <v>38</v>
      </c>
      <c r="D492" s="18" t="s">
        <v>246</v>
      </c>
      <c r="E492" s="18" t="s">
        <v>36</v>
      </c>
      <c r="F492" s="18" t="s">
        <v>36</v>
      </c>
      <c r="J492" s="19">
        <v>0.1389</v>
      </c>
      <c r="K492" s="19">
        <v>0.23072916700000001</v>
      </c>
      <c r="L492" s="19">
        <v>0.14929999999999999</v>
      </c>
      <c r="M492" s="19">
        <v>9.0899999999999995E-2</v>
      </c>
      <c r="N492" s="19">
        <v>0.1154</v>
      </c>
      <c r="O492" s="19">
        <v>0</v>
      </c>
      <c r="P492" s="20">
        <v>22597</v>
      </c>
      <c r="Q492" s="21" t="str">
        <f>HYPERLINK("https://www.esc.edu/tuition-financial-aid/tuition-rates/net-price-calculator/", "$12670")</f>
        <v>$12670</v>
      </c>
      <c r="R492" s="20">
        <v>15652</v>
      </c>
      <c r="S492" s="20">
        <v>18960</v>
      </c>
      <c r="T492" s="20">
        <v>3812</v>
      </c>
      <c r="U492" s="20">
        <v>8858</v>
      </c>
      <c r="W492" s="19">
        <v>0.31659999999999999</v>
      </c>
      <c r="X492" s="19">
        <v>0.39979999999999999</v>
      </c>
      <c r="Z492" s="18">
        <v>8622</v>
      </c>
    </row>
    <row r="493" spans="1:26" ht="15.75" customHeight="1" x14ac:dyDescent="0.2">
      <c r="A493" s="36" t="str">
        <f>HYPERLINK("https://www.sunymaritime.edu", "SUNY Maritime College")</f>
        <v>SUNY Maritime College</v>
      </c>
      <c r="B493" s="18" t="s">
        <v>49</v>
      </c>
      <c r="C493" s="18" t="s">
        <v>38</v>
      </c>
      <c r="D493" s="18" t="s">
        <v>1113</v>
      </c>
      <c r="E493" s="18">
        <v>1179</v>
      </c>
      <c r="F493" s="18" t="s">
        <v>35</v>
      </c>
      <c r="G493" s="18" t="s">
        <v>51</v>
      </c>
      <c r="H493" s="18" t="s">
        <v>1114</v>
      </c>
      <c r="I493" s="18" t="s">
        <v>1115</v>
      </c>
      <c r="J493" s="19">
        <v>0.62670000000000003</v>
      </c>
      <c r="K493" s="19">
        <v>0.40860215100000002</v>
      </c>
      <c r="L493" s="19">
        <v>0.64929999999999999</v>
      </c>
      <c r="M493" s="19">
        <v>0.6</v>
      </c>
      <c r="N493" s="19">
        <v>0.39290000000000003</v>
      </c>
      <c r="O493" s="19">
        <v>0.64290000000000003</v>
      </c>
      <c r="P493" s="20">
        <v>25308</v>
      </c>
      <c r="Q493" s="21" t="str">
        <f>HYPERLINK("https://www.suny.edu/howmuch/netpricecalculator.xhtml?bgColor=87CEFA&amp;embed=N&amp;headerUrl=www.sunymaritime.edu/upload/Maritime_HEADER.gif&amp;id=25", "$10707")</f>
        <v>$10707</v>
      </c>
      <c r="R493" s="20">
        <v>20589</v>
      </c>
      <c r="S493" s="20">
        <v>21539</v>
      </c>
      <c r="T493" s="20">
        <v>5100</v>
      </c>
      <c r="U493" s="20">
        <v>5607</v>
      </c>
      <c r="W493" s="19">
        <v>0.23180000000000001</v>
      </c>
      <c r="X493" s="19">
        <v>0.28899999999999998</v>
      </c>
      <c r="Z493" s="18">
        <v>1633</v>
      </c>
    </row>
    <row r="494" spans="1:26" ht="15.75" customHeight="1" x14ac:dyDescent="0.2">
      <c r="A494" s="36" t="str">
        <f>HYPERLINK("https://suny.oneonta.edu", "SUNY Oneonta")</f>
        <v>SUNY Oneonta</v>
      </c>
      <c r="B494" s="18" t="s">
        <v>49</v>
      </c>
      <c r="C494" s="18" t="s">
        <v>38</v>
      </c>
      <c r="D494" s="18" t="s">
        <v>816</v>
      </c>
      <c r="E494" s="18">
        <v>1124</v>
      </c>
      <c r="F494" s="18" t="s">
        <v>35</v>
      </c>
      <c r="G494" s="18" t="s">
        <v>51</v>
      </c>
      <c r="H494" s="18" t="s">
        <v>1117</v>
      </c>
      <c r="I494" s="18" t="s">
        <v>396</v>
      </c>
      <c r="J494" s="19">
        <v>0.70900000000000007</v>
      </c>
      <c r="K494" s="19">
        <v>0.55305466199999997</v>
      </c>
      <c r="L494" s="19">
        <v>0.72050000000000003</v>
      </c>
      <c r="M494" s="19">
        <v>0.76670000000000005</v>
      </c>
      <c r="N494" s="19">
        <v>0.6421</v>
      </c>
      <c r="O494" s="19">
        <v>0.56520000000000004</v>
      </c>
      <c r="P494" s="20">
        <v>24162</v>
      </c>
      <c r="Q494" s="21" t="str">
        <f>HYPERLINK("https://suny.oneonta.edu/index.php/cost-aid/suny-net-price-calculator", "$10949")</f>
        <v>$10949</v>
      </c>
      <c r="R494" s="20">
        <v>18229</v>
      </c>
      <c r="S494" s="20">
        <v>20938</v>
      </c>
      <c r="T494" s="20">
        <v>3202</v>
      </c>
      <c r="U494" s="20">
        <v>7747</v>
      </c>
      <c r="W494" s="19">
        <v>0.32219999999999999</v>
      </c>
      <c r="X494" s="19">
        <v>0.25159999999999999</v>
      </c>
      <c r="Z494" s="18">
        <v>5923</v>
      </c>
    </row>
    <row r="495" spans="1:26" ht="15.75" customHeight="1" x14ac:dyDescent="0.2">
      <c r="A495" s="36" t="str">
        <f>HYPERLINK("https://www.albany.edu", "SUNY at Albany")</f>
        <v>SUNY at Albany</v>
      </c>
      <c r="B495" s="18" t="s">
        <v>49</v>
      </c>
      <c r="C495" s="18" t="s">
        <v>38</v>
      </c>
      <c r="D495" s="18" t="s">
        <v>550</v>
      </c>
      <c r="E495" s="18">
        <v>1173</v>
      </c>
      <c r="F495" s="18" t="s">
        <v>35</v>
      </c>
      <c r="G495" s="18" t="s">
        <v>51</v>
      </c>
      <c r="H495" s="18" t="s">
        <v>1119</v>
      </c>
      <c r="I495" s="18" t="s">
        <v>1120</v>
      </c>
      <c r="J495" s="19">
        <v>0.65029999999999999</v>
      </c>
      <c r="K495" s="19">
        <v>0.60856269100000004</v>
      </c>
      <c r="L495" s="19">
        <v>0.64200000000000002</v>
      </c>
      <c r="M495" s="19">
        <v>0.74180000000000001</v>
      </c>
      <c r="N495" s="19">
        <v>0.67620000000000002</v>
      </c>
      <c r="O495" s="19">
        <v>0.62639999999999996</v>
      </c>
      <c r="P495" s="20">
        <v>25682</v>
      </c>
      <c r="Q495" s="21" t="str">
        <f>HYPERLINK("https://www.albany.edu/financialaid/npc.shtml", "$12990")</f>
        <v>$12990</v>
      </c>
      <c r="R495" s="20">
        <v>20564</v>
      </c>
      <c r="S495" s="20">
        <v>23139</v>
      </c>
      <c r="T495" s="20">
        <v>2728</v>
      </c>
      <c r="U495" s="20">
        <v>10262</v>
      </c>
      <c r="W495" s="19">
        <v>0.4073</v>
      </c>
      <c r="X495" s="19">
        <v>0.54990000000000006</v>
      </c>
      <c r="Z495" s="18">
        <v>13320</v>
      </c>
    </row>
    <row r="496" spans="1:26" ht="15.75" customHeight="1" x14ac:dyDescent="0.2">
      <c r="A496" s="36" t="str">
        <f>HYPERLINK("https://www.fredonia.edu", "SUNY at Fredonia")</f>
        <v>SUNY at Fredonia</v>
      </c>
      <c r="B496" s="18" t="s">
        <v>49</v>
      </c>
      <c r="C496" s="18" t="s">
        <v>38</v>
      </c>
      <c r="D496" s="18" t="s">
        <v>1121</v>
      </c>
      <c r="E496" s="18">
        <v>1103</v>
      </c>
      <c r="F496" s="18" t="s">
        <v>35</v>
      </c>
      <c r="G496" s="18" t="s">
        <v>51</v>
      </c>
      <c r="H496" s="18" t="s">
        <v>1122</v>
      </c>
      <c r="I496" s="18" t="s">
        <v>1108</v>
      </c>
      <c r="J496" s="19">
        <v>0.63109999999999999</v>
      </c>
      <c r="K496" s="19">
        <v>0.57006369400000001</v>
      </c>
      <c r="L496" s="19">
        <v>0.62809999999999999</v>
      </c>
      <c r="M496" s="19">
        <v>0.54549999999999998</v>
      </c>
      <c r="N496" s="19">
        <v>0.63639999999999997</v>
      </c>
      <c r="O496" s="19">
        <v>0.8</v>
      </c>
      <c r="P496" s="20">
        <v>23597</v>
      </c>
      <c r="Q496" s="21" t="str">
        <f>HYPERLINK("https://www.fredonia.edu/finaid/netpricecalculator.asp", "$10474")</f>
        <v>$10474</v>
      </c>
      <c r="R496" s="20">
        <v>17246</v>
      </c>
      <c r="S496" s="20">
        <v>19773</v>
      </c>
      <c r="T496" s="20">
        <v>2821</v>
      </c>
      <c r="U496" s="20">
        <v>7653</v>
      </c>
      <c r="W496" s="19">
        <v>0.3881</v>
      </c>
      <c r="X496" s="19">
        <v>0.25929999999999997</v>
      </c>
      <c r="Z496" s="18">
        <v>4366</v>
      </c>
    </row>
    <row r="497" spans="1:26" ht="15.75" customHeight="1" x14ac:dyDescent="0.2">
      <c r="A497" s="36" t="str">
        <f>HYPERLINK("https://www.purchase.edu", "SUNY at Purchase College")</f>
        <v>SUNY at Purchase College</v>
      </c>
      <c r="B497" s="18" t="s">
        <v>49</v>
      </c>
      <c r="C497" s="18" t="s">
        <v>38</v>
      </c>
      <c r="D497" s="18" t="s">
        <v>405</v>
      </c>
      <c r="E497" s="18">
        <v>1119</v>
      </c>
      <c r="F497" s="18" t="s">
        <v>115</v>
      </c>
      <c r="G497" s="18" t="s">
        <v>51</v>
      </c>
      <c r="H497" s="18" t="s">
        <v>459</v>
      </c>
      <c r="I497" s="18" t="s">
        <v>1123</v>
      </c>
      <c r="J497" s="19">
        <v>0.66510000000000002</v>
      </c>
      <c r="K497" s="19">
        <v>0.60211267600000007</v>
      </c>
      <c r="L497" s="19">
        <v>0.66200000000000003</v>
      </c>
      <c r="M497" s="19">
        <v>0.76</v>
      </c>
      <c r="N497" s="19">
        <v>0.624</v>
      </c>
      <c r="O497" s="19">
        <v>0.72409999999999997</v>
      </c>
      <c r="P497" s="20">
        <v>26352</v>
      </c>
      <c r="Q497" s="21" t="str">
        <f>HYPERLINK("https://www.purchase.edu/offices/student-financial-services/", "$13964")</f>
        <v>$13964</v>
      </c>
      <c r="R497" s="20">
        <v>21242</v>
      </c>
      <c r="S497" s="20">
        <v>23488</v>
      </c>
      <c r="T497" s="20">
        <v>4520</v>
      </c>
      <c r="U497" s="20">
        <v>9444</v>
      </c>
      <c r="W497" s="19">
        <v>0.34810000000000002</v>
      </c>
      <c r="X497" s="19">
        <v>0.46719999999999989</v>
      </c>
      <c r="Z497" s="18">
        <v>3968</v>
      </c>
    </row>
    <row r="498" spans="1:26" ht="15.75" customHeight="1" x14ac:dyDescent="0.2">
      <c r="A498" s="36" t="str">
        <f>HYPERLINK("https://www.myunion.edu", "Sacramento Center")</f>
        <v>Sacramento Center</v>
      </c>
      <c r="B498" s="18" t="s">
        <v>32</v>
      </c>
      <c r="C498" s="18" t="s">
        <v>68</v>
      </c>
      <c r="D498" s="18" t="s">
        <v>609</v>
      </c>
      <c r="E498" s="18" t="s">
        <v>36</v>
      </c>
      <c r="F498" s="18" t="s">
        <v>36</v>
      </c>
      <c r="J498" s="19" t="s">
        <v>36</v>
      </c>
      <c r="K498" s="19">
        <v>0.44725738399999998</v>
      </c>
      <c r="L498" s="19" t="s">
        <v>36</v>
      </c>
      <c r="M498" s="19" t="s">
        <v>36</v>
      </c>
      <c r="N498" s="19" t="s">
        <v>36</v>
      </c>
      <c r="O498" s="19" t="s">
        <v>36</v>
      </c>
      <c r="P498" s="20" t="s">
        <v>36</v>
      </c>
      <c r="Q498" s="35" t="s">
        <v>36</v>
      </c>
      <c r="R498" s="20" t="s">
        <v>36</v>
      </c>
      <c r="S498" s="20" t="s">
        <v>36</v>
      </c>
      <c r="T498" s="20" t="s">
        <v>36</v>
      </c>
      <c r="U498" s="20" t="s">
        <v>36</v>
      </c>
      <c r="W498" s="19" t="s">
        <v>36</v>
      </c>
      <c r="X498" s="19" t="s">
        <v>36</v>
      </c>
      <c r="Z498" s="18" t="s">
        <v>36</v>
      </c>
    </row>
    <row r="499" spans="1:26" ht="15.75" customHeight="1" x14ac:dyDescent="0.2">
      <c r="A499" s="36" t="str">
        <f>HYPERLINK("https://www.sacredheart.edu", "Sacred Heart University")</f>
        <v>Sacred Heart University</v>
      </c>
      <c r="B499" s="18" t="s">
        <v>32</v>
      </c>
      <c r="C499" s="18" t="s">
        <v>94</v>
      </c>
      <c r="D499" s="18" t="s">
        <v>356</v>
      </c>
      <c r="E499" s="18" t="s">
        <v>36</v>
      </c>
      <c r="F499" s="18" t="s">
        <v>45</v>
      </c>
      <c r="J499" s="19">
        <v>0.72450000000000003</v>
      </c>
      <c r="K499" s="19">
        <v>0.55172413799999998</v>
      </c>
      <c r="L499" s="19">
        <v>0.75339999999999996</v>
      </c>
      <c r="M499" s="19">
        <v>0.66669999999999996</v>
      </c>
      <c r="N499" s="19">
        <v>0.74419999999999997</v>
      </c>
      <c r="O499" s="19">
        <v>0.81820000000000004</v>
      </c>
      <c r="P499" s="20">
        <v>58440</v>
      </c>
      <c r="Q499" s="21" t="str">
        <f>HYPERLINK("https://www.sacredheart.edu/admissions/financialassistance/netpricecalculator", "$35081")</f>
        <v>$35081</v>
      </c>
      <c r="R499" s="20">
        <v>38873</v>
      </c>
      <c r="S499" s="20">
        <v>40901</v>
      </c>
      <c r="T499" s="20">
        <v>3850</v>
      </c>
      <c r="U499" s="20">
        <v>31231</v>
      </c>
      <c r="W499" s="19">
        <v>0.1671</v>
      </c>
      <c r="X499" s="19">
        <v>0.26440000000000002</v>
      </c>
      <c r="Z499" s="18">
        <v>5496</v>
      </c>
    </row>
    <row r="500" spans="1:26" ht="15.75" customHeight="1" x14ac:dyDescent="0.2">
      <c r="A500" s="36" t="str">
        <f>HYPERLINK("https://www.svsu.edu", "Saginaw Valley State University")</f>
        <v>Saginaw Valley State University</v>
      </c>
      <c r="B500" s="18" t="s">
        <v>49</v>
      </c>
      <c r="C500" s="18" t="s">
        <v>226</v>
      </c>
      <c r="D500" s="18" t="s">
        <v>1126</v>
      </c>
      <c r="E500" s="18">
        <v>1101</v>
      </c>
      <c r="F500" s="18" t="s">
        <v>35</v>
      </c>
      <c r="J500" s="19">
        <v>0.39760000000000001</v>
      </c>
      <c r="K500" s="19">
        <v>0.36803364900000002</v>
      </c>
      <c r="L500" s="19">
        <v>0.45689999999999997</v>
      </c>
      <c r="M500" s="19">
        <v>0.15379999999999999</v>
      </c>
      <c r="N500" s="19">
        <v>0.19670000000000001</v>
      </c>
      <c r="O500" s="19">
        <v>0.5</v>
      </c>
      <c r="P500" s="20">
        <v>35093</v>
      </c>
      <c r="Q500" s="21" t="str">
        <f>HYPERLINK("https://webtech.svsu.edu/NetPriceCalculator/", "$27242")</f>
        <v>$27242</v>
      </c>
      <c r="R500" s="20">
        <v>29938</v>
      </c>
      <c r="S500" s="20">
        <v>31341</v>
      </c>
      <c r="T500" s="20">
        <v>2565</v>
      </c>
      <c r="U500" s="20">
        <v>24677.03661971831</v>
      </c>
      <c r="W500" s="19">
        <v>0.3478</v>
      </c>
      <c r="X500" s="19">
        <v>0.27260000000000001</v>
      </c>
      <c r="Z500" s="18">
        <v>7498</v>
      </c>
    </row>
    <row r="501" spans="1:26" ht="15.75" customHeight="1" x14ac:dyDescent="0.2">
      <c r="A501" s="36" t="str">
        <f>HYPERLINK("https://www.sau.edu", "Saint Ambrose University")</f>
        <v>Saint Ambrose University</v>
      </c>
      <c r="B501" s="18" t="s">
        <v>32</v>
      </c>
      <c r="C501" s="18" t="s">
        <v>211</v>
      </c>
      <c r="D501" s="18" t="s">
        <v>818</v>
      </c>
      <c r="E501" s="18">
        <v>1165</v>
      </c>
      <c r="F501" s="18" t="s">
        <v>35</v>
      </c>
      <c r="J501" s="19">
        <v>0.63249999999999995</v>
      </c>
      <c r="K501" s="19">
        <v>0.54838709699999999</v>
      </c>
      <c r="L501" s="19">
        <v>0.66449999999999998</v>
      </c>
      <c r="M501" s="19">
        <v>0.25</v>
      </c>
      <c r="N501" s="19">
        <v>0.4516</v>
      </c>
      <c r="O501" s="19">
        <v>0.75</v>
      </c>
      <c r="P501" s="20">
        <v>44838</v>
      </c>
      <c r="Q501" s="21" t="str">
        <f>HYPERLINK("https://www.sau.edu/cost-and-aid/net-price-calculator", "$20611")</f>
        <v>$20611</v>
      </c>
      <c r="R501" s="20">
        <v>23676</v>
      </c>
      <c r="S501" s="20">
        <v>24618</v>
      </c>
      <c r="T501" s="20">
        <v>4658</v>
      </c>
      <c r="U501" s="20">
        <v>15953</v>
      </c>
      <c r="W501" s="19">
        <v>0.26329999999999998</v>
      </c>
      <c r="X501" s="19">
        <v>0.25449999999999989</v>
      </c>
      <c r="Z501" s="18">
        <v>2354</v>
      </c>
    </row>
    <row r="502" spans="1:26" ht="15.75" customHeight="1" x14ac:dyDescent="0.2">
      <c r="A502" s="36" t="str">
        <f>HYPERLINK("https://www.st-aug.edu", "Saint Augustine's University")</f>
        <v>Saint Augustine's University</v>
      </c>
      <c r="B502" s="18" t="s">
        <v>32</v>
      </c>
      <c r="C502" s="18" t="s">
        <v>103</v>
      </c>
      <c r="D502" s="18" t="s">
        <v>236</v>
      </c>
      <c r="E502" s="18">
        <v>834</v>
      </c>
      <c r="F502" s="18" t="s">
        <v>35</v>
      </c>
      <c r="J502" s="19">
        <v>0.30549999999999999</v>
      </c>
      <c r="K502" s="19">
        <v>0.236842105</v>
      </c>
      <c r="L502" s="19" t="s">
        <v>36</v>
      </c>
      <c r="M502" s="19">
        <v>0.2984</v>
      </c>
      <c r="N502" s="19">
        <v>0</v>
      </c>
      <c r="O502" s="19" t="s">
        <v>36</v>
      </c>
      <c r="P502" s="20">
        <v>32416</v>
      </c>
      <c r="Q502" s="21" t="str">
        <f>HYPERLINK("https://admissions.st-aug.edu/npcalc.htm", "$26120")</f>
        <v>$26120</v>
      </c>
      <c r="R502" s="20">
        <v>28123</v>
      </c>
      <c r="S502" s="20">
        <v>30286</v>
      </c>
      <c r="T502" s="20">
        <v>6280</v>
      </c>
      <c r="U502" s="20">
        <v>19840</v>
      </c>
      <c r="W502" s="19">
        <v>0.82310000000000005</v>
      </c>
      <c r="X502" s="19">
        <v>0.97950000000000004</v>
      </c>
      <c r="Z502" s="18">
        <v>974</v>
      </c>
    </row>
    <row r="503" spans="1:26" ht="15.75" customHeight="1" x14ac:dyDescent="0.2">
      <c r="A503" s="36" t="str">
        <f>HYPERLINK("https://www.stcloudstate.edu", "Saint Cloud State University")</f>
        <v>Saint Cloud State University</v>
      </c>
      <c r="B503" s="18" t="s">
        <v>49</v>
      </c>
      <c r="C503" s="18" t="s">
        <v>72</v>
      </c>
      <c r="D503" s="18" t="s">
        <v>1129</v>
      </c>
      <c r="E503" s="18">
        <v>1065</v>
      </c>
      <c r="F503" s="18" t="s">
        <v>35</v>
      </c>
      <c r="J503" s="19">
        <v>0.44340000000000002</v>
      </c>
      <c r="K503" s="19">
        <v>0.34333958700000011</v>
      </c>
      <c r="L503" s="19">
        <v>0.46889999999999998</v>
      </c>
      <c r="M503" s="19">
        <v>0.19589999999999999</v>
      </c>
      <c r="N503" s="19">
        <v>0.2727</v>
      </c>
      <c r="O503" s="19">
        <v>0.42449999999999999</v>
      </c>
      <c r="P503" s="20">
        <v>28920</v>
      </c>
      <c r="Q503" s="21" t="str">
        <f>HYPERLINK("https://www.minnstate.edu/admissions/calculator/stcloudstate.html", "$21112")</f>
        <v>$21112</v>
      </c>
      <c r="R503" s="20">
        <v>23565</v>
      </c>
      <c r="S503" s="20">
        <v>27210</v>
      </c>
      <c r="T503" s="20">
        <v>3900</v>
      </c>
      <c r="U503" s="20">
        <v>17212.659033078879</v>
      </c>
      <c r="W503" s="19">
        <v>0.2737</v>
      </c>
      <c r="X503" s="19">
        <v>0.33239999999999997</v>
      </c>
      <c r="Z503" s="18">
        <v>9676</v>
      </c>
    </row>
    <row r="504" spans="1:26" ht="15.75" customHeight="1" x14ac:dyDescent="0.2">
      <c r="A504" s="36" t="str">
        <f>HYPERLINK("https://www.sjfc.edu", "Saint John Fisher College")</f>
        <v>Saint John Fisher College</v>
      </c>
      <c r="B504" s="18" t="s">
        <v>32</v>
      </c>
      <c r="C504" s="18" t="s">
        <v>38</v>
      </c>
      <c r="D504" s="18" t="s">
        <v>170</v>
      </c>
      <c r="E504" s="18">
        <v>1158</v>
      </c>
      <c r="F504" s="18" t="s">
        <v>35</v>
      </c>
      <c r="G504" s="18" t="s">
        <v>40</v>
      </c>
      <c r="H504" s="18" t="s">
        <v>1130</v>
      </c>
      <c r="I504" s="18" t="s">
        <v>456</v>
      </c>
      <c r="J504" s="19">
        <v>0.7409</v>
      </c>
      <c r="K504" s="19">
        <v>0.63902439</v>
      </c>
      <c r="L504" s="19">
        <v>0.75839999999999996</v>
      </c>
      <c r="M504" s="19">
        <v>0.64290000000000003</v>
      </c>
      <c r="N504" s="19">
        <v>0.76919999999999999</v>
      </c>
      <c r="O504" s="19">
        <v>0.66669999999999996</v>
      </c>
      <c r="P504" s="20">
        <v>47770</v>
      </c>
      <c r="Q504" s="21" t="str">
        <f>HYPERLINK("https://sjfc.studentaidcalculator.com/survey.aspx", "$18256")</f>
        <v>$18256</v>
      </c>
      <c r="R504" s="20">
        <v>26574</v>
      </c>
      <c r="S504" s="20">
        <v>28500</v>
      </c>
      <c r="T504" s="20">
        <v>2500</v>
      </c>
      <c r="U504" s="20">
        <v>15756</v>
      </c>
      <c r="W504" s="19">
        <v>0.29310000000000003</v>
      </c>
      <c r="X504" s="19">
        <v>0.16009999999999999</v>
      </c>
      <c r="Z504" s="18">
        <v>2724</v>
      </c>
    </row>
    <row r="505" spans="1:26" ht="15.75" customHeight="1" x14ac:dyDescent="0.2">
      <c r="A505" s="36" t="str">
        <f>HYPERLINK("https://www.csbsju.edu", "Saint Johns University")</f>
        <v>Saint Johns University</v>
      </c>
      <c r="B505" s="18" t="s">
        <v>32</v>
      </c>
      <c r="C505" s="18" t="s">
        <v>72</v>
      </c>
      <c r="D505" s="18" t="s">
        <v>529</v>
      </c>
      <c r="E505" s="18">
        <v>1187</v>
      </c>
      <c r="F505" s="18" t="s">
        <v>35</v>
      </c>
      <c r="J505" s="19">
        <v>0.7389</v>
      </c>
      <c r="K505" s="19">
        <v>0.61363636399999999</v>
      </c>
      <c r="L505" s="19">
        <v>0.76529999999999998</v>
      </c>
      <c r="M505" s="19">
        <v>0.5</v>
      </c>
      <c r="N505" s="19">
        <v>0.5625</v>
      </c>
      <c r="O505" s="19">
        <v>0.77780000000000005</v>
      </c>
      <c r="P505" s="20">
        <v>55872</v>
      </c>
      <c r="Q505" s="21" t="str">
        <f>HYPERLINK("https://csbsju.studentaidcalculator.com/survey.aspx", "$15226")</f>
        <v>$15226</v>
      </c>
      <c r="R505" s="20">
        <v>19767</v>
      </c>
      <c r="S505" s="20">
        <v>24213</v>
      </c>
      <c r="T505" s="20">
        <v>2400</v>
      </c>
      <c r="U505" s="20">
        <v>12826</v>
      </c>
      <c r="W505" s="19">
        <v>0.2024</v>
      </c>
      <c r="X505" s="19">
        <v>0.21629999999999999</v>
      </c>
      <c r="Z505" s="18">
        <v>1720</v>
      </c>
    </row>
    <row r="506" spans="1:26" ht="15.75" customHeight="1" x14ac:dyDescent="0.2">
      <c r="A506" s="36" t="str">
        <f>HYPERLINK("https://www.sjcme.edu", "Saint Joseph's College of Maine")</f>
        <v>Saint Joseph's College of Maine</v>
      </c>
      <c r="B506" s="18" t="s">
        <v>32</v>
      </c>
      <c r="C506" s="18" t="s">
        <v>43</v>
      </c>
      <c r="D506" s="18" t="s">
        <v>1133</v>
      </c>
      <c r="E506" s="18" t="s">
        <v>36</v>
      </c>
      <c r="F506" s="18" t="s">
        <v>90</v>
      </c>
      <c r="J506" s="19">
        <v>0.59219999999999995</v>
      </c>
      <c r="K506" s="19">
        <v>0.43956044</v>
      </c>
      <c r="L506" s="19">
        <v>0.59260000000000002</v>
      </c>
      <c r="M506" s="19">
        <v>0.66669999999999996</v>
      </c>
      <c r="N506" s="19">
        <v>0.42859999999999998</v>
      </c>
      <c r="O506" s="19">
        <v>0.25</v>
      </c>
      <c r="P506" s="20">
        <v>50790</v>
      </c>
      <c r="Q506" s="21" t="str">
        <f>HYPERLINK("https://npc.collegeboard.org/student/app/sjcme", "$21183")</f>
        <v>$21183</v>
      </c>
      <c r="R506" s="20">
        <v>24546</v>
      </c>
      <c r="S506" s="20">
        <v>26479</v>
      </c>
      <c r="T506" s="20">
        <v>2900</v>
      </c>
      <c r="U506" s="20">
        <v>18283</v>
      </c>
      <c r="W506" s="19">
        <v>0.23469999999999999</v>
      </c>
      <c r="X506" s="19">
        <v>0.37080000000000002</v>
      </c>
      <c r="Z506" s="18">
        <v>1494</v>
      </c>
    </row>
    <row r="507" spans="1:26" ht="15.75" customHeight="1" x14ac:dyDescent="0.2">
      <c r="A507" s="36" t="str">
        <f>HYPERLINK("https://www.saintleo.edu", "Saint Leo University")</f>
        <v>Saint Leo University</v>
      </c>
      <c r="B507" s="18" t="s">
        <v>32</v>
      </c>
      <c r="C507" s="18" t="s">
        <v>162</v>
      </c>
      <c r="D507" s="18" t="s">
        <v>1135</v>
      </c>
      <c r="E507" s="18">
        <v>1056</v>
      </c>
      <c r="F507" s="18" t="s">
        <v>115</v>
      </c>
      <c r="J507" s="19">
        <v>0.4798</v>
      </c>
      <c r="K507" s="19">
        <v>0.31104076000000003</v>
      </c>
      <c r="L507" s="19">
        <v>0.4783</v>
      </c>
      <c r="M507" s="19">
        <v>0.43940000000000001</v>
      </c>
      <c r="N507" s="19">
        <v>0.40510000000000002</v>
      </c>
      <c r="O507" s="19">
        <v>0.57140000000000002</v>
      </c>
      <c r="P507" s="20">
        <v>38492</v>
      </c>
      <c r="Q507" s="21" t="str">
        <f>HYPERLINK("https://www.saintleo.edu/net-price-calculator", "$16117")</f>
        <v>$16117</v>
      </c>
      <c r="R507" s="20">
        <v>17704</v>
      </c>
      <c r="S507" s="20">
        <v>20705</v>
      </c>
      <c r="T507" s="20">
        <v>3972</v>
      </c>
      <c r="U507" s="20">
        <v>12145</v>
      </c>
      <c r="W507" s="19">
        <v>0.41799999999999998</v>
      </c>
      <c r="X507" s="19">
        <v>0.65749999999999997</v>
      </c>
      <c r="Z507" s="18">
        <v>9404</v>
      </c>
    </row>
    <row r="508" spans="1:26" ht="15.75" customHeight="1" x14ac:dyDescent="0.2">
      <c r="A508" s="36" t="str">
        <f>HYPERLINK("https://www.stmartin.edu", "Saint Martin's University")</f>
        <v>Saint Martin's University</v>
      </c>
      <c r="B508" s="18" t="s">
        <v>32</v>
      </c>
      <c r="C508" s="18" t="s">
        <v>184</v>
      </c>
      <c r="D508" s="18" t="s">
        <v>1137</v>
      </c>
      <c r="E508" s="18">
        <v>1081</v>
      </c>
      <c r="F508" s="18" t="s">
        <v>35</v>
      </c>
      <c r="J508" s="19">
        <v>0.59130000000000005</v>
      </c>
      <c r="K508" s="19">
        <v>0.46153846199999998</v>
      </c>
      <c r="L508" s="19">
        <v>0.67420000000000002</v>
      </c>
      <c r="M508" s="19">
        <v>0.25</v>
      </c>
      <c r="N508" s="19">
        <v>0.58330000000000004</v>
      </c>
      <c r="O508" s="19">
        <v>0.69230000000000003</v>
      </c>
      <c r="P508" s="20">
        <v>50686</v>
      </c>
      <c r="Q508" s="21" t="str">
        <f>HYPERLINK("https://www.stmartin.edu/sites/default/files/smu-files/student-financial-services/net-price-calculator.html", "$17384")</f>
        <v>$17384</v>
      </c>
      <c r="R508" s="20">
        <v>19685</v>
      </c>
      <c r="S508" s="20">
        <v>24567</v>
      </c>
      <c r="T508" s="20">
        <v>4000</v>
      </c>
      <c r="U508" s="20">
        <v>13384</v>
      </c>
      <c r="W508" s="19">
        <v>0.3604</v>
      </c>
      <c r="X508" s="19">
        <v>0.51150000000000007</v>
      </c>
      <c r="Z508" s="18">
        <v>1259</v>
      </c>
    </row>
    <row r="509" spans="1:26" ht="15.75" customHeight="1" x14ac:dyDescent="0.2">
      <c r="A509" s="36" t="str">
        <f>HYPERLINK("https://www.stmarys-ca.edu", "Saint Mary's College of California")</f>
        <v>Saint Mary's College of California</v>
      </c>
      <c r="B509" s="18" t="s">
        <v>32</v>
      </c>
      <c r="C509" s="18" t="s">
        <v>68</v>
      </c>
      <c r="D509" s="18" t="s">
        <v>1138</v>
      </c>
      <c r="E509" s="18">
        <v>1170</v>
      </c>
      <c r="F509" s="18" t="s">
        <v>35</v>
      </c>
      <c r="J509" s="19">
        <v>0.76400000000000001</v>
      </c>
      <c r="K509" s="19">
        <v>0.48663101600000003</v>
      </c>
      <c r="L509" s="19">
        <v>0.75590000000000002</v>
      </c>
      <c r="M509" s="19">
        <v>0.5625</v>
      </c>
      <c r="N509" s="19">
        <v>0.77159999999999995</v>
      </c>
      <c r="O509" s="19">
        <v>0.82279999999999998</v>
      </c>
      <c r="P509" s="20">
        <v>65524</v>
      </c>
      <c r="Q509" s="21" t="str">
        <f>HYPERLINK("https://www.stmarys-ca.edu/admissions-aid/net-price-calculator", "$24372")</f>
        <v>$24372</v>
      </c>
      <c r="R509" s="20">
        <v>27396</v>
      </c>
      <c r="S509" s="20">
        <v>33686</v>
      </c>
      <c r="T509" s="20">
        <v>4518</v>
      </c>
      <c r="U509" s="20">
        <v>19854</v>
      </c>
      <c r="W509" s="19">
        <v>0.25180000000000002</v>
      </c>
      <c r="X509" s="19">
        <v>0.55610000000000004</v>
      </c>
      <c r="Z509" s="18">
        <v>2762</v>
      </c>
    </row>
    <row r="510" spans="1:26" ht="15.75" customHeight="1" x14ac:dyDescent="0.2">
      <c r="A510" s="36" t="str">
        <f>HYPERLINK("https://www.smumn.edu", "Saint Mary's University of Minnesota")</f>
        <v>Saint Mary's University of Minnesota</v>
      </c>
      <c r="B510" s="18" t="s">
        <v>32</v>
      </c>
      <c r="C510" s="18" t="s">
        <v>72</v>
      </c>
      <c r="D510" s="18" t="s">
        <v>1140</v>
      </c>
      <c r="E510" s="18">
        <v>1122</v>
      </c>
      <c r="F510" s="18" t="s">
        <v>35</v>
      </c>
      <c r="J510" s="19">
        <v>0.57909999999999995</v>
      </c>
      <c r="K510" s="19">
        <v>0.53793103499999995</v>
      </c>
      <c r="L510" s="19">
        <v>0.63200000000000001</v>
      </c>
      <c r="M510" s="19">
        <v>0.22220000000000001</v>
      </c>
      <c r="N510" s="19">
        <v>0.57140000000000002</v>
      </c>
      <c r="O510" s="19">
        <v>0.42859999999999998</v>
      </c>
      <c r="P510" s="20">
        <v>45300</v>
      </c>
      <c r="Q510" s="21" t="str">
        <f>HYPERLINK("https://www.smumn.edu/admission/undergraduate/financial-aid/net-price-calculator/npc", "$14030")</f>
        <v>$14030</v>
      </c>
      <c r="R510" s="20">
        <v>20428</v>
      </c>
      <c r="S510" s="20">
        <v>20288</v>
      </c>
      <c r="T510" s="20">
        <v>2860</v>
      </c>
      <c r="U510" s="20">
        <v>11170</v>
      </c>
      <c r="W510" s="19">
        <v>0.3019</v>
      </c>
      <c r="X510" s="19">
        <v>0.34189999999999998</v>
      </c>
      <c r="Z510" s="18">
        <v>1471</v>
      </c>
    </row>
    <row r="511" spans="1:26" ht="15.75" customHeight="1" x14ac:dyDescent="0.2">
      <c r="A511" s="36" t="str">
        <f>HYPERLINK("https://www.saintpeters.edu", "Saint Peter's University")</f>
        <v>Saint Peter's University</v>
      </c>
      <c r="B511" s="18" t="s">
        <v>32</v>
      </c>
      <c r="C511" s="18" t="s">
        <v>141</v>
      </c>
      <c r="D511" s="18" t="s">
        <v>1004</v>
      </c>
      <c r="E511" s="18">
        <v>1021</v>
      </c>
      <c r="F511" s="18" t="s">
        <v>115</v>
      </c>
      <c r="J511" s="19">
        <v>0.53720000000000001</v>
      </c>
      <c r="K511" s="19">
        <v>0.492857143</v>
      </c>
      <c r="L511" s="19">
        <v>0.53100000000000003</v>
      </c>
      <c r="M511" s="19">
        <v>0.49580000000000002</v>
      </c>
      <c r="N511" s="19">
        <v>0.52210000000000001</v>
      </c>
      <c r="O511" s="19">
        <v>0.71430000000000005</v>
      </c>
      <c r="P511" s="20">
        <v>54036</v>
      </c>
      <c r="Q511" s="21" t="str">
        <f>HYPERLINK("https://www.saintpeters.edu/enrollment-services/student-financial-aid/calculators/", "$10111")</f>
        <v>$10111</v>
      </c>
      <c r="R511" s="20">
        <v>16056</v>
      </c>
      <c r="S511" s="20">
        <v>19874</v>
      </c>
      <c r="T511" s="20">
        <v>2300</v>
      </c>
      <c r="U511" s="20">
        <v>7811</v>
      </c>
      <c r="W511" s="19">
        <v>0.60440000000000005</v>
      </c>
      <c r="X511" s="19">
        <v>0.84570000000000001</v>
      </c>
      <c r="Z511" s="18">
        <v>2547</v>
      </c>
    </row>
    <row r="512" spans="1:26" ht="15.75" customHeight="1" x14ac:dyDescent="0.2">
      <c r="A512" s="36" t="str">
        <f>HYPERLINK("https://www.stvincent.edu", "Saint Vincent College")</f>
        <v>Saint Vincent College</v>
      </c>
      <c r="B512" s="18" t="s">
        <v>32</v>
      </c>
      <c r="C512" s="18" t="s">
        <v>65</v>
      </c>
      <c r="D512" s="18" t="s">
        <v>1143</v>
      </c>
      <c r="E512" s="18">
        <v>1122</v>
      </c>
      <c r="F512" s="18" t="s">
        <v>35</v>
      </c>
      <c r="J512" s="19">
        <v>0.69189999999999996</v>
      </c>
      <c r="K512" s="19">
        <v>0.59420289900000001</v>
      </c>
      <c r="L512" s="19">
        <v>0.71750000000000003</v>
      </c>
      <c r="M512" s="19">
        <v>0.3846</v>
      </c>
      <c r="N512" s="19">
        <v>0.625</v>
      </c>
      <c r="O512" s="19">
        <v>0.6</v>
      </c>
      <c r="P512" s="20">
        <v>48879</v>
      </c>
      <c r="Q512" s="21" t="str">
        <f>HYPERLINK("https://www.shoppingsheet.com/Shopping/Landing/stvincent", "$14883")</f>
        <v>$14883</v>
      </c>
      <c r="R512" s="20">
        <v>20113</v>
      </c>
      <c r="S512" s="20">
        <v>22330</v>
      </c>
      <c r="T512" s="20">
        <v>3050</v>
      </c>
      <c r="U512" s="20">
        <v>11833</v>
      </c>
      <c r="W512" s="19">
        <v>0.2722</v>
      </c>
      <c r="X512" s="19">
        <v>0.16520000000000001</v>
      </c>
      <c r="Z512" s="18">
        <v>1616</v>
      </c>
    </row>
    <row r="513" spans="1:26" ht="15.75" customHeight="1" x14ac:dyDescent="0.2">
      <c r="A513" s="36" t="str">
        <f>HYPERLINK("https://WWW.SXU.EDU", "Saint Xavier University")</f>
        <v>Saint Xavier University</v>
      </c>
      <c r="B513" s="18" t="s">
        <v>32</v>
      </c>
      <c r="C513" s="18" t="s">
        <v>137</v>
      </c>
      <c r="D513" s="18" t="s">
        <v>161</v>
      </c>
      <c r="E513" s="18">
        <v>1066</v>
      </c>
      <c r="F513" s="18" t="s">
        <v>35</v>
      </c>
      <c r="J513" s="19">
        <v>0.52410000000000001</v>
      </c>
      <c r="K513" s="19">
        <v>0.51123595499999996</v>
      </c>
      <c r="L513" s="19">
        <v>0.63829999999999998</v>
      </c>
      <c r="M513" s="19">
        <v>0.35780000000000001</v>
      </c>
      <c r="N513" s="19">
        <v>0.42859999999999998</v>
      </c>
      <c r="O513" s="19">
        <v>0.9</v>
      </c>
      <c r="P513" s="20">
        <v>47896</v>
      </c>
      <c r="Q513" s="21" t="str">
        <f>HYPERLINK("https://www.sxu.edu/admissions/financial_aid/calculator.asp", "$11984")</f>
        <v>$11984</v>
      </c>
      <c r="R513" s="20">
        <v>15581</v>
      </c>
      <c r="S513" s="20">
        <v>17644</v>
      </c>
      <c r="T513" s="20">
        <v>3176</v>
      </c>
      <c r="U513" s="20">
        <v>8808</v>
      </c>
      <c r="W513" s="19">
        <v>0.53620000000000001</v>
      </c>
      <c r="X513" s="19">
        <v>0.58830000000000005</v>
      </c>
      <c r="Z513" s="18">
        <v>2927</v>
      </c>
    </row>
    <row r="514" spans="1:26" ht="15.75" customHeight="1" x14ac:dyDescent="0.2">
      <c r="A514" s="36" t="str">
        <f>HYPERLINK("https://www.shsu.edu/", "Sam Houston State University")</f>
        <v>Sam Houston State University</v>
      </c>
      <c r="B514" s="18" t="s">
        <v>49</v>
      </c>
      <c r="C514" s="18" t="s">
        <v>146</v>
      </c>
      <c r="D514" s="18" t="s">
        <v>497</v>
      </c>
      <c r="E514" s="18">
        <v>1068</v>
      </c>
      <c r="F514" s="18" t="s">
        <v>35</v>
      </c>
      <c r="J514" s="19">
        <v>0.51270000000000004</v>
      </c>
      <c r="K514" s="19">
        <v>0.51978537899999999</v>
      </c>
      <c r="L514" s="19">
        <v>0.54600000000000004</v>
      </c>
      <c r="M514" s="19">
        <v>0.43359999999999999</v>
      </c>
      <c r="N514" s="19">
        <v>0.50949999999999995</v>
      </c>
      <c r="O514" s="19">
        <v>0.42859999999999998</v>
      </c>
      <c r="P514" s="20">
        <v>31784</v>
      </c>
      <c r="Q514" s="21" t="str">
        <f>HYPERLINK("https://www.collegeforalltexans.com/apps/CollegeMoney/", "$21598")</f>
        <v>$21598</v>
      </c>
      <c r="R514" s="20">
        <v>24471</v>
      </c>
      <c r="S514" s="20">
        <v>29244</v>
      </c>
      <c r="T514" s="20">
        <v>4584</v>
      </c>
      <c r="U514" s="20">
        <v>17014.872420262662</v>
      </c>
      <c r="W514" s="19">
        <v>0.3543</v>
      </c>
      <c r="X514" s="19">
        <v>0.49440000000000001</v>
      </c>
      <c r="Z514" s="18">
        <v>18416</v>
      </c>
    </row>
    <row r="515" spans="1:26" ht="15.75" customHeight="1" x14ac:dyDescent="0.2">
      <c r="A515" s="36" t="str">
        <f>HYPERLINK("https://www.sfai.edu", "San Francisco Art Institute")</f>
        <v>San Francisco Art Institute</v>
      </c>
      <c r="B515" s="18" t="s">
        <v>32</v>
      </c>
      <c r="C515" s="18" t="s">
        <v>68</v>
      </c>
      <c r="D515" s="18" t="s">
        <v>522</v>
      </c>
      <c r="E515" s="18" t="s">
        <v>36</v>
      </c>
      <c r="F515" s="18" t="s">
        <v>45</v>
      </c>
      <c r="J515" s="19">
        <v>0.4138</v>
      </c>
      <c r="K515" s="19">
        <v>0.46153846199999998</v>
      </c>
      <c r="L515" s="19">
        <v>0.37740000000000001</v>
      </c>
      <c r="M515" s="19">
        <v>0.5</v>
      </c>
      <c r="N515" s="19">
        <v>0.72729999999999995</v>
      </c>
      <c r="O515" s="19">
        <v>0</v>
      </c>
      <c r="P515" s="20">
        <v>69127</v>
      </c>
      <c r="Q515" s="21" t="str">
        <f>HYPERLINK("https://webadvisor.sfai.edu:8082/netpricecalculator2.html", "$42554")</f>
        <v>$42554</v>
      </c>
      <c r="R515" s="20">
        <v>35304</v>
      </c>
      <c r="S515" s="20">
        <v>45038</v>
      </c>
      <c r="T515" s="20">
        <v>8262</v>
      </c>
      <c r="U515" s="20">
        <v>34292</v>
      </c>
      <c r="W515" s="19">
        <v>0.31069999999999998</v>
      </c>
      <c r="X515" s="19">
        <v>0.58779999999999999</v>
      </c>
      <c r="Z515" s="18">
        <v>296</v>
      </c>
    </row>
    <row r="516" spans="1:26" ht="15.75" customHeight="1" x14ac:dyDescent="0.2">
      <c r="A516" s="36" t="str">
        <f>HYPERLINK("https://sfcm.edu", "San Francisco Conservatory of Music")</f>
        <v>San Francisco Conservatory of Music</v>
      </c>
      <c r="B516" s="18" t="s">
        <v>32</v>
      </c>
      <c r="C516" s="18" t="s">
        <v>68</v>
      </c>
      <c r="D516" s="18" t="s">
        <v>522</v>
      </c>
      <c r="E516" s="18" t="s">
        <v>36</v>
      </c>
      <c r="F516" s="18" t="s">
        <v>90</v>
      </c>
      <c r="J516" s="19">
        <v>0.63270000000000004</v>
      </c>
      <c r="K516" s="19" t="s">
        <v>36</v>
      </c>
      <c r="L516" s="19">
        <v>0.70589999999999997</v>
      </c>
      <c r="M516" s="19">
        <v>1</v>
      </c>
      <c r="N516" s="19">
        <v>0</v>
      </c>
      <c r="O516" s="19">
        <v>0.6</v>
      </c>
      <c r="P516" s="20">
        <v>64945</v>
      </c>
      <c r="Q516" s="21" t="str">
        <f>HYPERLINK("https://sfcm.edu/admissions/cost-aid/tuition-fees", "$32586")</f>
        <v>$32586</v>
      </c>
      <c r="R516" s="20">
        <v>29014</v>
      </c>
      <c r="S516" s="20">
        <v>42086</v>
      </c>
      <c r="T516" s="20">
        <v>4075</v>
      </c>
      <c r="U516" s="20">
        <v>28511</v>
      </c>
      <c r="W516" s="19">
        <v>0.29260000000000003</v>
      </c>
      <c r="X516" s="19">
        <v>0.65849999999999997</v>
      </c>
      <c r="Z516" s="18">
        <v>205</v>
      </c>
    </row>
    <row r="517" spans="1:26" ht="15.75" customHeight="1" x14ac:dyDescent="0.2">
      <c r="A517" s="36" t="str">
        <f>HYPERLINK("https://www.sfsu.edu", "San Francisco State University")</f>
        <v>San Francisco State University</v>
      </c>
      <c r="B517" s="18" t="s">
        <v>49</v>
      </c>
      <c r="C517" s="18" t="s">
        <v>68</v>
      </c>
      <c r="D517" s="18" t="s">
        <v>522</v>
      </c>
      <c r="E517" s="18">
        <v>1054</v>
      </c>
      <c r="F517" s="18" t="s">
        <v>35</v>
      </c>
      <c r="J517" s="19">
        <v>0.53590000000000004</v>
      </c>
      <c r="K517" s="19">
        <v>0.51052840700000002</v>
      </c>
      <c r="L517" s="19">
        <v>0.54269999999999996</v>
      </c>
      <c r="M517" s="19">
        <v>0.42409999999999998</v>
      </c>
      <c r="N517" s="19">
        <v>0.47820000000000001</v>
      </c>
      <c r="O517" s="19">
        <v>0.64559999999999995</v>
      </c>
      <c r="P517" s="20">
        <v>38599</v>
      </c>
      <c r="Q517" s="21" t="str">
        <f>HYPERLINK("https://financialaid.sfsu.edu/node/55", "$26486")</f>
        <v>$26486</v>
      </c>
      <c r="R517" s="20">
        <v>31372</v>
      </c>
      <c r="S517" s="20">
        <v>35896</v>
      </c>
      <c r="T517" s="20">
        <v>4963</v>
      </c>
      <c r="U517" s="20">
        <v>21523.07566302652</v>
      </c>
      <c r="W517" s="19">
        <v>0.42670000000000002</v>
      </c>
      <c r="X517" s="19">
        <v>0.81699999999999995</v>
      </c>
      <c r="Z517" s="18">
        <v>25966</v>
      </c>
    </row>
    <row r="518" spans="1:26" ht="15.75" customHeight="1" x14ac:dyDescent="0.2">
      <c r="A518" s="36" t="str">
        <f>HYPERLINK("https://www.sjsu.edu", "San Jose State University")</f>
        <v>San Jose State University</v>
      </c>
      <c r="B518" s="18" t="s">
        <v>49</v>
      </c>
      <c r="C518" s="18" t="s">
        <v>68</v>
      </c>
      <c r="D518" s="18" t="s">
        <v>659</v>
      </c>
      <c r="E518" s="18">
        <v>1110</v>
      </c>
      <c r="F518" s="18" t="s">
        <v>35</v>
      </c>
      <c r="J518" s="19">
        <v>0.5675</v>
      </c>
      <c r="K518" s="19">
        <v>0.52822580699999999</v>
      </c>
      <c r="L518" s="19">
        <v>0.58230000000000004</v>
      </c>
      <c r="M518" s="19">
        <v>0.43</v>
      </c>
      <c r="N518" s="19">
        <v>0.48749999999999999</v>
      </c>
      <c r="O518" s="19">
        <v>0.64990000000000003</v>
      </c>
      <c r="P518" s="20">
        <v>40046</v>
      </c>
      <c r="Q518" s="21" t="str">
        <f>HYPERLINK("https://www2.calstate.edu/attend/paying-for-college/Pages/csu-costs.aspx", "$27798")</f>
        <v>$27798</v>
      </c>
      <c r="R518" s="20">
        <v>32969</v>
      </c>
      <c r="S518" s="20">
        <v>36428</v>
      </c>
      <c r="T518" s="20">
        <v>4851</v>
      </c>
      <c r="U518" s="20">
        <v>22947.591456736031</v>
      </c>
      <c r="W518" s="19">
        <v>0.41039999999999999</v>
      </c>
      <c r="X518" s="19">
        <v>0.83810000000000007</v>
      </c>
      <c r="Z518" s="18">
        <v>27591</v>
      </c>
    </row>
    <row r="519" spans="1:26" ht="15.75" customHeight="1" x14ac:dyDescent="0.2">
      <c r="A519" s="36" t="str">
        <f>HYPERLINK("https://www.santafeuniversity.edu", "Santa Fe University of Art and Design")</f>
        <v>Santa Fe University of Art and Design</v>
      </c>
      <c r="B519" s="18" t="s">
        <v>368</v>
      </c>
      <c r="C519" s="18" t="s">
        <v>234</v>
      </c>
      <c r="D519" s="18" t="s">
        <v>253</v>
      </c>
      <c r="E519" s="18" t="s">
        <v>36</v>
      </c>
      <c r="F519" s="18" t="s">
        <v>36</v>
      </c>
      <c r="J519" s="19">
        <v>0.69189999999999996</v>
      </c>
      <c r="K519" s="19" t="s">
        <v>36</v>
      </c>
      <c r="L519" s="19">
        <v>0.72219999999999995</v>
      </c>
      <c r="M519" s="19">
        <v>0.5</v>
      </c>
      <c r="N519" s="19">
        <v>0.66669999999999996</v>
      </c>
      <c r="O519" s="19" t="s">
        <v>36</v>
      </c>
      <c r="P519" s="20">
        <v>45392</v>
      </c>
      <c r="Q519" s="21" t="str">
        <f>HYPERLINK("https://santafeuniversity.studentaidcalculator.com/survey.aspx", "$25102")</f>
        <v>$25102</v>
      </c>
      <c r="R519" s="20">
        <v>30711</v>
      </c>
      <c r="S519" s="20">
        <v>32316</v>
      </c>
      <c r="T519" s="20">
        <v>4100</v>
      </c>
      <c r="U519" s="20">
        <v>21002</v>
      </c>
      <c r="W519" s="19">
        <v>0.4521</v>
      </c>
      <c r="X519" s="19">
        <v>0.54039999999999999</v>
      </c>
      <c r="Z519" s="18">
        <v>161</v>
      </c>
    </row>
    <row r="520" spans="1:26" ht="15.75" customHeight="1" x14ac:dyDescent="0.2">
      <c r="A520" s="36" t="str">
        <f>HYPERLINK("https://www.scad.edu", "Savannah College of Art and Design")</f>
        <v>Savannah College of Art and Design</v>
      </c>
      <c r="B520" s="18" t="s">
        <v>32</v>
      </c>
      <c r="C520" s="18" t="s">
        <v>107</v>
      </c>
      <c r="D520" s="18" t="s">
        <v>562</v>
      </c>
      <c r="E520" s="18">
        <v>1152</v>
      </c>
      <c r="F520" s="18" t="s">
        <v>35</v>
      </c>
      <c r="J520" s="19">
        <v>0.6482</v>
      </c>
      <c r="K520" s="19">
        <v>0.57312925199999998</v>
      </c>
      <c r="L520" s="19">
        <v>0.68410000000000004</v>
      </c>
      <c r="M520" s="19">
        <v>0.48770000000000002</v>
      </c>
      <c r="N520" s="19">
        <v>0.54169999999999996</v>
      </c>
      <c r="O520" s="19">
        <v>0.6623</v>
      </c>
      <c r="P520" s="20">
        <v>56372</v>
      </c>
      <c r="Q520" s="21" t="str">
        <f>HYPERLINK("https://www.scad.edu/admission/financial-aid-and-scholarships/financial-aid/budget-planning-guide/net-price-calculator", "$37016")</f>
        <v>$37016</v>
      </c>
      <c r="R520" s="20">
        <v>41214</v>
      </c>
      <c r="S520" s="20">
        <v>41947</v>
      </c>
      <c r="T520" s="20">
        <v>5718</v>
      </c>
      <c r="U520" s="20">
        <v>31298</v>
      </c>
      <c r="W520" s="19">
        <v>0.2177</v>
      </c>
      <c r="X520" s="19">
        <v>0.45679999999999998</v>
      </c>
      <c r="Z520" s="18">
        <v>10568</v>
      </c>
    </row>
    <row r="521" spans="1:26" ht="15.75" customHeight="1" x14ac:dyDescent="0.2">
      <c r="A521" s="36" t="str">
        <f>HYPERLINK("https://www.savannahstate.edu/", "Savannah State University")</f>
        <v>Savannah State University</v>
      </c>
      <c r="B521" s="18" t="s">
        <v>49</v>
      </c>
      <c r="C521" s="18" t="s">
        <v>107</v>
      </c>
      <c r="D521" s="18" t="s">
        <v>562</v>
      </c>
      <c r="E521" s="18">
        <v>933</v>
      </c>
      <c r="F521" s="18" t="s">
        <v>35</v>
      </c>
      <c r="J521" s="19">
        <v>0.27760000000000001</v>
      </c>
      <c r="K521" s="19">
        <v>0.237837838</v>
      </c>
      <c r="L521" s="19">
        <v>0.26669999999999999</v>
      </c>
      <c r="M521" s="19">
        <v>0.2787</v>
      </c>
      <c r="N521" s="19">
        <v>0.35</v>
      </c>
      <c r="O521" s="19">
        <v>0</v>
      </c>
      <c r="P521" s="20">
        <v>27460</v>
      </c>
      <c r="Q521" s="21" t="str">
        <f>HYPERLINK("https://simba.savannahstate.edu/students/netpricecalculator/", "$20629")</f>
        <v>$20629</v>
      </c>
      <c r="R521" s="20">
        <v>24602</v>
      </c>
      <c r="S521" s="20">
        <v>25913</v>
      </c>
      <c r="T521" s="20">
        <v>3664</v>
      </c>
      <c r="U521" s="20">
        <v>16965.917539267011</v>
      </c>
      <c r="W521" s="19">
        <v>0.73619999999999997</v>
      </c>
      <c r="X521" s="19">
        <v>0.96450000000000002</v>
      </c>
      <c r="Z521" s="18">
        <v>4079</v>
      </c>
    </row>
    <row r="522" spans="1:26" ht="15.75" customHeight="1" x14ac:dyDescent="0.2">
      <c r="A522" s="36" t="str">
        <f>HYPERLINK("https://www.sva.edu", "School of Visual Arts")</f>
        <v>School of Visual Arts</v>
      </c>
      <c r="B522" s="18" t="s">
        <v>368</v>
      </c>
      <c r="C522" s="18" t="s">
        <v>38</v>
      </c>
      <c r="D522" s="18" t="s">
        <v>39</v>
      </c>
      <c r="E522" s="18">
        <v>1139</v>
      </c>
      <c r="F522" s="18" t="s">
        <v>35</v>
      </c>
      <c r="J522" s="19">
        <v>0.64070000000000005</v>
      </c>
      <c r="K522" s="19">
        <v>0.61290322600000002</v>
      </c>
      <c r="L522" s="19">
        <v>0.60799999999999998</v>
      </c>
      <c r="M522" s="19">
        <v>0.59260000000000002</v>
      </c>
      <c r="N522" s="19">
        <v>0.57950000000000002</v>
      </c>
      <c r="O522" s="19">
        <v>0.70109999999999995</v>
      </c>
      <c r="P522" s="20">
        <v>64068</v>
      </c>
      <c r="Q522" s="21" t="str">
        <f>HYPERLINK("https://www.sva.edu/students/financial-aid/calculator", "$37842")</f>
        <v>$37842</v>
      </c>
      <c r="R522" s="20">
        <v>44191</v>
      </c>
      <c r="S522" s="20">
        <v>46091</v>
      </c>
      <c r="T522" s="20">
        <v>6468</v>
      </c>
      <c r="U522" s="20">
        <v>31374</v>
      </c>
      <c r="W522" s="19">
        <v>0.2064</v>
      </c>
      <c r="X522" s="19">
        <v>0.75529999999999997</v>
      </c>
      <c r="Z522" s="18">
        <v>3559</v>
      </c>
    </row>
    <row r="523" spans="1:26" ht="15.75" customHeight="1" x14ac:dyDescent="0.2">
      <c r="A523" s="36" t="str">
        <f>HYPERLINK("https://www.saic.edu", "School of the Art Institute of Chicago")</f>
        <v>School of the Art Institute of Chicago</v>
      </c>
      <c r="B523" s="18" t="s">
        <v>32</v>
      </c>
      <c r="C523" s="18" t="s">
        <v>137</v>
      </c>
      <c r="D523" s="18" t="s">
        <v>161</v>
      </c>
      <c r="E523" s="18">
        <v>1242</v>
      </c>
      <c r="F523" s="18" t="s">
        <v>35</v>
      </c>
      <c r="J523" s="19">
        <v>0.65599999999999992</v>
      </c>
      <c r="K523" s="19">
        <v>0.607594937</v>
      </c>
      <c r="L523" s="19">
        <v>0.62390000000000001</v>
      </c>
      <c r="M523" s="19">
        <v>0.4</v>
      </c>
      <c r="N523" s="19">
        <v>0.76470000000000005</v>
      </c>
      <c r="O523" s="19">
        <v>0.79659999999999997</v>
      </c>
      <c r="P523" s="20">
        <v>67290</v>
      </c>
      <c r="Q523" s="21" t="str">
        <f>HYPERLINK("https://saic.studentaidcalculator.com/survey.aspx", "$38051")</f>
        <v>$38051</v>
      </c>
      <c r="R523" s="20">
        <v>41086</v>
      </c>
      <c r="S523" s="20">
        <v>43650</v>
      </c>
      <c r="T523" s="20">
        <v>3790</v>
      </c>
      <c r="U523" s="20">
        <v>34261</v>
      </c>
      <c r="W523" s="19">
        <v>0.19159999999999999</v>
      </c>
      <c r="X523" s="19">
        <v>0.65629999999999999</v>
      </c>
      <c r="Z523" s="18">
        <v>2889</v>
      </c>
    </row>
    <row r="524" spans="1:26" ht="15.75" customHeight="1" x14ac:dyDescent="0.2">
      <c r="A524" s="36" t="str">
        <f>HYPERLINK("https://www.shu.edu/", "Seton Hall University")</f>
        <v>Seton Hall University</v>
      </c>
      <c r="B524" s="18" t="s">
        <v>32</v>
      </c>
      <c r="C524" s="18" t="s">
        <v>141</v>
      </c>
      <c r="D524" s="18" t="s">
        <v>1148</v>
      </c>
      <c r="E524" s="18">
        <v>1222</v>
      </c>
      <c r="F524" s="18" t="s">
        <v>35</v>
      </c>
      <c r="J524" s="19">
        <v>0.6714</v>
      </c>
      <c r="K524" s="19">
        <v>0.50806451600000002</v>
      </c>
      <c r="L524" s="19">
        <v>0.74299999999999999</v>
      </c>
      <c r="M524" s="19">
        <v>0.53900000000000003</v>
      </c>
      <c r="N524" s="19">
        <v>0.62649999999999995</v>
      </c>
      <c r="O524" s="19">
        <v>0.6875</v>
      </c>
      <c r="P524" s="20">
        <v>57090</v>
      </c>
      <c r="Q524" s="21" t="str">
        <f>HYPERLINK("https://www.shu.edu/undergraduate-admissions/cost-calculator.cfm", "$19447")</f>
        <v>$19447</v>
      </c>
      <c r="R524" s="20">
        <v>27238</v>
      </c>
      <c r="S524" s="20">
        <v>31474</v>
      </c>
      <c r="T524" s="20">
        <v>3000</v>
      </c>
      <c r="U524" s="20">
        <v>16447</v>
      </c>
      <c r="W524" s="19">
        <v>0.28070000000000001</v>
      </c>
      <c r="X524" s="19">
        <v>0.50970000000000004</v>
      </c>
      <c r="Z524" s="18">
        <v>5717</v>
      </c>
    </row>
    <row r="525" spans="1:26" ht="15.75" customHeight="1" x14ac:dyDescent="0.2">
      <c r="A525" s="36" t="str">
        <f>HYPERLINK("https://www.setonhill.edu", "Seton Hill University")</f>
        <v>Seton Hill University</v>
      </c>
      <c r="B525" s="18" t="s">
        <v>32</v>
      </c>
      <c r="C525" s="18" t="s">
        <v>65</v>
      </c>
      <c r="D525" s="18" t="s">
        <v>1150</v>
      </c>
      <c r="E525" s="18" t="s">
        <v>36</v>
      </c>
      <c r="F525" s="18" t="s">
        <v>90</v>
      </c>
      <c r="J525" s="19">
        <v>0.58150000000000002</v>
      </c>
      <c r="K525" s="19">
        <v>0.52</v>
      </c>
      <c r="L525" s="19">
        <v>0.63539999999999996</v>
      </c>
      <c r="M525" s="19">
        <v>0.38640000000000002</v>
      </c>
      <c r="N525" s="19">
        <v>0.2727</v>
      </c>
      <c r="O525" s="19">
        <v>0.5</v>
      </c>
      <c r="P525" s="20">
        <v>49896</v>
      </c>
      <c r="Q525" s="21" t="str">
        <f>HYPERLINK("https://www.setonhill.edu/npc/", "$20335")</f>
        <v>$20335</v>
      </c>
      <c r="R525" s="20">
        <v>21830</v>
      </c>
      <c r="S525" s="20">
        <v>25379</v>
      </c>
      <c r="T525" s="20">
        <v>3700</v>
      </c>
      <c r="U525" s="20">
        <v>16635</v>
      </c>
      <c r="W525" s="19">
        <v>0.2344</v>
      </c>
      <c r="X525" s="19">
        <v>0.18200000000000011</v>
      </c>
      <c r="Z525" s="18">
        <v>1659</v>
      </c>
    </row>
    <row r="526" spans="1:26" ht="15.75" customHeight="1" x14ac:dyDescent="0.2">
      <c r="A526" s="36" t="str">
        <f>HYPERLINK("https://www.su.edu", "Shenandoah University")</f>
        <v>Shenandoah University</v>
      </c>
      <c r="B526" s="18" t="s">
        <v>32</v>
      </c>
      <c r="C526" s="18" t="s">
        <v>83</v>
      </c>
      <c r="D526" s="18" t="s">
        <v>1151</v>
      </c>
      <c r="E526" s="18">
        <v>1115</v>
      </c>
      <c r="F526" s="18" t="s">
        <v>35</v>
      </c>
      <c r="J526" s="19">
        <v>0.63270000000000004</v>
      </c>
      <c r="K526" s="19">
        <v>0.46308724800000001</v>
      </c>
      <c r="L526" s="19">
        <v>0.66400000000000003</v>
      </c>
      <c r="M526" s="19">
        <v>0.62860000000000005</v>
      </c>
      <c r="N526" s="19">
        <v>0.52939999999999998</v>
      </c>
      <c r="O526" s="19">
        <v>0.66669999999999996</v>
      </c>
      <c r="P526" s="20">
        <v>46200</v>
      </c>
      <c r="Q526" s="21" t="str">
        <f>HYPERLINK("https://tcc.noellevitz.com/(S(5thqyxl4wqbw3n5pbjf3ruef))/Shenandoah%20University/Freshman-Students", "$21404")</f>
        <v>$21404</v>
      </c>
      <c r="R526" s="20">
        <v>28018</v>
      </c>
      <c r="S526" s="20">
        <v>31937</v>
      </c>
      <c r="T526" s="20">
        <v>4100</v>
      </c>
      <c r="U526" s="20">
        <v>17304</v>
      </c>
      <c r="W526" s="19">
        <v>0.29820000000000002</v>
      </c>
      <c r="X526" s="19">
        <v>0.42770000000000002</v>
      </c>
      <c r="Z526" s="18">
        <v>2055</v>
      </c>
    </row>
    <row r="527" spans="1:26" ht="15.75" customHeight="1" x14ac:dyDescent="0.2">
      <c r="A527" s="36" t="str">
        <f>HYPERLINK("https://www.shepherd.edu/", "Shepherd University")</f>
        <v>Shepherd University</v>
      </c>
      <c r="B527" s="18" t="s">
        <v>49</v>
      </c>
      <c r="C527" s="18" t="s">
        <v>574</v>
      </c>
      <c r="D527" s="18" t="s">
        <v>1153</v>
      </c>
      <c r="E527" s="18">
        <v>1074</v>
      </c>
      <c r="F527" s="18" t="s">
        <v>35</v>
      </c>
      <c r="J527" s="19">
        <v>0.42020000000000002</v>
      </c>
      <c r="K527" s="19">
        <v>0.39116719200000011</v>
      </c>
      <c r="L527" s="19">
        <v>0.45050000000000001</v>
      </c>
      <c r="M527" s="19">
        <v>0.19719999999999999</v>
      </c>
      <c r="N527" s="19">
        <v>0.27779999999999999</v>
      </c>
      <c r="O527" s="19">
        <v>0.5</v>
      </c>
      <c r="P527" s="20">
        <v>31572</v>
      </c>
      <c r="Q527" s="21" t="str">
        <f>HYPERLINK("https://shepherd.studentaidcalculator.com/", "$22586")</f>
        <v>$22586</v>
      </c>
      <c r="R527" s="20">
        <v>25827</v>
      </c>
      <c r="S527" s="20">
        <v>27860</v>
      </c>
      <c r="T527" s="20">
        <v>3875</v>
      </c>
      <c r="U527" s="20">
        <v>18711.416058394159</v>
      </c>
      <c r="W527" s="19">
        <v>0.32419999999999999</v>
      </c>
      <c r="X527" s="19">
        <v>0.20669999999999999</v>
      </c>
      <c r="Z527" s="18">
        <v>2956</v>
      </c>
    </row>
    <row r="528" spans="1:26" ht="15.75" customHeight="1" x14ac:dyDescent="0.2">
      <c r="A528" s="36" t="str">
        <f>HYPERLINK("https://www.shorter.edu/", "Shorter University")</f>
        <v>Shorter University</v>
      </c>
      <c r="B528" s="18" t="s">
        <v>32</v>
      </c>
      <c r="C528" s="18" t="s">
        <v>107</v>
      </c>
      <c r="D528" s="18" t="s">
        <v>1155</v>
      </c>
      <c r="E528" s="18">
        <v>1017</v>
      </c>
      <c r="F528" s="18" t="s">
        <v>35</v>
      </c>
      <c r="J528" s="19">
        <v>0.39550000000000002</v>
      </c>
      <c r="K528" s="19">
        <v>0.38305084799999989</v>
      </c>
      <c r="L528" s="19">
        <v>0.41959999999999997</v>
      </c>
      <c r="M528" s="19">
        <v>0.28070000000000001</v>
      </c>
      <c r="N528" s="19">
        <v>0.36359999999999998</v>
      </c>
      <c r="O528" s="19">
        <v>0.5</v>
      </c>
      <c r="P528" s="20">
        <v>34490</v>
      </c>
      <c r="Q528" s="21" t="str">
        <f>HYPERLINK("https://www.shorter.edu/npc/", "$18362")</f>
        <v>$18362</v>
      </c>
      <c r="R528" s="20">
        <v>20530</v>
      </c>
      <c r="S528" s="20">
        <v>19756</v>
      </c>
      <c r="T528" s="20">
        <v>3360</v>
      </c>
      <c r="U528" s="20">
        <v>15002</v>
      </c>
      <c r="W528" s="19">
        <v>0.44400000000000001</v>
      </c>
      <c r="X528" s="19">
        <v>0.40429999999999999</v>
      </c>
      <c r="Z528" s="18">
        <v>1264</v>
      </c>
    </row>
    <row r="529" spans="1:26" ht="15.75" customHeight="1" x14ac:dyDescent="0.2">
      <c r="A529" s="36" t="str">
        <f>HYPERLINK("https://www.shorter.edu/professional-education/", "Shorter University-College of Adult &amp; Professional Programs")</f>
        <v>Shorter University-College of Adult &amp; Professional Programs</v>
      </c>
      <c r="B529" s="18" t="s">
        <v>32</v>
      </c>
      <c r="C529" s="18" t="s">
        <v>107</v>
      </c>
      <c r="D529" s="18" t="s">
        <v>1155</v>
      </c>
      <c r="E529" s="18" t="s">
        <v>36</v>
      </c>
      <c r="F529" s="18" t="s">
        <v>45</v>
      </c>
      <c r="J529" s="19">
        <v>0.61109999999999998</v>
      </c>
      <c r="K529" s="19">
        <v>0.38305084799999989</v>
      </c>
      <c r="L529" s="19">
        <v>0.25</v>
      </c>
      <c r="M529" s="19">
        <v>0.66669999999999996</v>
      </c>
      <c r="N529" s="19">
        <v>1</v>
      </c>
      <c r="O529" s="19" t="s">
        <v>36</v>
      </c>
      <c r="P529" s="20">
        <v>24635</v>
      </c>
      <c r="Q529" s="21" t="str">
        <f>HYPERLINK("https://www.shorter.edu/npcalc/npcalc.htm", "$18070")</f>
        <v>$18070</v>
      </c>
      <c r="R529" s="20" t="s">
        <v>36</v>
      </c>
      <c r="S529" s="20">
        <v>23896</v>
      </c>
      <c r="T529" s="20">
        <v>6300</v>
      </c>
      <c r="U529" s="20">
        <v>11770</v>
      </c>
      <c r="W529" s="19">
        <v>0.67810000000000004</v>
      </c>
      <c r="X529" s="19">
        <v>0.72570000000000001</v>
      </c>
      <c r="Z529" s="18">
        <v>113</v>
      </c>
    </row>
    <row r="530" spans="1:26" ht="15.75" customHeight="1" x14ac:dyDescent="0.2">
      <c r="A530" s="36" t="str">
        <f>HYPERLINK("https://www.simpsonu.edu", "Simpson University")</f>
        <v>Simpson University</v>
      </c>
      <c r="B530" s="18" t="s">
        <v>32</v>
      </c>
      <c r="C530" s="18" t="s">
        <v>68</v>
      </c>
      <c r="D530" s="18" t="s">
        <v>1158</v>
      </c>
      <c r="E530" s="18">
        <v>1077</v>
      </c>
      <c r="F530" s="18" t="s">
        <v>35</v>
      </c>
      <c r="J530" s="19">
        <v>0.56740000000000002</v>
      </c>
      <c r="K530" s="19">
        <v>0.51630434800000002</v>
      </c>
      <c r="L530" s="19">
        <v>0.57889999999999997</v>
      </c>
      <c r="M530" s="19">
        <v>0.5</v>
      </c>
      <c r="N530" s="19">
        <v>0.47370000000000001</v>
      </c>
      <c r="O530" s="19">
        <v>0.5</v>
      </c>
      <c r="P530" s="20">
        <v>40785</v>
      </c>
      <c r="Q530" s="21" t="str">
        <f>HYPERLINK("https://simpsonu.studentaidcalculator.com/survey.aspx", "$21777")</f>
        <v>$21777</v>
      </c>
      <c r="R530" s="20">
        <v>25377</v>
      </c>
      <c r="S530" s="20">
        <v>26524</v>
      </c>
      <c r="T530" s="20">
        <v>4735</v>
      </c>
      <c r="U530" s="20">
        <v>17042</v>
      </c>
      <c r="W530" s="19">
        <v>0.4481</v>
      </c>
      <c r="X530" s="19">
        <v>0.42509999999999998</v>
      </c>
      <c r="Z530" s="18">
        <v>708</v>
      </c>
    </row>
    <row r="531" spans="1:26" ht="15.75" customHeight="1" x14ac:dyDescent="0.2">
      <c r="A531" s="36" t="str">
        <f>HYPERLINK("https://www.sonoma.edu", "Sonoma State University")</f>
        <v>Sonoma State University</v>
      </c>
      <c r="B531" s="18" t="s">
        <v>49</v>
      </c>
      <c r="C531" s="18" t="s">
        <v>68</v>
      </c>
      <c r="D531" s="18" t="s">
        <v>1160</v>
      </c>
      <c r="E531" s="18">
        <v>1078</v>
      </c>
      <c r="F531" s="18" t="s">
        <v>35</v>
      </c>
      <c r="J531" s="19">
        <v>0.58460000000000001</v>
      </c>
      <c r="K531" s="19">
        <v>0.51272015700000007</v>
      </c>
      <c r="L531" s="19">
        <v>0.62749999999999995</v>
      </c>
      <c r="M531" s="19">
        <v>0.37140000000000001</v>
      </c>
      <c r="N531" s="19">
        <v>0.54390000000000005</v>
      </c>
      <c r="O531" s="19">
        <v>0.61109999999999998</v>
      </c>
      <c r="P531" s="20">
        <v>37914</v>
      </c>
      <c r="Q531" s="21" t="str">
        <f>HYPERLINK("https://www2.calstate.edu/attend/paying-for-college/Pages/csu-costs.aspx", "$25849")</f>
        <v>$25849</v>
      </c>
      <c r="R531" s="20">
        <v>31582</v>
      </c>
      <c r="S531" s="20">
        <v>35101</v>
      </c>
      <c r="T531" s="20">
        <v>4756</v>
      </c>
      <c r="U531" s="20">
        <v>21093.54285714286</v>
      </c>
      <c r="W531" s="19">
        <v>0.3271</v>
      </c>
      <c r="X531" s="19">
        <v>0.56330000000000002</v>
      </c>
      <c r="Z531" s="18">
        <v>8633</v>
      </c>
    </row>
    <row r="532" spans="1:26" ht="15.75" customHeight="1" x14ac:dyDescent="0.2">
      <c r="A532" s="36" t="str">
        <f>HYPERLINK("https://www.sdstate.edu/", "South Dakota State University")</f>
        <v>South Dakota State University</v>
      </c>
      <c r="B532" s="18" t="s">
        <v>49</v>
      </c>
      <c r="C532" s="18" t="s">
        <v>302</v>
      </c>
      <c r="D532" s="18" t="s">
        <v>1161</v>
      </c>
      <c r="E532" s="18">
        <v>1144</v>
      </c>
      <c r="F532" s="18" t="s">
        <v>35</v>
      </c>
      <c r="J532" s="19">
        <v>0.54920000000000002</v>
      </c>
      <c r="K532" s="19">
        <v>0.36041358899999998</v>
      </c>
      <c r="L532" s="19">
        <v>0.57310000000000005</v>
      </c>
      <c r="M532" s="19">
        <v>0.2414</v>
      </c>
      <c r="N532" s="19">
        <v>0.31709999999999999</v>
      </c>
      <c r="O532" s="19">
        <v>0.23810000000000001</v>
      </c>
      <c r="P532" s="20">
        <v>26052</v>
      </c>
      <c r="Q532" s="21" t="str">
        <f>HYPERLINK("https://www.sdstate.edu/admissions/office-financial-aid/net-price-calculator", "$19460")</f>
        <v>$19460</v>
      </c>
      <c r="R532" s="20">
        <v>22496</v>
      </c>
      <c r="S532" s="20">
        <v>24408</v>
      </c>
      <c r="T532" s="20">
        <v>5800</v>
      </c>
      <c r="U532" s="20">
        <v>13660.35294117647</v>
      </c>
      <c r="W532" s="19">
        <v>0.2097</v>
      </c>
      <c r="X532" s="19">
        <v>0.13</v>
      </c>
      <c r="Z532" s="18">
        <v>9704</v>
      </c>
    </row>
    <row r="533" spans="1:26" ht="15.75" customHeight="1" x14ac:dyDescent="0.2">
      <c r="A533" s="36" t="str">
        <f>HYPERLINK("https://www.semo.edu", "Southeast Missouri State University")</f>
        <v>Southeast Missouri State University</v>
      </c>
      <c r="B533" s="18" t="s">
        <v>49</v>
      </c>
      <c r="C533" s="18" t="s">
        <v>164</v>
      </c>
      <c r="D533" s="18" t="s">
        <v>1162</v>
      </c>
      <c r="E533" s="18">
        <v>1145</v>
      </c>
      <c r="F533" s="18" t="s">
        <v>35</v>
      </c>
      <c r="J533" s="19">
        <v>0.52100000000000002</v>
      </c>
      <c r="K533" s="19">
        <v>0.30478309199999998</v>
      </c>
      <c r="L533" s="19">
        <v>0.54039999999999999</v>
      </c>
      <c r="M533" s="19">
        <v>0.41399999999999998</v>
      </c>
      <c r="N533" s="19">
        <v>0.56000000000000005</v>
      </c>
      <c r="O533" s="19">
        <v>0.63639999999999997</v>
      </c>
      <c r="P533" s="20">
        <v>26539</v>
      </c>
      <c r="Q533" s="21" t="str">
        <f>HYPERLINK("https://banssb.semo.edu:8099/pls/apexprod/f?p=400:3", "$17618")</f>
        <v>$17618</v>
      </c>
      <c r="R533" s="20">
        <v>20736</v>
      </c>
      <c r="S533" s="20">
        <v>23559</v>
      </c>
      <c r="T533" s="20">
        <v>5104</v>
      </c>
      <c r="U533" s="20">
        <v>12514.330900243311</v>
      </c>
      <c r="W533" s="19">
        <v>0.31</v>
      </c>
      <c r="X533" s="19">
        <v>0.20649999999999999</v>
      </c>
      <c r="Z533" s="18">
        <v>8910</v>
      </c>
    </row>
    <row r="534" spans="1:26" ht="15.75" customHeight="1" x14ac:dyDescent="0.2">
      <c r="A534" s="36" t="str">
        <f>HYPERLINK("https://www.southeastern.edu", "Southeastern Louisiana University")</f>
        <v>Southeastern Louisiana University</v>
      </c>
      <c r="B534" s="18" t="s">
        <v>49</v>
      </c>
      <c r="C534" s="18" t="s">
        <v>158</v>
      </c>
      <c r="D534" s="18" t="s">
        <v>823</v>
      </c>
      <c r="E534" s="18">
        <v>1085</v>
      </c>
      <c r="F534" s="18" t="s">
        <v>35</v>
      </c>
      <c r="J534" s="19">
        <v>0.41349999999999998</v>
      </c>
      <c r="K534" s="19">
        <v>0.33205226799999998</v>
      </c>
      <c r="L534" s="19">
        <v>0.4209</v>
      </c>
      <c r="M534" s="19">
        <v>0.3448</v>
      </c>
      <c r="N534" s="19">
        <v>0.34439999999999998</v>
      </c>
      <c r="O534" s="19">
        <v>0.58330000000000004</v>
      </c>
      <c r="P534" s="20">
        <v>34155</v>
      </c>
      <c r="Q534" s="21" t="str">
        <f>HYPERLINK("https://www.southeastern.edu/admin/fin_aid/net_price_calculator/index.html", "$25957")</f>
        <v>$25957</v>
      </c>
      <c r="R534" s="20">
        <v>28658</v>
      </c>
      <c r="S534" s="20">
        <v>30299</v>
      </c>
      <c r="T534" s="20">
        <v>4670</v>
      </c>
      <c r="U534" s="20">
        <v>21287.703190013872</v>
      </c>
      <c r="W534" s="19">
        <v>0.3342</v>
      </c>
      <c r="X534" s="19">
        <v>0.37640000000000001</v>
      </c>
      <c r="Z534" s="18">
        <v>10929</v>
      </c>
    </row>
    <row r="535" spans="1:26" ht="15.75" customHeight="1" x14ac:dyDescent="0.2">
      <c r="A535" s="36" t="str">
        <f>HYPERLINK("https://www.se.edu", "Southeastern Oklahoma State University")</f>
        <v>Southeastern Oklahoma State University</v>
      </c>
      <c r="B535" s="18" t="s">
        <v>49</v>
      </c>
      <c r="C535" s="18" t="s">
        <v>290</v>
      </c>
      <c r="D535" s="18" t="s">
        <v>1164</v>
      </c>
      <c r="E535" s="18">
        <v>1045</v>
      </c>
      <c r="F535" s="18" t="s">
        <v>35</v>
      </c>
      <c r="J535" s="19">
        <v>0.27350000000000002</v>
      </c>
      <c r="K535" s="19">
        <v>0.261829653</v>
      </c>
      <c r="L535" s="19">
        <v>0.2964</v>
      </c>
      <c r="M535" s="19">
        <v>0.12</v>
      </c>
      <c r="N535" s="19">
        <v>0.1724</v>
      </c>
      <c r="O535" s="19">
        <v>0.42859999999999998</v>
      </c>
      <c r="P535" s="20">
        <v>26260</v>
      </c>
      <c r="Q535" s="21" t="str">
        <f>HYPERLINK("https://campusconnect.se.edu/cc3/net-price-calculator.html", "$17003")</f>
        <v>$17003</v>
      </c>
      <c r="R535" s="20">
        <v>20468</v>
      </c>
      <c r="S535" s="20">
        <v>24233</v>
      </c>
      <c r="T535" s="20">
        <v>3897</v>
      </c>
      <c r="U535" s="20">
        <v>13106.22627737226</v>
      </c>
      <c r="W535" s="19">
        <v>0.41099999999999998</v>
      </c>
      <c r="X535" s="19">
        <v>0.47529999999999989</v>
      </c>
      <c r="Z535" s="18">
        <v>2937</v>
      </c>
    </row>
    <row r="536" spans="1:26" ht="15.75" customHeight="1" x14ac:dyDescent="0.2">
      <c r="A536" s="36" t="str">
        <f>HYPERLINK("https://www.seu.edu/", "Southeastern University")</f>
        <v>Southeastern University</v>
      </c>
      <c r="B536" s="18" t="s">
        <v>32</v>
      </c>
      <c r="C536" s="18" t="s">
        <v>162</v>
      </c>
      <c r="D536" s="18" t="s">
        <v>360</v>
      </c>
      <c r="E536" s="18">
        <v>1063</v>
      </c>
      <c r="F536" s="18" t="s">
        <v>115</v>
      </c>
      <c r="J536" s="19">
        <v>0.39960000000000001</v>
      </c>
      <c r="K536" s="19">
        <v>0.3203125</v>
      </c>
      <c r="L536" s="19">
        <v>0.46039999999999998</v>
      </c>
      <c r="M536" s="19">
        <v>0.25419999999999998</v>
      </c>
      <c r="N536" s="19">
        <v>0.3049</v>
      </c>
      <c r="O536" s="19">
        <v>0.66669999999999996</v>
      </c>
      <c r="P536" s="20">
        <v>39408</v>
      </c>
      <c r="Q536" s="21" t="str">
        <f>HYPERLINK("https://www.seu.edu/financial/cost-calculator/", "$22215")</f>
        <v>$22215</v>
      </c>
      <c r="R536" s="20">
        <v>22536</v>
      </c>
      <c r="S536" s="20">
        <v>23962</v>
      </c>
      <c r="T536" s="20">
        <v>4000</v>
      </c>
      <c r="U536" s="20">
        <v>18215</v>
      </c>
      <c r="W536" s="19">
        <v>0.39489999999999997</v>
      </c>
      <c r="X536" s="19">
        <v>0.39889999999999998</v>
      </c>
      <c r="Z536" s="18">
        <v>4786</v>
      </c>
    </row>
    <row r="537" spans="1:26" ht="15.75" customHeight="1" x14ac:dyDescent="0.2">
      <c r="A537" s="36" t="str">
        <f>HYPERLINK("https://www.southern.edu", "Southern Adventist University")</f>
        <v>Southern Adventist University</v>
      </c>
      <c r="B537" s="18" t="s">
        <v>32</v>
      </c>
      <c r="C537" s="18" t="s">
        <v>174</v>
      </c>
      <c r="D537" s="18" t="s">
        <v>1166</v>
      </c>
      <c r="E537" s="18" t="s">
        <v>36</v>
      </c>
      <c r="F537" s="18" t="s">
        <v>36</v>
      </c>
      <c r="J537" s="19">
        <v>0.52349999999999997</v>
      </c>
      <c r="K537" s="19">
        <v>0.40740740700000011</v>
      </c>
      <c r="L537" s="19">
        <v>0.55520000000000003</v>
      </c>
      <c r="M537" s="19">
        <v>0.43369999999999997</v>
      </c>
      <c r="N537" s="19">
        <v>0.4602</v>
      </c>
      <c r="O537" s="19">
        <v>0.6</v>
      </c>
      <c r="P537" s="20">
        <v>33550</v>
      </c>
      <c r="Q537" s="21" t="str">
        <f>HYPERLINK("https://www.southern.edu/undergrad/finances/cost-calculator.html#!#st", "$17159")</f>
        <v>$17159</v>
      </c>
      <c r="R537" s="20">
        <v>20010</v>
      </c>
      <c r="S537" s="20">
        <v>23558</v>
      </c>
      <c r="T537" s="20">
        <v>5250</v>
      </c>
      <c r="U537" s="20">
        <v>11909</v>
      </c>
      <c r="W537" s="19">
        <v>0.34789999999999999</v>
      </c>
      <c r="X537" s="19">
        <v>0.54709999999999992</v>
      </c>
      <c r="Z537" s="18">
        <v>2486</v>
      </c>
    </row>
    <row r="538" spans="1:26" ht="15.75" customHeight="1" x14ac:dyDescent="0.2">
      <c r="A538" s="36" t="str">
        <f>HYPERLINK("https://www.saumag.edu", "Southern Arkansas University Main Campus")</f>
        <v>Southern Arkansas University Main Campus</v>
      </c>
      <c r="B538" s="18" t="s">
        <v>49</v>
      </c>
      <c r="C538" s="18" t="s">
        <v>371</v>
      </c>
      <c r="D538" s="18" t="s">
        <v>1168</v>
      </c>
      <c r="E538" s="18">
        <v>1102</v>
      </c>
      <c r="F538" s="18" t="s">
        <v>35</v>
      </c>
      <c r="J538" s="19">
        <v>0.3604</v>
      </c>
      <c r="K538" s="19">
        <v>0.32603938700000001</v>
      </c>
      <c r="L538" s="19">
        <v>0.41649999999999998</v>
      </c>
      <c r="M538" s="19">
        <v>0.25790000000000002</v>
      </c>
      <c r="N538" s="19">
        <v>0.14810000000000001</v>
      </c>
      <c r="O538" s="19">
        <v>0.66669999999999996</v>
      </c>
      <c r="P538" s="20">
        <v>26379</v>
      </c>
      <c r="Q538" s="21" t="str">
        <f>HYPERLINK("https://www.saumag.edu/netprice/", "$16622")</f>
        <v>$16622</v>
      </c>
      <c r="R538" s="20">
        <v>19482</v>
      </c>
      <c r="S538" s="20">
        <v>20780</v>
      </c>
      <c r="T538" s="20">
        <v>7157</v>
      </c>
      <c r="U538" s="20">
        <v>9465.826923076922</v>
      </c>
      <c r="W538" s="19">
        <v>0.50170000000000003</v>
      </c>
      <c r="X538" s="19">
        <v>0.35460000000000003</v>
      </c>
      <c r="Z538" s="18">
        <v>3153</v>
      </c>
    </row>
    <row r="539" spans="1:26" ht="15.75" customHeight="1" x14ac:dyDescent="0.2">
      <c r="A539" s="36" t="str">
        <f>HYPERLINK("https://www.southernct.edu", "Southern Connecticut State University")</f>
        <v>Southern Connecticut State University</v>
      </c>
      <c r="B539" s="18" t="s">
        <v>49</v>
      </c>
      <c r="C539" s="18" t="s">
        <v>94</v>
      </c>
      <c r="D539" s="18" t="s">
        <v>187</v>
      </c>
      <c r="E539" s="18">
        <v>1028</v>
      </c>
      <c r="F539" s="18" t="s">
        <v>35</v>
      </c>
      <c r="J539" s="19">
        <v>0.48110000000000003</v>
      </c>
      <c r="K539" s="19">
        <v>0.45177665</v>
      </c>
      <c r="L539" s="19">
        <v>0.50719999999999998</v>
      </c>
      <c r="M539" s="19">
        <v>0.4516</v>
      </c>
      <c r="N539" s="19">
        <v>0.41720000000000002</v>
      </c>
      <c r="O539" s="19">
        <v>0.5</v>
      </c>
      <c r="P539" s="20">
        <v>38525</v>
      </c>
      <c r="Q539" s="21" t="str">
        <f>HYPERLINK("https://www.southernct.edu/netpricecalculator/npcalc.htm", "$32644")</f>
        <v>$32644</v>
      </c>
      <c r="R539" s="20">
        <v>37462</v>
      </c>
      <c r="S539" s="20">
        <v>30513</v>
      </c>
      <c r="T539" s="20">
        <v>2867</v>
      </c>
      <c r="U539" s="20">
        <v>29777.68894601542</v>
      </c>
      <c r="W539" s="19">
        <v>0.38129999999999997</v>
      </c>
      <c r="X539" s="19">
        <v>0.46639999999999998</v>
      </c>
      <c r="Z539" s="18">
        <v>7703</v>
      </c>
    </row>
    <row r="540" spans="1:26" ht="15.75" customHeight="1" x14ac:dyDescent="0.2">
      <c r="A540" s="36" t="str">
        <f>HYPERLINK("https://www.siu.edu", "Southern Illinois University-Carbondale")</f>
        <v>Southern Illinois University-Carbondale</v>
      </c>
      <c r="B540" s="18" t="s">
        <v>49</v>
      </c>
      <c r="C540" s="18" t="s">
        <v>137</v>
      </c>
      <c r="D540" s="18" t="s">
        <v>1169</v>
      </c>
      <c r="E540" s="18">
        <v>1143</v>
      </c>
      <c r="F540" s="18" t="s">
        <v>35</v>
      </c>
      <c r="J540" s="19">
        <v>0.4012</v>
      </c>
      <c r="K540" s="19">
        <v>0.39807576700000002</v>
      </c>
      <c r="L540" s="19">
        <v>0.51270000000000004</v>
      </c>
      <c r="M540" s="19">
        <v>0.2515</v>
      </c>
      <c r="N540" s="19">
        <v>0.36049999999999999</v>
      </c>
      <c r="O540" s="19">
        <v>0.34379999999999999</v>
      </c>
      <c r="P540" s="20">
        <v>42770</v>
      </c>
      <c r="Q540" s="21" t="str">
        <f>HYPERLINK("https://fao.siu.edu/cost/", "$29707")</f>
        <v>$29707</v>
      </c>
      <c r="R540" s="20">
        <v>32460</v>
      </c>
      <c r="S540" s="20">
        <v>35479</v>
      </c>
      <c r="T540" s="20">
        <v>4041</v>
      </c>
      <c r="U540" s="20">
        <v>25666.138225255971</v>
      </c>
      <c r="W540" s="19">
        <v>0.39369999999999999</v>
      </c>
      <c r="X540" s="19">
        <v>0.34910000000000002</v>
      </c>
      <c r="Z540" s="18">
        <v>10896</v>
      </c>
    </row>
    <row r="541" spans="1:26" ht="15.75" customHeight="1" x14ac:dyDescent="0.2">
      <c r="A541" s="36" t="str">
        <f>HYPERLINK("https://www.siue.edu", "Southern Illinois University-Edwardsville")</f>
        <v>Southern Illinois University-Edwardsville</v>
      </c>
      <c r="B541" s="18" t="s">
        <v>49</v>
      </c>
      <c r="C541" s="18" t="s">
        <v>137</v>
      </c>
      <c r="D541" s="18" t="s">
        <v>1170</v>
      </c>
      <c r="E541" s="18">
        <v>1144</v>
      </c>
      <c r="F541" s="18" t="s">
        <v>35</v>
      </c>
      <c r="J541" s="19">
        <v>0.48530000000000001</v>
      </c>
      <c r="K541" s="19">
        <v>0.42185904000000002</v>
      </c>
      <c r="L541" s="19">
        <v>0.56440000000000001</v>
      </c>
      <c r="M541" s="19">
        <v>0.27310000000000001</v>
      </c>
      <c r="N541" s="19">
        <v>0.44119999999999998</v>
      </c>
      <c r="O541" s="19">
        <v>0.51429999999999998</v>
      </c>
      <c r="P541" s="20">
        <v>37774</v>
      </c>
      <c r="Q541" s="21" t="str">
        <f>HYPERLINK("https://siue.studentaidcalculator.com/welcome.aspx", "$27004")</f>
        <v>$27004</v>
      </c>
      <c r="R541" s="20">
        <v>31269</v>
      </c>
      <c r="S541" s="20">
        <v>34410</v>
      </c>
      <c r="T541" s="20">
        <v>3642</v>
      </c>
      <c r="U541" s="20">
        <v>23362.176470588242</v>
      </c>
      <c r="W541" s="19">
        <v>0.34279999999999999</v>
      </c>
      <c r="X541" s="19">
        <v>0.26259999999999989</v>
      </c>
      <c r="Z541" s="18">
        <v>11339</v>
      </c>
    </row>
    <row r="542" spans="1:26" ht="15.75" customHeight="1" x14ac:dyDescent="0.2">
      <c r="A542" s="36" t="str">
        <f>HYPERLINK("https://www.snhu.edu", "Southern New Hampshire University")</f>
        <v>Southern New Hampshire University</v>
      </c>
      <c r="B542" s="18" t="s">
        <v>32</v>
      </c>
      <c r="C542" s="18" t="s">
        <v>101</v>
      </c>
      <c r="D542" s="18" t="s">
        <v>466</v>
      </c>
      <c r="E542" s="18" t="s">
        <v>36</v>
      </c>
      <c r="F542" s="18" t="s">
        <v>45</v>
      </c>
      <c r="J542" s="19">
        <v>0.48799999999999999</v>
      </c>
      <c r="K542" s="19">
        <v>0.43459302300000002</v>
      </c>
      <c r="L542" s="19">
        <v>0.58479999999999999</v>
      </c>
      <c r="M542" s="19">
        <v>0.4375</v>
      </c>
      <c r="N542" s="19">
        <v>0.4118</v>
      </c>
      <c r="O542" s="19">
        <v>0.6</v>
      </c>
      <c r="P542" s="20">
        <v>50436</v>
      </c>
      <c r="Q542" s="21" t="str">
        <f>HYPERLINK("https://www.aidcalc.com/snhu", "$43467")</f>
        <v>$43467</v>
      </c>
      <c r="R542" s="20">
        <v>38532</v>
      </c>
      <c r="S542" s="20">
        <v>36487</v>
      </c>
      <c r="T542" s="20">
        <v>7022</v>
      </c>
      <c r="U542" s="20">
        <v>36445</v>
      </c>
      <c r="W542" s="19">
        <v>0.44950000000000001</v>
      </c>
      <c r="X542" s="19">
        <v>0.40269999999999989</v>
      </c>
      <c r="Z542" s="18">
        <v>68214</v>
      </c>
    </row>
    <row r="543" spans="1:26" ht="15.75" customHeight="1" x14ac:dyDescent="0.2">
      <c r="A543" s="36" t="str">
        <f>HYPERLINK("https://www.sou.edu", "Southern Oregon University")</f>
        <v>Southern Oregon University</v>
      </c>
      <c r="B543" s="18" t="s">
        <v>49</v>
      </c>
      <c r="C543" s="18" t="s">
        <v>143</v>
      </c>
      <c r="D543" s="18" t="s">
        <v>563</v>
      </c>
      <c r="E543" s="18">
        <v>1049</v>
      </c>
      <c r="F543" s="18" t="s">
        <v>35</v>
      </c>
      <c r="J543" s="19">
        <v>0.3785</v>
      </c>
      <c r="K543" s="19">
        <v>0.31351351399999999</v>
      </c>
      <c r="L543" s="19">
        <v>0.39319999999999999</v>
      </c>
      <c r="M543" s="19">
        <v>0.1429</v>
      </c>
      <c r="N543" s="19">
        <v>0.27629999999999999</v>
      </c>
      <c r="O543" s="19">
        <v>0.42859999999999998</v>
      </c>
      <c r="P543" s="20">
        <v>42091</v>
      </c>
      <c r="Q543" s="21" t="str">
        <f>HYPERLINK("https://inside.sou.edu/assets/enrollment/apps/npcalc.html", "$33345")</f>
        <v>$33345</v>
      </c>
      <c r="R543" s="20">
        <v>36007</v>
      </c>
      <c r="S543" s="20">
        <v>39092</v>
      </c>
      <c r="T543" s="20">
        <v>3697</v>
      </c>
      <c r="U543" s="20">
        <v>29648.028571428571</v>
      </c>
      <c r="W543" s="19">
        <v>0.3201</v>
      </c>
      <c r="X543" s="19">
        <v>0.40189999999999998</v>
      </c>
      <c r="Z543" s="18">
        <v>4399</v>
      </c>
    </row>
    <row r="544" spans="1:26" ht="15.75" customHeight="1" x14ac:dyDescent="0.2">
      <c r="A544" s="36" t="str">
        <f>HYPERLINK("https://www.subr.edu", "Southern University and A &amp; M College")</f>
        <v>Southern University and A &amp; M College</v>
      </c>
      <c r="B544" s="18" t="s">
        <v>49</v>
      </c>
      <c r="C544" s="18" t="s">
        <v>158</v>
      </c>
      <c r="D544" s="18" t="s">
        <v>398</v>
      </c>
      <c r="E544" s="18">
        <v>988</v>
      </c>
      <c r="F544" s="18" t="s">
        <v>35</v>
      </c>
      <c r="J544" s="19">
        <v>0.28999999999999998</v>
      </c>
      <c r="K544" s="19">
        <v>0.34273318899999999</v>
      </c>
      <c r="L544" s="19">
        <v>0.2</v>
      </c>
      <c r="M544" s="19">
        <v>0.29270000000000002</v>
      </c>
      <c r="N544" s="19">
        <v>0.33329999999999999</v>
      </c>
      <c r="O544" s="19">
        <v>0.33329999999999999</v>
      </c>
      <c r="P544" s="20">
        <v>32791</v>
      </c>
      <c r="Q544" s="21" t="str">
        <f>HYPERLINK("https://www3.subr.edu/finaid/netpricecalculator/npcalc.htm", "$25410")</f>
        <v>$25410</v>
      </c>
      <c r="R544" s="20">
        <v>28794</v>
      </c>
      <c r="S544" s="20">
        <v>30161</v>
      </c>
      <c r="T544" s="20">
        <v>5271</v>
      </c>
      <c r="U544" s="20">
        <v>20139.782608695648</v>
      </c>
      <c r="W544" s="19">
        <v>0.69030000000000002</v>
      </c>
      <c r="X544" s="19">
        <v>0.97719999999999996</v>
      </c>
      <c r="Z544" s="18">
        <v>5137</v>
      </c>
    </row>
    <row r="545" spans="1:26" ht="15.75" customHeight="1" x14ac:dyDescent="0.2">
      <c r="A545" s="36" t="str">
        <f>HYPERLINK("https://www.suu.edu/", "Southern Utah University")</f>
        <v>Southern Utah University</v>
      </c>
      <c r="B545" s="18" t="s">
        <v>49</v>
      </c>
      <c r="C545" s="18" t="s">
        <v>199</v>
      </c>
      <c r="D545" s="18" t="s">
        <v>1175</v>
      </c>
      <c r="E545" s="18">
        <v>1156</v>
      </c>
      <c r="F545" s="18" t="s">
        <v>35</v>
      </c>
      <c r="J545" s="19">
        <v>0.4677</v>
      </c>
      <c r="K545" s="19">
        <v>0.38461538499999998</v>
      </c>
      <c r="L545" s="19">
        <v>0.4894</v>
      </c>
      <c r="M545" s="19">
        <v>0.57889999999999997</v>
      </c>
      <c r="N545" s="19">
        <v>0.46939999999999998</v>
      </c>
      <c r="O545" s="19">
        <v>0.71430000000000005</v>
      </c>
      <c r="P545" s="20">
        <v>33755</v>
      </c>
      <c r="Q545" s="21" t="str">
        <f>HYPERLINK("https://www.suu.edu/finaid/net-price/index.html", "$26849")</f>
        <v>$26849</v>
      </c>
      <c r="R545" s="20">
        <v>28423</v>
      </c>
      <c r="S545" s="20">
        <v>29969</v>
      </c>
      <c r="T545" s="20">
        <v>6400</v>
      </c>
      <c r="U545" s="20">
        <v>20449.289962825282</v>
      </c>
      <c r="W545" s="19">
        <v>0.32940000000000003</v>
      </c>
      <c r="X545" s="19">
        <v>0.25269999999999998</v>
      </c>
      <c r="Z545" s="18">
        <v>6849</v>
      </c>
    </row>
    <row r="546" spans="1:26" ht="15.75" customHeight="1" x14ac:dyDescent="0.2">
      <c r="A546" s="36" t="str">
        <f>HYPERLINK("https://www.svu.edu", "Southern Virginia University")</f>
        <v>Southern Virginia University</v>
      </c>
      <c r="B546" s="18" t="s">
        <v>32</v>
      </c>
      <c r="C546" s="18" t="s">
        <v>83</v>
      </c>
      <c r="D546" s="18" t="s">
        <v>1179</v>
      </c>
      <c r="E546" s="18">
        <v>992</v>
      </c>
      <c r="F546" s="18" t="s">
        <v>35</v>
      </c>
      <c r="J546" s="19">
        <v>0.2702</v>
      </c>
      <c r="K546" s="19">
        <v>0.22580645199999999</v>
      </c>
      <c r="L546" s="19">
        <v>0.29730000000000001</v>
      </c>
      <c r="M546" s="19">
        <v>0.18179999999999999</v>
      </c>
      <c r="N546" s="19">
        <v>0.3</v>
      </c>
      <c r="O546" s="19">
        <v>0</v>
      </c>
      <c r="P546" s="20">
        <v>26910</v>
      </c>
      <c r="Q546" s="21" t="str">
        <f>HYPERLINK("https://secure.svu.edu/calculator/npcalc.htm", "$16873")</f>
        <v>$16873</v>
      </c>
      <c r="R546" s="20">
        <v>18533</v>
      </c>
      <c r="S546" s="20">
        <v>20531</v>
      </c>
      <c r="T546" s="20">
        <v>4700</v>
      </c>
      <c r="U546" s="20">
        <v>12173</v>
      </c>
      <c r="W546" s="19">
        <v>0.49880000000000002</v>
      </c>
      <c r="X546" s="19">
        <v>0.29189999999999999</v>
      </c>
      <c r="Z546" s="18">
        <v>877</v>
      </c>
    </row>
    <row r="547" spans="1:26" ht="15.75" customHeight="1" x14ac:dyDescent="0.2">
      <c r="A547" s="36" t="str">
        <f>HYPERLINK("https://www.swu.edu", "Southern Wesleyan University")</f>
        <v>Southern Wesleyan University</v>
      </c>
      <c r="B547" s="18" t="s">
        <v>32</v>
      </c>
      <c r="C547" s="18" t="s">
        <v>208</v>
      </c>
      <c r="D547" s="18" t="s">
        <v>1181</v>
      </c>
      <c r="E547" s="18" t="s">
        <v>36</v>
      </c>
      <c r="F547" s="18" t="s">
        <v>90</v>
      </c>
      <c r="J547" s="19">
        <v>0.43799999999999989</v>
      </c>
      <c r="K547" s="19">
        <v>0.32978723399999998</v>
      </c>
      <c r="L547" s="19">
        <v>0.4884</v>
      </c>
      <c r="M547" s="19">
        <v>0.31819999999999998</v>
      </c>
      <c r="N547" s="19">
        <v>0.25</v>
      </c>
      <c r="O547" s="19" t="s">
        <v>36</v>
      </c>
      <c r="P547" s="20">
        <v>36860</v>
      </c>
      <c r="Q547" s="21" t="str">
        <f>HYPERLINK("https://www.swu.edu/traditional-campus/financial-aid/net-price-calculator/", "$14884")</f>
        <v>$14884</v>
      </c>
      <c r="R547" s="20">
        <v>18128</v>
      </c>
      <c r="S547" s="20">
        <v>17769</v>
      </c>
      <c r="T547" s="20">
        <v>3190</v>
      </c>
      <c r="U547" s="20">
        <v>11694</v>
      </c>
      <c r="W547" s="19">
        <v>0.44590000000000002</v>
      </c>
      <c r="X547" s="19">
        <v>0.36</v>
      </c>
      <c r="Z547" s="18">
        <v>1286</v>
      </c>
    </row>
    <row r="548" spans="1:26" ht="15.75" customHeight="1" x14ac:dyDescent="0.2">
      <c r="A548" s="36" t="str">
        <f>HYPERLINK("https://www.sbuniv.edu", "Southwest Baptist University")</f>
        <v>Southwest Baptist University</v>
      </c>
      <c r="B548" s="18" t="s">
        <v>32</v>
      </c>
      <c r="C548" s="18" t="s">
        <v>164</v>
      </c>
      <c r="D548" s="18" t="s">
        <v>1182</v>
      </c>
      <c r="E548" s="18">
        <v>1136</v>
      </c>
      <c r="F548" s="18" t="s">
        <v>35</v>
      </c>
      <c r="J548" s="19">
        <v>0.45379999999999998</v>
      </c>
      <c r="K548" s="19">
        <v>0.33333333300000001</v>
      </c>
      <c r="L548" s="19">
        <v>0.49009999999999998</v>
      </c>
      <c r="M548" s="19">
        <v>0.1429</v>
      </c>
      <c r="N548" s="19">
        <v>0.63639999999999997</v>
      </c>
      <c r="O548" s="19">
        <v>0.66669999999999996</v>
      </c>
      <c r="P548" s="20">
        <v>34458</v>
      </c>
      <c r="Q548" s="21" t="str">
        <f>HYPERLINK("https://www.sbuniv.edu/admissions/financial-aid/estimator.php", "$17382")</f>
        <v>$17382</v>
      </c>
      <c r="R548" s="20">
        <v>17334</v>
      </c>
      <c r="S548" s="20">
        <v>17977</v>
      </c>
      <c r="T548" s="20">
        <v>3500</v>
      </c>
      <c r="U548" s="20">
        <v>13882</v>
      </c>
      <c r="W548" s="19">
        <v>0.38919999999999999</v>
      </c>
      <c r="X548" s="19">
        <v>0.1709999999999999</v>
      </c>
      <c r="Z548" s="18">
        <v>2252</v>
      </c>
    </row>
    <row r="549" spans="1:26" ht="15.75" customHeight="1" x14ac:dyDescent="0.2">
      <c r="A549" s="36" t="str">
        <f>HYPERLINK("https://www.smsu.edu", "Southwest Minnesota State University")</f>
        <v>Southwest Minnesota State University</v>
      </c>
      <c r="B549" s="18" t="s">
        <v>49</v>
      </c>
      <c r="C549" s="18" t="s">
        <v>72</v>
      </c>
      <c r="D549" s="18" t="s">
        <v>709</v>
      </c>
      <c r="E549" s="18">
        <v>1065</v>
      </c>
      <c r="F549" s="18" t="s">
        <v>35</v>
      </c>
      <c r="J549" s="19">
        <v>0.44940000000000002</v>
      </c>
      <c r="K549" s="19">
        <v>0.35294117700000011</v>
      </c>
      <c r="L549" s="19">
        <v>0.48</v>
      </c>
      <c r="M549" s="19">
        <v>5.5599999999999997E-2</v>
      </c>
      <c r="N549" s="19">
        <v>0.22220000000000001</v>
      </c>
      <c r="O549" s="19">
        <v>0.25</v>
      </c>
      <c r="P549" s="20">
        <v>20776</v>
      </c>
      <c r="Q549" s="21" t="str">
        <f>HYPERLINK("https://www.minnstate.edu/admissions/calculator/southwestmsu.html?_ga=2.135537657.998509588.1537211262-179850922.1537211262", "$12401")</f>
        <v>$12401</v>
      </c>
      <c r="R549" s="20">
        <v>14786</v>
      </c>
      <c r="S549" s="20">
        <v>17580</v>
      </c>
      <c r="T549" s="20">
        <v>4356</v>
      </c>
      <c r="U549" s="20">
        <v>8045.922330097088</v>
      </c>
      <c r="W549" s="19">
        <v>0.1166</v>
      </c>
      <c r="X549" s="19">
        <v>0.2382</v>
      </c>
      <c r="Z549" s="18">
        <v>2133</v>
      </c>
    </row>
    <row r="550" spans="1:26" ht="15.75" customHeight="1" x14ac:dyDescent="0.2">
      <c r="A550" s="36" t="str">
        <f>HYPERLINK("https://www.sagu.edu", "Southwestern Assemblies of God University")</f>
        <v>Southwestern Assemblies of God University</v>
      </c>
      <c r="B550" s="18" t="s">
        <v>32</v>
      </c>
      <c r="C550" s="18" t="s">
        <v>146</v>
      </c>
      <c r="D550" s="18" t="s">
        <v>1183</v>
      </c>
      <c r="E550" s="18">
        <v>1021</v>
      </c>
      <c r="F550" s="18" t="s">
        <v>35</v>
      </c>
      <c r="J550" s="19">
        <v>0.44440000000000002</v>
      </c>
      <c r="K550" s="19">
        <v>0.32015810300000003</v>
      </c>
      <c r="L550" s="19">
        <v>0.51829999999999998</v>
      </c>
      <c r="M550" s="19">
        <v>0.19439999999999999</v>
      </c>
      <c r="N550" s="19">
        <v>0.36170000000000002</v>
      </c>
      <c r="O550" s="19">
        <v>0.4</v>
      </c>
      <c r="P550" s="20">
        <v>34442</v>
      </c>
      <c r="Q550" s="21" t="str">
        <f>HYPERLINK("https://www.sagu.edu/financial-aid/net-price-calculator", "$22545")</f>
        <v>$22545</v>
      </c>
      <c r="R550" s="20">
        <v>25356</v>
      </c>
      <c r="S550" s="20">
        <v>27674</v>
      </c>
      <c r="T550" s="20">
        <v>7096</v>
      </c>
      <c r="U550" s="20">
        <v>15449</v>
      </c>
      <c r="W550" s="19">
        <v>0.51970000000000005</v>
      </c>
      <c r="X550" s="19">
        <v>0.39879999999999999</v>
      </c>
      <c r="Z550" s="18">
        <v>1730</v>
      </c>
    </row>
    <row r="551" spans="1:26" ht="15.75" customHeight="1" x14ac:dyDescent="0.2">
      <c r="A551" s="36" t="str">
        <f>HYPERLINK("https://www.sckans.edu", "Southwestern College")</f>
        <v>Southwestern College</v>
      </c>
      <c r="B551" s="18" t="s">
        <v>32</v>
      </c>
      <c r="C551" s="18" t="s">
        <v>307</v>
      </c>
      <c r="D551" s="18" t="s">
        <v>1184</v>
      </c>
      <c r="E551" s="18">
        <v>1019</v>
      </c>
      <c r="F551" s="18" t="s">
        <v>35</v>
      </c>
      <c r="J551" s="19">
        <v>0.40629999999999999</v>
      </c>
      <c r="K551" s="19">
        <v>0.48387096800000001</v>
      </c>
      <c r="L551" s="19">
        <v>0.42159999999999997</v>
      </c>
      <c r="M551" s="19">
        <v>0.125</v>
      </c>
      <c r="N551" s="19">
        <v>0.36840000000000001</v>
      </c>
      <c r="O551" s="19">
        <v>1</v>
      </c>
      <c r="P551" s="20">
        <v>42821</v>
      </c>
      <c r="Q551" s="21" t="str">
        <f>HYPERLINK("https://www.sckans.edu/other/net-price-calculator/", "$21218")</f>
        <v>$21218</v>
      </c>
      <c r="R551" s="20">
        <v>21087</v>
      </c>
      <c r="S551" s="20">
        <v>23713</v>
      </c>
      <c r="T551" s="20">
        <v>6551</v>
      </c>
      <c r="U551" s="20">
        <v>14667</v>
      </c>
      <c r="W551" s="19">
        <v>0.36380000000000001</v>
      </c>
      <c r="X551" s="19">
        <v>0.58299999999999996</v>
      </c>
      <c r="Z551" s="18">
        <v>1096</v>
      </c>
    </row>
    <row r="552" spans="1:26" ht="15.75" customHeight="1" x14ac:dyDescent="0.2">
      <c r="A552" s="36" t="str">
        <f>HYPERLINK("https://www.swosu.edu", "Southwestern Oklahoma State University")</f>
        <v>Southwestern Oklahoma State University</v>
      </c>
      <c r="B552" s="18" t="s">
        <v>49</v>
      </c>
      <c r="C552" s="18" t="s">
        <v>290</v>
      </c>
      <c r="D552" s="18" t="s">
        <v>1186</v>
      </c>
      <c r="E552" s="18">
        <v>1065</v>
      </c>
      <c r="F552" s="18" t="s">
        <v>35</v>
      </c>
      <c r="J552" s="19">
        <v>0.30769999999999997</v>
      </c>
      <c r="K552" s="19">
        <v>0.27272727299999999</v>
      </c>
      <c r="L552" s="19">
        <v>0.35709999999999997</v>
      </c>
      <c r="M552" s="19">
        <v>0.22</v>
      </c>
      <c r="N552" s="19">
        <v>0.21110000000000001</v>
      </c>
      <c r="O552" s="19">
        <v>0.30430000000000001</v>
      </c>
      <c r="P552" s="20">
        <v>26833</v>
      </c>
      <c r="Q552" s="21" t="str">
        <f>HYPERLINK("https://www.swosu.edu/administration/sfs/npcalc/npcalc.asp", "$17213")</f>
        <v>$17213</v>
      </c>
      <c r="R552" s="20">
        <v>19935</v>
      </c>
      <c r="S552" s="20">
        <v>23058</v>
      </c>
      <c r="T552" s="20">
        <v>7428</v>
      </c>
      <c r="U552" s="20">
        <v>9785.675496688742</v>
      </c>
      <c r="W552" s="19">
        <v>0.3427</v>
      </c>
      <c r="X552" s="19">
        <v>0.38140000000000002</v>
      </c>
      <c r="Z552" s="18">
        <v>4358</v>
      </c>
    </row>
    <row r="553" spans="1:26" ht="15.75" customHeight="1" x14ac:dyDescent="0.2">
      <c r="A553" s="36" t="str">
        <f>HYPERLINK("https://www.spalding.edu", "Spalding University")</f>
        <v>Spalding University</v>
      </c>
      <c r="B553" s="18" t="s">
        <v>32</v>
      </c>
      <c r="C553" s="18" t="s">
        <v>205</v>
      </c>
      <c r="D553" s="18" t="s">
        <v>306</v>
      </c>
      <c r="E553" s="18">
        <v>1046</v>
      </c>
      <c r="F553" s="18" t="s">
        <v>35</v>
      </c>
      <c r="J553" s="19">
        <v>0.44679999999999997</v>
      </c>
      <c r="K553" s="19">
        <v>0.362318841</v>
      </c>
      <c r="L553" s="19">
        <v>0.53159999999999996</v>
      </c>
      <c r="M553" s="19">
        <v>0.25</v>
      </c>
      <c r="N553" s="19">
        <v>0.42859999999999998</v>
      </c>
      <c r="O553" s="19">
        <v>0.25</v>
      </c>
      <c r="P553" s="20">
        <v>36778</v>
      </c>
      <c r="Q553" s="21" t="str">
        <f>HYPERLINK("https://spalding.studentaidcalculator.com/survey.aspx", "$19901")</f>
        <v>$19901</v>
      </c>
      <c r="R553" s="20">
        <v>21197</v>
      </c>
      <c r="S553" s="20">
        <v>23844</v>
      </c>
      <c r="T553" s="20">
        <v>4878</v>
      </c>
      <c r="U553" s="20">
        <v>15023</v>
      </c>
      <c r="W553" s="19">
        <v>0.39510000000000001</v>
      </c>
      <c r="X553" s="19">
        <v>0.32500000000000001</v>
      </c>
      <c r="Z553" s="18">
        <v>1080</v>
      </c>
    </row>
    <row r="554" spans="1:26" ht="15.75" customHeight="1" x14ac:dyDescent="0.2">
      <c r="A554" s="36" t="str">
        <f>HYPERLINK("https://www.arbor.edu", "Spring Arbor University")</f>
        <v>Spring Arbor University</v>
      </c>
      <c r="B554" s="18" t="s">
        <v>32</v>
      </c>
      <c r="C554" s="18" t="s">
        <v>226</v>
      </c>
      <c r="D554" s="18" t="s">
        <v>1188</v>
      </c>
      <c r="E554" s="18">
        <v>1118</v>
      </c>
      <c r="F554" s="18" t="s">
        <v>35</v>
      </c>
      <c r="J554" s="19">
        <v>0.59350000000000003</v>
      </c>
      <c r="K554" s="19">
        <v>0.29729729700000002</v>
      </c>
      <c r="L554" s="19">
        <v>0.62909999999999999</v>
      </c>
      <c r="M554" s="19">
        <v>0.31030000000000002</v>
      </c>
      <c r="N554" s="19">
        <v>0.41670000000000001</v>
      </c>
      <c r="O554" s="19">
        <v>0.33329999999999999</v>
      </c>
      <c r="P554" s="20">
        <v>39970</v>
      </c>
      <c r="Q554" s="21" t="str">
        <f>HYPERLINK("https://www.arbor.edu/admissions/financial-aid/undergrad-finaid/netprice/", "$16840")</f>
        <v>$16840</v>
      </c>
      <c r="R554" s="20">
        <v>16882</v>
      </c>
      <c r="S554" s="20">
        <v>18422</v>
      </c>
      <c r="T554" s="20">
        <v>2580</v>
      </c>
      <c r="U554" s="20">
        <v>14260</v>
      </c>
      <c r="W554" s="19">
        <v>0.40899999999999997</v>
      </c>
      <c r="X554" s="19">
        <v>0.24410000000000001</v>
      </c>
      <c r="Z554" s="18">
        <v>1835</v>
      </c>
    </row>
    <row r="555" spans="1:26" ht="15.75" customHeight="1" x14ac:dyDescent="0.2">
      <c r="A555" s="36" t="str">
        <f>HYPERLINK("https://www.shc.edu", "Spring Hill College")</f>
        <v>Spring Hill College</v>
      </c>
      <c r="B555" s="18" t="s">
        <v>32</v>
      </c>
      <c r="C555" s="18" t="s">
        <v>300</v>
      </c>
      <c r="D555" s="18" t="s">
        <v>1190</v>
      </c>
      <c r="E555" s="18">
        <v>1156</v>
      </c>
      <c r="F555" s="18" t="s">
        <v>35</v>
      </c>
      <c r="J555" s="19">
        <v>0.52539999999999998</v>
      </c>
      <c r="K555" s="19">
        <v>0.30630630599999997</v>
      </c>
      <c r="L555" s="19">
        <v>0.57269999999999999</v>
      </c>
      <c r="M555" s="19">
        <v>0.33329999999999999</v>
      </c>
      <c r="N555" s="19">
        <v>0.4</v>
      </c>
      <c r="O555" s="19">
        <v>0.25</v>
      </c>
      <c r="P555" s="20">
        <v>55168</v>
      </c>
      <c r="Q555" s="21" t="str">
        <f>HYPERLINK("https://shc.studentaidcalculator.com/survey.aspx", "$17800")</f>
        <v>$17800</v>
      </c>
      <c r="R555" s="20">
        <v>20486</v>
      </c>
      <c r="S555" s="20">
        <v>21462</v>
      </c>
      <c r="T555" s="20">
        <v>4514</v>
      </c>
      <c r="U555" s="20">
        <v>13286</v>
      </c>
      <c r="W555" s="19">
        <v>0.29980000000000001</v>
      </c>
      <c r="X555" s="19">
        <v>0.32</v>
      </c>
      <c r="Z555" s="18">
        <v>1375</v>
      </c>
    </row>
    <row r="556" spans="1:26" ht="15.75" customHeight="1" x14ac:dyDescent="0.2">
      <c r="A556" s="36" t="str">
        <f>HYPERLINK("https://www.springfield.edu/", "Springfield College-School of Professional and Continuing Studies")</f>
        <v>Springfield College-School of Professional and Continuing Studies</v>
      </c>
      <c r="B556" s="18" t="s">
        <v>32</v>
      </c>
      <c r="C556" s="18" t="s">
        <v>33</v>
      </c>
      <c r="D556" s="18" t="s">
        <v>349</v>
      </c>
      <c r="E556" s="18">
        <v>1148</v>
      </c>
      <c r="F556" s="18" t="s">
        <v>35</v>
      </c>
      <c r="J556" s="19">
        <v>0.74050000000000005</v>
      </c>
      <c r="K556" s="19">
        <v>0.50091074700000005</v>
      </c>
      <c r="L556" s="19">
        <v>0.75460000000000005</v>
      </c>
      <c r="M556" s="19">
        <v>0.5</v>
      </c>
      <c r="N556" s="19">
        <v>0.54169999999999996</v>
      </c>
      <c r="O556" s="19">
        <v>0.85709999999999997</v>
      </c>
      <c r="P556" s="20">
        <v>52775</v>
      </c>
      <c r="Q556" s="21" t="str">
        <f>HYPERLINK("https://springfield.edu/admissions/undergraduate-admissions/net-price-calculator", "$20515")</f>
        <v>$20515</v>
      </c>
      <c r="R556" s="20">
        <v>22484</v>
      </c>
      <c r="S556" s="20">
        <v>27330</v>
      </c>
      <c r="T556" s="20">
        <v>4000</v>
      </c>
      <c r="U556" s="20">
        <v>16515</v>
      </c>
      <c r="W556" s="19">
        <v>0.2326</v>
      </c>
      <c r="X556" s="19">
        <v>0.24139999999999989</v>
      </c>
      <c r="Z556" s="18">
        <v>2204</v>
      </c>
    </row>
    <row r="557" spans="1:26" ht="15.75" customHeight="1" x14ac:dyDescent="0.2">
      <c r="A557" s="36" t="str">
        <f>HYPERLINK("https://www.sbu.edu", "St Bonaventure University")</f>
        <v>St Bonaventure University</v>
      </c>
      <c r="B557" s="18" t="s">
        <v>32</v>
      </c>
      <c r="C557" s="18" t="s">
        <v>38</v>
      </c>
      <c r="D557" s="18" t="s">
        <v>1194</v>
      </c>
      <c r="E557" s="18">
        <v>1140</v>
      </c>
      <c r="F557" s="18" t="s">
        <v>35</v>
      </c>
      <c r="G557" s="18" t="s">
        <v>40</v>
      </c>
      <c r="H557" s="18" t="s">
        <v>1195</v>
      </c>
      <c r="I557" s="18" t="s">
        <v>1196</v>
      </c>
      <c r="J557" s="19">
        <v>0.68710000000000004</v>
      </c>
      <c r="K557" s="19">
        <v>0.48333333299999998</v>
      </c>
      <c r="L557" s="19">
        <v>0.69279999999999997</v>
      </c>
      <c r="M557" s="19">
        <v>0.66669999999999996</v>
      </c>
      <c r="N557" s="19">
        <v>0.70369999999999999</v>
      </c>
      <c r="O557" s="19">
        <v>0.76470000000000005</v>
      </c>
      <c r="P557" s="20">
        <v>47338</v>
      </c>
      <c r="Q557" s="21" t="str">
        <f>HYPERLINK("https://tcc.noellevitz.com/(S(i1lu3xtv5xcph4gzzc3qf5ro))/St-Bonaventure-University/FreshmanStudents", "$23168")</f>
        <v>$23168</v>
      </c>
      <c r="R557" s="20">
        <v>25657</v>
      </c>
      <c r="S557" s="20">
        <v>27428</v>
      </c>
      <c r="T557" s="20">
        <v>2200</v>
      </c>
      <c r="U557" s="20">
        <v>20968</v>
      </c>
      <c r="W557" s="19">
        <v>0.26450000000000001</v>
      </c>
      <c r="X557" s="19">
        <v>0.30149999999999999</v>
      </c>
      <c r="Z557" s="18">
        <v>1592</v>
      </c>
    </row>
    <row r="558" spans="1:26" ht="15.75" customHeight="1" x14ac:dyDescent="0.2">
      <c r="A558" s="36" t="str">
        <f>HYPERLINK("https://www.stkate.edu", "St Catherine University")</f>
        <v>St Catherine University</v>
      </c>
      <c r="B558" s="18" t="s">
        <v>32</v>
      </c>
      <c r="C558" s="18" t="s">
        <v>72</v>
      </c>
      <c r="D558" s="18" t="s">
        <v>131</v>
      </c>
      <c r="E558" s="18">
        <v>1146</v>
      </c>
      <c r="F558" s="18" t="s">
        <v>35</v>
      </c>
      <c r="J558" s="19">
        <v>0.53049999999999997</v>
      </c>
      <c r="K558" s="19">
        <v>0.47772277200000002</v>
      </c>
      <c r="L558" s="19">
        <v>0.63600000000000001</v>
      </c>
      <c r="M558" s="19">
        <v>0.38979999999999998</v>
      </c>
      <c r="N558" s="19">
        <v>0.31819999999999998</v>
      </c>
      <c r="O558" s="19">
        <v>0.46970000000000001</v>
      </c>
      <c r="P558" s="20">
        <v>50716</v>
      </c>
      <c r="Q558" s="21" t="str">
        <f>HYPERLINK("https://www.stkate.edu/admissions/financial-aid-and-tuition/net-price-calculator", "$16628")</f>
        <v>$16628</v>
      </c>
      <c r="R558" s="20">
        <v>19311</v>
      </c>
      <c r="S558" s="20">
        <v>24079</v>
      </c>
      <c r="T558" s="20">
        <v>3350</v>
      </c>
      <c r="U558" s="20">
        <v>13278</v>
      </c>
      <c r="W558" s="19">
        <v>0.38700000000000001</v>
      </c>
      <c r="X558" s="19">
        <v>0.38450000000000001</v>
      </c>
      <c r="Z558" s="18">
        <v>3100</v>
      </c>
    </row>
    <row r="559" spans="1:26" ht="15.75" customHeight="1" x14ac:dyDescent="0.2">
      <c r="A559" s="36" t="str">
        <f>HYPERLINK("https://www.stjohns.edu", "St John's University-New York")</f>
        <v>St John's University-New York</v>
      </c>
      <c r="B559" s="18" t="s">
        <v>32</v>
      </c>
      <c r="C559" s="18" t="s">
        <v>38</v>
      </c>
      <c r="D559" s="18" t="s">
        <v>596</v>
      </c>
      <c r="E559" s="18">
        <v>1171</v>
      </c>
      <c r="F559" s="18" t="s">
        <v>115</v>
      </c>
      <c r="J559" s="19">
        <v>0.57920000000000005</v>
      </c>
      <c r="K559" s="19">
        <v>0.52385008499999997</v>
      </c>
      <c r="L559" s="19">
        <v>0.63480000000000003</v>
      </c>
      <c r="M559" s="19">
        <v>0.5</v>
      </c>
      <c r="N559" s="19">
        <v>0.50309999999999999</v>
      </c>
      <c r="O559" s="19">
        <v>0.63239999999999996</v>
      </c>
      <c r="P559" s="20">
        <v>59865</v>
      </c>
      <c r="Q559" s="21" t="str">
        <f>HYPERLINK("https://www.stjohns.edu/form/net-price-calculator", "$22772")</f>
        <v>$22772</v>
      </c>
      <c r="R559" s="20">
        <v>25795</v>
      </c>
      <c r="S559" s="20">
        <v>27997</v>
      </c>
      <c r="T559" s="20">
        <v>2705</v>
      </c>
      <c r="U559" s="20">
        <v>20067</v>
      </c>
      <c r="W559" s="19">
        <v>0.28050000000000003</v>
      </c>
      <c r="X559" s="19">
        <v>0.60170000000000001</v>
      </c>
      <c r="Z559" s="18">
        <v>11756</v>
      </c>
    </row>
    <row r="560" spans="1:26" ht="15.75" customHeight="1" x14ac:dyDescent="0.2">
      <c r="A560" s="36" t="str">
        <f>HYPERLINK("https://sjcny.edu", "Saint Josephs College-Long Island")</f>
        <v>Saint Josephs College-Long Island</v>
      </c>
      <c r="B560" s="18" t="s">
        <v>32</v>
      </c>
      <c r="C560" s="18" t="s">
        <v>38</v>
      </c>
      <c r="D560" s="18" t="s">
        <v>1199</v>
      </c>
      <c r="E560" s="18">
        <v>1121</v>
      </c>
      <c r="F560" s="18" t="s">
        <v>35</v>
      </c>
      <c r="J560" s="19">
        <v>0.71850000000000003</v>
      </c>
      <c r="K560" s="19" t="s">
        <v>36</v>
      </c>
      <c r="L560" s="19">
        <v>0.73729999999999996</v>
      </c>
      <c r="M560" s="19">
        <v>0.46150000000000002</v>
      </c>
      <c r="N560" s="19">
        <v>0.71430000000000005</v>
      </c>
      <c r="O560" s="19">
        <v>0.5</v>
      </c>
      <c r="P560" s="20">
        <v>39060</v>
      </c>
      <c r="Q560" s="21" t="str">
        <f>HYPERLINK("https://tcc.noellevitz.com/(S(t0fdpagdqf5dxgm5ivd3pwz3))/Saint%20Josephs%20College%20NY/Freshman%20Students", "$14104")</f>
        <v>$14104</v>
      </c>
      <c r="R560" s="20">
        <v>17156</v>
      </c>
      <c r="S560" s="20">
        <v>18913</v>
      </c>
      <c r="T560" s="20">
        <v>5500</v>
      </c>
      <c r="U560" s="20">
        <v>8604</v>
      </c>
      <c r="W560" s="19">
        <v>0.29010000000000002</v>
      </c>
      <c r="X560" s="19">
        <v>0.34210000000000002</v>
      </c>
      <c r="Z560" s="18">
        <v>3037</v>
      </c>
    </row>
    <row r="561" spans="1:26" ht="15.75" customHeight="1" x14ac:dyDescent="0.2">
      <c r="A561" s="36" t="str">
        <f>HYPERLINK("https://www.sjcny.edu", "Saint Joseph's College-New York")</f>
        <v>Saint Joseph's College-New York</v>
      </c>
      <c r="B561" s="18" t="s">
        <v>32</v>
      </c>
      <c r="C561" s="18" t="s">
        <v>38</v>
      </c>
      <c r="D561" s="18" t="s">
        <v>593</v>
      </c>
      <c r="E561" s="18">
        <v>974</v>
      </c>
      <c r="F561" s="18" t="s">
        <v>35</v>
      </c>
      <c r="J561" s="19">
        <v>0.71220000000000006</v>
      </c>
      <c r="K561" s="19">
        <v>0.58567774900000003</v>
      </c>
      <c r="L561" s="19">
        <v>0.78649999999999998</v>
      </c>
      <c r="M561" s="19">
        <v>0.6452</v>
      </c>
      <c r="N561" s="19">
        <v>0.64059999999999995</v>
      </c>
      <c r="O561" s="19">
        <v>0.66669999999999996</v>
      </c>
      <c r="P561" s="20">
        <v>32050</v>
      </c>
      <c r="Q561" s="21" t="str">
        <f>HYPERLINK("https://tcc.noellevitz.com/(S(3q4z3ogtsbdgcx1dej35l3te))/Saint%20Josephs%20College%20NY/Freshman%20Students", "$12262")</f>
        <v>$12262</v>
      </c>
      <c r="R561" s="20">
        <v>17011</v>
      </c>
      <c r="S561" s="20">
        <v>18633</v>
      </c>
      <c r="T561" s="20">
        <v>5500</v>
      </c>
      <c r="U561" s="20">
        <v>6762</v>
      </c>
      <c r="W561" s="19">
        <v>0.42180000000000001</v>
      </c>
      <c r="X561" s="19">
        <v>0.63739999999999997</v>
      </c>
      <c r="Z561" s="18">
        <v>924</v>
      </c>
    </row>
    <row r="562" spans="1:26" ht="15.75" customHeight="1" x14ac:dyDescent="0.2">
      <c r="A562" s="36" t="str">
        <f>HYPERLINK("https://www.stmarytx.edu/", "St Mary's University")</f>
        <v>St Mary's University</v>
      </c>
      <c r="B562" s="18" t="s">
        <v>32</v>
      </c>
      <c r="C562" s="18" t="s">
        <v>146</v>
      </c>
      <c r="D562" s="18" t="s">
        <v>268</v>
      </c>
      <c r="E562" s="18">
        <v>1139</v>
      </c>
      <c r="F562" s="18" t="s">
        <v>35</v>
      </c>
      <c r="J562" s="19">
        <v>0.62790000000000001</v>
      </c>
      <c r="K562" s="19">
        <v>0.54655870500000003</v>
      </c>
      <c r="L562" s="19">
        <v>0.66669999999999996</v>
      </c>
      <c r="M562" s="19">
        <v>0.66669999999999996</v>
      </c>
      <c r="N562" s="19">
        <v>0.60189999999999999</v>
      </c>
      <c r="O562" s="19">
        <v>0.83330000000000004</v>
      </c>
      <c r="P562" s="20">
        <v>44490</v>
      </c>
      <c r="Q562" s="21" t="str">
        <f>HYPERLINK("https://www.stmarytx.edu/admission/financial-aid/net-price-calculator/", "$14537")</f>
        <v>$14537</v>
      </c>
      <c r="R562" s="20">
        <v>18437</v>
      </c>
      <c r="S562" s="20">
        <v>21518</v>
      </c>
      <c r="T562" s="20">
        <v>4400</v>
      </c>
      <c r="U562" s="20">
        <v>10137</v>
      </c>
      <c r="W562" s="19">
        <v>0.45390000000000003</v>
      </c>
      <c r="X562" s="19">
        <v>0.85450000000000004</v>
      </c>
      <c r="Z562" s="18">
        <v>2310</v>
      </c>
    </row>
    <row r="563" spans="1:26" ht="15.75" customHeight="1" x14ac:dyDescent="0.2">
      <c r="A563" s="36" t="str">
        <f>HYPERLINK("https://www.stac.edu", "St. Thomas Aquinas College")</f>
        <v>St. Thomas Aquinas College</v>
      </c>
      <c r="B563" s="18" t="s">
        <v>32</v>
      </c>
      <c r="C563" s="18" t="s">
        <v>38</v>
      </c>
      <c r="D563" s="18" t="s">
        <v>1200</v>
      </c>
      <c r="E563" s="18">
        <v>1002</v>
      </c>
      <c r="F563" s="18" t="s">
        <v>35</v>
      </c>
      <c r="G563" s="18" t="s">
        <v>40</v>
      </c>
      <c r="H563" s="18" t="s">
        <v>1201</v>
      </c>
      <c r="I563" s="18" t="s">
        <v>1202</v>
      </c>
      <c r="J563" s="19">
        <v>0.54299999999999993</v>
      </c>
      <c r="K563" s="19">
        <v>0.4</v>
      </c>
      <c r="L563" s="19">
        <v>0.59899999999999998</v>
      </c>
      <c r="M563" s="19">
        <v>0.44</v>
      </c>
      <c r="N563" s="19">
        <v>0.41070000000000001</v>
      </c>
      <c r="O563" s="19">
        <v>0.4</v>
      </c>
      <c r="P563" s="20">
        <v>47610</v>
      </c>
      <c r="Q563" s="21" t="str">
        <f>HYPERLINK("https://www.stac.edu/cost-aid/net-price-calculator", "$14979")</f>
        <v>$14979</v>
      </c>
      <c r="R563" s="20">
        <v>21159</v>
      </c>
      <c r="S563" s="20">
        <v>26820</v>
      </c>
      <c r="T563" s="20">
        <v>4110</v>
      </c>
      <c r="U563" s="20">
        <v>10869</v>
      </c>
      <c r="W563" s="19">
        <v>0.2445</v>
      </c>
      <c r="X563" s="19">
        <v>0.48740000000000011</v>
      </c>
      <c r="Z563" s="18">
        <v>1114</v>
      </c>
    </row>
    <row r="564" spans="1:26" ht="15.75" customHeight="1" x14ac:dyDescent="0.2">
      <c r="A564" s="36" t="str">
        <f>HYPERLINK("https://www.stu.edu", "St Thomas University")</f>
        <v>St Thomas University</v>
      </c>
      <c r="B564" s="18" t="s">
        <v>32</v>
      </c>
      <c r="C564" s="18" t="s">
        <v>162</v>
      </c>
      <c r="D564" s="18" t="s">
        <v>737</v>
      </c>
      <c r="E564" s="18">
        <v>993</v>
      </c>
      <c r="F564" s="18" t="s">
        <v>35</v>
      </c>
      <c r="J564" s="19">
        <v>0.44230000000000003</v>
      </c>
      <c r="K564" s="19">
        <v>0.41452991500000003</v>
      </c>
      <c r="L564" s="19">
        <v>0.55559999999999998</v>
      </c>
      <c r="M564" s="19">
        <v>0.38979999999999998</v>
      </c>
      <c r="N564" s="19">
        <v>0.35899999999999999</v>
      </c>
      <c r="O564" s="19">
        <v>0</v>
      </c>
      <c r="P564" s="20">
        <v>47190</v>
      </c>
      <c r="Q564" s="21" t="str">
        <f>HYPERLINK("https://go.stu.edu/Financial/Net-Price-Calculator", "$22546")</f>
        <v>$22546</v>
      </c>
      <c r="R564" s="20">
        <v>21769</v>
      </c>
      <c r="S564" s="20">
        <v>24629</v>
      </c>
      <c r="T564" s="20">
        <v>5760</v>
      </c>
      <c r="U564" s="20">
        <v>16786</v>
      </c>
      <c r="W564" s="19">
        <v>0.1515</v>
      </c>
      <c r="X564" s="19">
        <v>0.92169999999999996</v>
      </c>
      <c r="Z564" s="18">
        <v>958</v>
      </c>
    </row>
    <row r="565" spans="1:26" ht="15.75" customHeight="1" x14ac:dyDescent="0.2">
      <c r="A565" s="36" t="str">
        <f>HYPERLINK("https://www.newpaltz.edu", "SUNY at New Paltz")</f>
        <v>SUNY at New Paltz</v>
      </c>
      <c r="B565" s="18" t="s">
        <v>49</v>
      </c>
      <c r="C565" s="18" t="s">
        <v>38</v>
      </c>
      <c r="D565" s="18" t="s">
        <v>1203</v>
      </c>
      <c r="E565" s="18">
        <v>1191</v>
      </c>
      <c r="F565" s="18" t="s">
        <v>35</v>
      </c>
      <c r="G565" s="18" t="s">
        <v>51</v>
      </c>
      <c r="H565" s="18" t="s">
        <v>1204</v>
      </c>
      <c r="I565" s="18" t="s">
        <v>1205</v>
      </c>
      <c r="J565" s="19">
        <v>0.72289999999999999</v>
      </c>
      <c r="K565" s="19">
        <v>0.60566448799999995</v>
      </c>
      <c r="L565" s="19">
        <v>0.73929999999999996</v>
      </c>
      <c r="M565" s="19">
        <v>0.70130000000000003</v>
      </c>
      <c r="N565" s="19">
        <v>0.69140000000000001</v>
      </c>
      <c r="O565" s="19">
        <v>0.80649999999999999</v>
      </c>
      <c r="P565" s="20">
        <v>24230</v>
      </c>
      <c r="Q565" s="21" t="str">
        <f>HYPERLINK("https://www.newpaltz.edu/financialaid/netpricecalc.html", "$10251")</f>
        <v>$10251</v>
      </c>
      <c r="R565" s="20">
        <v>19299</v>
      </c>
      <c r="S565" s="20">
        <v>21486</v>
      </c>
      <c r="T565" s="20">
        <v>3775</v>
      </c>
      <c r="U565" s="20">
        <v>6476</v>
      </c>
      <c r="W565" s="19">
        <v>0.3271</v>
      </c>
      <c r="X565" s="19">
        <v>0.38469999999999999</v>
      </c>
      <c r="Z565" s="18">
        <v>6616</v>
      </c>
    </row>
    <row r="566" spans="1:26" ht="15.75" customHeight="1" x14ac:dyDescent="0.2">
      <c r="A566" s="36" t="str">
        <f>HYPERLINK("https://www.sfasu.edu", "Stephen F Austin State University")</f>
        <v>Stephen F Austin State University</v>
      </c>
      <c r="B566" s="18" t="s">
        <v>49</v>
      </c>
      <c r="C566" s="18" t="s">
        <v>146</v>
      </c>
      <c r="D566" s="18" t="s">
        <v>1206</v>
      </c>
      <c r="E566" s="18">
        <v>1077</v>
      </c>
      <c r="F566" s="18" t="s">
        <v>35</v>
      </c>
      <c r="J566" s="19">
        <v>0.43769999999999998</v>
      </c>
      <c r="K566" s="19">
        <v>0.35266457699999998</v>
      </c>
      <c r="L566" s="19">
        <v>0.49230000000000002</v>
      </c>
      <c r="M566" s="19">
        <v>0.36230000000000001</v>
      </c>
      <c r="N566" s="19">
        <v>0.40400000000000003</v>
      </c>
      <c r="O566" s="19">
        <v>0.5</v>
      </c>
      <c r="P566" s="20">
        <v>31236</v>
      </c>
      <c r="Q566" s="21" t="str">
        <f>HYPERLINK("https://www.sfasu.edu/faid/npc.asp", "$18906")</f>
        <v>$18906</v>
      </c>
      <c r="R566" s="20">
        <v>24212</v>
      </c>
      <c r="S566" s="20">
        <v>28415</v>
      </c>
      <c r="T566" s="20">
        <v>4692</v>
      </c>
      <c r="U566" s="20">
        <v>14214.784061696661</v>
      </c>
      <c r="W566" s="19">
        <v>0.39939999999999998</v>
      </c>
      <c r="X566" s="19">
        <v>0.43109999999999998</v>
      </c>
      <c r="Z566" s="18">
        <v>10655</v>
      </c>
    </row>
    <row r="567" spans="1:26" ht="15.75" customHeight="1" x14ac:dyDescent="0.2">
      <c r="A567" s="36" t="str">
        <f>HYPERLINK("https://www.sterling.edu", "Sterling College")</f>
        <v>Sterling College</v>
      </c>
      <c r="B567" s="18" t="s">
        <v>32</v>
      </c>
      <c r="C567" s="18" t="s">
        <v>307</v>
      </c>
      <c r="D567" s="18" t="s">
        <v>1208</v>
      </c>
      <c r="E567" s="18">
        <v>1018</v>
      </c>
      <c r="F567" s="18" t="s">
        <v>115</v>
      </c>
      <c r="J567" s="19">
        <v>0.38969999999999999</v>
      </c>
      <c r="K567" s="19">
        <v>0.30681818199999999</v>
      </c>
      <c r="L567" s="19">
        <v>0.40350000000000003</v>
      </c>
      <c r="M567" s="19">
        <v>0.54549999999999998</v>
      </c>
      <c r="N567" s="19">
        <v>0</v>
      </c>
      <c r="O567" s="19">
        <v>0.5</v>
      </c>
      <c r="P567" s="20">
        <v>36115</v>
      </c>
      <c r="Q567" s="21" t="str">
        <f>HYPERLINK("https://www.sterling.edu/admissions/tuition-expenses", "$16962")</f>
        <v>$16962</v>
      </c>
      <c r="R567" s="20">
        <v>20103</v>
      </c>
      <c r="S567" s="20">
        <v>22027</v>
      </c>
      <c r="T567" s="20">
        <v>2800</v>
      </c>
      <c r="U567" s="20">
        <v>14162</v>
      </c>
      <c r="W567" s="19">
        <v>0.39529999999999998</v>
      </c>
      <c r="X567" s="19">
        <v>0.40029999999999999</v>
      </c>
      <c r="Z567" s="18">
        <v>612</v>
      </c>
    </row>
    <row r="568" spans="1:26" ht="15.75" customHeight="1" x14ac:dyDescent="0.2">
      <c r="A568" s="36" t="str">
        <f>HYPERLINK("https://www.stevenson.edu", "Stevenson University")</f>
        <v>Stevenson University</v>
      </c>
      <c r="B568" s="18" t="s">
        <v>32</v>
      </c>
      <c r="C568" s="18" t="s">
        <v>124</v>
      </c>
      <c r="D568" s="18" t="s">
        <v>1209</v>
      </c>
      <c r="E568" s="18">
        <v>1097</v>
      </c>
      <c r="F568" s="18" t="s">
        <v>35</v>
      </c>
      <c r="J568" s="19">
        <v>0.54039999999999999</v>
      </c>
      <c r="K568" s="19">
        <v>0.52173913000000005</v>
      </c>
      <c r="L568" s="19">
        <v>0.59030000000000005</v>
      </c>
      <c r="M568" s="19">
        <v>0.47099999999999997</v>
      </c>
      <c r="N568" s="19">
        <v>0.58330000000000004</v>
      </c>
      <c r="O568" s="19">
        <v>0.40739999999999998</v>
      </c>
      <c r="P568" s="20">
        <v>52073</v>
      </c>
      <c r="Q568" s="21" t="str">
        <f>HYPERLINK("https://www.stevenson.edu/admissions-aid/financial-aid-scholarships/net-price-calculator/", "$21875")</f>
        <v>$21875</v>
      </c>
      <c r="R568" s="20">
        <v>26156</v>
      </c>
      <c r="S568" s="20">
        <v>28961</v>
      </c>
      <c r="T568" s="20">
        <v>3661</v>
      </c>
      <c r="U568" s="20">
        <v>18214</v>
      </c>
      <c r="W568" s="19">
        <v>0.30070000000000002</v>
      </c>
      <c r="X568" s="19">
        <v>0.44679999999999997</v>
      </c>
      <c r="Z568" s="18">
        <v>3375</v>
      </c>
    </row>
    <row r="569" spans="1:26" ht="15.75" customHeight="1" x14ac:dyDescent="0.2">
      <c r="A569" s="36" t="str">
        <f>HYPERLINK("https://stillman.edu", "Stillman College")</f>
        <v>Stillman College</v>
      </c>
      <c r="B569" s="18" t="s">
        <v>32</v>
      </c>
      <c r="C569" s="18" t="s">
        <v>300</v>
      </c>
      <c r="D569" s="18" t="s">
        <v>1211</v>
      </c>
      <c r="E569" s="18" t="s">
        <v>36</v>
      </c>
      <c r="F569" s="18" t="s">
        <v>90</v>
      </c>
      <c r="J569" s="19">
        <v>0.28220000000000001</v>
      </c>
      <c r="K569" s="19">
        <v>0.207017544</v>
      </c>
      <c r="L569" s="19">
        <v>0.33329999999999999</v>
      </c>
      <c r="M569" s="19">
        <v>0.27429999999999999</v>
      </c>
      <c r="N569" s="19">
        <v>0.5</v>
      </c>
      <c r="O569" s="19" t="s">
        <v>36</v>
      </c>
      <c r="P569" s="20">
        <v>21986</v>
      </c>
      <c r="Q569" s="21" t="str">
        <f>HYPERLINK("https://stillman.edu/admissions/cost-of-attendance/", "$18186")</f>
        <v>$18186</v>
      </c>
      <c r="R569" s="20">
        <v>19093</v>
      </c>
      <c r="S569" s="20">
        <v>19784</v>
      </c>
      <c r="T569" s="20">
        <v>3800</v>
      </c>
      <c r="U569" s="20">
        <v>14386</v>
      </c>
      <c r="W569" s="19">
        <v>0.76429999999999998</v>
      </c>
      <c r="X569" s="19">
        <v>0.93049999999999999</v>
      </c>
      <c r="Z569" s="18">
        <v>633</v>
      </c>
    </row>
    <row r="570" spans="1:26" ht="15.75" customHeight="1" x14ac:dyDescent="0.2">
      <c r="A570" s="36" t="str">
        <f>HYPERLINK("https://www.suffolk.edu", "Suffolk University")</f>
        <v>Suffolk University</v>
      </c>
      <c r="B570" s="18" t="s">
        <v>32</v>
      </c>
      <c r="C570" s="18" t="s">
        <v>33</v>
      </c>
      <c r="D570" s="18" t="s">
        <v>136</v>
      </c>
      <c r="E570" s="18">
        <v>1102</v>
      </c>
      <c r="F570" s="18" t="s">
        <v>35</v>
      </c>
      <c r="J570" s="19">
        <v>0.60240000000000005</v>
      </c>
      <c r="K570" s="19">
        <v>0.57462686600000001</v>
      </c>
      <c r="L570" s="19">
        <v>0.62290000000000001</v>
      </c>
      <c r="M570" s="19">
        <v>0.52939999999999998</v>
      </c>
      <c r="N570" s="19">
        <v>0.58040000000000003</v>
      </c>
      <c r="O570" s="19">
        <v>0.66279999999999994</v>
      </c>
      <c r="P570" s="20">
        <v>56040</v>
      </c>
      <c r="Q570" s="21" t="str">
        <f>HYPERLINK("https://suffolk.studentaidcalculator.com/survey.aspx", "$25988")</f>
        <v>$25988</v>
      </c>
      <c r="R570" s="20">
        <v>28106</v>
      </c>
      <c r="S570" s="20">
        <v>31519</v>
      </c>
      <c r="T570" s="20">
        <v>3724</v>
      </c>
      <c r="U570" s="20">
        <v>22264</v>
      </c>
      <c r="W570" s="19">
        <v>0.26179999999999998</v>
      </c>
      <c r="X570" s="19">
        <v>0.53469999999999995</v>
      </c>
      <c r="Z570" s="18">
        <v>4952</v>
      </c>
    </row>
    <row r="571" spans="1:26" ht="15.75" customHeight="1" x14ac:dyDescent="0.2">
      <c r="A571" s="36" t="str">
        <f>HYPERLINK("https://www.sbc.edu", "Sweet Briar College")</f>
        <v>Sweet Briar College</v>
      </c>
      <c r="B571" s="18" t="s">
        <v>32</v>
      </c>
      <c r="C571" s="18" t="s">
        <v>83</v>
      </c>
      <c r="D571" s="18" t="s">
        <v>1213</v>
      </c>
      <c r="E571" s="18">
        <v>1117</v>
      </c>
      <c r="F571" s="18" t="s">
        <v>35</v>
      </c>
      <c r="J571" s="19">
        <v>0.54120000000000001</v>
      </c>
      <c r="K571" s="19">
        <v>0.5</v>
      </c>
      <c r="L571" s="19">
        <v>0.59179999999999999</v>
      </c>
      <c r="M571" s="19">
        <v>0.28570000000000001</v>
      </c>
      <c r="N571" s="19">
        <v>0.36359999999999998</v>
      </c>
      <c r="O571" s="19">
        <v>0.2</v>
      </c>
      <c r="P571" s="20">
        <v>54155</v>
      </c>
      <c r="Q571" s="21" t="str">
        <f>HYPERLINK("https://npc.collegeboard.org/student/app/sbc", "$19983")</f>
        <v>$19983</v>
      </c>
      <c r="R571" s="20">
        <v>18932</v>
      </c>
      <c r="S571" s="20">
        <v>22691</v>
      </c>
      <c r="T571" s="20">
        <v>4100</v>
      </c>
      <c r="U571" s="20">
        <v>15883</v>
      </c>
      <c r="W571" s="19">
        <v>0.3342</v>
      </c>
      <c r="X571" s="19">
        <v>0.27050000000000002</v>
      </c>
      <c r="Z571" s="18">
        <v>281</v>
      </c>
    </row>
    <row r="572" spans="1:26" ht="15.75" customHeight="1" x14ac:dyDescent="0.2">
      <c r="A572" s="36" t="str">
        <f>HYPERLINK("https://www.talladega.edu", "Talladega College")</f>
        <v>Talladega College</v>
      </c>
      <c r="B572" s="18" t="s">
        <v>32</v>
      </c>
      <c r="C572" s="18" t="s">
        <v>300</v>
      </c>
      <c r="D572" s="18" t="s">
        <v>1215</v>
      </c>
      <c r="E572" s="18" t="s">
        <v>36</v>
      </c>
      <c r="F572" s="18" t="s">
        <v>36</v>
      </c>
      <c r="J572" s="19">
        <v>0.498</v>
      </c>
      <c r="K572" s="19">
        <v>0.24074074100000001</v>
      </c>
      <c r="L572" s="19">
        <v>0.64710000000000001</v>
      </c>
      <c r="M572" s="19">
        <v>0.48649999999999999</v>
      </c>
      <c r="N572" s="19">
        <v>0.55559999999999998</v>
      </c>
      <c r="O572" s="19">
        <v>0</v>
      </c>
      <c r="P572" s="20">
        <v>22514</v>
      </c>
      <c r="Q572" s="21" t="str">
        <f>HYPERLINK("https://www.talladega.edu/netcalc/npcalc.htm", "$15381")</f>
        <v>$15381</v>
      </c>
      <c r="R572" s="20">
        <v>12865</v>
      </c>
      <c r="S572" s="20" t="s">
        <v>36</v>
      </c>
      <c r="T572" s="20">
        <v>3470</v>
      </c>
      <c r="U572" s="20">
        <v>11911</v>
      </c>
      <c r="W572" s="19">
        <v>0.92589999999999995</v>
      </c>
      <c r="X572" s="19">
        <v>0.98080000000000001</v>
      </c>
      <c r="Z572" s="18">
        <v>782</v>
      </c>
    </row>
    <row r="573" spans="1:26" ht="15.75" customHeight="1" x14ac:dyDescent="0.2">
      <c r="A573" s="36" t="str">
        <f>HYPERLINK("https://www.tnstate.edu", "Tennessee State University")</f>
        <v>Tennessee State University</v>
      </c>
      <c r="B573" s="18" t="s">
        <v>49</v>
      </c>
      <c r="C573" s="18" t="s">
        <v>174</v>
      </c>
      <c r="D573" s="18" t="s">
        <v>175</v>
      </c>
      <c r="E573" s="18" t="s">
        <v>36</v>
      </c>
      <c r="F573" s="18" t="s">
        <v>36</v>
      </c>
      <c r="J573" s="19">
        <v>0.28789999999999999</v>
      </c>
      <c r="K573" s="19">
        <v>0.28638132300000002</v>
      </c>
      <c r="L573" s="19">
        <v>0.28360000000000002</v>
      </c>
      <c r="M573" s="19">
        <v>0.29409999999999997</v>
      </c>
      <c r="N573" s="19">
        <v>0.28570000000000001</v>
      </c>
      <c r="O573" s="19">
        <v>0.25</v>
      </c>
      <c r="P573" s="20">
        <v>34632</v>
      </c>
      <c r="Q573" s="21" t="str">
        <f>HYPERLINK("https://www.tnstate.edu/financial_aid/tuition_calculator.aspx", "$26155")</f>
        <v>$26155</v>
      </c>
      <c r="R573" s="20">
        <v>27271</v>
      </c>
      <c r="S573" s="20">
        <v>30749</v>
      </c>
      <c r="T573" s="20">
        <v>6000</v>
      </c>
      <c r="U573" s="20">
        <v>20155.821428571431</v>
      </c>
      <c r="W573" s="19">
        <v>0.56369999999999998</v>
      </c>
      <c r="X573" s="19">
        <v>0.88819999999999999</v>
      </c>
      <c r="Z573" s="18">
        <v>6380</v>
      </c>
    </row>
    <row r="574" spans="1:26" ht="15.75" customHeight="1" x14ac:dyDescent="0.2">
      <c r="A574" s="36" t="str">
        <f>HYPERLINK("https://www.tntech.edu", "Tennessee Technological University")</f>
        <v>Tennessee Technological University</v>
      </c>
      <c r="B574" s="18" t="s">
        <v>49</v>
      </c>
      <c r="C574" s="18" t="s">
        <v>174</v>
      </c>
      <c r="D574" s="18" t="s">
        <v>1218</v>
      </c>
      <c r="E574" s="18">
        <v>1192</v>
      </c>
      <c r="F574" s="18" t="s">
        <v>35</v>
      </c>
      <c r="J574" s="19">
        <v>0.49409999999999998</v>
      </c>
      <c r="K574" s="19">
        <v>0.456353591</v>
      </c>
      <c r="L574" s="19">
        <v>0.50770000000000004</v>
      </c>
      <c r="M574" s="19">
        <v>0.3407</v>
      </c>
      <c r="N574" s="19">
        <v>0.31369999999999998</v>
      </c>
      <c r="O574" s="19">
        <v>0.58330000000000004</v>
      </c>
      <c r="P574" s="20">
        <v>42377</v>
      </c>
      <c r="Q574" s="21" t="str">
        <f>HYPERLINK("https://www.tntech.edu/financialaid/cost/netprice/", "$30216")</f>
        <v>$30216</v>
      </c>
      <c r="R574" s="20">
        <v>34809</v>
      </c>
      <c r="S574" s="20">
        <v>36854</v>
      </c>
      <c r="T574" s="20">
        <v>8600</v>
      </c>
      <c r="U574" s="20">
        <v>21616.477801268498</v>
      </c>
      <c r="W574" s="19">
        <v>0.34549999999999997</v>
      </c>
      <c r="X574" s="19">
        <v>0.16639999999999999</v>
      </c>
      <c r="Z574" s="18">
        <v>9084</v>
      </c>
    </row>
    <row r="575" spans="1:26" ht="15.75" customHeight="1" x14ac:dyDescent="0.2">
      <c r="A575" s="36" t="str">
        <f>HYPERLINK("https://www.tnwesleyan.edu", "Tennessee Wesleyan College")</f>
        <v>Tennessee Wesleyan College</v>
      </c>
      <c r="B575" s="18" t="s">
        <v>32</v>
      </c>
      <c r="C575" s="18" t="s">
        <v>174</v>
      </c>
      <c r="D575" s="18" t="s">
        <v>278</v>
      </c>
      <c r="E575" s="18">
        <v>1059</v>
      </c>
      <c r="F575" s="18" t="s">
        <v>35</v>
      </c>
      <c r="J575" s="19">
        <v>0.39810000000000001</v>
      </c>
      <c r="K575" s="19">
        <v>0.438848921</v>
      </c>
      <c r="L575" s="19">
        <v>0.4012</v>
      </c>
      <c r="M575" s="19">
        <v>0.41670000000000001</v>
      </c>
      <c r="N575" s="19">
        <v>0.5</v>
      </c>
      <c r="O575" s="19">
        <v>0</v>
      </c>
      <c r="P575" s="20">
        <v>35650</v>
      </c>
      <c r="Q575" s="21" t="str">
        <f>HYPERLINK("https://www.tnwesleyan.edu/admissions/tuition-aid-scholarships/truecostcalculator/", "$4950")</f>
        <v>$4950</v>
      </c>
      <c r="R575" s="20">
        <v>5166</v>
      </c>
      <c r="S575" s="20">
        <v>6717</v>
      </c>
      <c r="T575" s="20">
        <v>4100</v>
      </c>
      <c r="U575" s="20">
        <v>850</v>
      </c>
      <c r="W575" s="19">
        <v>0.46899999999999997</v>
      </c>
      <c r="X575" s="19">
        <v>0.24349999999999999</v>
      </c>
      <c r="Z575" s="18">
        <v>928</v>
      </c>
    </row>
    <row r="576" spans="1:26" ht="15.75" customHeight="1" x14ac:dyDescent="0.2">
      <c r="A576" s="36" t="str">
        <f>HYPERLINK("https://www.tamuc.edu/", "Texas A &amp; M University-Commerce")</f>
        <v>Texas A &amp; M University-Commerce</v>
      </c>
      <c r="B576" s="18" t="s">
        <v>49</v>
      </c>
      <c r="C576" s="18" t="s">
        <v>146</v>
      </c>
      <c r="D576" s="18" t="s">
        <v>1220</v>
      </c>
      <c r="E576" s="18">
        <v>1050</v>
      </c>
      <c r="F576" s="18" t="s">
        <v>35</v>
      </c>
      <c r="J576" s="19">
        <v>0.4168</v>
      </c>
      <c r="K576" s="19">
        <v>0.428429424</v>
      </c>
      <c r="L576" s="19">
        <v>0.46929999999999999</v>
      </c>
      <c r="M576" s="19">
        <v>0.32429999999999998</v>
      </c>
      <c r="N576" s="19">
        <v>0.43640000000000001</v>
      </c>
      <c r="O576" s="19">
        <v>0.375</v>
      </c>
      <c r="P576" s="20">
        <v>34101</v>
      </c>
      <c r="Q576" s="21" t="str">
        <f>HYPERLINK("https://www.collegeforalltexans.com/apps/CollegeMoney/", "$23400")</f>
        <v>$23400</v>
      </c>
      <c r="R576" s="20">
        <v>25180</v>
      </c>
      <c r="S576" s="20">
        <v>29378</v>
      </c>
      <c r="T576" s="20">
        <v>4813</v>
      </c>
      <c r="U576" s="20">
        <v>18587.424942263278</v>
      </c>
      <c r="W576" s="19">
        <v>0.46660000000000001</v>
      </c>
      <c r="X576" s="19">
        <v>0.54120000000000001</v>
      </c>
      <c r="Z576" s="18">
        <v>8473</v>
      </c>
    </row>
    <row r="577" spans="1:26" ht="15.75" customHeight="1" x14ac:dyDescent="0.2">
      <c r="A577" s="36" t="str">
        <f>HYPERLINK("https://www.tlu.edu", "Texas Lutheran University")</f>
        <v>Texas Lutheran University</v>
      </c>
      <c r="B577" s="18" t="s">
        <v>32</v>
      </c>
      <c r="C577" s="18" t="s">
        <v>146</v>
      </c>
      <c r="D577" s="18" t="s">
        <v>1221</v>
      </c>
      <c r="E577" s="18">
        <v>1068</v>
      </c>
      <c r="F577" s="18" t="s">
        <v>35</v>
      </c>
      <c r="J577" s="19">
        <v>0.5151</v>
      </c>
      <c r="K577" s="19">
        <v>0.36220472399999998</v>
      </c>
      <c r="L577" s="19">
        <v>0.6048</v>
      </c>
      <c r="M577" s="19">
        <v>0.29549999999999998</v>
      </c>
      <c r="N577" s="19">
        <v>0.44640000000000002</v>
      </c>
      <c r="O577" s="19">
        <v>1</v>
      </c>
      <c r="P577" s="20">
        <v>42700</v>
      </c>
      <c r="Q577" s="21" t="str">
        <f>HYPERLINK("https://www.tlu.edu/costs?rc=0", "$16060")</f>
        <v>$16060</v>
      </c>
      <c r="R577" s="20">
        <v>18411</v>
      </c>
      <c r="S577" s="20">
        <v>19883</v>
      </c>
      <c r="T577" s="20">
        <v>3150</v>
      </c>
      <c r="U577" s="20">
        <v>12910</v>
      </c>
      <c r="W577" s="19">
        <v>0.32640000000000002</v>
      </c>
      <c r="X577" s="19">
        <v>0.49370000000000003</v>
      </c>
      <c r="Z577" s="18">
        <v>1341</v>
      </c>
    </row>
    <row r="578" spans="1:26" ht="15.75" customHeight="1" x14ac:dyDescent="0.2">
      <c r="A578" s="36" t="str">
        <f>HYPERLINK("https://www.tsu.edu", "Texas Southern University")</f>
        <v>Texas Southern University</v>
      </c>
      <c r="B578" s="18" t="s">
        <v>49</v>
      </c>
      <c r="C578" s="18" t="s">
        <v>146</v>
      </c>
      <c r="D578" s="18" t="s">
        <v>147</v>
      </c>
      <c r="E578" s="18">
        <v>846</v>
      </c>
      <c r="F578" s="18" t="s">
        <v>35</v>
      </c>
      <c r="J578" s="19">
        <v>0.23369999999999999</v>
      </c>
      <c r="K578" s="19">
        <v>0.23352527200000001</v>
      </c>
      <c r="L578" s="19">
        <v>0.16669999999999999</v>
      </c>
      <c r="M578" s="19">
        <v>0.21299999999999999</v>
      </c>
      <c r="N578" s="19">
        <v>0.3478</v>
      </c>
      <c r="O578" s="19">
        <v>0.54549999999999998</v>
      </c>
      <c r="P578" s="20">
        <v>37721</v>
      </c>
      <c r="Q578" s="21" t="str">
        <f>HYPERLINK("https://em.tsu.edu/comptroller/tuition.php", "$33289")</f>
        <v>$33289</v>
      </c>
      <c r="R578" s="20">
        <v>37721</v>
      </c>
      <c r="S578" s="20" t="s">
        <v>36</v>
      </c>
      <c r="T578" s="20">
        <v>6434</v>
      </c>
      <c r="U578" s="20">
        <v>26855.031111111111</v>
      </c>
      <c r="W578" s="19">
        <v>0.62680000000000002</v>
      </c>
      <c r="X578" s="19">
        <v>0.9869</v>
      </c>
      <c r="Z578" s="18">
        <v>7967</v>
      </c>
    </row>
    <row r="579" spans="1:26" ht="15.75" customHeight="1" x14ac:dyDescent="0.2">
      <c r="A579" s="36" t="str">
        <f>HYPERLINK("https://www.txstate.edu", "Texas State University")</f>
        <v>Texas State University</v>
      </c>
      <c r="B579" s="18" t="s">
        <v>49</v>
      </c>
      <c r="C579" s="18" t="s">
        <v>146</v>
      </c>
      <c r="D579" s="18" t="s">
        <v>612</v>
      </c>
      <c r="E579" s="18">
        <v>1121</v>
      </c>
      <c r="F579" s="18" t="s">
        <v>35</v>
      </c>
      <c r="J579" s="19">
        <v>0.53939999999999999</v>
      </c>
      <c r="K579" s="19">
        <v>0.53287616000000004</v>
      </c>
      <c r="L579" s="19">
        <v>0.5655</v>
      </c>
      <c r="M579" s="19">
        <v>0.44929999999999998</v>
      </c>
      <c r="N579" s="19">
        <v>0.51600000000000001</v>
      </c>
      <c r="O579" s="19">
        <v>0.55740000000000001</v>
      </c>
      <c r="P579" s="20">
        <v>34245</v>
      </c>
      <c r="Q579" s="21" t="str">
        <f>HYPERLINK("https://www.finaid.txstate.edu/more-info/npc.html", "$24226")</f>
        <v>$24226</v>
      </c>
      <c r="R579" s="20">
        <v>28023</v>
      </c>
      <c r="S579" s="20">
        <v>32479</v>
      </c>
      <c r="T579" s="20">
        <v>3150</v>
      </c>
      <c r="U579" s="20">
        <v>21076.715692307691</v>
      </c>
      <c r="W579" s="19">
        <v>0.3518</v>
      </c>
      <c r="X579" s="19">
        <v>0.54020000000000001</v>
      </c>
      <c r="Z579" s="18">
        <v>34180</v>
      </c>
    </row>
    <row r="580" spans="1:26" ht="15.75" customHeight="1" x14ac:dyDescent="0.2">
      <c r="A580" s="36" t="str">
        <f>HYPERLINK("https://www.ttu.edu", "Texas Tech University")</f>
        <v>Texas Tech University</v>
      </c>
      <c r="B580" s="18" t="s">
        <v>49</v>
      </c>
      <c r="C580" s="18" t="s">
        <v>146</v>
      </c>
      <c r="D580" s="18" t="s">
        <v>935</v>
      </c>
      <c r="E580" s="18">
        <v>1176</v>
      </c>
      <c r="F580" s="18" t="s">
        <v>35</v>
      </c>
      <c r="J580" s="19">
        <v>0.59279999999999999</v>
      </c>
      <c r="K580" s="19">
        <v>0.49739130399999998</v>
      </c>
      <c r="L580" s="19">
        <v>0.62960000000000005</v>
      </c>
      <c r="M580" s="19">
        <v>0.57630000000000003</v>
      </c>
      <c r="N580" s="19">
        <v>0.51029999999999998</v>
      </c>
      <c r="O580" s="19">
        <v>0.55379999999999996</v>
      </c>
      <c r="P580" s="20">
        <v>33425</v>
      </c>
      <c r="Q580" s="21" t="str">
        <f>HYPERLINK("https://www.depts.ttu.edu/financialaid/netCostCalcHome.php", "$23414")</f>
        <v>$23414</v>
      </c>
      <c r="R580" s="20">
        <v>27726</v>
      </c>
      <c r="S580" s="20">
        <v>31343</v>
      </c>
      <c r="T580" s="20">
        <v>5620</v>
      </c>
      <c r="U580" s="20">
        <v>17794.243458475539</v>
      </c>
      <c r="W580" s="19">
        <v>0.2737</v>
      </c>
      <c r="X580" s="19">
        <v>0.44200000000000012</v>
      </c>
      <c r="Z580" s="18">
        <v>30330</v>
      </c>
    </row>
    <row r="581" spans="1:26" ht="15.75" customHeight="1" x14ac:dyDescent="0.2">
      <c r="A581" s="36" t="str">
        <f>HYPERLINK("https://www.txwes.edu", "Texas Wesleyan University")</f>
        <v>Texas Wesleyan University</v>
      </c>
      <c r="B581" s="18" t="s">
        <v>32</v>
      </c>
      <c r="C581" s="18" t="s">
        <v>146</v>
      </c>
      <c r="D581" s="18" t="s">
        <v>262</v>
      </c>
      <c r="E581" s="18">
        <v>1049</v>
      </c>
      <c r="F581" s="18" t="s">
        <v>35</v>
      </c>
      <c r="J581" s="19">
        <v>0.34570000000000001</v>
      </c>
      <c r="K581" s="19">
        <v>0.32876712299999999</v>
      </c>
      <c r="L581" s="19">
        <v>0.40300000000000002</v>
      </c>
      <c r="M581" s="19">
        <v>7.6899999999999996E-2</v>
      </c>
      <c r="N581" s="19">
        <v>0.39290000000000003</v>
      </c>
      <c r="O581" s="19">
        <v>0</v>
      </c>
      <c r="P581" s="20">
        <v>43644</v>
      </c>
      <c r="Q581" s="21" t="str">
        <f>HYPERLINK("https://txwes.edu/admissions/what-will-it-cost/net-price-calculator/", "$22732")</f>
        <v>$22732</v>
      </c>
      <c r="R581" s="20">
        <v>30870</v>
      </c>
      <c r="S581" s="20">
        <v>31120</v>
      </c>
      <c r="T581" s="20">
        <v>5884</v>
      </c>
      <c r="U581" s="20">
        <v>16848</v>
      </c>
      <c r="W581" s="19">
        <v>0.29630000000000001</v>
      </c>
      <c r="X581" s="19">
        <v>0.70290000000000008</v>
      </c>
      <c r="Z581" s="18">
        <v>1656</v>
      </c>
    </row>
    <row r="582" spans="1:26" ht="15.75" customHeight="1" x14ac:dyDescent="0.2">
      <c r="A582" s="36" t="str">
        <f>HYPERLINK("https://www.strose.edu", "The College of Saint Rose")</f>
        <v>The College of Saint Rose</v>
      </c>
      <c r="B582" s="18" t="s">
        <v>32</v>
      </c>
      <c r="C582" s="18" t="s">
        <v>38</v>
      </c>
      <c r="D582" s="18" t="s">
        <v>550</v>
      </c>
      <c r="E582" s="18" t="s">
        <v>36</v>
      </c>
      <c r="F582" s="18" t="s">
        <v>45</v>
      </c>
      <c r="J582" s="19">
        <v>0.58589999999999998</v>
      </c>
      <c r="K582" s="19">
        <v>0.50826446299999994</v>
      </c>
      <c r="L582" s="19">
        <v>0.6079</v>
      </c>
      <c r="M582" s="19">
        <v>0.5</v>
      </c>
      <c r="N582" s="19">
        <v>0.47499999999999998</v>
      </c>
      <c r="O582" s="19">
        <v>0.61539999999999995</v>
      </c>
      <c r="P582" s="20">
        <v>47268</v>
      </c>
      <c r="Q582" s="21" t="str">
        <f>HYPERLINK("https://www.strose.edu/admissions/first-year-students/tuition-aid/tuition-fees/", "$19154")</f>
        <v>$19154</v>
      </c>
      <c r="R582" s="20">
        <v>25192</v>
      </c>
      <c r="S582" s="20">
        <v>26203</v>
      </c>
      <c r="T582" s="20">
        <v>3300</v>
      </c>
      <c r="U582" s="20">
        <v>15854</v>
      </c>
      <c r="W582" s="19">
        <v>0.41980000000000001</v>
      </c>
      <c r="X582" s="19">
        <v>0.41120000000000001</v>
      </c>
      <c r="Z582" s="18">
        <v>2490</v>
      </c>
    </row>
    <row r="583" spans="1:26" ht="15.75" customHeight="1" x14ac:dyDescent="0.2">
      <c r="A583" s="36" t="str">
        <f>HYPERLINK("https://www.css.edu", "The College of Saint Scholastica")</f>
        <v>The College of Saint Scholastica</v>
      </c>
      <c r="B583" s="18" t="s">
        <v>32</v>
      </c>
      <c r="C583" s="18" t="s">
        <v>72</v>
      </c>
      <c r="D583" s="18" t="s">
        <v>1222</v>
      </c>
      <c r="E583" s="18">
        <v>1141</v>
      </c>
      <c r="F583" s="18" t="s">
        <v>35</v>
      </c>
      <c r="J583" s="19">
        <v>0.6694</v>
      </c>
      <c r="K583" s="19">
        <v>0.41350210999999998</v>
      </c>
      <c r="L583" s="19">
        <v>0.6714</v>
      </c>
      <c r="M583" s="19">
        <v>0.44440000000000002</v>
      </c>
      <c r="N583" s="19">
        <v>0.66669999999999996</v>
      </c>
      <c r="O583" s="19">
        <v>0.5</v>
      </c>
      <c r="P583" s="20">
        <v>49104</v>
      </c>
      <c r="Q583" s="21" t="str">
        <f>HYPERLINK("https://www.css.edu/undergraduate/undergraduate-traditional/paying-for-college/net-price-calculator--freshmen.html", "$17815")</f>
        <v>$17815</v>
      </c>
      <c r="R583" s="20">
        <v>22108</v>
      </c>
      <c r="S583" s="20">
        <v>25306</v>
      </c>
      <c r="T583" s="20">
        <v>3370</v>
      </c>
      <c r="U583" s="20">
        <v>14445</v>
      </c>
      <c r="W583" s="19">
        <v>0.2964</v>
      </c>
      <c r="X583" s="19">
        <v>0.1573</v>
      </c>
      <c r="Z583" s="18">
        <v>2626</v>
      </c>
    </row>
    <row r="584" spans="1:26" ht="15.75" customHeight="1" x14ac:dyDescent="0.2">
      <c r="A584" s="36" t="str">
        <f>HYPERLINK("https://www.evergreen.edu", "The Evergreen State College")</f>
        <v>The Evergreen State College</v>
      </c>
      <c r="B584" s="18" t="s">
        <v>49</v>
      </c>
      <c r="C584" s="18" t="s">
        <v>184</v>
      </c>
      <c r="D584" s="18" t="s">
        <v>1223</v>
      </c>
      <c r="E584" s="18">
        <v>1095</v>
      </c>
      <c r="F584" s="18" t="s">
        <v>115</v>
      </c>
      <c r="J584" s="19">
        <v>0.57279999999999998</v>
      </c>
      <c r="K584" s="19">
        <v>0.414802065</v>
      </c>
      <c r="L584" s="19">
        <v>0.56879999999999997</v>
      </c>
      <c r="M584" s="19">
        <v>0.40910000000000002</v>
      </c>
      <c r="N584" s="19">
        <v>0.64710000000000001</v>
      </c>
      <c r="O584" s="19">
        <v>0.64290000000000003</v>
      </c>
      <c r="P584" s="20">
        <v>38842</v>
      </c>
      <c r="Q584" s="21" t="str">
        <f>HYPERLINK("https://www.evergreen.edu/costs/netprice-freshman.htm", "$27433")</f>
        <v>$27433</v>
      </c>
      <c r="R584" s="20">
        <v>32287</v>
      </c>
      <c r="S584" s="20">
        <v>35414</v>
      </c>
      <c r="T584" s="20">
        <v>4110</v>
      </c>
      <c r="U584" s="20">
        <v>23323.567164179109</v>
      </c>
      <c r="W584" s="19">
        <v>0.44340000000000002</v>
      </c>
      <c r="X584" s="19">
        <v>0.34100000000000003</v>
      </c>
      <c r="Z584" s="18">
        <v>3560</v>
      </c>
    </row>
    <row r="585" spans="1:26" ht="15.75" customHeight="1" x14ac:dyDescent="0.2">
      <c r="A585" s="36" t="str">
        <f>HYPERLINK("https://www.juilliard.edu/", "The Juilliard School")</f>
        <v>The Juilliard School</v>
      </c>
      <c r="B585" s="18" t="s">
        <v>32</v>
      </c>
      <c r="C585" s="18" t="s">
        <v>38</v>
      </c>
      <c r="D585" s="18" t="s">
        <v>39</v>
      </c>
      <c r="E585" s="18" t="s">
        <v>36</v>
      </c>
      <c r="F585" s="18" t="s">
        <v>45</v>
      </c>
      <c r="J585" s="19">
        <v>0.95050000000000001</v>
      </c>
      <c r="K585" s="19" t="s">
        <v>36</v>
      </c>
      <c r="L585" s="19">
        <v>1</v>
      </c>
      <c r="M585" s="19">
        <v>1</v>
      </c>
      <c r="N585" s="19">
        <v>1</v>
      </c>
      <c r="O585" s="19">
        <v>0.66669999999999996</v>
      </c>
      <c r="P585" s="20">
        <v>62600</v>
      </c>
      <c r="Q585" s="21" t="str">
        <f>HYPERLINK("https://www.juilliard.edu/campus-life/financial-aid/net-price-calculator", "$25870")</f>
        <v>$25870</v>
      </c>
      <c r="R585" s="20">
        <v>26115</v>
      </c>
      <c r="S585" s="20">
        <v>37130</v>
      </c>
      <c r="T585" s="20">
        <v>3440</v>
      </c>
      <c r="U585" s="20">
        <v>22430</v>
      </c>
      <c r="W585" s="19">
        <v>0.1414</v>
      </c>
      <c r="X585" s="19">
        <v>0.62139999999999995</v>
      </c>
      <c r="Z585" s="18">
        <v>486</v>
      </c>
    </row>
    <row r="586" spans="1:26" ht="15.75" customHeight="1" x14ac:dyDescent="0.2">
      <c r="A586" s="36" t="str">
        <f>HYPERLINK("https://www.masters.edu", "The Master's College and Seminary")</f>
        <v>The Master's College and Seminary</v>
      </c>
      <c r="B586" s="18" t="s">
        <v>32</v>
      </c>
      <c r="C586" s="18" t="s">
        <v>68</v>
      </c>
      <c r="D586" s="18" t="s">
        <v>1185</v>
      </c>
      <c r="E586" s="18">
        <v>1116</v>
      </c>
      <c r="F586" s="18" t="s">
        <v>35</v>
      </c>
      <c r="J586" s="19">
        <v>0.55459999999999998</v>
      </c>
      <c r="K586" s="19">
        <v>0.44615384600000002</v>
      </c>
      <c r="L586" s="19">
        <v>0.50360000000000005</v>
      </c>
      <c r="M586" s="19">
        <v>0.33329999999999999</v>
      </c>
      <c r="N586" s="19">
        <v>0.65380000000000005</v>
      </c>
      <c r="O586" s="19">
        <v>0.8125</v>
      </c>
      <c r="P586" s="20">
        <v>47766</v>
      </c>
      <c r="Q586" s="21" t="str">
        <f>HYPERLINK("https://npc.collegeboard.org/student/app/masters", "$21563")</f>
        <v>$21563</v>
      </c>
      <c r="R586" s="20">
        <v>23780</v>
      </c>
      <c r="S586" s="20">
        <v>27126</v>
      </c>
      <c r="T586" s="20">
        <v>4196</v>
      </c>
      <c r="U586" s="20">
        <v>17367</v>
      </c>
      <c r="W586" s="19">
        <v>0.30230000000000001</v>
      </c>
      <c r="X586" s="19">
        <v>0.33650000000000002</v>
      </c>
      <c r="Z586" s="18">
        <v>1171</v>
      </c>
    </row>
    <row r="587" spans="1:26" ht="15.75" customHeight="1" x14ac:dyDescent="0.2">
      <c r="A587" s="36" t="str">
        <f>HYPERLINK("https://necmusic.edu", "The New England Conservatory of Music")</f>
        <v>The New England Conservatory of Music</v>
      </c>
      <c r="B587" s="18" t="s">
        <v>32</v>
      </c>
      <c r="C587" s="18" t="s">
        <v>33</v>
      </c>
      <c r="D587" s="18" t="s">
        <v>136</v>
      </c>
      <c r="E587" s="18" t="s">
        <v>36</v>
      </c>
      <c r="F587" s="18" t="s">
        <v>45</v>
      </c>
      <c r="J587" s="19">
        <v>0.79569999999999996</v>
      </c>
      <c r="K587" s="19" t="s">
        <v>36</v>
      </c>
      <c r="L587" s="19">
        <v>0.6744</v>
      </c>
      <c r="M587" s="19">
        <v>1</v>
      </c>
      <c r="N587" s="19">
        <v>0.33329999999999999</v>
      </c>
      <c r="O587" s="19">
        <v>1</v>
      </c>
      <c r="P587" s="20">
        <v>66030</v>
      </c>
      <c r="Q587" s="21" t="str">
        <f>HYPERLINK("https://necmusic.edu/modules/custom/NetPriceCalculator/index.html", "$29832")</f>
        <v>$29832</v>
      </c>
      <c r="R587" s="20">
        <v>38375</v>
      </c>
      <c r="S587" s="20">
        <v>42256</v>
      </c>
      <c r="T587" s="20">
        <v>3400</v>
      </c>
      <c r="U587" s="20">
        <v>26432</v>
      </c>
      <c r="W587" s="19">
        <v>0.12590000000000001</v>
      </c>
      <c r="X587" s="19">
        <v>0.64890000000000003</v>
      </c>
      <c r="Z587" s="18">
        <v>413</v>
      </c>
    </row>
    <row r="588" spans="1:26" ht="15.75" customHeight="1" x14ac:dyDescent="0.2">
      <c r="A588" s="36" t="str">
        <f>HYPERLINK("https://www.sage.edu", "The Sage Colleges")</f>
        <v>The Sage Colleges</v>
      </c>
      <c r="B588" s="18" t="s">
        <v>32</v>
      </c>
      <c r="C588" s="18" t="s">
        <v>38</v>
      </c>
      <c r="D588" s="18" t="s">
        <v>145</v>
      </c>
      <c r="E588" s="18" t="s">
        <v>36</v>
      </c>
      <c r="F588" s="18" t="s">
        <v>45</v>
      </c>
      <c r="J588" s="19">
        <v>0.55879999999999996</v>
      </c>
      <c r="K588" s="19">
        <v>0.61111111100000004</v>
      </c>
      <c r="L588" s="19">
        <v>0.64629999999999999</v>
      </c>
      <c r="M588" s="19">
        <v>0.41789999999999999</v>
      </c>
      <c r="N588" s="19">
        <v>0.51349999999999996</v>
      </c>
      <c r="O588" s="19">
        <v>0.28570000000000001</v>
      </c>
      <c r="P588" s="20">
        <v>45397</v>
      </c>
      <c r="Q588" s="21" t="str">
        <f>HYPERLINK("https://sage.studentaidcalculator.com/welcome.aspx", "$14638")</f>
        <v>$14638</v>
      </c>
      <c r="R588" s="20">
        <v>22233</v>
      </c>
      <c r="S588" s="20">
        <v>25865</v>
      </c>
      <c r="T588" s="20">
        <v>3125</v>
      </c>
      <c r="U588" s="20">
        <v>11513</v>
      </c>
      <c r="W588" s="19">
        <v>0.47089999999999999</v>
      </c>
      <c r="X588" s="19">
        <v>0.35759999999999997</v>
      </c>
      <c r="Z588" s="18">
        <v>1275</v>
      </c>
    </row>
    <row r="589" spans="1:26" ht="15.75" customHeight="1" x14ac:dyDescent="0.2">
      <c r="A589" s="36" t="str">
        <f>HYPERLINK("https://www.ua.edu/", "The University of Alabama")</f>
        <v>The University of Alabama</v>
      </c>
      <c r="B589" s="18" t="s">
        <v>49</v>
      </c>
      <c r="C589" s="18" t="s">
        <v>300</v>
      </c>
      <c r="D589" s="18" t="s">
        <v>1211</v>
      </c>
      <c r="E589" s="18">
        <v>1278</v>
      </c>
      <c r="F589" s="18" t="s">
        <v>35</v>
      </c>
      <c r="J589" s="19">
        <v>0.67869999999999997</v>
      </c>
      <c r="K589" s="19">
        <v>0.50495804700000002</v>
      </c>
      <c r="L589" s="19">
        <v>0.70509999999999995</v>
      </c>
      <c r="M589" s="19">
        <v>0.53910000000000002</v>
      </c>
      <c r="N589" s="19">
        <v>0.54110000000000003</v>
      </c>
      <c r="O589" s="19">
        <v>0.63790000000000002</v>
      </c>
      <c r="P589" s="20">
        <v>46744</v>
      </c>
      <c r="Q589" s="21" t="str">
        <f>HYPERLINK("https://financialaid.ua.edu/net-price-calculator/", "$37090")</f>
        <v>$37090</v>
      </c>
      <c r="R589" s="20">
        <v>40596</v>
      </c>
      <c r="S589" s="20">
        <v>42327</v>
      </c>
      <c r="T589" s="20">
        <v>5320</v>
      </c>
      <c r="U589" s="20">
        <v>31770.40252707581</v>
      </c>
      <c r="W589" s="19">
        <v>0.18</v>
      </c>
      <c r="X589" s="19">
        <v>0.21529999999999999</v>
      </c>
      <c r="Z589" s="18">
        <v>32387</v>
      </c>
    </row>
    <row r="590" spans="1:26" ht="15.75" customHeight="1" x14ac:dyDescent="0.2">
      <c r="A590" s="36" t="str">
        <f>HYPERLINK("https://www.findlay.edu/", "The University of Findlay")</f>
        <v>The University of Findlay</v>
      </c>
      <c r="B590" s="18" t="s">
        <v>32</v>
      </c>
      <c r="C590" s="18" t="s">
        <v>75</v>
      </c>
      <c r="D590" s="18" t="s">
        <v>998</v>
      </c>
      <c r="E590" s="18">
        <v>1171</v>
      </c>
      <c r="F590" s="18" t="s">
        <v>35</v>
      </c>
      <c r="J590" s="19">
        <v>0.6129</v>
      </c>
      <c r="K590" s="19">
        <v>0.45192307700000001</v>
      </c>
      <c r="L590" s="19">
        <v>0.62270000000000003</v>
      </c>
      <c r="M590" s="19">
        <v>0.29409999999999997</v>
      </c>
      <c r="N590" s="19">
        <v>0.55559999999999998</v>
      </c>
      <c r="O590" s="19">
        <v>0.8</v>
      </c>
      <c r="P590" s="20">
        <v>45575</v>
      </c>
      <c r="Q590" s="21" t="str">
        <f>HYPERLINK("https://findlay.studentaidcalculator.com/survey.aspx", "$17823")</f>
        <v>$17823</v>
      </c>
      <c r="R590" s="20">
        <v>21841</v>
      </c>
      <c r="S590" s="20">
        <v>25428</v>
      </c>
      <c r="T590" s="20">
        <v>2535</v>
      </c>
      <c r="U590" s="20">
        <v>15288</v>
      </c>
      <c r="W590" s="19">
        <v>0.18679999999999999</v>
      </c>
      <c r="X590" s="19">
        <v>0.17560000000000001</v>
      </c>
      <c r="Z590" s="18">
        <v>2637</v>
      </c>
    </row>
    <row r="591" spans="1:26" ht="15.75" customHeight="1" x14ac:dyDescent="0.2">
      <c r="A591" s="36" t="str">
        <f>HYPERLINK("https://www.umt.edu", "The University of Montana")</f>
        <v>The University of Montana</v>
      </c>
      <c r="B591" s="18" t="s">
        <v>49</v>
      </c>
      <c r="C591" s="18" t="s">
        <v>421</v>
      </c>
      <c r="D591" s="18" t="s">
        <v>1228</v>
      </c>
      <c r="E591" s="18">
        <v>1165</v>
      </c>
      <c r="F591" s="18" t="s">
        <v>35</v>
      </c>
      <c r="J591" s="19">
        <v>0.45800000000000002</v>
      </c>
      <c r="K591" s="19">
        <v>0.29662077599999997</v>
      </c>
      <c r="L591" s="19">
        <v>0.47789999999999999</v>
      </c>
      <c r="M591" s="19">
        <v>0.38890000000000002</v>
      </c>
      <c r="N591" s="19">
        <v>0.35439999999999999</v>
      </c>
      <c r="O591" s="19">
        <v>0.5</v>
      </c>
      <c r="P591" s="20">
        <v>38356</v>
      </c>
      <c r="Q591" s="21" t="str">
        <f>HYPERLINK("https://www.umt.edu/finaid/cost-of-attendance/net-price-calculator/default.php", "$32994")</f>
        <v>$32994</v>
      </c>
      <c r="R591" s="20">
        <v>36102</v>
      </c>
      <c r="S591" s="20">
        <v>37282</v>
      </c>
      <c r="T591" s="20">
        <v>4235</v>
      </c>
      <c r="U591" s="20">
        <v>28759.40443213296</v>
      </c>
      <c r="W591" s="19">
        <v>0.33750000000000002</v>
      </c>
      <c r="X591" s="19">
        <v>0.21299999999999999</v>
      </c>
      <c r="Z591" s="18">
        <v>8958</v>
      </c>
    </row>
    <row r="592" spans="1:26" ht="15.75" customHeight="1" x14ac:dyDescent="0.2">
      <c r="A592" s="36" t="str">
        <f>HYPERLINK("https://mc.umt.edu/", "The University of Montana - Missoula College")</f>
        <v>The University of Montana - Missoula College</v>
      </c>
      <c r="B592" s="18" t="s">
        <v>49</v>
      </c>
      <c r="C592" s="18" t="s">
        <v>421</v>
      </c>
      <c r="D592" s="18" t="s">
        <v>1228</v>
      </c>
      <c r="E592" s="18" t="s">
        <v>36</v>
      </c>
      <c r="F592" s="18" t="s">
        <v>36</v>
      </c>
      <c r="J592" s="19" t="s">
        <v>36</v>
      </c>
      <c r="K592" s="19">
        <v>0.29662077599999997</v>
      </c>
      <c r="L592" s="19" t="s">
        <v>36</v>
      </c>
      <c r="M592" s="19" t="s">
        <v>36</v>
      </c>
      <c r="N592" s="19" t="s">
        <v>36</v>
      </c>
      <c r="O592" s="19" t="s">
        <v>36</v>
      </c>
      <c r="P592" s="20" t="s">
        <v>36</v>
      </c>
      <c r="Q592" s="35" t="s">
        <v>36</v>
      </c>
      <c r="R592" s="20" t="s">
        <v>36</v>
      </c>
      <c r="S592" s="20" t="s">
        <v>36</v>
      </c>
      <c r="T592" s="20" t="s">
        <v>36</v>
      </c>
      <c r="U592" s="20" t="s">
        <v>36</v>
      </c>
      <c r="W592" s="19" t="s">
        <v>36</v>
      </c>
      <c r="X592" s="19" t="s">
        <v>36</v>
      </c>
      <c r="Z592" s="18" t="s">
        <v>36</v>
      </c>
    </row>
    <row r="593" spans="1:26" ht="15.75" customHeight="1" x14ac:dyDescent="0.2">
      <c r="A593" s="36" t="str">
        <f>HYPERLINK("https://www.ut.edu", "The University of Tampa")</f>
        <v>The University of Tampa</v>
      </c>
      <c r="B593" s="18" t="s">
        <v>32</v>
      </c>
      <c r="C593" s="18" t="s">
        <v>162</v>
      </c>
      <c r="D593" s="18" t="s">
        <v>1230</v>
      </c>
      <c r="E593" s="18">
        <v>1171</v>
      </c>
      <c r="F593" s="18" t="s">
        <v>35</v>
      </c>
      <c r="J593" s="19">
        <v>0.59689999999999999</v>
      </c>
      <c r="K593" s="19">
        <v>0.53919239899999993</v>
      </c>
      <c r="L593" s="19">
        <v>0.60699999999999998</v>
      </c>
      <c r="M593" s="19">
        <v>0.65380000000000005</v>
      </c>
      <c r="N593" s="19">
        <v>0.54549999999999998</v>
      </c>
      <c r="O593" s="19">
        <v>0.43480000000000002</v>
      </c>
      <c r="P593" s="20">
        <v>43708</v>
      </c>
      <c r="Q593" s="21" t="str">
        <f>HYPERLINK("https://www.ut.edu/financialaid/calculators/", "$26113")</f>
        <v>$26113</v>
      </c>
      <c r="R593" s="20">
        <v>27000</v>
      </c>
      <c r="S593" s="20">
        <v>29277</v>
      </c>
      <c r="T593" s="20">
        <v>4780</v>
      </c>
      <c r="U593" s="20">
        <v>21333</v>
      </c>
      <c r="W593" s="19">
        <v>0.22439999999999999</v>
      </c>
      <c r="X593" s="19">
        <v>0.39150000000000001</v>
      </c>
      <c r="Z593" s="18">
        <v>7956</v>
      </c>
    </row>
    <row r="594" spans="1:26" ht="15.75" customHeight="1" x14ac:dyDescent="0.2">
      <c r="A594" s="36" t="str">
        <f>HYPERLINK("https://www.utc.edu", "The University of Tennessee-Chattanooga")</f>
        <v>The University of Tennessee-Chattanooga</v>
      </c>
      <c r="B594" s="18" t="s">
        <v>49</v>
      </c>
      <c r="C594" s="18" t="s">
        <v>174</v>
      </c>
      <c r="D594" s="18" t="s">
        <v>1128</v>
      </c>
      <c r="E594" s="18">
        <v>1164</v>
      </c>
      <c r="F594" s="18" t="s">
        <v>35</v>
      </c>
      <c r="J594" s="19">
        <v>0.45169999999999999</v>
      </c>
      <c r="K594" s="19">
        <v>0.400225479</v>
      </c>
      <c r="L594" s="19">
        <v>0.4577</v>
      </c>
      <c r="M594" s="19">
        <v>0.35289999999999999</v>
      </c>
      <c r="N594" s="19">
        <v>0.52170000000000005</v>
      </c>
      <c r="O594" s="19">
        <v>0.53569999999999995</v>
      </c>
      <c r="P594" s="20">
        <v>38882</v>
      </c>
      <c r="Q594" s="21" t="str">
        <f>HYPERLINK("https://www.utc.edu/financial-aid/estimating-your-cost/net-price-calculator.php", "$26906")</f>
        <v>$26906</v>
      </c>
      <c r="R594" s="20">
        <v>32989</v>
      </c>
      <c r="S594" s="20">
        <v>33911</v>
      </c>
      <c r="T594" s="20">
        <v>5000</v>
      </c>
      <c r="U594" s="20">
        <v>21906.00196463654</v>
      </c>
      <c r="W594" s="19">
        <v>0.32690000000000002</v>
      </c>
      <c r="X594" s="19">
        <v>0.23549999999999999</v>
      </c>
      <c r="Z594" s="18">
        <v>10097</v>
      </c>
    </row>
    <row r="595" spans="1:26" ht="15.75" customHeight="1" x14ac:dyDescent="0.2">
      <c r="A595" s="36" t="str">
        <f>HYPERLINK("https://www.utm.edu", "The University of Tennessee-Martin")</f>
        <v>The University of Tennessee-Martin</v>
      </c>
      <c r="B595" s="18" t="s">
        <v>49</v>
      </c>
      <c r="C595" s="18" t="s">
        <v>174</v>
      </c>
      <c r="D595" s="18" t="s">
        <v>1234</v>
      </c>
      <c r="E595" s="18">
        <v>1125</v>
      </c>
      <c r="F595" s="18" t="s">
        <v>35</v>
      </c>
      <c r="J595" s="19">
        <v>0.50229999999999997</v>
      </c>
      <c r="K595" s="19">
        <v>0.37408312999999999</v>
      </c>
      <c r="L595" s="19">
        <v>0.49640000000000001</v>
      </c>
      <c r="M595" s="19">
        <v>0.4975</v>
      </c>
      <c r="N595" s="19">
        <v>0.58620000000000005</v>
      </c>
      <c r="O595" s="19">
        <v>0.46150000000000002</v>
      </c>
      <c r="P595" s="20">
        <v>25966</v>
      </c>
      <c r="Q595" s="21" t="str">
        <f>HYPERLINK("https://www.utm.edu/departments/finaid/calculator.php", "$14292")</f>
        <v>$14292</v>
      </c>
      <c r="R595" s="20">
        <v>19549</v>
      </c>
      <c r="S595" s="20">
        <v>20153</v>
      </c>
      <c r="T595" s="20">
        <v>4994</v>
      </c>
      <c r="U595" s="20">
        <v>9298.1232876712329</v>
      </c>
      <c r="W595" s="19">
        <v>0.42159999999999997</v>
      </c>
      <c r="X595" s="19">
        <v>0.22020000000000001</v>
      </c>
      <c r="Z595" s="18">
        <v>5522</v>
      </c>
    </row>
    <row r="596" spans="1:26" ht="15.75" customHeight="1" x14ac:dyDescent="0.2">
      <c r="A596" s="36" t="str">
        <f>HYPERLINK("https://www.utsa.edu/", "The University of Texas at San Antonio")</f>
        <v>The University of Texas at San Antonio</v>
      </c>
      <c r="B596" s="18" t="s">
        <v>49</v>
      </c>
      <c r="C596" s="18" t="s">
        <v>146</v>
      </c>
      <c r="D596" s="18" t="s">
        <v>268</v>
      </c>
      <c r="E596" s="18">
        <v>1122</v>
      </c>
      <c r="F596" s="18" t="s">
        <v>35</v>
      </c>
      <c r="J596" s="19">
        <v>0.36659999999999998</v>
      </c>
      <c r="K596" s="19">
        <v>0.45179255099999999</v>
      </c>
      <c r="L596" s="19">
        <v>0.32290000000000002</v>
      </c>
      <c r="M596" s="19">
        <v>0.3795</v>
      </c>
      <c r="N596" s="19">
        <v>0.37759999999999999</v>
      </c>
      <c r="O596" s="19">
        <v>0.35709999999999997</v>
      </c>
      <c r="P596" s="20">
        <v>34484</v>
      </c>
      <c r="Q596" s="21" t="str">
        <f>HYPERLINK("https://bluebook.utsa.edu/AttendanceCost.aspx", "$24134")</f>
        <v>$24134</v>
      </c>
      <c r="R596" s="20">
        <v>26905</v>
      </c>
      <c r="S596" s="20">
        <v>31684</v>
      </c>
      <c r="T596" s="20">
        <v>4082</v>
      </c>
      <c r="U596" s="20">
        <v>20052.946280991731</v>
      </c>
      <c r="W596" s="19">
        <v>0.43190000000000001</v>
      </c>
      <c r="X596" s="19">
        <v>0.76629999999999998</v>
      </c>
      <c r="Z596" s="18">
        <v>25709</v>
      </c>
    </row>
    <row r="597" spans="1:26" ht="15.75" customHeight="1" x14ac:dyDescent="0.2">
      <c r="A597" s="36" t="str">
        <f>HYPERLINK("https://www.uttyler.edu/", "The University of Texas at Tyler")</f>
        <v>The University of Texas at Tyler</v>
      </c>
      <c r="B597" s="18" t="s">
        <v>49</v>
      </c>
      <c r="C597" s="18" t="s">
        <v>146</v>
      </c>
      <c r="D597" s="18" t="s">
        <v>1236</v>
      </c>
      <c r="E597" s="18">
        <v>1160</v>
      </c>
      <c r="F597" s="18" t="s">
        <v>35</v>
      </c>
      <c r="J597" s="19">
        <v>0.42409999999999998</v>
      </c>
      <c r="K597" s="19">
        <v>0.40672268900000003</v>
      </c>
      <c r="L597" s="19">
        <v>0.3594</v>
      </c>
      <c r="M597" s="19">
        <v>0.26090000000000002</v>
      </c>
      <c r="N597" s="19">
        <v>0.52029999999999998</v>
      </c>
      <c r="O597" s="19">
        <v>0.3846</v>
      </c>
      <c r="P597" s="20">
        <v>33952</v>
      </c>
      <c r="Q597" s="21" t="str">
        <f>HYPERLINK("https://www.collegeforalltexans.com/apps/CollegeMoney/", "$22776")</f>
        <v>$22776</v>
      </c>
      <c r="R597" s="20">
        <v>28140</v>
      </c>
      <c r="S597" s="20">
        <v>32189</v>
      </c>
      <c r="T597" s="20">
        <v>3790</v>
      </c>
      <c r="U597" s="20">
        <v>18986.44976076555</v>
      </c>
      <c r="W597" s="19">
        <v>0.33989999999999998</v>
      </c>
      <c r="X597" s="19">
        <v>0.41949999999999998</v>
      </c>
      <c r="Z597" s="18">
        <v>6699</v>
      </c>
    </row>
    <row r="598" spans="1:26" ht="15.75" customHeight="1" x14ac:dyDescent="0.2">
      <c r="A598" s="36" t="str">
        <f>HYPERLINK("https://www.utpb.edu", "The University of Texas of the Permian Basin")</f>
        <v>The University of Texas of the Permian Basin</v>
      </c>
      <c r="B598" s="18" t="s">
        <v>49</v>
      </c>
      <c r="C598" s="18" t="s">
        <v>146</v>
      </c>
      <c r="D598" s="18" t="s">
        <v>1237</v>
      </c>
      <c r="E598" s="18">
        <v>1025</v>
      </c>
      <c r="F598" s="18" t="s">
        <v>35</v>
      </c>
      <c r="J598" s="19">
        <v>0.4259</v>
      </c>
      <c r="K598" s="19">
        <v>0.35812672200000001</v>
      </c>
      <c r="L598" s="19">
        <v>0.36220000000000002</v>
      </c>
      <c r="M598" s="19">
        <v>0.36840000000000001</v>
      </c>
      <c r="N598" s="19">
        <v>0.46250000000000002</v>
      </c>
      <c r="O598" s="19">
        <v>0.5</v>
      </c>
      <c r="P598" s="20">
        <v>22234</v>
      </c>
      <c r="Q598" s="21" t="str">
        <f>HYPERLINK("https://www.collegeforalltexans.com/apps/CollegeMoney/", "$13089")</f>
        <v>$13089</v>
      </c>
      <c r="R598" s="20">
        <v>14568</v>
      </c>
      <c r="S598" s="20">
        <v>15082</v>
      </c>
      <c r="T598" s="20">
        <v>4630</v>
      </c>
      <c r="U598" s="20">
        <v>8459.7888888888883</v>
      </c>
      <c r="W598" s="19">
        <v>0.28389999999999999</v>
      </c>
      <c r="X598" s="19">
        <v>0.67399999999999993</v>
      </c>
      <c r="Z598" s="18">
        <v>3730</v>
      </c>
    </row>
    <row r="599" spans="1:26" ht="15.75" customHeight="1" x14ac:dyDescent="0.2">
      <c r="A599" s="36" t="str">
        <f>HYPERLINK("https://www.uvawise.edu/", "The University of Virginia's College at Wise")</f>
        <v>The University of Virginia's College at Wise</v>
      </c>
      <c r="B599" s="18" t="s">
        <v>49</v>
      </c>
      <c r="C599" s="18" t="s">
        <v>83</v>
      </c>
      <c r="D599" s="18" t="s">
        <v>1239</v>
      </c>
      <c r="E599" s="18">
        <v>1028</v>
      </c>
      <c r="F599" s="18" t="s">
        <v>35</v>
      </c>
      <c r="J599" s="19">
        <v>0.45789999999999997</v>
      </c>
      <c r="K599" s="19">
        <v>0.36279069800000002</v>
      </c>
      <c r="L599" s="19">
        <v>0.48949999999999999</v>
      </c>
      <c r="M599" s="19">
        <v>0.3488</v>
      </c>
      <c r="N599" s="19">
        <v>0.375</v>
      </c>
      <c r="O599" s="19">
        <v>0</v>
      </c>
      <c r="P599" s="20">
        <v>41379</v>
      </c>
      <c r="Q599" s="21" t="str">
        <f>HYPERLINK("https://www.uvawise.edu/financial-aid/net-price-calculator/", "$30289")</f>
        <v>$30289</v>
      </c>
      <c r="R599" s="20">
        <v>32218</v>
      </c>
      <c r="S599" s="20">
        <v>34134</v>
      </c>
      <c r="T599" s="20">
        <v>4010</v>
      </c>
      <c r="U599" s="20">
        <v>26279.34782608696</v>
      </c>
      <c r="W599" s="19">
        <v>0.35060000000000002</v>
      </c>
      <c r="X599" s="19">
        <v>0.23939999999999989</v>
      </c>
      <c r="Z599" s="18">
        <v>1249</v>
      </c>
    </row>
    <row r="600" spans="1:26" ht="15.75" customHeight="1" x14ac:dyDescent="0.2">
      <c r="A600" s="36" t="str">
        <f>HYPERLINK("https://uwf.edu", "The University of West Florida")</f>
        <v>The University of West Florida</v>
      </c>
      <c r="B600" s="18" t="s">
        <v>49</v>
      </c>
      <c r="C600" s="18" t="s">
        <v>162</v>
      </c>
      <c r="D600" s="18" t="s">
        <v>1241</v>
      </c>
      <c r="E600" s="18">
        <v>1185</v>
      </c>
      <c r="F600" s="18" t="s">
        <v>35</v>
      </c>
      <c r="J600" s="19">
        <v>0.4405</v>
      </c>
      <c r="K600" s="19">
        <v>0.42651037000000003</v>
      </c>
      <c r="L600" s="19">
        <v>0.43569999999999998</v>
      </c>
      <c r="M600" s="19">
        <v>0.42859999999999998</v>
      </c>
      <c r="N600" s="19">
        <v>0.45</v>
      </c>
      <c r="O600" s="19">
        <v>0.5</v>
      </c>
      <c r="P600" s="20">
        <v>31895</v>
      </c>
      <c r="Q600" s="21" t="str">
        <f>HYPERLINK("https://uwf.edu/npcalc/npcalc.cfm", "$23168")</f>
        <v>$23168</v>
      </c>
      <c r="R600" s="20">
        <v>26542</v>
      </c>
      <c r="S600" s="20">
        <v>29261</v>
      </c>
      <c r="T600" s="20">
        <v>3300</v>
      </c>
      <c r="U600" s="20">
        <v>19868.088495575219</v>
      </c>
      <c r="W600" s="19">
        <v>0.36820000000000003</v>
      </c>
      <c r="X600" s="19">
        <v>0.34730000000000011</v>
      </c>
      <c r="Z600" s="18">
        <v>9602</v>
      </c>
    </row>
    <row r="601" spans="1:26" ht="15.75" customHeight="1" x14ac:dyDescent="0.2">
      <c r="A601" s="36" t="str">
        <f>HYPERLINK("https://www.uarts.edu", "The University of the Arts")</f>
        <v>The University of the Arts</v>
      </c>
      <c r="B601" s="18" t="s">
        <v>32</v>
      </c>
      <c r="C601" s="18" t="s">
        <v>65</v>
      </c>
      <c r="D601" s="18" t="s">
        <v>168</v>
      </c>
      <c r="E601" s="18" t="s">
        <v>36</v>
      </c>
      <c r="F601" s="18" t="s">
        <v>115</v>
      </c>
      <c r="J601" s="19">
        <v>0.62960000000000005</v>
      </c>
      <c r="K601" s="19">
        <v>0.513761468</v>
      </c>
      <c r="L601" s="19">
        <v>0.64580000000000004</v>
      </c>
      <c r="M601" s="19">
        <v>0.61019999999999996</v>
      </c>
      <c r="N601" s="19">
        <v>0.69440000000000002</v>
      </c>
      <c r="O601" s="19">
        <v>0.8</v>
      </c>
      <c r="P601" s="20">
        <v>65299</v>
      </c>
      <c r="Q601" s="21" t="str">
        <f>HYPERLINK("https://www.uarts.edu/admissions/freshman-net-price-calculator", "$32807")</f>
        <v>$32807</v>
      </c>
      <c r="R601" s="20">
        <v>35438</v>
      </c>
      <c r="S601" s="20">
        <v>35778</v>
      </c>
      <c r="T601" s="20">
        <v>6489</v>
      </c>
      <c r="U601" s="20">
        <v>26318</v>
      </c>
      <c r="W601" s="19">
        <v>0.29580000000000001</v>
      </c>
      <c r="X601" s="19">
        <v>0.42359999999999998</v>
      </c>
      <c r="Z601" s="18">
        <v>1662</v>
      </c>
    </row>
    <row r="602" spans="1:26" ht="15.75" customHeight="1" x14ac:dyDescent="0.2">
      <c r="A602" s="36" t="str">
        <f>HYPERLINK("https://www.tesu.edu", "Thomas Edison State University")</f>
        <v>Thomas Edison State University</v>
      </c>
      <c r="B602" s="18" t="s">
        <v>49</v>
      </c>
      <c r="C602" s="18" t="s">
        <v>141</v>
      </c>
      <c r="D602" s="18" t="s">
        <v>1245</v>
      </c>
      <c r="E602" s="18" t="s">
        <v>36</v>
      </c>
      <c r="F602" s="18" t="s">
        <v>36</v>
      </c>
      <c r="J602" s="19" t="s">
        <v>36</v>
      </c>
      <c r="K602" s="19">
        <v>0.28254437900000001</v>
      </c>
      <c r="L602" s="19" t="s">
        <v>36</v>
      </c>
      <c r="M602" s="19" t="s">
        <v>36</v>
      </c>
      <c r="N602" s="19" t="s">
        <v>36</v>
      </c>
      <c r="O602" s="19" t="s">
        <v>36</v>
      </c>
      <c r="P602" s="20">
        <v>17190</v>
      </c>
      <c r="Q602" s="21" t="str">
        <f>HYPERLINK("https://www.tesu.edu/tuition/net-price-calculator", "Not reported")</f>
        <v>Not reported</v>
      </c>
      <c r="R602" s="20" t="s">
        <v>36</v>
      </c>
      <c r="S602" s="20" t="s">
        <v>36</v>
      </c>
      <c r="T602" s="20">
        <v>2267</v>
      </c>
      <c r="U602" s="20" t="s">
        <v>36</v>
      </c>
      <c r="W602" s="19">
        <v>0.11700000000000001</v>
      </c>
      <c r="X602" s="19">
        <v>0.48939999999999989</v>
      </c>
      <c r="Z602" s="18">
        <v>10787</v>
      </c>
    </row>
    <row r="603" spans="1:26" ht="15.75" customHeight="1" x14ac:dyDescent="0.2">
      <c r="A603" s="36" t="str">
        <f>HYPERLINK("https://www.thomasmore.edu", "Thomas More College")</f>
        <v>Thomas More College</v>
      </c>
      <c r="B603" s="18" t="s">
        <v>32</v>
      </c>
      <c r="C603" s="18" t="s">
        <v>205</v>
      </c>
      <c r="D603" s="18" t="s">
        <v>1247</v>
      </c>
      <c r="E603" s="18">
        <v>1081</v>
      </c>
      <c r="F603" s="18" t="s">
        <v>35</v>
      </c>
      <c r="J603" s="19">
        <v>0.45100000000000001</v>
      </c>
      <c r="K603" s="19">
        <v>0.29591836700000002</v>
      </c>
      <c r="L603" s="19">
        <v>0.50480000000000003</v>
      </c>
      <c r="M603" s="19">
        <v>0.2</v>
      </c>
      <c r="N603" s="19">
        <v>0.1429</v>
      </c>
      <c r="O603" s="19">
        <v>0</v>
      </c>
      <c r="P603" s="20">
        <v>40668</v>
      </c>
      <c r="Q603" s="21" t="str">
        <f>HYPERLINK("https://www.thomasmore.edu/financial_aid/netprice_introduction.cfm", "$16413")</f>
        <v>$16413</v>
      </c>
      <c r="R603" s="20">
        <v>18272</v>
      </c>
      <c r="S603" s="20">
        <v>20460</v>
      </c>
      <c r="T603" s="20" t="s">
        <v>36</v>
      </c>
      <c r="U603" s="20" t="s">
        <v>36</v>
      </c>
      <c r="W603" s="19">
        <v>0.25080000000000002</v>
      </c>
      <c r="X603" s="19">
        <v>0.23949999999999999</v>
      </c>
      <c r="Z603" s="18">
        <v>1399</v>
      </c>
    </row>
    <row r="604" spans="1:26" ht="15.75" customHeight="1" x14ac:dyDescent="0.2">
      <c r="A604" s="36" t="str">
        <f>HYPERLINK("https://www.tiffin.edu", "Tiffin University")</f>
        <v>Tiffin University</v>
      </c>
      <c r="B604" s="18" t="s">
        <v>32</v>
      </c>
      <c r="C604" s="18" t="s">
        <v>75</v>
      </c>
      <c r="D604" s="18" t="s">
        <v>819</v>
      </c>
      <c r="E604" s="18" t="s">
        <v>36</v>
      </c>
      <c r="F604" s="18" t="s">
        <v>90</v>
      </c>
      <c r="J604" s="19">
        <v>0.28160000000000002</v>
      </c>
      <c r="K604" s="19">
        <v>0.138170974</v>
      </c>
      <c r="L604" s="19">
        <v>0.35649999999999998</v>
      </c>
      <c r="M604" s="19">
        <v>0.12809999999999999</v>
      </c>
      <c r="N604" s="19">
        <v>0.32140000000000002</v>
      </c>
      <c r="O604" s="19">
        <v>0.42859999999999998</v>
      </c>
      <c r="P604" s="20">
        <v>37800</v>
      </c>
      <c r="Q604" s="21" t="str">
        <f>HYPERLINK("https://www.tiffin.edu", "$18337")</f>
        <v>$18337</v>
      </c>
      <c r="R604" s="20">
        <v>21250</v>
      </c>
      <c r="S604" s="20">
        <v>22542</v>
      </c>
      <c r="T604" s="20">
        <v>3500</v>
      </c>
      <c r="U604" s="20">
        <v>14837</v>
      </c>
      <c r="W604" s="19">
        <v>0.38629999999999998</v>
      </c>
      <c r="X604" s="19">
        <v>0.60329999999999995</v>
      </c>
      <c r="Z604" s="18">
        <v>2095</v>
      </c>
    </row>
    <row r="605" spans="1:26" ht="15.75" customHeight="1" x14ac:dyDescent="0.2">
      <c r="A605" s="36" t="str">
        <f>HYPERLINK("https://www.touro.edu", "Touro College")</f>
        <v>Touro College</v>
      </c>
      <c r="B605" s="18" t="s">
        <v>32</v>
      </c>
      <c r="C605" s="18" t="s">
        <v>38</v>
      </c>
      <c r="D605" s="18" t="s">
        <v>39</v>
      </c>
      <c r="E605" s="18" t="s">
        <v>36</v>
      </c>
      <c r="F605" s="18" t="s">
        <v>90</v>
      </c>
      <c r="J605" s="19">
        <v>0.57079999999999997</v>
      </c>
      <c r="K605" s="19">
        <v>0.36783042399999999</v>
      </c>
      <c r="L605" s="19">
        <v>0.58189999999999997</v>
      </c>
      <c r="M605" s="19">
        <v>0.55489999999999995</v>
      </c>
      <c r="N605" s="19">
        <v>0.52270000000000005</v>
      </c>
      <c r="O605" s="19">
        <v>0.48980000000000001</v>
      </c>
      <c r="P605" s="20">
        <v>35111</v>
      </c>
      <c r="Q605" s="21" t="str">
        <f>HYPERLINK("https://www.touro.edu/students/net-price-calculators/", "$21904")</f>
        <v>$21904</v>
      </c>
      <c r="R605" s="20">
        <v>25894</v>
      </c>
      <c r="S605" s="20">
        <v>28493</v>
      </c>
      <c r="T605" s="20">
        <v>5441</v>
      </c>
      <c r="U605" s="20">
        <v>16463</v>
      </c>
      <c r="W605" s="19">
        <v>0.38340000000000002</v>
      </c>
      <c r="X605" s="19">
        <v>0.38979999999999998</v>
      </c>
      <c r="Z605" s="18">
        <v>5670</v>
      </c>
    </row>
    <row r="606" spans="1:26" ht="15.75" customHeight="1" x14ac:dyDescent="0.2">
      <c r="A606" s="36" t="str">
        <f>HYPERLINK("https://www.trevecca.edu", "Trevecca Nazarene University")</f>
        <v>Trevecca Nazarene University</v>
      </c>
      <c r="B606" s="18" t="s">
        <v>32</v>
      </c>
      <c r="C606" s="18" t="s">
        <v>174</v>
      </c>
      <c r="D606" s="18" t="s">
        <v>175</v>
      </c>
      <c r="E606" s="18">
        <v>1121</v>
      </c>
      <c r="F606" s="18" t="s">
        <v>35</v>
      </c>
      <c r="J606" s="19">
        <v>0.53820000000000001</v>
      </c>
      <c r="K606" s="19">
        <v>0.16438356200000001</v>
      </c>
      <c r="L606" s="19">
        <v>0.56620000000000004</v>
      </c>
      <c r="M606" s="19">
        <v>0.31819999999999998</v>
      </c>
      <c r="N606" s="19">
        <v>0.625</v>
      </c>
      <c r="O606" s="19">
        <v>0.33329999999999999</v>
      </c>
      <c r="P606" s="20">
        <v>39130</v>
      </c>
      <c r="Q606" s="21" t="str">
        <f>HYPERLINK("https://www.shoppingsheet.com/Shopping/Landing/trevecca", "$16381")</f>
        <v>$16381</v>
      </c>
      <c r="R606" s="20">
        <v>18414</v>
      </c>
      <c r="S606" s="20">
        <v>20529</v>
      </c>
      <c r="T606" s="20" t="s">
        <v>36</v>
      </c>
      <c r="U606" s="20" t="s">
        <v>36</v>
      </c>
      <c r="W606" s="19">
        <v>0.35089999999999999</v>
      </c>
      <c r="X606" s="19">
        <v>0.39250000000000002</v>
      </c>
      <c r="Z606" s="18">
        <v>2112</v>
      </c>
    </row>
    <row r="607" spans="1:26" ht="15.75" customHeight="1" x14ac:dyDescent="0.2">
      <c r="A607" s="36" t="str">
        <f>HYPERLINK("https://www.trnty.edu", "Trinity Christian College")</f>
        <v>Trinity Christian College</v>
      </c>
      <c r="B607" s="18" t="s">
        <v>32</v>
      </c>
      <c r="C607" s="18" t="s">
        <v>137</v>
      </c>
      <c r="D607" s="18" t="s">
        <v>1250</v>
      </c>
      <c r="E607" s="18">
        <v>1125</v>
      </c>
      <c r="F607" s="18" t="s">
        <v>35</v>
      </c>
      <c r="J607" s="19">
        <v>0.68799999999999994</v>
      </c>
      <c r="K607" s="19">
        <v>0.35031847100000002</v>
      </c>
      <c r="L607" s="19">
        <v>0.75</v>
      </c>
      <c r="M607" s="19">
        <v>0.4</v>
      </c>
      <c r="N607" s="19">
        <v>0.45450000000000002</v>
      </c>
      <c r="O607" s="19">
        <v>1</v>
      </c>
      <c r="P607" s="20">
        <v>42255</v>
      </c>
      <c r="Q607" s="21" t="str">
        <f>HYPERLINK("https://www.trnty.edu/finaid/mm-npcfs.html", "$18058")</f>
        <v>$18058</v>
      </c>
      <c r="R607" s="20">
        <v>21471</v>
      </c>
      <c r="S607" s="20">
        <v>21414</v>
      </c>
      <c r="T607" s="20">
        <v>3900</v>
      </c>
      <c r="U607" s="20">
        <v>14158</v>
      </c>
      <c r="W607" s="19">
        <v>0.36549999999999999</v>
      </c>
      <c r="X607" s="19">
        <v>0.3599</v>
      </c>
      <c r="Z607" s="18">
        <v>1028</v>
      </c>
    </row>
    <row r="608" spans="1:26" ht="15.75" customHeight="1" x14ac:dyDescent="0.2">
      <c r="A608" s="36" t="str">
        <f>HYPERLINK("https://florida.tiu.edu", "Trinity International University-Florida")</f>
        <v>Trinity International University-Florida</v>
      </c>
      <c r="B608" s="18" t="s">
        <v>32</v>
      </c>
      <c r="C608" s="18" t="s">
        <v>162</v>
      </c>
      <c r="D608" s="18" t="s">
        <v>359</v>
      </c>
      <c r="E608" s="18" t="s">
        <v>36</v>
      </c>
      <c r="F608" s="18" t="s">
        <v>36</v>
      </c>
      <c r="J608" s="19">
        <v>0</v>
      </c>
      <c r="K608" s="19">
        <v>0.31746031800000002</v>
      </c>
      <c r="L608" s="19" t="s">
        <v>36</v>
      </c>
      <c r="M608" s="19">
        <v>0</v>
      </c>
      <c r="N608" s="19">
        <v>0</v>
      </c>
      <c r="O608" s="19" t="s">
        <v>36</v>
      </c>
      <c r="P608" s="20">
        <v>30468</v>
      </c>
      <c r="Q608" s="21" t="str">
        <f>HYPERLINK("https://florida.tiu.edu/admissions-financial-aid/tuition-costs/net-price-calculator/", "Not reported")</f>
        <v>Not reported</v>
      </c>
      <c r="R608" s="20" t="s">
        <v>36</v>
      </c>
      <c r="S608" s="20" t="s">
        <v>36</v>
      </c>
      <c r="T608" s="20">
        <v>7430</v>
      </c>
      <c r="U608" s="20" t="s">
        <v>36</v>
      </c>
      <c r="W608" s="19">
        <v>0.61109999999999998</v>
      </c>
      <c r="X608" s="19">
        <v>0.87329999999999997</v>
      </c>
      <c r="Z608" s="18">
        <v>150</v>
      </c>
    </row>
    <row r="609" spans="1:26" ht="15.75" customHeight="1" x14ac:dyDescent="0.2">
      <c r="A609" s="36" t="str">
        <f>HYPERLINK("https://www.tiu.edu", "Trinity International University-Illinois")</f>
        <v>Trinity International University-Illinois</v>
      </c>
      <c r="B609" s="18" t="s">
        <v>32</v>
      </c>
      <c r="C609" s="18" t="s">
        <v>137</v>
      </c>
      <c r="D609" s="18" t="s">
        <v>1252</v>
      </c>
      <c r="E609" s="18">
        <v>1129</v>
      </c>
      <c r="F609" s="18" t="s">
        <v>35</v>
      </c>
      <c r="J609" s="19">
        <v>0.51590000000000003</v>
      </c>
      <c r="K609" s="19">
        <v>0.31746031800000002</v>
      </c>
      <c r="L609" s="19">
        <v>0.58720000000000006</v>
      </c>
      <c r="M609" s="19">
        <v>0.21049999999999999</v>
      </c>
      <c r="N609" s="19">
        <v>0.30769999999999997</v>
      </c>
      <c r="O609" s="19">
        <v>1</v>
      </c>
      <c r="P609" s="20">
        <v>44510</v>
      </c>
      <c r="Q609" s="21" t="str">
        <f>HYPERLINK("https://undergrad.tiu.edu/tuition-aid/net-price-calculator/", "$17013")</f>
        <v>$17013</v>
      </c>
      <c r="R609" s="20">
        <v>19076</v>
      </c>
      <c r="S609" s="20">
        <v>20809</v>
      </c>
      <c r="T609" s="20">
        <v>4220</v>
      </c>
      <c r="U609" s="20">
        <v>12793</v>
      </c>
      <c r="W609" s="19">
        <v>0.40300000000000002</v>
      </c>
      <c r="X609" s="19">
        <v>0.45600000000000002</v>
      </c>
      <c r="Z609" s="18">
        <v>750</v>
      </c>
    </row>
    <row r="610" spans="1:26" ht="15.75" customHeight="1" x14ac:dyDescent="0.2">
      <c r="A610" s="36" t="str">
        <f>HYPERLINK("https://www.trinitydc.edu", "Trinity Washington University")</f>
        <v>Trinity Washington University</v>
      </c>
      <c r="B610" s="18" t="s">
        <v>32</v>
      </c>
      <c r="C610" s="18" t="s">
        <v>113</v>
      </c>
      <c r="D610" s="18" t="s">
        <v>114</v>
      </c>
      <c r="E610" s="18" t="s">
        <v>36</v>
      </c>
      <c r="F610" s="18" t="s">
        <v>90</v>
      </c>
      <c r="J610" s="19">
        <v>0.35980000000000001</v>
      </c>
      <c r="K610" s="19">
        <v>0.39938080500000001</v>
      </c>
      <c r="L610" s="19">
        <v>0</v>
      </c>
      <c r="M610" s="19">
        <v>0.32800000000000001</v>
      </c>
      <c r="N610" s="19">
        <v>0.56000000000000005</v>
      </c>
      <c r="O610" s="19">
        <v>0.6</v>
      </c>
      <c r="P610" s="20">
        <v>37360</v>
      </c>
      <c r="Q610" s="21" t="str">
        <f>HYPERLINK("https://www.trinitydc.edu/enrollment/net-price-calculator/", "$16119")</f>
        <v>$16119</v>
      </c>
      <c r="R610" s="20">
        <v>17715</v>
      </c>
      <c r="S610" s="20">
        <v>19317</v>
      </c>
      <c r="T610" s="20">
        <v>3180</v>
      </c>
      <c r="U610" s="20">
        <v>12939</v>
      </c>
      <c r="W610" s="19">
        <v>0.69840000000000002</v>
      </c>
      <c r="X610" s="19">
        <v>0.98199999999999998</v>
      </c>
      <c r="Z610" s="18">
        <v>1498</v>
      </c>
    </row>
    <row r="611" spans="1:26" ht="15.75" customHeight="1" x14ac:dyDescent="0.2">
      <c r="A611" s="36" t="str">
        <f>HYPERLINK("https://www.troy.edu", "Troy University-eTROY")</f>
        <v>Troy University-eTROY</v>
      </c>
      <c r="B611" s="18" t="s">
        <v>49</v>
      </c>
      <c r="C611" s="18" t="s">
        <v>300</v>
      </c>
      <c r="D611" s="18" t="s">
        <v>145</v>
      </c>
      <c r="E611" s="18">
        <v>1085</v>
      </c>
      <c r="F611" s="18" t="s">
        <v>35</v>
      </c>
      <c r="J611" s="19">
        <v>0.39</v>
      </c>
      <c r="K611" s="19">
        <v>0.189623081</v>
      </c>
      <c r="L611" s="19">
        <v>0.44879999999999998</v>
      </c>
      <c r="M611" s="19">
        <v>0.23769999999999999</v>
      </c>
      <c r="N611" s="19">
        <v>0.52829999999999999</v>
      </c>
      <c r="O611" s="19">
        <v>0.28570000000000001</v>
      </c>
      <c r="P611" s="20">
        <v>27399</v>
      </c>
      <c r="Q611" s="21" t="str">
        <f>HYPERLINK("https://www.troy.edu/admissions/net-price-calculator.html", "$22114")</f>
        <v>$22114</v>
      </c>
      <c r="R611" s="20">
        <v>24161</v>
      </c>
      <c r="S611" s="20">
        <v>24803</v>
      </c>
      <c r="T611" s="20">
        <v>4435</v>
      </c>
      <c r="U611" s="20">
        <v>17679.178272980502</v>
      </c>
      <c r="W611" s="19">
        <v>0.40110000000000001</v>
      </c>
      <c r="X611" s="19">
        <v>0.46500000000000002</v>
      </c>
      <c r="Z611" s="18">
        <v>13634</v>
      </c>
    </row>
    <row r="612" spans="1:26" ht="15.75" customHeight="1" x14ac:dyDescent="0.2">
      <c r="A612" s="36" t="str">
        <f>HYPERLINK("https://www.troy.edu/dothan/", "Troy University-Dothan Campus")</f>
        <v>Troy University-Dothan Campus</v>
      </c>
      <c r="B612" s="18" t="s">
        <v>49</v>
      </c>
      <c r="C612" s="18" t="s">
        <v>300</v>
      </c>
      <c r="D612" s="18" t="s">
        <v>1255</v>
      </c>
      <c r="E612" s="18" t="s">
        <v>36</v>
      </c>
      <c r="F612" s="18" t="s">
        <v>36</v>
      </c>
      <c r="J612" s="19" t="s">
        <v>36</v>
      </c>
      <c r="K612" s="19">
        <v>0.189623081</v>
      </c>
      <c r="L612" s="19" t="s">
        <v>36</v>
      </c>
      <c r="M612" s="19" t="s">
        <v>36</v>
      </c>
      <c r="N612" s="19" t="s">
        <v>36</v>
      </c>
      <c r="O612" s="19" t="s">
        <v>36</v>
      </c>
      <c r="P612" s="20" t="s">
        <v>36</v>
      </c>
      <c r="Q612" s="35" t="s">
        <v>36</v>
      </c>
      <c r="R612" s="20" t="s">
        <v>36</v>
      </c>
      <c r="S612" s="20" t="s">
        <v>36</v>
      </c>
      <c r="T612" s="20" t="s">
        <v>36</v>
      </c>
      <c r="U612" s="20" t="s">
        <v>36</v>
      </c>
      <c r="W612" s="19" t="s">
        <v>36</v>
      </c>
      <c r="X612" s="19" t="s">
        <v>36</v>
      </c>
      <c r="Z612" s="18" t="s">
        <v>36</v>
      </c>
    </row>
    <row r="613" spans="1:26" ht="15.75" customHeight="1" x14ac:dyDescent="0.2">
      <c r="A613" s="36" t="str">
        <f>HYPERLINK("https://www.troy.edu/montgomery/", "Troy University-Montgomery Campus")</f>
        <v>Troy University-Montgomery Campus</v>
      </c>
      <c r="B613" s="18" t="s">
        <v>49</v>
      </c>
      <c r="C613" s="18" t="s">
        <v>300</v>
      </c>
      <c r="D613" s="18" t="s">
        <v>547</v>
      </c>
      <c r="E613" s="18" t="s">
        <v>36</v>
      </c>
      <c r="F613" s="18" t="s">
        <v>36</v>
      </c>
      <c r="J613" s="19" t="s">
        <v>36</v>
      </c>
      <c r="K613" s="19">
        <v>0.189623081</v>
      </c>
      <c r="L613" s="19" t="s">
        <v>36</v>
      </c>
      <c r="M613" s="19" t="s">
        <v>36</v>
      </c>
      <c r="N613" s="19" t="s">
        <v>36</v>
      </c>
      <c r="O613" s="19" t="s">
        <v>36</v>
      </c>
      <c r="P613" s="20" t="s">
        <v>36</v>
      </c>
      <c r="Q613" s="35" t="s">
        <v>36</v>
      </c>
      <c r="R613" s="20" t="s">
        <v>36</v>
      </c>
      <c r="S613" s="20" t="s">
        <v>36</v>
      </c>
      <c r="T613" s="20" t="s">
        <v>36</v>
      </c>
      <c r="U613" s="20" t="s">
        <v>36</v>
      </c>
      <c r="W613" s="19" t="s">
        <v>36</v>
      </c>
      <c r="X613" s="19" t="s">
        <v>36</v>
      </c>
      <c r="Z613" s="18" t="s">
        <v>36</v>
      </c>
    </row>
    <row r="614" spans="1:26" ht="15.75" customHeight="1" x14ac:dyDescent="0.2">
      <c r="A614" s="36" t="str">
        <f>HYPERLINK("https://online.troy.edu/index.html", "Troy University")</f>
        <v>Troy University</v>
      </c>
      <c r="B614" s="18" t="s">
        <v>49</v>
      </c>
      <c r="C614" s="18" t="s">
        <v>300</v>
      </c>
      <c r="D614" s="18" t="s">
        <v>145</v>
      </c>
      <c r="E614" s="18" t="s">
        <v>36</v>
      </c>
      <c r="F614" s="18" t="s">
        <v>36</v>
      </c>
      <c r="J614" s="19" t="s">
        <v>36</v>
      </c>
      <c r="K614" s="19">
        <v>0.189623081</v>
      </c>
      <c r="L614" s="19" t="s">
        <v>36</v>
      </c>
      <c r="M614" s="19" t="s">
        <v>36</v>
      </c>
      <c r="N614" s="19" t="s">
        <v>36</v>
      </c>
      <c r="O614" s="19" t="s">
        <v>36</v>
      </c>
      <c r="P614" s="20" t="s">
        <v>36</v>
      </c>
      <c r="Q614" s="35" t="s">
        <v>36</v>
      </c>
      <c r="R614" s="20" t="s">
        <v>36</v>
      </c>
      <c r="S614" s="20" t="s">
        <v>36</v>
      </c>
      <c r="T614" s="20" t="s">
        <v>36</v>
      </c>
      <c r="U614" s="20" t="s">
        <v>36</v>
      </c>
      <c r="W614" s="19" t="s">
        <v>36</v>
      </c>
      <c r="X614" s="19" t="s">
        <v>36</v>
      </c>
      <c r="Z614" s="18" t="s">
        <v>36</v>
      </c>
    </row>
    <row r="615" spans="1:26" ht="15.75" customHeight="1" x14ac:dyDescent="0.2">
      <c r="A615" s="36" t="str">
        <f>HYPERLINK("https://www.troy.edu/phenixcity/", "Troy University-Phenix City Campus")</f>
        <v>Troy University-Phenix City Campus</v>
      </c>
      <c r="B615" s="18" t="s">
        <v>49</v>
      </c>
      <c r="C615" s="18" t="s">
        <v>300</v>
      </c>
      <c r="D615" s="18" t="s">
        <v>1127</v>
      </c>
      <c r="E615" s="18" t="s">
        <v>36</v>
      </c>
      <c r="F615" s="18" t="s">
        <v>36</v>
      </c>
      <c r="J615" s="19" t="s">
        <v>36</v>
      </c>
      <c r="K615" s="19">
        <v>0.189623081</v>
      </c>
      <c r="L615" s="19" t="s">
        <v>36</v>
      </c>
      <c r="M615" s="19" t="s">
        <v>36</v>
      </c>
      <c r="N615" s="19" t="s">
        <v>36</v>
      </c>
      <c r="O615" s="19" t="s">
        <v>36</v>
      </c>
      <c r="P615" s="20" t="s">
        <v>36</v>
      </c>
      <c r="Q615" s="35" t="s">
        <v>36</v>
      </c>
      <c r="R615" s="20" t="s">
        <v>36</v>
      </c>
      <c r="S615" s="20" t="s">
        <v>36</v>
      </c>
      <c r="T615" s="20" t="s">
        <v>36</v>
      </c>
      <c r="U615" s="20" t="s">
        <v>36</v>
      </c>
      <c r="W615" s="19" t="s">
        <v>36</v>
      </c>
      <c r="X615" s="19" t="s">
        <v>36</v>
      </c>
      <c r="Z615" s="18" t="s">
        <v>36</v>
      </c>
    </row>
    <row r="616" spans="1:26" ht="15.75" customHeight="1" x14ac:dyDescent="0.2">
      <c r="A616" s="36" t="str">
        <f>HYPERLINK("https://www.troy.edu/servicecenters/", "Troy University")</f>
        <v>Troy University</v>
      </c>
      <c r="B616" s="18" t="s">
        <v>49</v>
      </c>
      <c r="C616" s="18" t="s">
        <v>300</v>
      </c>
      <c r="D616" s="18" t="s">
        <v>145</v>
      </c>
      <c r="E616" s="18" t="s">
        <v>36</v>
      </c>
      <c r="F616" s="18" t="s">
        <v>36</v>
      </c>
      <c r="J616" s="19" t="s">
        <v>36</v>
      </c>
      <c r="K616" s="19">
        <v>0.189623081</v>
      </c>
      <c r="L616" s="19" t="s">
        <v>36</v>
      </c>
      <c r="M616" s="19" t="s">
        <v>36</v>
      </c>
      <c r="N616" s="19" t="s">
        <v>36</v>
      </c>
      <c r="O616" s="19" t="s">
        <v>36</v>
      </c>
      <c r="P616" s="20" t="s">
        <v>36</v>
      </c>
      <c r="Q616" s="35" t="s">
        <v>36</v>
      </c>
      <c r="R616" s="20" t="s">
        <v>36</v>
      </c>
      <c r="S616" s="20" t="s">
        <v>36</v>
      </c>
      <c r="T616" s="20" t="s">
        <v>36</v>
      </c>
      <c r="U616" s="20" t="s">
        <v>36</v>
      </c>
      <c r="W616" s="19" t="s">
        <v>36</v>
      </c>
      <c r="X616" s="19" t="s">
        <v>36</v>
      </c>
      <c r="Z616" s="18" t="s">
        <v>36</v>
      </c>
    </row>
    <row r="617" spans="1:26" ht="15.75" customHeight="1" x14ac:dyDescent="0.2">
      <c r="A617" s="36" t="str">
        <f>HYPERLINK("https://www.tusculum.edu", "Tusculum College")</f>
        <v>Tusculum College</v>
      </c>
      <c r="B617" s="18" t="s">
        <v>32</v>
      </c>
      <c r="C617" s="18" t="s">
        <v>174</v>
      </c>
      <c r="D617" s="18" t="s">
        <v>1258</v>
      </c>
      <c r="E617" s="18">
        <v>1029</v>
      </c>
      <c r="F617" s="18" t="s">
        <v>35</v>
      </c>
      <c r="J617" s="19">
        <v>0.33439999999999998</v>
      </c>
      <c r="K617" s="19">
        <v>0.42253521100000002</v>
      </c>
      <c r="L617" s="19">
        <v>0.38390000000000002</v>
      </c>
      <c r="M617" s="19">
        <v>0.1613</v>
      </c>
      <c r="N617" s="19">
        <v>0.18179999999999999</v>
      </c>
      <c r="O617" s="19">
        <v>0</v>
      </c>
      <c r="P617" s="20">
        <v>38660</v>
      </c>
      <c r="Q617" s="21" t="str">
        <f>HYPERLINK("https://www.tusculum.edu/npc/index.html", "$14910")</f>
        <v>$14910</v>
      </c>
      <c r="R617" s="20">
        <v>18442</v>
      </c>
      <c r="S617" s="20">
        <v>20224</v>
      </c>
      <c r="T617" s="20">
        <v>6260</v>
      </c>
      <c r="U617" s="20">
        <v>8650</v>
      </c>
      <c r="W617" s="19">
        <v>0.503</v>
      </c>
      <c r="X617" s="19">
        <v>0.30320000000000003</v>
      </c>
      <c r="Z617" s="18">
        <v>1484</v>
      </c>
    </row>
    <row r="618" spans="1:26" ht="15.75" customHeight="1" x14ac:dyDescent="0.2">
      <c r="A618" s="36" t="str">
        <f>HYPERLINK("https://www.tuskegee.edu", "Tuskegee University")</f>
        <v>Tuskegee University</v>
      </c>
      <c r="B618" s="18" t="s">
        <v>32</v>
      </c>
      <c r="C618" s="18" t="s">
        <v>300</v>
      </c>
      <c r="D618" s="18" t="s">
        <v>1259</v>
      </c>
      <c r="E618" s="18">
        <v>1036</v>
      </c>
      <c r="F618" s="18" t="s">
        <v>35</v>
      </c>
      <c r="J618" s="19">
        <v>0.51929999999999998</v>
      </c>
      <c r="K618" s="19">
        <v>0.40056022400000002</v>
      </c>
      <c r="L618" s="19" t="s">
        <v>36</v>
      </c>
      <c r="M618" s="19">
        <v>0.53149999999999997</v>
      </c>
      <c r="N618" s="19" t="s">
        <v>36</v>
      </c>
      <c r="O618" s="19" t="s">
        <v>36</v>
      </c>
      <c r="P618" s="20">
        <v>39383</v>
      </c>
      <c r="Q618" s="21" t="str">
        <f>HYPERLINK("https://www.tuskegee.edu", "$32568")</f>
        <v>$32568</v>
      </c>
      <c r="R618" s="20">
        <v>33596</v>
      </c>
      <c r="S618" s="20">
        <v>34166</v>
      </c>
      <c r="T618" s="20">
        <v>7563</v>
      </c>
      <c r="U618" s="20">
        <v>25005</v>
      </c>
      <c r="W618" s="19">
        <v>5.6800000000000003E-2</v>
      </c>
      <c r="X618" s="19">
        <v>0.99329999999999996</v>
      </c>
      <c r="Z618" s="18">
        <v>2833</v>
      </c>
    </row>
    <row r="619" spans="1:26" ht="15.75" customHeight="1" x14ac:dyDescent="0.2">
      <c r="A619" s="36" t="str">
        <f>HYPERLINK("https://www.ucollege.edu", "Union College")</f>
        <v>Union College</v>
      </c>
      <c r="B619" s="18" t="s">
        <v>32</v>
      </c>
      <c r="C619" s="18" t="s">
        <v>341</v>
      </c>
      <c r="D619" s="18" t="s">
        <v>516</v>
      </c>
      <c r="E619" s="18">
        <v>1112</v>
      </c>
      <c r="F619" s="18" t="s">
        <v>35</v>
      </c>
      <c r="J619" s="19">
        <v>0.53900000000000003</v>
      </c>
      <c r="K619" s="19">
        <v>0.56363636399999995</v>
      </c>
      <c r="L619" s="19">
        <v>0.55679999999999996</v>
      </c>
      <c r="M619" s="19">
        <v>0.23080000000000001</v>
      </c>
      <c r="N619" s="19">
        <v>0.42309999999999998</v>
      </c>
      <c r="O619" s="19">
        <v>0.8</v>
      </c>
      <c r="P619" s="20">
        <v>34490</v>
      </c>
      <c r="Q619" s="21" t="str">
        <f>HYPERLINK("https://www.ucollege.edu/admissions/financing-your-education/cost-calculator", "$18718")</f>
        <v>$18718</v>
      </c>
      <c r="R619" s="20">
        <v>20652</v>
      </c>
      <c r="S619" s="20">
        <v>22882</v>
      </c>
      <c r="T619" s="20">
        <v>4620</v>
      </c>
      <c r="U619" s="20">
        <v>14098</v>
      </c>
      <c r="W619" s="19">
        <v>0.36680000000000001</v>
      </c>
      <c r="X619" s="19">
        <v>0.47520000000000001</v>
      </c>
      <c r="Z619" s="18">
        <v>747</v>
      </c>
    </row>
    <row r="620" spans="1:26" ht="15.75" customHeight="1" x14ac:dyDescent="0.2">
      <c r="A620" s="36" t="str">
        <f>HYPERLINK("https://www.unionky.edu", "Union College")</f>
        <v>Union College</v>
      </c>
      <c r="B620" s="18" t="s">
        <v>32</v>
      </c>
      <c r="C620" s="18" t="s">
        <v>205</v>
      </c>
      <c r="D620" s="18" t="s">
        <v>1261</v>
      </c>
      <c r="E620" s="18">
        <v>1025</v>
      </c>
      <c r="F620" s="18" t="s">
        <v>35</v>
      </c>
      <c r="J620" s="19">
        <v>0.33679999999999999</v>
      </c>
      <c r="K620" s="19">
        <v>9.478673E-2</v>
      </c>
      <c r="L620" s="19">
        <v>0.32529999999999998</v>
      </c>
      <c r="M620" s="19">
        <v>9.0899999999999995E-2</v>
      </c>
      <c r="N620" s="19">
        <v>0.8</v>
      </c>
      <c r="O620" s="19" t="s">
        <v>36</v>
      </c>
      <c r="P620" s="20">
        <v>38905</v>
      </c>
      <c r="Q620" s="21" t="str">
        <f>HYPERLINK("https://unionky.studentaidcalculator.com/survey.aspx", "$17722")</f>
        <v>$17722</v>
      </c>
      <c r="R620" s="20">
        <v>19559</v>
      </c>
      <c r="S620" s="20">
        <v>36754</v>
      </c>
      <c r="T620" s="20">
        <v>5425</v>
      </c>
      <c r="U620" s="20">
        <v>12297</v>
      </c>
      <c r="W620" s="19">
        <v>0.52249999999999996</v>
      </c>
      <c r="X620" s="19">
        <v>0.28960000000000002</v>
      </c>
      <c r="Z620" s="18">
        <v>984</v>
      </c>
    </row>
    <row r="621" spans="1:26" ht="15.75" customHeight="1" x14ac:dyDescent="0.2">
      <c r="A621" s="36" t="str">
        <f>HYPERLINK("https://www.myunion.edu", "Union Institute &amp; University")</f>
        <v>Union Institute &amp; University</v>
      </c>
      <c r="B621" s="18" t="s">
        <v>32</v>
      </c>
      <c r="C621" s="18" t="s">
        <v>75</v>
      </c>
      <c r="D621" s="18" t="s">
        <v>502</v>
      </c>
      <c r="E621" s="18" t="s">
        <v>36</v>
      </c>
      <c r="F621" s="18" t="s">
        <v>36</v>
      </c>
      <c r="J621" s="19">
        <v>0</v>
      </c>
      <c r="K621" s="19">
        <v>0.44725738399999998</v>
      </c>
      <c r="L621" s="19">
        <v>0</v>
      </c>
      <c r="M621" s="19">
        <v>0</v>
      </c>
      <c r="N621" s="19" t="s">
        <v>36</v>
      </c>
      <c r="O621" s="19" t="s">
        <v>36</v>
      </c>
      <c r="P621" s="20">
        <v>26820</v>
      </c>
      <c r="Q621" s="21" t="str">
        <f>HYPERLINK("https://www.myunion.edu/net-price-calculator", "$16134")</f>
        <v>$16134</v>
      </c>
      <c r="R621" s="20" t="s">
        <v>36</v>
      </c>
      <c r="S621" s="20" t="s">
        <v>36</v>
      </c>
      <c r="T621" s="20">
        <v>2416</v>
      </c>
      <c r="U621" s="20">
        <v>13718</v>
      </c>
      <c r="W621" s="19">
        <v>0.44800000000000001</v>
      </c>
      <c r="X621" s="19">
        <v>0.64700000000000002</v>
      </c>
      <c r="Z621" s="18">
        <v>813</v>
      </c>
    </row>
    <row r="622" spans="1:26" ht="15.75" customHeight="1" x14ac:dyDescent="0.2">
      <c r="A622" s="36" t="str">
        <f>HYPERLINK("https://www.uab.edu", "University of Alabama at Birmingham")</f>
        <v>University of Alabama at Birmingham</v>
      </c>
      <c r="B622" s="18" t="s">
        <v>49</v>
      </c>
      <c r="C622" s="18" t="s">
        <v>300</v>
      </c>
      <c r="D622" s="18" t="s">
        <v>311</v>
      </c>
      <c r="E622" s="18">
        <v>1195</v>
      </c>
      <c r="F622" s="18" t="s">
        <v>35</v>
      </c>
      <c r="J622" s="19">
        <v>0.5292</v>
      </c>
      <c r="K622" s="19">
        <v>0.46445497600000002</v>
      </c>
      <c r="L622" s="19">
        <v>0.53559999999999997</v>
      </c>
      <c r="M622" s="19">
        <v>0.47510000000000002</v>
      </c>
      <c r="N622" s="19">
        <v>0.55559999999999998</v>
      </c>
      <c r="O622" s="19">
        <v>0.70369999999999999</v>
      </c>
      <c r="P622" s="20">
        <v>36800</v>
      </c>
      <c r="Q622" s="21" t="str">
        <f>HYPERLINK("https://uab.studentaidcalculator.com/survey.aspx", "$28473")</f>
        <v>$28473</v>
      </c>
      <c r="R622" s="20">
        <v>31561</v>
      </c>
      <c r="S622" s="20">
        <v>32501</v>
      </c>
      <c r="T622" s="20">
        <v>6086</v>
      </c>
      <c r="U622" s="20">
        <v>22387.427118644071</v>
      </c>
      <c r="W622" s="19">
        <v>0.35320000000000001</v>
      </c>
      <c r="X622" s="19">
        <v>0.42159999999999997</v>
      </c>
      <c r="Z622" s="18">
        <v>12866</v>
      </c>
    </row>
    <row r="623" spans="1:26" ht="15.75" customHeight="1" x14ac:dyDescent="0.2">
      <c r="A623" s="36" t="str">
        <f>HYPERLINK("https://www.uaf.edu", "University of Alaska Fairbanks")</f>
        <v>University of Alaska Fairbanks</v>
      </c>
      <c r="B623" s="18" t="s">
        <v>49</v>
      </c>
      <c r="C623" s="18" t="s">
        <v>548</v>
      </c>
      <c r="D623" s="18" t="s">
        <v>1262</v>
      </c>
      <c r="E623" s="18">
        <v>1094</v>
      </c>
      <c r="F623" s="18" t="s">
        <v>35</v>
      </c>
      <c r="J623" s="19">
        <v>0.30180000000000001</v>
      </c>
      <c r="K623" s="19">
        <v>0.20833333300000001</v>
      </c>
      <c r="L623" s="19">
        <v>0.37709999999999999</v>
      </c>
      <c r="M623" s="19">
        <v>0.375</v>
      </c>
      <c r="N623" s="19">
        <v>0.2</v>
      </c>
      <c r="O623" s="19">
        <v>0</v>
      </c>
      <c r="P623" s="20">
        <v>32563</v>
      </c>
      <c r="Q623" s="21" t="str">
        <f>HYPERLINK("https://www.uaf.edu/finaid/net-price-calculator/", "$23026")</f>
        <v>$23026</v>
      </c>
      <c r="R623" s="20">
        <v>25385</v>
      </c>
      <c r="S623" s="20">
        <v>29432</v>
      </c>
      <c r="T623" s="20">
        <v>4650</v>
      </c>
      <c r="U623" s="20">
        <v>18376.902654867259</v>
      </c>
      <c r="W623" s="19">
        <v>0.20369999999999999</v>
      </c>
      <c r="X623" s="19">
        <v>0.50550000000000006</v>
      </c>
      <c r="Z623" s="18">
        <v>4910</v>
      </c>
    </row>
    <row r="624" spans="1:26" ht="15.75" customHeight="1" x14ac:dyDescent="0.2">
      <c r="A624" s="36" t="str">
        <f>HYPERLINK("https://www.arizona.edu", "University of Arizona")</f>
        <v>University of Arizona</v>
      </c>
      <c r="B624" s="18" t="s">
        <v>49</v>
      </c>
      <c r="C624" s="18" t="s">
        <v>354</v>
      </c>
      <c r="D624" s="18" t="s">
        <v>1013</v>
      </c>
      <c r="E624" s="18" t="s">
        <v>36</v>
      </c>
      <c r="F624" s="18" t="s">
        <v>90</v>
      </c>
      <c r="J624" s="19">
        <v>0.6361</v>
      </c>
      <c r="K624" s="19">
        <v>0.507565932</v>
      </c>
      <c r="L624" s="19">
        <v>0.65349999999999997</v>
      </c>
      <c r="M624" s="19">
        <v>0.50409999999999999</v>
      </c>
      <c r="N624" s="19">
        <v>0.59540000000000004</v>
      </c>
      <c r="O624" s="19">
        <v>0.72440000000000004</v>
      </c>
      <c r="P624" s="20">
        <v>51707</v>
      </c>
      <c r="Q624" s="21" t="str">
        <f>HYPERLINK("https://financialaid.arizona.edu/general/net-price-calculator", "$37084")</f>
        <v>$37084</v>
      </c>
      <c r="R624" s="20">
        <v>41063</v>
      </c>
      <c r="S624" s="20">
        <v>43693</v>
      </c>
      <c r="T624" s="20">
        <v>4100</v>
      </c>
      <c r="U624" s="20">
        <v>32984.303983228507</v>
      </c>
      <c r="W624" s="19">
        <v>0.29349999999999998</v>
      </c>
      <c r="X624" s="19">
        <v>0.49659999999999999</v>
      </c>
      <c r="Z624" s="18">
        <v>33428</v>
      </c>
    </row>
    <row r="625" spans="1:26" ht="15.75" customHeight="1" x14ac:dyDescent="0.2">
      <c r="A625" s="36" t="str">
        <f>HYPERLINK("https://www.uapb.edu", "University of Arkansas at Pine Bluff")</f>
        <v>University of Arkansas at Pine Bluff</v>
      </c>
      <c r="B625" s="18" t="s">
        <v>49</v>
      </c>
      <c r="C625" s="18" t="s">
        <v>371</v>
      </c>
      <c r="D625" s="18" t="s">
        <v>1263</v>
      </c>
      <c r="E625" s="18">
        <v>951</v>
      </c>
      <c r="F625" s="18" t="s">
        <v>35</v>
      </c>
      <c r="J625" s="19">
        <v>0.28549999999999998</v>
      </c>
      <c r="K625" s="19">
        <v>0.24907975500000001</v>
      </c>
      <c r="L625" s="19">
        <v>0.2</v>
      </c>
      <c r="M625" s="19">
        <v>0.28660000000000002</v>
      </c>
      <c r="N625" s="19">
        <v>0.2727</v>
      </c>
      <c r="O625" s="19" t="s">
        <v>36</v>
      </c>
      <c r="P625" s="20">
        <v>25816</v>
      </c>
      <c r="Q625" s="21" t="str">
        <f>HYPERLINK("https://www.uapb.edu/admissions/net_price_calculator.aspx", "$17710")</f>
        <v>$17710</v>
      </c>
      <c r="R625" s="20">
        <v>19094</v>
      </c>
      <c r="S625" s="20">
        <v>23768</v>
      </c>
      <c r="T625" s="20">
        <v>4406</v>
      </c>
      <c r="U625" s="20">
        <v>13304.56050955414</v>
      </c>
      <c r="W625" s="19">
        <v>0.70709999999999995</v>
      </c>
      <c r="X625" s="19">
        <v>0.9657</v>
      </c>
      <c r="Z625" s="18">
        <v>2510</v>
      </c>
    </row>
    <row r="626" spans="1:26" ht="15.75" customHeight="1" x14ac:dyDescent="0.2">
      <c r="A626" s="36" t="str">
        <f>HYPERLINK("https://uafs.edu/", "University of Arkansas-Fort Smith")</f>
        <v>University of Arkansas-Fort Smith</v>
      </c>
      <c r="B626" s="18" t="s">
        <v>49</v>
      </c>
      <c r="C626" s="18" t="s">
        <v>371</v>
      </c>
      <c r="D626" s="18" t="s">
        <v>1264</v>
      </c>
      <c r="E626" s="18" t="s">
        <v>36</v>
      </c>
      <c r="F626" s="18" t="s">
        <v>36</v>
      </c>
      <c r="J626" s="19">
        <v>0.29820000000000002</v>
      </c>
      <c r="K626" s="19">
        <v>0.215358932</v>
      </c>
      <c r="L626" s="19">
        <v>0.314</v>
      </c>
      <c r="M626" s="19">
        <v>0.1852</v>
      </c>
      <c r="N626" s="19">
        <v>0.25230000000000002</v>
      </c>
      <c r="O626" s="19">
        <v>0.32790000000000002</v>
      </c>
      <c r="P626" s="20">
        <v>27040</v>
      </c>
      <c r="Q626" s="21" t="str">
        <f>HYPERLINK("https://admissions.uafs.edu/sites/admissions.uafs.edu/files/Departments/Financial/documents/np_calc/Net%20Price%20Calculator.htm", "$19581")</f>
        <v>$19581</v>
      </c>
      <c r="R626" s="20">
        <v>21985</v>
      </c>
      <c r="S626" s="20">
        <v>24126</v>
      </c>
      <c r="T626" s="20">
        <v>5964</v>
      </c>
      <c r="U626" s="20">
        <v>13617.26666666667</v>
      </c>
      <c r="W626" s="19">
        <v>0.44919999999999999</v>
      </c>
      <c r="X626" s="19">
        <v>0.34960000000000002</v>
      </c>
      <c r="Z626" s="18">
        <v>5455</v>
      </c>
    </row>
    <row r="627" spans="1:26" ht="15.75" customHeight="1" x14ac:dyDescent="0.2">
      <c r="A627" s="36" t="str">
        <f>HYPERLINK("https://www.ubalt.edu", "University of Baltimore")</f>
        <v>University of Baltimore</v>
      </c>
      <c r="B627" s="18" t="s">
        <v>49</v>
      </c>
      <c r="C627" s="18" t="s">
        <v>124</v>
      </c>
      <c r="D627" s="18" t="s">
        <v>125</v>
      </c>
      <c r="E627" s="18">
        <v>999</v>
      </c>
      <c r="F627" s="18" t="s">
        <v>35</v>
      </c>
      <c r="J627" s="19">
        <v>0.32900000000000001</v>
      </c>
      <c r="K627" s="19">
        <v>0.48022598900000002</v>
      </c>
      <c r="L627" s="19">
        <v>0.51060000000000005</v>
      </c>
      <c r="M627" s="19">
        <v>0.25290000000000001</v>
      </c>
      <c r="N627" s="19">
        <v>0</v>
      </c>
      <c r="O627" s="19">
        <v>0.66669999999999996</v>
      </c>
      <c r="P627" s="20">
        <v>40654</v>
      </c>
      <c r="Q627" s="21" t="str">
        <f>HYPERLINK("https://www.ubalt.edu/admission/financial-aid/aid-basics/policies/npc.cfm", "$36031")</f>
        <v>$36031</v>
      </c>
      <c r="R627" s="20" t="s">
        <v>36</v>
      </c>
      <c r="S627" s="20" t="s">
        <v>36</v>
      </c>
      <c r="T627" s="20">
        <v>5750</v>
      </c>
      <c r="U627" s="20">
        <v>30281.891304347821</v>
      </c>
      <c r="W627" s="19">
        <v>0.43330000000000002</v>
      </c>
      <c r="X627" s="19">
        <v>0.67789999999999995</v>
      </c>
      <c r="Z627" s="18">
        <v>2856</v>
      </c>
    </row>
    <row r="628" spans="1:26" ht="15.75" customHeight="1" x14ac:dyDescent="0.2">
      <c r="A628" s="36" t="str">
        <f>HYPERLINK("https://www.ucmerced.edu", "University of California-Merced")</f>
        <v>University of California-Merced</v>
      </c>
      <c r="B628" s="18" t="s">
        <v>49</v>
      </c>
      <c r="C628" s="18" t="s">
        <v>68</v>
      </c>
      <c r="D628" s="18" t="s">
        <v>1265</v>
      </c>
      <c r="E628" s="18">
        <v>1114</v>
      </c>
      <c r="F628" s="18" t="s">
        <v>35</v>
      </c>
      <c r="J628" s="19">
        <v>0.64390000000000003</v>
      </c>
      <c r="K628" s="19">
        <v>0.62203023800000001</v>
      </c>
      <c r="L628" s="19">
        <v>0.72119999999999995</v>
      </c>
      <c r="M628" s="19">
        <v>0.64490000000000003</v>
      </c>
      <c r="N628" s="19">
        <v>0.57389999999999997</v>
      </c>
      <c r="O628" s="19">
        <v>0.72209999999999996</v>
      </c>
      <c r="P628" s="20">
        <v>63690</v>
      </c>
      <c r="Q628" s="21" t="str">
        <f>HYPERLINK("https://finaidapps.ucmerced.edu/calculator/", "$40152")</f>
        <v>$40152</v>
      </c>
      <c r="R628" s="20">
        <v>43396</v>
      </c>
      <c r="S628" s="20">
        <v>49280</v>
      </c>
      <c r="T628" s="20">
        <v>5288</v>
      </c>
      <c r="U628" s="20">
        <v>34864.5679475164</v>
      </c>
      <c r="W628" s="19">
        <v>0.61240000000000006</v>
      </c>
      <c r="X628" s="19">
        <v>0.89759999999999995</v>
      </c>
      <c r="Z628" s="18">
        <v>7375</v>
      </c>
    </row>
    <row r="629" spans="1:26" ht="15.75" customHeight="1" x14ac:dyDescent="0.2">
      <c r="A629" s="36" t="str">
        <f>HYPERLINK("https://WWW.UCR.EDU", "University of California-Riverside")</f>
        <v>University of California-Riverside</v>
      </c>
      <c r="B629" s="18" t="s">
        <v>49</v>
      </c>
      <c r="C629" s="18" t="s">
        <v>68</v>
      </c>
      <c r="D629" s="18" t="s">
        <v>392</v>
      </c>
      <c r="E629" s="18">
        <v>1215</v>
      </c>
      <c r="F629" s="18" t="s">
        <v>35</v>
      </c>
      <c r="J629" s="19">
        <v>0.75049999999999994</v>
      </c>
      <c r="K629" s="19">
        <v>0.62451896699999998</v>
      </c>
      <c r="L629" s="19">
        <v>0.72270000000000001</v>
      </c>
      <c r="M629" s="19">
        <v>0.74519999999999997</v>
      </c>
      <c r="N629" s="19">
        <v>0.72750000000000004</v>
      </c>
      <c r="O629" s="19">
        <v>0.79200000000000004</v>
      </c>
      <c r="P629" s="20">
        <v>62677</v>
      </c>
      <c r="Q629" s="21" t="str">
        <f>HYPERLINK("https://vcsaweb.ucr.edu/FinAidManualCalculator/", "$38902")</f>
        <v>$38902</v>
      </c>
      <c r="R629" s="20">
        <v>42290</v>
      </c>
      <c r="S629" s="20">
        <v>49500</v>
      </c>
      <c r="T629" s="20">
        <v>5204</v>
      </c>
      <c r="U629" s="20">
        <v>33698.274408602163</v>
      </c>
      <c r="W629" s="19">
        <v>0.55799999999999994</v>
      </c>
      <c r="X629" s="19">
        <v>0.88050000000000006</v>
      </c>
      <c r="Z629" s="18">
        <v>20044</v>
      </c>
    </row>
    <row r="630" spans="1:26" ht="15.75" customHeight="1" x14ac:dyDescent="0.2">
      <c r="A630" s="36" t="str">
        <f>HYPERLINK("https://www.ucmo.edu", "University of Central Missouri")</f>
        <v>University of Central Missouri</v>
      </c>
      <c r="B630" s="18" t="s">
        <v>49</v>
      </c>
      <c r="C630" s="18" t="s">
        <v>164</v>
      </c>
      <c r="D630" s="18" t="s">
        <v>1267</v>
      </c>
      <c r="E630" s="18">
        <v>1105</v>
      </c>
      <c r="F630" s="18" t="s">
        <v>35</v>
      </c>
      <c r="J630" s="19">
        <v>0.4909</v>
      </c>
      <c r="K630" s="19">
        <v>0.41846522800000002</v>
      </c>
      <c r="L630" s="19">
        <v>0.52829999999999999</v>
      </c>
      <c r="M630" s="19">
        <v>0.36820000000000003</v>
      </c>
      <c r="N630" s="19">
        <v>0.47499999999999998</v>
      </c>
      <c r="O630" s="19">
        <v>0.53849999999999998</v>
      </c>
      <c r="P630" s="20">
        <v>26194</v>
      </c>
      <c r="Q630" s="21" t="str">
        <f>HYPERLINK("https://www.ucmo.edu/future-students/tuition-costs-and-financial-aid/", "$18347")</f>
        <v>$18347</v>
      </c>
      <c r="R630" s="20">
        <v>23231</v>
      </c>
      <c r="S630" s="20">
        <v>25946</v>
      </c>
      <c r="T630" s="20">
        <v>3400</v>
      </c>
      <c r="U630" s="20">
        <v>14947.663385826771</v>
      </c>
      <c r="W630" s="19">
        <v>0.32090000000000002</v>
      </c>
      <c r="X630" s="19">
        <v>0.24610000000000001</v>
      </c>
      <c r="Z630" s="18">
        <v>8589</v>
      </c>
    </row>
    <row r="631" spans="1:26" ht="15.75" customHeight="1" x14ac:dyDescent="0.2">
      <c r="A631" s="36" t="str">
        <f>HYPERLINK("https://www.uco.edu", "University of Central Oklahoma")</f>
        <v>University of Central Oklahoma</v>
      </c>
      <c r="B631" s="18" t="s">
        <v>49</v>
      </c>
      <c r="C631" s="18" t="s">
        <v>290</v>
      </c>
      <c r="D631" s="18" t="s">
        <v>437</v>
      </c>
      <c r="E631" s="18">
        <v>1085</v>
      </c>
      <c r="F631" s="18" t="s">
        <v>35</v>
      </c>
      <c r="J631" s="19">
        <v>0.37709999999999999</v>
      </c>
      <c r="K631" s="19">
        <v>0.384166126</v>
      </c>
      <c r="L631" s="19">
        <v>0.41499999999999998</v>
      </c>
      <c r="M631" s="19">
        <v>0.2243</v>
      </c>
      <c r="N631" s="19">
        <v>0.38300000000000001</v>
      </c>
      <c r="O631" s="19">
        <v>0.25640000000000002</v>
      </c>
      <c r="P631" s="20">
        <v>33963</v>
      </c>
      <c r="Q631" s="21" t="str">
        <f>HYPERLINK("https://www.uco.edu/admissions-aid/financial-aid/", "$25123")</f>
        <v>$25123</v>
      </c>
      <c r="R631" s="20">
        <v>29396</v>
      </c>
      <c r="S631" s="20">
        <v>32554</v>
      </c>
      <c r="T631" s="20">
        <v>8546</v>
      </c>
      <c r="U631" s="20">
        <v>16577.31899109792</v>
      </c>
      <c r="W631" s="19">
        <v>0.33810000000000001</v>
      </c>
      <c r="X631" s="19">
        <v>0.43859999999999999</v>
      </c>
      <c r="Z631" s="18">
        <v>14267</v>
      </c>
    </row>
    <row r="632" spans="1:26" ht="15.75" customHeight="1" x14ac:dyDescent="0.2">
      <c r="A632" s="36" t="str">
        <f>HYPERLINK("https://www.ucwv.edu", "University of Charleston")</f>
        <v>University of Charleston</v>
      </c>
      <c r="B632" s="18" t="s">
        <v>32</v>
      </c>
      <c r="C632" s="18" t="s">
        <v>574</v>
      </c>
      <c r="D632" s="18" t="s">
        <v>334</v>
      </c>
      <c r="E632" s="18">
        <v>1014</v>
      </c>
      <c r="F632" s="18" t="s">
        <v>115</v>
      </c>
      <c r="J632" s="19">
        <v>0.49390000000000001</v>
      </c>
      <c r="K632" s="19">
        <v>0.33098591599999999</v>
      </c>
      <c r="L632" s="19">
        <v>0.52259999999999995</v>
      </c>
      <c r="M632" s="19">
        <v>0.28210000000000002</v>
      </c>
      <c r="N632" s="19">
        <v>0.5</v>
      </c>
      <c r="O632" s="19">
        <v>0.5</v>
      </c>
      <c r="P632" s="20">
        <v>43900</v>
      </c>
      <c r="Q632" s="21" t="str">
        <f>HYPERLINK("https://www.ucwv.edu/NPC/", "$13168")</f>
        <v>$13168</v>
      </c>
      <c r="R632" s="20">
        <v>13639</v>
      </c>
      <c r="S632" s="20">
        <v>15952</v>
      </c>
      <c r="T632" s="20">
        <v>4400</v>
      </c>
      <c r="U632" s="20">
        <v>8768</v>
      </c>
      <c r="W632" s="19">
        <v>0.30380000000000001</v>
      </c>
      <c r="X632" s="19">
        <v>0.51929999999999998</v>
      </c>
      <c r="Z632" s="18">
        <v>1810</v>
      </c>
    </row>
    <row r="633" spans="1:26" ht="15.75" customHeight="1" x14ac:dyDescent="0.2">
      <c r="A633" s="36" t="str">
        <f>HYPERLINK("https://www.ucdenver.edu/", "University of Colorado Denver/Anschutz Medical Campus")</f>
        <v>University of Colorado Denver/Anschutz Medical Campus</v>
      </c>
      <c r="B633" s="18" t="s">
        <v>49</v>
      </c>
      <c r="C633" s="18" t="s">
        <v>87</v>
      </c>
      <c r="D633" s="18" t="s">
        <v>508</v>
      </c>
      <c r="E633" s="18">
        <v>1179</v>
      </c>
      <c r="F633" s="18" t="s">
        <v>35</v>
      </c>
      <c r="J633" s="19">
        <v>0.44850000000000001</v>
      </c>
      <c r="K633" s="19">
        <v>0.53944954099999998</v>
      </c>
      <c r="L633" s="19">
        <v>0.45</v>
      </c>
      <c r="M633" s="19">
        <v>0.5484</v>
      </c>
      <c r="N633" s="19">
        <v>0.39679999999999999</v>
      </c>
      <c r="O633" s="19">
        <v>0.55930000000000002</v>
      </c>
      <c r="P633" s="20">
        <v>44114</v>
      </c>
      <c r="Q633" s="21" t="str">
        <f>HYPERLINK("https://www.ucdenver.edu/student-services/resources/CostsAndFinancing/FASO/Learn/Pages/Net-Price-Calculator.aspx", "$34593")</f>
        <v>$34593</v>
      </c>
      <c r="R633" s="20">
        <v>38727</v>
      </c>
      <c r="S633" s="20">
        <v>42648</v>
      </c>
      <c r="T633" s="20">
        <v>7254</v>
      </c>
      <c r="U633" s="20">
        <v>27339.273972602739</v>
      </c>
      <c r="W633" s="19">
        <v>0.26079999999999998</v>
      </c>
      <c r="X633" s="19">
        <v>0.51919999999999999</v>
      </c>
      <c r="Z633" s="18">
        <v>11531</v>
      </c>
    </row>
    <row r="634" spans="1:26" ht="15.75" customHeight="1" x14ac:dyDescent="0.2">
      <c r="A634" s="36" t="str">
        <f>HYPERLINK("https://uconn.edu/", "University of Connecticut-Stamford")</f>
        <v>University of Connecticut-Stamford</v>
      </c>
      <c r="B634" s="18" t="s">
        <v>49</v>
      </c>
      <c r="C634" s="18" t="s">
        <v>94</v>
      </c>
      <c r="D634" s="18" t="s">
        <v>1270</v>
      </c>
      <c r="E634" s="18">
        <v>1085</v>
      </c>
      <c r="F634" s="18" t="s">
        <v>35</v>
      </c>
      <c r="J634" s="19">
        <v>0.64200000000000002</v>
      </c>
      <c r="K634" s="19">
        <v>0.63967136200000008</v>
      </c>
      <c r="L634" s="19">
        <v>0.63160000000000005</v>
      </c>
      <c r="M634" s="19">
        <v>0.5897</v>
      </c>
      <c r="N634" s="19">
        <v>0.66669999999999996</v>
      </c>
      <c r="O634" s="19">
        <v>0.71430000000000005</v>
      </c>
      <c r="P634" s="20">
        <v>54192</v>
      </c>
      <c r="Q634" s="21" t="str">
        <f>HYPERLINK("https://financialaid.uconn.edu/pricecalc/", "$43225")</f>
        <v>$43225</v>
      </c>
      <c r="R634" s="20">
        <v>45167</v>
      </c>
      <c r="S634" s="20">
        <v>50418</v>
      </c>
      <c r="T634" s="20">
        <v>3650</v>
      </c>
      <c r="U634" s="20">
        <v>39575.539823008847</v>
      </c>
      <c r="W634" s="19">
        <v>0.3543</v>
      </c>
      <c r="X634" s="19">
        <v>0.61620000000000008</v>
      </c>
      <c r="Z634" s="18">
        <v>1670</v>
      </c>
    </row>
    <row r="635" spans="1:26" ht="15.75" customHeight="1" x14ac:dyDescent="0.2">
      <c r="A635" s="36" t="str">
        <f>HYPERLINK("https://www.udmercy.edu", "University of Detroit Mercy")</f>
        <v>University of Detroit Mercy</v>
      </c>
      <c r="B635" s="18" t="s">
        <v>32</v>
      </c>
      <c r="C635" s="18" t="s">
        <v>226</v>
      </c>
      <c r="D635" s="18" t="s">
        <v>668</v>
      </c>
      <c r="E635" s="18">
        <v>1163</v>
      </c>
      <c r="F635" s="18" t="s">
        <v>35</v>
      </c>
      <c r="J635" s="19">
        <v>0.62190000000000001</v>
      </c>
      <c r="K635" s="19">
        <v>0.53355704700000006</v>
      </c>
      <c r="L635" s="19">
        <v>0.66749999999999998</v>
      </c>
      <c r="M635" s="19">
        <v>0.29509999999999997</v>
      </c>
      <c r="N635" s="19">
        <v>0.73680000000000001</v>
      </c>
      <c r="O635" s="19">
        <v>0.76190000000000002</v>
      </c>
      <c r="P635" s="20">
        <v>57378</v>
      </c>
      <c r="Q635" s="21" t="str">
        <f>HYPERLINK("https://www.udmercy.edu/admission/financial-aid/cost/netprice-calc.php", "$15409")</f>
        <v>$15409</v>
      </c>
      <c r="R635" s="20">
        <v>18486</v>
      </c>
      <c r="S635" s="20">
        <v>20364</v>
      </c>
      <c r="T635" s="20">
        <v>6768</v>
      </c>
      <c r="U635" s="20">
        <v>8641</v>
      </c>
      <c r="W635" s="19">
        <v>0.2959</v>
      </c>
      <c r="X635" s="19">
        <v>0.39300000000000002</v>
      </c>
      <c r="Z635" s="18">
        <v>2674</v>
      </c>
    </row>
    <row r="636" spans="1:26" ht="15.75" customHeight="1" x14ac:dyDescent="0.2">
      <c r="A636" s="36" t="str">
        <f>HYPERLINK("https://www.dbq.edu", "University of Dubuque")</f>
        <v>University of Dubuque</v>
      </c>
      <c r="B636" s="18" t="s">
        <v>32</v>
      </c>
      <c r="C636" s="18" t="s">
        <v>211</v>
      </c>
      <c r="D636" s="18" t="s">
        <v>397</v>
      </c>
      <c r="E636" s="18">
        <v>992</v>
      </c>
      <c r="F636" s="18" t="s">
        <v>35</v>
      </c>
      <c r="J636" s="19">
        <v>0.42770000000000002</v>
      </c>
      <c r="K636" s="19">
        <v>0.39898989899999998</v>
      </c>
      <c r="L636" s="19">
        <v>0.47960000000000003</v>
      </c>
      <c r="M636" s="19">
        <v>0.26319999999999999</v>
      </c>
      <c r="N636" s="19">
        <v>0.33329999999999999</v>
      </c>
      <c r="O636" s="19">
        <v>0.42859999999999998</v>
      </c>
      <c r="P636" s="20">
        <v>41010</v>
      </c>
      <c r="Q636" s="21" t="str">
        <f>HYPERLINK("https://www.dbq.edu/admission/financialaid/netpricecalculator/npcalc.htm", "$18339")</f>
        <v>$18339</v>
      </c>
      <c r="R636" s="20">
        <v>20430</v>
      </c>
      <c r="S636" s="20">
        <v>25055</v>
      </c>
      <c r="T636" s="20">
        <v>1850</v>
      </c>
      <c r="U636" s="20">
        <v>16489</v>
      </c>
      <c r="W636" s="19">
        <v>0.46310000000000001</v>
      </c>
      <c r="X636" s="19">
        <v>0.39539999999999997</v>
      </c>
      <c r="Z636" s="18">
        <v>1955</v>
      </c>
    </row>
    <row r="637" spans="1:26" ht="15.75" customHeight="1" x14ac:dyDescent="0.2">
      <c r="A637" s="36" t="str">
        <f>HYPERLINK("https://www.hartford.edu", "University of Hartford")</f>
        <v>University of Hartford</v>
      </c>
      <c r="B637" s="18" t="s">
        <v>32</v>
      </c>
      <c r="C637" s="18" t="s">
        <v>94</v>
      </c>
      <c r="D637" s="18" t="s">
        <v>909</v>
      </c>
      <c r="E637" s="18">
        <v>1140</v>
      </c>
      <c r="F637" s="18" t="s">
        <v>35</v>
      </c>
      <c r="J637" s="19">
        <v>0.59599999999999997</v>
      </c>
      <c r="K637" s="19">
        <v>0.489795918</v>
      </c>
      <c r="L637" s="19">
        <v>0.63700000000000001</v>
      </c>
      <c r="M637" s="19">
        <v>0.53810000000000002</v>
      </c>
      <c r="N637" s="19">
        <v>0.50380000000000003</v>
      </c>
      <c r="O637" s="19">
        <v>0.5</v>
      </c>
      <c r="P637" s="20">
        <v>54662</v>
      </c>
      <c r="Q637" s="21" t="str">
        <f>HYPERLINK("https://hartford.studentaidcalculator.com/", "$27780")</f>
        <v>$27780</v>
      </c>
      <c r="R637" s="20">
        <v>29379</v>
      </c>
      <c r="S637" s="20">
        <v>30911</v>
      </c>
      <c r="T637" s="20">
        <v>3406</v>
      </c>
      <c r="U637" s="20">
        <v>24374</v>
      </c>
      <c r="W637" s="19">
        <v>0.26889999999999997</v>
      </c>
      <c r="X637" s="19">
        <v>0.45050000000000001</v>
      </c>
      <c r="Z637" s="18">
        <v>4835</v>
      </c>
    </row>
    <row r="638" spans="1:26" ht="15.75" customHeight="1" x14ac:dyDescent="0.2">
      <c r="A638" s="36" t="str">
        <f>HYPERLINK("https://hilo.hawaii.edu", "University of Hawaii at Hilo")</f>
        <v>University of Hawaii at Hilo</v>
      </c>
      <c r="B638" s="18" t="s">
        <v>49</v>
      </c>
      <c r="C638" s="18" t="s">
        <v>313</v>
      </c>
      <c r="D638" s="18" t="s">
        <v>1273</v>
      </c>
      <c r="E638" s="18">
        <v>1047</v>
      </c>
      <c r="F638" s="18" t="s">
        <v>35</v>
      </c>
      <c r="J638" s="19">
        <v>0.41010000000000002</v>
      </c>
      <c r="K638" s="19">
        <v>0.45344129599999999</v>
      </c>
      <c r="L638" s="19">
        <v>0.30209999999999998</v>
      </c>
      <c r="M638" s="19">
        <v>0.5</v>
      </c>
      <c r="N638" s="19">
        <v>0.46</v>
      </c>
      <c r="O638" s="19">
        <v>0.53059999999999996</v>
      </c>
      <c r="P638" s="20">
        <v>36128</v>
      </c>
      <c r="Q638" s="21" t="str">
        <f>HYPERLINK("https://hilo.hawaii.edu/financialaid/netprice/", "$26861")</f>
        <v>$26861</v>
      </c>
      <c r="R638" s="20">
        <v>29117</v>
      </c>
      <c r="S638" s="20">
        <v>33293</v>
      </c>
      <c r="T638" s="20">
        <v>4456</v>
      </c>
      <c r="U638" s="20">
        <v>22405.357142857141</v>
      </c>
      <c r="W638" s="19">
        <v>0.48099999999999998</v>
      </c>
      <c r="X638" s="19">
        <v>0.79889999999999994</v>
      </c>
      <c r="Z638" s="18">
        <v>2855</v>
      </c>
    </row>
    <row r="639" spans="1:26" ht="15.75" customHeight="1" x14ac:dyDescent="0.2">
      <c r="A639" s="36" t="str">
        <f>HYPERLINK("https://www.uidaho.edu", "University of Idaho")</f>
        <v>University of Idaho</v>
      </c>
      <c r="B639" s="18" t="s">
        <v>49</v>
      </c>
      <c r="C639" s="18" t="s">
        <v>486</v>
      </c>
      <c r="D639" s="18" t="s">
        <v>1274</v>
      </c>
      <c r="E639" s="18">
        <v>1127</v>
      </c>
      <c r="F639" s="18" t="s">
        <v>35</v>
      </c>
      <c r="J639" s="19">
        <v>0.54859999999999998</v>
      </c>
      <c r="K639" s="19">
        <v>0.50467289700000006</v>
      </c>
      <c r="L639" s="19">
        <v>0.56340000000000001</v>
      </c>
      <c r="M639" s="19">
        <v>5.8799999999999998E-2</v>
      </c>
      <c r="N639" s="19">
        <v>0.4375</v>
      </c>
      <c r="O639" s="19">
        <v>0.75</v>
      </c>
      <c r="P639" s="20">
        <v>37624</v>
      </c>
      <c r="Q639" s="21" t="str">
        <f>HYPERLINK("https://www.uidaho.edu/financial-aid/cost-of-attendance", "$29358")</f>
        <v>$29358</v>
      </c>
      <c r="R639" s="20">
        <v>32209</v>
      </c>
      <c r="S639" s="20">
        <v>34556</v>
      </c>
      <c r="T639" s="20">
        <v>5142</v>
      </c>
      <c r="U639" s="20">
        <v>24216.5</v>
      </c>
      <c r="W639" s="19">
        <v>0.31640000000000001</v>
      </c>
      <c r="X639" s="19">
        <v>0.25950000000000001</v>
      </c>
      <c r="Z639" s="18">
        <v>7685</v>
      </c>
    </row>
    <row r="640" spans="1:26" ht="15.75" customHeight="1" x14ac:dyDescent="0.2">
      <c r="A640" s="36" t="str">
        <f>HYPERLINK("https://uindy.edu", "University of Indianapolis")</f>
        <v>University of Indianapolis</v>
      </c>
      <c r="B640" s="18" t="s">
        <v>32</v>
      </c>
      <c r="C640" s="18" t="s">
        <v>148</v>
      </c>
      <c r="D640" s="18" t="s">
        <v>316</v>
      </c>
      <c r="E640" s="18">
        <v>1093</v>
      </c>
      <c r="F640" s="18" t="s">
        <v>35</v>
      </c>
      <c r="J640" s="19">
        <v>0.56210000000000004</v>
      </c>
      <c r="K640" s="19">
        <v>0.28841607600000002</v>
      </c>
      <c r="L640" s="19">
        <v>0.6</v>
      </c>
      <c r="M640" s="19">
        <v>0.24560000000000001</v>
      </c>
      <c r="N640" s="19">
        <v>0.53569999999999995</v>
      </c>
      <c r="O640" s="19">
        <v>0.5</v>
      </c>
      <c r="P640" s="20">
        <v>42902</v>
      </c>
      <c r="Q640" s="21" t="str">
        <f>HYPERLINK("https://uindy.studentaidcalculator.com/welcome.aspx", "$15987")</f>
        <v>$15987</v>
      </c>
      <c r="R640" s="20">
        <v>20423</v>
      </c>
      <c r="S640" s="20">
        <v>24433</v>
      </c>
      <c r="T640" s="20">
        <v>4524</v>
      </c>
      <c r="U640" s="20">
        <v>11463</v>
      </c>
      <c r="W640" s="19">
        <v>0.32629999999999998</v>
      </c>
      <c r="X640" s="19">
        <v>0.34260000000000002</v>
      </c>
      <c r="Z640" s="18">
        <v>4384</v>
      </c>
    </row>
    <row r="641" spans="1:26" ht="15.75" customHeight="1" x14ac:dyDescent="0.2">
      <c r="A641" s="36" t="str">
        <f>HYPERLINK("https://www.uj.edu", "University of Jamestown")</f>
        <v>University of Jamestown</v>
      </c>
      <c r="B641" s="18" t="s">
        <v>32</v>
      </c>
      <c r="C641" s="18" t="s">
        <v>730</v>
      </c>
      <c r="D641" s="18" t="s">
        <v>1276</v>
      </c>
      <c r="E641" s="18">
        <v>1075</v>
      </c>
      <c r="F641" s="18" t="s">
        <v>35</v>
      </c>
      <c r="J641" s="19">
        <v>0.52559999999999996</v>
      </c>
      <c r="K641" s="19">
        <v>0.192982456</v>
      </c>
      <c r="L641" s="19">
        <v>0.54590000000000005</v>
      </c>
      <c r="M641" s="19">
        <v>0.4</v>
      </c>
      <c r="N641" s="19">
        <v>0.33329999999999999</v>
      </c>
      <c r="O641" s="19">
        <v>0.66669999999999996</v>
      </c>
      <c r="P641" s="20">
        <v>33008</v>
      </c>
      <c r="Q641" s="21" t="str">
        <f>HYPERLINK("https://uj.studentaidcalculator.com/survey.aspx", "$15616")</f>
        <v>$15616</v>
      </c>
      <c r="R641" s="20">
        <v>18314</v>
      </c>
      <c r="S641" s="20">
        <v>19662</v>
      </c>
      <c r="T641" s="20">
        <v>4500</v>
      </c>
      <c r="U641" s="20">
        <v>11116</v>
      </c>
      <c r="W641" s="19">
        <v>0.25130000000000002</v>
      </c>
      <c r="X641" s="19">
        <v>0.25330000000000003</v>
      </c>
      <c r="Z641" s="18">
        <v>896</v>
      </c>
    </row>
    <row r="642" spans="1:26" ht="15.75" customHeight="1" x14ac:dyDescent="0.2">
      <c r="A642" s="36" t="str">
        <f>HYPERLINK("https://ku.edu", "University of Kansas")</f>
        <v>University of Kansas</v>
      </c>
      <c r="B642" s="18" t="s">
        <v>49</v>
      </c>
      <c r="C642" s="18" t="s">
        <v>307</v>
      </c>
      <c r="D642" s="18" t="s">
        <v>1278</v>
      </c>
      <c r="E642" s="18">
        <v>1230</v>
      </c>
      <c r="F642" s="18" t="s">
        <v>35</v>
      </c>
      <c r="J642" s="19">
        <v>0.63080000000000003</v>
      </c>
      <c r="K642" s="19">
        <v>0.52793296099999998</v>
      </c>
      <c r="L642" s="19">
        <v>0.65880000000000005</v>
      </c>
      <c r="M642" s="19">
        <v>0.46779999999999999</v>
      </c>
      <c r="N642" s="19">
        <v>0.52380000000000004</v>
      </c>
      <c r="O642" s="19">
        <v>0.58020000000000005</v>
      </c>
      <c r="P642" s="20">
        <v>41074</v>
      </c>
      <c r="Q642" s="21" t="str">
        <f>HYPERLINK("https://admissions.ku.edu/tuition-scholarship/net-price-calculator", "$31217")</f>
        <v>$31217</v>
      </c>
      <c r="R642" s="20">
        <v>32775</v>
      </c>
      <c r="S642" s="20">
        <v>37400</v>
      </c>
      <c r="T642" s="20">
        <v>4206</v>
      </c>
      <c r="U642" s="20">
        <v>27011.569506726461</v>
      </c>
      <c r="W642" s="19">
        <v>0.22170000000000001</v>
      </c>
      <c r="X642" s="19">
        <v>0.28789999999999999</v>
      </c>
      <c r="Z642" s="18">
        <v>18903</v>
      </c>
    </row>
    <row r="643" spans="1:26" ht="15.75" customHeight="1" x14ac:dyDescent="0.2">
      <c r="A643" s="36" t="str">
        <f>HYPERLINK("https://www.uky.edu", "University of Kentucky")</f>
        <v>University of Kentucky</v>
      </c>
      <c r="B643" s="18" t="s">
        <v>49</v>
      </c>
      <c r="C643" s="18" t="s">
        <v>205</v>
      </c>
      <c r="D643" s="18" t="s">
        <v>180</v>
      </c>
      <c r="E643" s="18">
        <v>1213</v>
      </c>
      <c r="F643" s="18" t="s">
        <v>35</v>
      </c>
      <c r="J643" s="19">
        <v>0.65049999999999997</v>
      </c>
      <c r="K643" s="19">
        <v>0.53031465899999997</v>
      </c>
      <c r="L643" s="19">
        <v>0.67310000000000003</v>
      </c>
      <c r="M643" s="19">
        <v>0.48259999999999997</v>
      </c>
      <c r="N643" s="19">
        <v>0.59819999999999995</v>
      </c>
      <c r="O643" s="19">
        <v>0.75639999999999996</v>
      </c>
      <c r="P643" s="20">
        <v>45634</v>
      </c>
      <c r="Q643" s="21" t="str">
        <f>HYPERLINK("https://npc.collegeboard.org/student/app/uky", "$32935")</f>
        <v>$32935</v>
      </c>
      <c r="R643" s="20">
        <v>35490</v>
      </c>
      <c r="S643" s="20">
        <v>39821</v>
      </c>
      <c r="T643" s="20">
        <v>4730</v>
      </c>
      <c r="U643" s="20">
        <v>28205.307479224379</v>
      </c>
      <c r="W643" s="19">
        <v>0.22869999999999999</v>
      </c>
      <c r="X643" s="19">
        <v>0.24479999999999999</v>
      </c>
      <c r="Z643" s="18">
        <v>22078</v>
      </c>
    </row>
    <row r="644" spans="1:26" ht="15.75" customHeight="1" x14ac:dyDescent="0.2">
      <c r="A644" s="36" t="str">
        <f>HYPERLINK("https://www.laverne.edu/", "University of La Verne")</f>
        <v>University of La Verne</v>
      </c>
      <c r="B644" s="18" t="s">
        <v>32</v>
      </c>
      <c r="C644" s="18" t="s">
        <v>68</v>
      </c>
      <c r="D644" s="18" t="s">
        <v>1279</v>
      </c>
      <c r="E644" s="18">
        <v>1106</v>
      </c>
      <c r="F644" s="18" t="s">
        <v>35</v>
      </c>
      <c r="J644" s="19">
        <v>0.66269999999999996</v>
      </c>
      <c r="K644" s="19">
        <v>0.40989399300000001</v>
      </c>
      <c r="L644" s="19">
        <v>0.6409999999999999</v>
      </c>
      <c r="M644" s="19">
        <v>0.44440000000000002</v>
      </c>
      <c r="N644" s="19">
        <v>0.69820000000000004</v>
      </c>
      <c r="O644" s="19">
        <v>0.64710000000000001</v>
      </c>
      <c r="P644" s="20">
        <v>59826</v>
      </c>
      <c r="Q644" s="21" t="str">
        <f>HYPERLINK("https://laverne.studentaidcalculator.com/survey.aspx", "$21724")</f>
        <v>$21724</v>
      </c>
      <c r="R644" s="20">
        <v>24564</v>
      </c>
      <c r="S644" s="20">
        <v>28203</v>
      </c>
      <c r="T644" s="20">
        <v>5196</v>
      </c>
      <c r="U644" s="20">
        <v>16528</v>
      </c>
      <c r="W644" s="19">
        <v>0.43869999999999998</v>
      </c>
      <c r="X644" s="19">
        <v>0.79200000000000004</v>
      </c>
      <c r="Z644" s="18">
        <v>5120</v>
      </c>
    </row>
    <row r="645" spans="1:26" ht="15.75" customHeight="1" x14ac:dyDescent="0.2">
      <c r="A645" s="36" t="str">
        <f>HYPERLINK("https://www.louisiana.edu", "University of Louisiana at Lafayette")</f>
        <v>University of Louisiana at Lafayette</v>
      </c>
      <c r="B645" s="18" t="s">
        <v>49</v>
      </c>
      <c r="C645" s="18" t="s">
        <v>158</v>
      </c>
      <c r="D645" s="18" t="s">
        <v>1281</v>
      </c>
      <c r="E645" s="18">
        <v>1162</v>
      </c>
      <c r="F645" s="18" t="s">
        <v>35</v>
      </c>
      <c r="J645" s="19">
        <v>0.44119999999999998</v>
      </c>
      <c r="K645" s="19">
        <v>0.430446194</v>
      </c>
      <c r="L645" s="19">
        <v>0.48780000000000001</v>
      </c>
      <c r="M645" s="19">
        <v>0.32329999999999998</v>
      </c>
      <c r="N645" s="19">
        <v>0.39600000000000002</v>
      </c>
      <c r="O645" s="19">
        <v>0.55100000000000005</v>
      </c>
      <c r="P645" s="20">
        <v>38503</v>
      </c>
      <c r="Q645" s="21" t="str">
        <f>HYPERLINK("https://collegeportraits.org/LA/UL-Lafayette/estimator/agree", "$28238")</f>
        <v>$28238</v>
      </c>
      <c r="R645" s="20">
        <v>32253</v>
      </c>
      <c r="S645" s="20">
        <v>33710</v>
      </c>
      <c r="T645" s="20">
        <v>4593</v>
      </c>
      <c r="U645" s="20">
        <v>23645.82636655949</v>
      </c>
      <c r="W645" s="19">
        <v>0.33119999999999999</v>
      </c>
      <c r="X645" s="19">
        <v>0.34830000000000011</v>
      </c>
      <c r="Z645" s="18">
        <v>14753</v>
      </c>
    </row>
    <row r="646" spans="1:26" ht="15.75" customHeight="1" x14ac:dyDescent="0.2">
      <c r="A646" s="36" t="str">
        <f>HYPERLINK("https://www.ulm.edu", "University of Louisiana at Monroe")</f>
        <v>University of Louisiana at Monroe</v>
      </c>
      <c r="B646" s="18" t="s">
        <v>49</v>
      </c>
      <c r="C646" s="18" t="s">
        <v>158</v>
      </c>
      <c r="D646" s="18" t="s">
        <v>1282</v>
      </c>
      <c r="E646" s="18">
        <v>1124</v>
      </c>
      <c r="F646" s="18" t="s">
        <v>35</v>
      </c>
      <c r="J646" s="19">
        <v>0.40899999999999997</v>
      </c>
      <c r="K646" s="19">
        <v>0.36137440799999998</v>
      </c>
      <c r="L646" s="19">
        <v>0.44090000000000001</v>
      </c>
      <c r="M646" s="19">
        <v>0.33979999999999999</v>
      </c>
      <c r="N646" s="19">
        <v>0.32</v>
      </c>
      <c r="O646" s="19">
        <v>0.35709999999999997</v>
      </c>
      <c r="P646" s="20">
        <v>33093</v>
      </c>
      <c r="Q646" s="21" t="str">
        <f>HYPERLINK("https://webservices.ulm.edu/price_calculator/npcalc.htm", "$23917")</f>
        <v>$23917</v>
      </c>
      <c r="R646" s="20">
        <v>25401</v>
      </c>
      <c r="S646" s="20">
        <v>28623</v>
      </c>
      <c r="T646" s="20">
        <v>4673</v>
      </c>
      <c r="U646" s="20">
        <v>19244.53623188406</v>
      </c>
      <c r="W646" s="19">
        <v>0.40789999999999998</v>
      </c>
      <c r="X646" s="19">
        <v>0.38460000000000011</v>
      </c>
      <c r="Z646" s="18">
        <v>6121</v>
      </c>
    </row>
    <row r="647" spans="1:26" ht="15.75" customHeight="1" x14ac:dyDescent="0.2">
      <c r="A647" s="36" t="str">
        <f>HYPERLINK("https://www.lynchburg.edu", "Lynchburg College")</f>
        <v>Lynchburg College</v>
      </c>
      <c r="B647" s="18" t="s">
        <v>32</v>
      </c>
      <c r="C647" s="18" t="s">
        <v>83</v>
      </c>
      <c r="D647" s="18" t="s">
        <v>449</v>
      </c>
      <c r="E647" s="18">
        <v>1089</v>
      </c>
      <c r="F647" s="18" t="s">
        <v>35</v>
      </c>
      <c r="J647" s="19">
        <v>0.58809999999999996</v>
      </c>
      <c r="K647" s="19">
        <v>0.26865671600000002</v>
      </c>
      <c r="L647" s="19">
        <v>0.6139</v>
      </c>
      <c r="M647" s="19">
        <v>0.52380000000000004</v>
      </c>
      <c r="N647" s="19">
        <v>0.29170000000000001</v>
      </c>
      <c r="O647" s="19">
        <v>0.625</v>
      </c>
      <c r="P647" s="20">
        <v>50720</v>
      </c>
      <c r="Q647" s="21" t="str">
        <f>HYPERLINK("https://www.lynchburg.edu/admission/financial-aid/net-price-calculator/", "$18797")</f>
        <v>$18797</v>
      </c>
      <c r="R647" s="20">
        <v>20317</v>
      </c>
      <c r="S647" s="20">
        <v>23118</v>
      </c>
      <c r="T647" s="20">
        <v>2350</v>
      </c>
      <c r="U647" s="20">
        <v>16447</v>
      </c>
      <c r="W647" s="19">
        <v>0.30349999999999999</v>
      </c>
      <c r="X647" s="19">
        <v>0.24199999999999999</v>
      </c>
      <c r="Z647" s="18">
        <v>1979</v>
      </c>
    </row>
    <row r="648" spans="1:26" ht="15.75" customHeight="1" x14ac:dyDescent="0.2">
      <c r="A648" s="36" t="str">
        <f>HYPERLINK("https://www.umaine.edu/", "University of Maine")</f>
        <v>University of Maine</v>
      </c>
      <c r="B648" s="18" t="s">
        <v>49</v>
      </c>
      <c r="C648" s="18" t="s">
        <v>43</v>
      </c>
      <c r="D648" s="18" t="s">
        <v>1284</v>
      </c>
      <c r="E648" s="18">
        <v>1157</v>
      </c>
      <c r="F648" s="18" t="s">
        <v>35</v>
      </c>
      <c r="J648" s="19">
        <v>0.57579999999999998</v>
      </c>
      <c r="K648" s="19">
        <v>0.45632798600000002</v>
      </c>
      <c r="L648" s="19">
        <v>0.57609999999999995</v>
      </c>
      <c r="M648" s="19">
        <v>0.59260000000000002</v>
      </c>
      <c r="N648" s="19">
        <v>0.57140000000000002</v>
      </c>
      <c r="O648" s="19">
        <v>0.64290000000000003</v>
      </c>
      <c r="P648" s="20">
        <v>43618</v>
      </c>
      <c r="Q648" s="21" t="str">
        <f>HYPERLINK("https://www.umaine.edu/netpricecalculator/", "$33762")</f>
        <v>$33762</v>
      </c>
      <c r="R648" s="20">
        <v>36638</v>
      </c>
      <c r="S648" s="20">
        <v>39430</v>
      </c>
      <c r="T648" s="20">
        <v>3200</v>
      </c>
      <c r="U648" s="20">
        <v>30562.64846416382</v>
      </c>
      <c r="W648" s="19">
        <v>0.30099999999999999</v>
      </c>
      <c r="X648" s="19">
        <v>0.1575</v>
      </c>
      <c r="Z648" s="18">
        <v>8836</v>
      </c>
    </row>
    <row r="649" spans="1:26" ht="15.75" customHeight="1" x14ac:dyDescent="0.2">
      <c r="A649" s="36" t="str">
        <f>HYPERLINK("https://www.uma.edu/", "University of Maine at Augusta")</f>
        <v>University of Maine at Augusta</v>
      </c>
      <c r="B649" s="18" t="s">
        <v>49</v>
      </c>
      <c r="C649" s="18" t="s">
        <v>43</v>
      </c>
      <c r="D649" s="18" t="s">
        <v>805</v>
      </c>
      <c r="E649" s="18" t="s">
        <v>36</v>
      </c>
      <c r="F649" s="18" t="s">
        <v>36</v>
      </c>
      <c r="J649" s="19">
        <v>0.17050000000000001</v>
      </c>
      <c r="K649" s="19">
        <v>0.20854527</v>
      </c>
      <c r="L649" s="19">
        <v>0.17610000000000001</v>
      </c>
      <c r="M649" s="19">
        <v>0</v>
      </c>
      <c r="N649" s="19">
        <v>0.18179999999999999</v>
      </c>
      <c r="O649" s="19">
        <v>0</v>
      </c>
      <c r="P649" s="20">
        <v>29498</v>
      </c>
      <c r="Q649" s="21" t="str">
        <f>HYPERLINK("https://www.uma.edu/financial/costs/net-cost-calculator/", "$23393")</f>
        <v>$23393</v>
      </c>
      <c r="R649" s="20">
        <v>25199</v>
      </c>
      <c r="S649" s="20">
        <v>28340</v>
      </c>
      <c r="T649" s="20">
        <v>4800</v>
      </c>
      <c r="U649" s="20">
        <v>18593.71428571429</v>
      </c>
      <c r="W649" s="19">
        <v>0.46150000000000002</v>
      </c>
      <c r="X649" s="19">
        <v>0.14119999999999999</v>
      </c>
      <c r="Z649" s="18">
        <v>3244</v>
      </c>
    </row>
    <row r="650" spans="1:26" ht="15.75" customHeight="1" x14ac:dyDescent="0.2">
      <c r="A650" s="36" t="str">
        <f>HYPERLINK("https://www.umf.maine.edu", "University of Maine at Farmington")</f>
        <v>University of Maine at Farmington</v>
      </c>
      <c r="B650" s="18" t="s">
        <v>49</v>
      </c>
      <c r="C650" s="18" t="s">
        <v>43</v>
      </c>
      <c r="D650" s="18" t="s">
        <v>1286</v>
      </c>
      <c r="E650" s="18" t="s">
        <v>36</v>
      </c>
      <c r="F650" s="18" t="s">
        <v>45</v>
      </c>
      <c r="J650" s="19">
        <v>0.50729999999999997</v>
      </c>
      <c r="K650" s="19">
        <v>0.52083333300000001</v>
      </c>
      <c r="L650" s="19">
        <v>0.51239999999999997</v>
      </c>
      <c r="M650" s="19">
        <v>0.2727</v>
      </c>
      <c r="N650" s="19">
        <v>0.1429</v>
      </c>
      <c r="O650" s="19">
        <v>0.66669999999999996</v>
      </c>
      <c r="P650" s="20">
        <v>32114</v>
      </c>
      <c r="Q650" s="21" t="str">
        <f>HYPERLINK("https://www.umf.maine.edu/admission/umf-net-price-calculator/", "$22522")</f>
        <v>$22522</v>
      </c>
      <c r="R650" s="20">
        <v>24596</v>
      </c>
      <c r="S650" s="20">
        <v>28196</v>
      </c>
      <c r="T650" s="20">
        <v>3754</v>
      </c>
      <c r="U650" s="20">
        <v>18768.82608695652</v>
      </c>
      <c r="W650" s="19">
        <v>0.46300000000000002</v>
      </c>
      <c r="X650" s="19">
        <v>0.10630000000000001</v>
      </c>
      <c r="Z650" s="18">
        <v>1741</v>
      </c>
    </row>
    <row r="651" spans="1:26" ht="15.75" customHeight="1" x14ac:dyDescent="0.2">
      <c r="A651" s="36" t="str">
        <f>HYPERLINK("https://machias.edu", "University of Maine at Machias")</f>
        <v>University of Maine at Machias</v>
      </c>
      <c r="B651" s="18" t="s">
        <v>49</v>
      </c>
      <c r="C651" s="18" t="s">
        <v>43</v>
      </c>
      <c r="D651" s="18" t="s">
        <v>1288</v>
      </c>
      <c r="E651" s="18" t="s">
        <v>36</v>
      </c>
      <c r="F651" s="18" t="s">
        <v>36</v>
      </c>
      <c r="J651" s="19">
        <v>0.31540000000000001</v>
      </c>
      <c r="K651" s="19">
        <v>0.233333333</v>
      </c>
      <c r="L651" s="19">
        <v>0.3019</v>
      </c>
      <c r="M651" s="19">
        <v>0.66669999999999996</v>
      </c>
      <c r="N651" s="19">
        <v>0.1429</v>
      </c>
      <c r="O651" s="19" t="s">
        <v>36</v>
      </c>
      <c r="P651" s="20">
        <v>31106</v>
      </c>
      <c r="Q651" s="21" t="str">
        <f>HYPERLINK("https://machias.edu/admissions/tuition-fees/", "$21090")</f>
        <v>$21090</v>
      </c>
      <c r="R651" s="20">
        <v>21697</v>
      </c>
      <c r="S651" s="20">
        <v>26643</v>
      </c>
      <c r="T651" s="20">
        <v>3300</v>
      </c>
      <c r="U651" s="20">
        <v>17790.833333333339</v>
      </c>
      <c r="W651" s="19">
        <v>0.42820000000000003</v>
      </c>
      <c r="X651" s="19">
        <v>0.18970000000000001</v>
      </c>
      <c r="Z651" s="18">
        <v>522</v>
      </c>
    </row>
    <row r="652" spans="1:26" ht="15.75" customHeight="1" x14ac:dyDescent="0.2">
      <c r="A652" s="36" t="str">
        <f>HYPERLINK("https://go.umhb.edu/", "University of Mary Hardin-Baylor")</f>
        <v>University of Mary Hardin-Baylor</v>
      </c>
      <c r="B652" s="18" t="s">
        <v>32</v>
      </c>
      <c r="C652" s="18" t="s">
        <v>146</v>
      </c>
      <c r="D652" s="18" t="s">
        <v>1289</v>
      </c>
      <c r="E652" s="18">
        <v>1108</v>
      </c>
      <c r="F652" s="18" t="s">
        <v>35</v>
      </c>
      <c r="J652" s="19">
        <v>0.48330000000000001</v>
      </c>
      <c r="K652" s="19">
        <v>0.38043478299999989</v>
      </c>
      <c r="L652" s="19">
        <v>0.55720000000000003</v>
      </c>
      <c r="M652" s="19">
        <v>0.22470000000000001</v>
      </c>
      <c r="N652" s="19">
        <v>0.42420000000000002</v>
      </c>
      <c r="O652" s="19">
        <v>0.625</v>
      </c>
      <c r="P652" s="20">
        <v>39824</v>
      </c>
      <c r="Q652" s="21" t="str">
        <f>HYPERLINK("https://financialaid.umhb.edu/estimator-0", "$20555")</f>
        <v>$20555</v>
      </c>
      <c r="R652" s="20">
        <v>22002</v>
      </c>
      <c r="S652" s="20">
        <v>25022</v>
      </c>
      <c r="T652" s="20">
        <v>4330</v>
      </c>
      <c r="U652" s="20">
        <v>16225</v>
      </c>
      <c r="W652" s="19">
        <v>0.40329999999999999</v>
      </c>
      <c r="X652" s="19">
        <v>0.44180000000000003</v>
      </c>
      <c r="Z652" s="18">
        <v>3275</v>
      </c>
    </row>
    <row r="653" spans="1:26" ht="15.75" customHeight="1" x14ac:dyDescent="0.2">
      <c r="A653" s="36" t="str">
        <f>HYPERLINK("https://www.umes.edu", "University of Maryland Eastern Shore")</f>
        <v>University of Maryland Eastern Shore</v>
      </c>
      <c r="B653" s="18" t="s">
        <v>49</v>
      </c>
      <c r="C653" s="18" t="s">
        <v>124</v>
      </c>
      <c r="D653" s="18" t="s">
        <v>1290</v>
      </c>
      <c r="E653" s="18">
        <v>950</v>
      </c>
      <c r="F653" s="18" t="s">
        <v>35</v>
      </c>
      <c r="J653" s="19">
        <v>0.38240000000000002</v>
      </c>
      <c r="K653" s="19">
        <v>0.30599999999999999</v>
      </c>
      <c r="L653" s="19">
        <v>0.41299999999999998</v>
      </c>
      <c r="M653" s="19">
        <v>0.39069999999999999</v>
      </c>
      <c r="N653" s="19">
        <v>0.1875</v>
      </c>
      <c r="O653" s="19">
        <v>0.33329999999999999</v>
      </c>
      <c r="P653" s="20">
        <v>33721</v>
      </c>
      <c r="Q653" s="21" t="str">
        <f>HYPERLINK("https://www.umes.edu/NetPriceCalculator/npcalc.htm", "$24775")</f>
        <v>$24775</v>
      </c>
      <c r="R653" s="20">
        <v>30434</v>
      </c>
      <c r="S653" s="20">
        <v>31981</v>
      </c>
      <c r="T653" s="20">
        <v>6050</v>
      </c>
      <c r="U653" s="20">
        <v>18725.676156583631</v>
      </c>
      <c r="W653" s="19">
        <v>0.52410000000000001</v>
      </c>
      <c r="X653" s="19">
        <v>0.90249999999999997</v>
      </c>
      <c r="Z653" s="18">
        <v>2799</v>
      </c>
    </row>
    <row r="654" spans="1:26" ht="15.75" customHeight="1" x14ac:dyDescent="0.2">
      <c r="A654" s="36" t="str">
        <f>HYPERLINK("https://www.umuc.edu", "University of Maryland-University College")</f>
        <v>University of Maryland-University College</v>
      </c>
      <c r="B654" s="18" t="s">
        <v>49</v>
      </c>
      <c r="C654" s="18" t="s">
        <v>124</v>
      </c>
      <c r="D654" s="18" t="s">
        <v>1291</v>
      </c>
      <c r="E654" s="18" t="s">
        <v>36</v>
      </c>
      <c r="F654" s="18" t="s">
        <v>36</v>
      </c>
      <c r="J654" s="19">
        <v>8.8099999999999998E-2</v>
      </c>
      <c r="K654" s="19">
        <v>0.196258615</v>
      </c>
      <c r="L654" s="19">
        <v>6.8199999999999997E-2</v>
      </c>
      <c r="M654" s="19">
        <v>7.2300000000000003E-2</v>
      </c>
      <c r="N654" s="19">
        <v>0</v>
      </c>
      <c r="O654" s="19">
        <v>0.28570000000000001</v>
      </c>
      <c r="P654" s="20">
        <v>33616</v>
      </c>
      <c r="Q654" s="21" t="str">
        <f>HYPERLINK("https://www.umuc.edu/students/aid/applyforaid/netpricecalc.cfm", "Not reported")</f>
        <v>Not reported</v>
      </c>
      <c r="R654" s="20" t="s">
        <v>36</v>
      </c>
      <c r="S654" s="20" t="s">
        <v>36</v>
      </c>
      <c r="T654" s="20">
        <v>5850</v>
      </c>
      <c r="U654" s="20" t="s">
        <v>36</v>
      </c>
      <c r="W654" s="19">
        <v>0.2477</v>
      </c>
      <c r="X654" s="19">
        <v>0.6</v>
      </c>
      <c r="Z654" s="18">
        <v>42289</v>
      </c>
    </row>
    <row r="655" spans="1:26" ht="15.75" customHeight="1" x14ac:dyDescent="0.2">
      <c r="A655" s="36" t="str">
        <f>HYPERLINK("https://www.umb.edu", "University of Massachusetts-Boston")</f>
        <v>University of Massachusetts-Boston</v>
      </c>
      <c r="B655" s="18" t="s">
        <v>49</v>
      </c>
      <c r="C655" s="18" t="s">
        <v>33</v>
      </c>
      <c r="D655" s="18" t="s">
        <v>136</v>
      </c>
      <c r="E655" s="18">
        <v>1134</v>
      </c>
      <c r="F655" s="18" t="s">
        <v>115</v>
      </c>
      <c r="J655" s="19">
        <v>0.4803</v>
      </c>
      <c r="K655" s="19">
        <v>0.146622735</v>
      </c>
      <c r="L655" s="19">
        <v>0.46989999999999998</v>
      </c>
      <c r="M655" s="19">
        <v>0.44299999999999989</v>
      </c>
      <c r="N655" s="19">
        <v>0.41880000000000001</v>
      </c>
      <c r="O655" s="19">
        <v>0.55220000000000002</v>
      </c>
      <c r="P655" s="20">
        <v>46941</v>
      </c>
      <c r="Q655" s="21" t="str">
        <f>HYPERLINK("https://umb.studentaidcalculator.com/survey.aspx", "$34090")</f>
        <v>$34090</v>
      </c>
      <c r="R655" s="20">
        <v>37427</v>
      </c>
      <c r="S655" s="20">
        <v>43137</v>
      </c>
      <c r="T655" s="20">
        <v>3756</v>
      </c>
      <c r="U655" s="20">
        <v>30334.066298342539</v>
      </c>
      <c r="W655" s="19">
        <v>0.40300000000000002</v>
      </c>
      <c r="X655" s="19">
        <v>0.66290000000000004</v>
      </c>
      <c r="Z655" s="18">
        <v>12159</v>
      </c>
    </row>
    <row r="656" spans="1:26" ht="15.75" customHeight="1" x14ac:dyDescent="0.2">
      <c r="A656" s="36" t="str">
        <f>HYPERLINK("https://www.umassd.edu", "University of Massachusetts-Dartmouth")</f>
        <v>University of Massachusetts-Dartmouth</v>
      </c>
      <c r="B656" s="18" t="s">
        <v>49</v>
      </c>
      <c r="C656" s="18" t="s">
        <v>33</v>
      </c>
      <c r="D656" s="18" t="s">
        <v>1293</v>
      </c>
      <c r="E656" s="18">
        <v>1097</v>
      </c>
      <c r="F656" s="18" t="s">
        <v>35</v>
      </c>
      <c r="J656" s="19">
        <v>0.48470000000000002</v>
      </c>
      <c r="K656" s="19">
        <v>0.33219178100000002</v>
      </c>
      <c r="L656" s="19">
        <v>0.4929</v>
      </c>
      <c r="M656" s="19">
        <v>0.4556</v>
      </c>
      <c r="N656" s="19">
        <v>0.4037</v>
      </c>
      <c r="O656" s="19">
        <v>0.56600000000000006</v>
      </c>
      <c r="P656" s="20">
        <v>43993</v>
      </c>
      <c r="Q656" s="21" t="str">
        <f>HYPERLINK("https://umassd.studentaidcalculator.com/survey.aspx", "$31961")</f>
        <v>$31961</v>
      </c>
      <c r="R656" s="20">
        <v>34918</v>
      </c>
      <c r="S656" s="20">
        <v>39992</v>
      </c>
      <c r="T656" s="20">
        <v>2772</v>
      </c>
      <c r="U656" s="20">
        <v>29189.78554216868</v>
      </c>
      <c r="W656" s="19">
        <v>0.37530000000000002</v>
      </c>
      <c r="X656" s="19">
        <v>0.38950000000000001</v>
      </c>
      <c r="Z656" s="18">
        <v>6559</v>
      </c>
    </row>
    <row r="657" spans="1:26" ht="15.75" customHeight="1" x14ac:dyDescent="0.2">
      <c r="A657" s="36" t="str">
        <f>HYPERLINK("https://www.uml.edu", "University of Massachusetts-Lowell")</f>
        <v>University of Massachusetts-Lowell</v>
      </c>
      <c r="B657" s="18" t="s">
        <v>49</v>
      </c>
      <c r="C657" s="18" t="s">
        <v>33</v>
      </c>
      <c r="D657" s="18" t="s">
        <v>1296</v>
      </c>
      <c r="E657" s="18">
        <v>1227</v>
      </c>
      <c r="F657" s="18" t="s">
        <v>35</v>
      </c>
      <c r="J657" s="19">
        <v>0.6008</v>
      </c>
      <c r="K657" s="19">
        <v>0.52474108200000003</v>
      </c>
      <c r="L657" s="19">
        <v>0.63339999999999996</v>
      </c>
      <c r="M657" s="19">
        <v>0.52459999999999996</v>
      </c>
      <c r="N657" s="19">
        <v>0.42059999999999997</v>
      </c>
      <c r="O657" s="19">
        <v>0.60160000000000002</v>
      </c>
      <c r="P657" s="20">
        <v>46983</v>
      </c>
      <c r="Q657" s="21" t="str">
        <f>HYPERLINK("https://uml.studentaidcalculator.com/welcome.aspx", "$31630")</f>
        <v>$31630</v>
      </c>
      <c r="R657" s="20">
        <v>36005</v>
      </c>
      <c r="S657" s="20">
        <v>40434</v>
      </c>
      <c r="T657" s="20">
        <v>2622</v>
      </c>
      <c r="U657" s="20">
        <v>29008.586206896551</v>
      </c>
      <c r="W657" s="19">
        <v>0.26050000000000001</v>
      </c>
      <c r="X657" s="19">
        <v>0.38350000000000001</v>
      </c>
      <c r="Z657" s="18">
        <v>13284</v>
      </c>
    </row>
    <row r="658" spans="1:26" ht="15.75" customHeight="1" x14ac:dyDescent="0.2">
      <c r="A658" s="36" t="str">
        <f>HYPERLINK("https://www.memphis.edu", "University of Memphis")</f>
        <v>University of Memphis</v>
      </c>
      <c r="B658" s="18" t="s">
        <v>49</v>
      </c>
      <c r="C658" s="18" t="s">
        <v>174</v>
      </c>
      <c r="D658" s="18" t="s">
        <v>207</v>
      </c>
      <c r="E658" s="18">
        <v>1106</v>
      </c>
      <c r="F658" s="18" t="s">
        <v>35</v>
      </c>
      <c r="J658" s="19">
        <v>0.43209999999999998</v>
      </c>
      <c r="K658" s="19">
        <v>0.39674152400000001</v>
      </c>
      <c r="L658" s="19">
        <v>0.53890000000000005</v>
      </c>
      <c r="M658" s="19">
        <v>0.2918</v>
      </c>
      <c r="N658" s="19">
        <v>0.46150000000000002</v>
      </c>
      <c r="O658" s="19">
        <v>0.66669999999999996</v>
      </c>
      <c r="P658" s="20">
        <v>36372</v>
      </c>
      <c r="Q658" s="21" t="str">
        <f>HYPERLINK("https://www.memphis.edu/financialaid/net_price_calculator/npc.php", "$26213")</f>
        <v>$26213</v>
      </c>
      <c r="R658" s="20">
        <v>30166</v>
      </c>
      <c r="S658" s="20">
        <v>32105</v>
      </c>
      <c r="T658" s="20">
        <v>5977</v>
      </c>
      <c r="U658" s="20">
        <v>20236.04843049328</v>
      </c>
      <c r="W658" s="19">
        <v>0.45519999999999999</v>
      </c>
      <c r="X658" s="19">
        <v>0.52129999999999999</v>
      </c>
      <c r="Z658" s="18">
        <v>15901</v>
      </c>
    </row>
    <row r="659" spans="1:26" ht="15.75" customHeight="1" x14ac:dyDescent="0.2">
      <c r="A659" s="36" t="str">
        <f>HYPERLINK("https://www.umflint.edu", "University of Michigan-Flint")</f>
        <v>University of Michigan-Flint</v>
      </c>
      <c r="B659" s="18" t="s">
        <v>49</v>
      </c>
      <c r="C659" s="18" t="s">
        <v>226</v>
      </c>
      <c r="D659" s="18" t="s">
        <v>228</v>
      </c>
      <c r="E659" s="18">
        <v>1092</v>
      </c>
      <c r="F659" s="18" t="s">
        <v>35</v>
      </c>
      <c r="J659" s="19">
        <v>0.4405</v>
      </c>
      <c r="K659" s="19">
        <v>0.37567861000000002</v>
      </c>
      <c r="L659" s="19">
        <v>0.44340000000000002</v>
      </c>
      <c r="M659" s="19">
        <v>0.33900000000000002</v>
      </c>
      <c r="N659" s="19">
        <v>0.29170000000000001</v>
      </c>
      <c r="O659" s="19">
        <v>0.625</v>
      </c>
      <c r="P659" s="20">
        <v>34501</v>
      </c>
      <c r="Q659" s="21" t="str">
        <f>HYPERLINK("https://www.umflint.edu/finaid/net-price-calculator", "$22565")</f>
        <v>$22565</v>
      </c>
      <c r="R659" s="20">
        <v>27513</v>
      </c>
      <c r="S659" s="20">
        <v>30935</v>
      </c>
      <c r="T659" s="20">
        <v>4950</v>
      </c>
      <c r="U659" s="20">
        <v>17615.308411214952</v>
      </c>
      <c r="W659" s="19">
        <v>0.39100000000000001</v>
      </c>
      <c r="X659" s="19">
        <v>0.29649999999999999</v>
      </c>
      <c r="Z659" s="18">
        <v>5669</v>
      </c>
    </row>
    <row r="660" spans="1:26" ht="15.75" customHeight="1" x14ac:dyDescent="0.2">
      <c r="A660" s="36" t="str">
        <f>HYPERLINK("https://www.d.umn.edu/", "University of Minnesota-Duluth")</f>
        <v>University of Minnesota-Duluth</v>
      </c>
      <c r="B660" s="18" t="s">
        <v>49</v>
      </c>
      <c r="C660" s="18" t="s">
        <v>72</v>
      </c>
      <c r="D660" s="18" t="s">
        <v>1222</v>
      </c>
      <c r="E660" s="18">
        <v>1185</v>
      </c>
      <c r="F660" s="18" t="s">
        <v>35</v>
      </c>
      <c r="J660" s="19">
        <v>0.59240000000000004</v>
      </c>
      <c r="K660" s="19">
        <v>0.48113207600000002</v>
      </c>
      <c r="L660" s="19">
        <v>0.60940000000000005</v>
      </c>
      <c r="M660" s="19">
        <v>0.5</v>
      </c>
      <c r="N660" s="19">
        <v>0.39129999999999998</v>
      </c>
      <c r="O660" s="19">
        <v>0.45450000000000002</v>
      </c>
      <c r="P660" s="20">
        <v>29542</v>
      </c>
      <c r="Q660" s="21" t="str">
        <f>HYPERLINK("https://npc.collegeboard.org/student/app/dumn", "$13477")</f>
        <v>$13477</v>
      </c>
      <c r="R660" s="20">
        <v>17637</v>
      </c>
      <c r="S660" s="20">
        <v>24552</v>
      </c>
      <c r="T660" s="20">
        <v>3472</v>
      </c>
      <c r="U660" s="20">
        <v>10005.25</v>
      </c>
      <c r="W660" s="19">
        <v>0.21709999999999999</v>
      </c>
      <c r="X660" s="19">
        <v>0.15010000000000001</v>
      </c>
      <c r="Z660" s="18">
        <v>9199</v>
      </c>
    </row>
    <row r="661" spans="1:26" ht="15.75" customHeight="1" x14ac:dyDescent="0.2">
      <c r="A661" s="36" t="str">
        <f>HYPERLINK("https://www.olemiss.edu", "University of Mississippi")</f>
        <v>University of Mississippi</v>
      </c>
      <c r="B661" s="18" t="s">
        <v>49</v>
      </c>
      <c r="C661" s="18" t="s">
        <v>59</v>
      </c>
      <c r="D661" s="18" t="s">
        <v>1300</v>
      </c>
      <c r="E661" s="18">
        <v>1225</v>
      </c>
      <c r="F661" s="18" t="s">
        <v>35</v>
      </c>
      <c r="J661" s="19">
        <v>0.60070000000000001</v>
      </c>
      <c r="K661" s="19">
        <v>0.53323593899999999</v>
      </c>
      <c r="L661" s="19">
        <v>0.64249999999999996</v>
      </c>
      <c r="M661" s="19">
        <v>0.42449999999999999</v>
      </c>
      <c r="N661" s="19">
        <v>0.54869999999999997</v>
      </c>
      <c r="O661" s="19">
        <v>0.76190000000000002</v>
      </c>
      <c r="P661" s="20">
        <v>40086</v>
      </c>
      <c r="Q661" s="21" t="str">
        <f>HYPERLINK("https://finaid.olemiss.edu/calculator/", "$27441")</f>
        <v>$27441</v>
      </c>
      <c r="R661" s="20">
        <v>32613</v>
      </c>
      <c r="S661" s="20">
        <v>34271</v>
      </c>
      <c r="T661" s="20">
        <v>6020</v>
      </c>
      <c r="U661" s="20">
        <v>21421.72759226714</v>
      </c>
      <c r="W661" s="19">
        <v>0.24879999999999999</v>
      </c>
      <c r="X661" s="19">
        <v>0.22159999999999999</v>
      </c>
      <c r="Z661" s="18">
        <v>18537</v>
      </c>
    </row>
    <row r="662" spans="1:26" ht="15.75" customHeight="1" x14ac:dyDescent="0.2">
      <c r="A662" s="36" t="str">
        <f>HYPERLINK("https://www.umobile.edu", "University of Mobile")</f>
        <v>University of Mobile</v>
      </c>
      <c r="B662" s="18" t="s">
        <v>32</v>
      </c>
      <c r="C662" s="18" t="s">
        <v>300</v>
      </c>
      <c r="D662" s="18" t="s">
        <v>1190</v>
      </c>
      <c r="E662" s="18">
        <v>1113</v>
      </c>
      <c r="F662" s="18" t="s">
        <v>35</v>
      </c>
      <c r="J662" s="19">
        <v>0.4476</v>
      </c>
      <c r="K662" s="19">
        <v>0.40157480299999998</v>
      </c>
      <c r="L662" s="19">
        <v>0.51670000000000005</v>
      </c>
      <c r="M662" s="19">
        <v>0.125</v>
      </c>
      <c r="N662" s="19">
        <v>0</v>
      </c>
      <c r="O662" s="19">
        <v>0</v>
      </c>
      <c r="P662" s="20">
        <v>38354</v>
      </c>
      <c r="Q662" s="21" t="str">
        <f>HYPERLINK("https://umobile.edu/financial-aid/cost-calculator/", "$14179")</f>
        <v>$14179</v>
      </c>
      <c r="R662" s="20">
        <v>19386</v>
      </c>
      <c r="S662" s="20">
        <v>23266</v>
      </c>
      <c r="T662" s="20">
        <v>6544</v>
      </c>
      <c r="U662" s="20">
        <v>7635</v>
      </c>
      <c r="W662" s="19">
        <v>0.46660000000000001</v>
      </c>
      <c r="X662" s="19">
        <v>0.38319999999999999</v>
      </c>
      <c r="Z662" s="18">
        <v>1276</v>
      </c>
    </row>
    <row r="663" spans="1:26" ht="15.75" customHeight="1" x14ac:dyDescent="0.2">
      <c r="A663" s="36" t="str">
        <f>HYPERLINK("https://www.montevallo.edu", "University of Montevallo")</f>
        <v>University of Montevallo</v>
      </c>
      <c r="B663" s="18" t="s">
        <v>49</v>
      </c>
      <c r="C663" s="18" t="s">
        <v>300</v>
      </c>
      <c r="D663" s="18" t="s">
        <v>1304</v>
      </c>
      <c r="E663" s="18">
        <v>1143</v>
      </c>
      <c r="F663" s="18" t="s">
        <v>35</v>
      </c>
      <c r="J663" s="19">
        <v>0.503</v>
      </c>
      <c r="K663" s="19">
        <v>0.41869918699999997</v>
      </c>
      <c r="L663" s="19">
        <v>0.53080000000000005</v>
      </c>
      <c r="M663" s="19">
        <v>0.3382</v>
      </c>
      <c r="N663" s="19">
        <v>0.625</v>
      </c>
      <c r="O663" s="19">
        <v>0.33329999999999999</v>
      </c>
      <c r="P663" s="20">
        <v>38260</v>
      </c>
      <c r="Q663" s="21" t="str">
        <f>HYPERLINK("https://www.montevallo.edu/NetPriceCalculator/", "$28684")</f>
        <v>$28684</v>
      </c>
      <c r="R663" s="20">
        <v>32389</v>
      </c>
      <c r="S663" s="20">
        <v>34308</v>
      </c>
      <c r="T663" s="20">
        <v>4200</v>
      </c>
      <c r="U663" s="20">
        <v>24484.47368421053</v>
      </c>
      <c r="W663" s="19">
        <v>0.3881</v>
      </c>
      <c r="X663" s="19">
        <v>0.31340000000000001</v>
      </c>
      <c r="Z663" s="18">
        <v>2329</v>
      </c>
    </row>
    <row r="664" spans="1:26" ht="15.75" customHeight="1" x14ac:dyDescent="0.2">
      <c r="A664" s="36" t="str">
        <f>HYPERLINK("https://www.umo.edu", "University of Mount Olive")</f>
        <v>University of Mount Olive</v>
      </c>
      <c r="B664" s="18" t="s">
        <v>32</v>
      </c>
      <c r="C664" s="18" t="s">
        <v>103</v>
      </c>
      <c r="D664" s="18" t="s">
        <v>1305</v>
      </c>
      <c r="E664" s="18">
        <v>988</v>
      </c>
      <c r="F664" s="18" t="s">
        <v>35</v>
      </c>
      <c r="J664" s="19">
        <v>0.42080000000000001</v>
      </c>
      <c r="K664" s="19">
        <v>0.44428969400000001</v>
      </c>
      <c r="L664" s="19">
        <v>0.44550000000000001</v>
      </c>
      <c r="M664" s="19">
        <v>0.38240000000000002</v>
      </c>
      <c r="N664" s="19">
        <v>0.44440000000000002</v>
      </c>
      <c r="O664" s="19" t="s">
        <v>36</v>
      </c>
      <c r="P664" s="20">
        <v>31200</v>
      </c>
      <c r="Q664" s="21" t="str">
        <f>HYPERLINK("https://umo.edu/cost-calculator/", "$13523")</f>
        <v>$13523</v>
      </c>
      <c r="R664" s="20">
        <v>14247</v>
      </c>
      <c r="S664" s="20">
        <v>16810</v>
      </c>
      <c r="T664" s="20">
        <v>3350</v>
      </c>
      <c r="U664" s="20">
        <v>10173</v>
      </c>
      <c r="W664" s="19">
        <v>0.50119999999999998</v>
      </c>
      <c r="X664" s="19">
        <v>0.47960000000000003</v>
      </c>
      <c r="Z664" s="18">
        <v>3061</v>
      </c>
    </row>
    <row r="665" spans="1:26" ht="15.75" customHeight="1" x14ac:dyDescent="0.2">
      <c r="A665" s="36" t="str">
        <f>HYPERLINK("https://www.mountunion.edu", "University of Mount Union")</f>
        <v>University of Mount Union</v>
      </c>
      <c r="B665" s="18" t="s">
        <v>32</v>
      </c>
      <c r="C665" s="18" t="s">
        <v>75</v>
      </c>
      <c r="D665" s="18" t="s">
        <v>1306</v>
      </c>
      <c r="E665" s="18">
        <v>1121</v>
      </c>
      <c r="F665" s="18" t="s">
        <v>35</v>
      </c>
      <c r="J665" s="19">
        <v>0.61809999999999998</v>
      </c>
      <c r="K665" s="19">
        <v>0.39495798300000001</v>
      </c>
      <c r="L665" s="19">
        <v>0.63580000000000003</v>
      </c>
      <c r="M665" s="19">
        <v>0.44679999999999997</v>
      </c>
      <c r="N665" s="19">
        <v>0.375</v>
      </c>
      <c r="O665" s="19">
        <v>1</v>
      </c>
      <c r="P665" s="20">
        <v>42725</v>
      </c>
      <c r="Q665" s="21" t="str">
        <f>HYPERLINK("https://admission.mountunion.edu/apply/", "$18613")</f>
        <v>$18613</v>
      </c>
      <c r="R665" s="20">
        <v>21072</v>
      </c>
      <c r="S665" s="20">
        <v>22995</v>
      </c>
      <c r="T665" s="20">
        <v>2735</v>
      </c>
      <c r="U665" s="20">
        <v>15878</v>
      </c>
      <c r="W665" s="19">
        <v>0.29809999999999998</v>
      </c>
      <c r="X665" s="19">
        <v>0.1918</v>
      </c>
      <c r="Z665" s="18">
        <v>2049</v>
      </c>
    </row>
    <row r="666" spans="1:26" ht="15.75" customHeight="1" x14ac:dyDescent="0.2">
      <c r="A666" s="36" t="str">
        <f>HYPERLINK("https://www.unk.edu", "University of Nebraska at Kearney")</f>
        <v>University of Nebraska at Kearney</v>
      </c>
      <c r="B666" s="18" t="s">
        <v>49</v>
      </c>
      <c r="C666" s="18" t="s">
        <v>341</v>
      </c>
      <c r="D666" s="18" t="s">
        <v>1307</v>
      </c>
      <c r="E666" s="18">
        <v>1105</v>
      </c>
      <c r="F666" s="18" t="s">
        <v>35</v>
      </c>
      <c r="J666" s="19">
        <v>0.61329999999999996</v>
      </c>
      <c r="K666" s="19">
        <v>0.48870056499999998</v>
      </c>
      <c r="L666" s="19">
        <v>0.66390000000000005</v>
      </c>
      <c r="M666" s="19">
        <v>7.6899999999999996E-2</v>
      </c>
      <c r="N666" s="19">
        <v>0.48420000000000002</v>
      </c>
      <c r="O666" s="19">
        <v>0.71430000000000005</v>
      </c>
      <c r="P666" s="20">
        <v>28486</v>
      </c>
      <c r="Q666" s="21" t="str">
        <f>HYPERLINK("https://www.unk.edu/NetPriceCalculator/npcalc.htm", "$20088")</f>
        <v>$20088</v>
      </c>
      <c r="R666" s="20">
        <v>22702</v>
      </c>
      <c r="S666" s="20">
        <v>26110</v>
      </c>
      <c r="T666" s="20">
        <v>5242</v>
      </c>
      <c r="U666" s="20">
        <v>14846.671361502349</v>
      </c>
      <c r="W666" s="19">
        <v>0.31840000000000002</v>
      </c>
      <c r="X666" s="19">
        <v>0.21959999999999999</v>
      </c>
      <c r="Z666" s="18">
        <v>4440</v>
      </c>
    </row>
    <row r="667" spans="1:26" ht="15.75" customHeight="1" x14ac:dyDescent="0.2">
      <c r="A667" s="36" t="str">
        <f>HYPERLINK("https://www.unomaha.edu", "University of Nebraska at Omaha")</f>
        <v>University of Nebraska at Omaha</v>
      </c>
      <c r="B667" s="18" t="s">
        <v>49</v>
      </c>
      <c r="C667" s="18" t="s">
        <v>341</v>
      </c>
      <c r="D667" s="18" t="s">
        <v>345</v>
      </c>
      <c r="E667" s="18">
        <v>1125</v>
      </c>
      <c r="F667" s="18" t="s">
        <v>35</v>
      </c>
      <c r="J667" s="19">
        <v>0.4708</v>
      </c>
      <c r="K667" s="19">
        <v>0.41590909100000001</v>
      </c>
      <c r="L667" s="19">
        <v>0.4793</v>
      </c>
      <c r="M667" s="19">
        <v>0.35709999999999997</v>
      </c>
      <c r="N667" s="19">
        <v>0.37930000000000003</v>
      </c>
      <c r="O667" s="19">
        <v>0.48720000000000002</v>
      </c>
      <c r="P667" s="20">
        <v>34522</v>
      </c>
      <c r="Q667" s="21" t="str">
        <f>HYPERLINK("https://webapp.unomaha.edu/net-price-calculator/", "$26726")</f>
        <v>$26726</v>
      </c>
      <c r="R667" s="20">
        <v>29678</v>
      </c>
      <c r="S667" s="20">
        <v>32378</v>
      </c>
      <c r="T667" s="20">
        <v>4796</v>
      </c>
      <c r="U667" s="20">
        <v>21930.169960474312</v>
      </c>
      <c r="W667" s="19">
        <v>0.32</v>
      </c>
      <c r="X667" s="19">
        <v>0.33169999999999999</v>
      </c>
      <c r="Z667" s="18">
        <v>12424</v>
      </c>
    </row>
    <row r="668" spans="1:26" ht="15.75" customHeight="1" x14ac:dyDescent="0.2">
      <c r="A668" s="36" t="str">
        <f>HYPERLINK("https://www.unlv.edu/", "University of Nevada-Las Vegas")</f>
        <v>University of Nevada-Las Vegas</v>
      </c>
      <c r="B668" s="18" t="s">
        <v>49</v>
      </c>
      <c r="C668" s="18" t="s">
        <v>476</v>
      </c>
      <c r="D668" s="18" t="s">
        <v>796</v>
      </c>
      <c r="E668" s="18">
        <v>1100</v>
      </c>
      <c r="F668" s="18" t="s">
        <v>35</v>
      </c>
      <c r="J668" s="19">
        <v>0.41570000000000001</v>
      </c>
      <c r="K668" s="19">
        <v>0.43540916099999999</v>
      </c>
      <c r="L668" s="19">
        <v>0.42809999999999998</v>
      </c>
      <c r="M668" s="19">
        <v>0.2465</v>
      </c>
      <c r="N668" s="19">
        <v>0.39539999999999997</v>
      </c>
      <c r="O668" s="19">
        <v>0.48330000000000001</v>
      </c>
      <c r="P668" s="20">
        <v>37639</v>
      </c>
      <c r="Q668" s="21" t="str">
        <f>HYPERLINK("https://cashiering.unlv.edu/undergrad_calc.html", "$29444")</f>
        <v>$29444</v>
      </c>
      <c r="R668" s="20">
        <v>32288</v>
      </c>
      <c r="S668" s="20">
        <v>34908</v>
      </c>
      <c r="T668" s="20">
        <v>4980</v>
      </c>
      <c r="U668" s="20">
        <v>24464.613019891502</v>
      </c>
      <c r="W668" s="19">
        <v>0.35759999999999997</v>
      </c>
      <c r="X668" s="19">
        <v>0.68320000000000003</v>
      </c>
      <c r="Z668" s="18">
        <v>24783</v>
      </c>
    </row>
    <row r="669" spans="1:26" ht="15.75" customHeight="1" x14ac:dyDescent="0.2">
      <c r="A669" s="36" t="str">
        <f>HYPERLINK("https://www.une.edu/", "University of New England")</f>
        <v>University of New England</v>
      </c>
      <c r="B669" s="18" t="s">
        <v>32</v>
      </c>
      <c r="C669" s="18" t="s">
        <v>43</v>
      </c>
      <c r="D669" s="18" t="s">
        <v>1310</v>
      </c>
      <c r="E669" s="18">
        <v>1128</v>
      </c>
      <c r="F669" s="18" t="s">
        <v>35</v>
      </c>
      <c r="J669" s="19">
        <v>0.59</v>
      </c>
      <c r="K669" s="19">
        <v>0.48</v>
      </c>
      <c r="L669" s="19">
        <v>0.59760000000000002</v>
      </c>
      <c r="M669" s="19">
        <v>0.42859999999999998</v>
      </c>
      <c r="N669" s="19" t="s">
        <v>36</v>
      </c>
      <c r="O669" s="19">
        <v>0.54549999999999998</v>
      </c>
      <c r="P669" s="20">
        <v>54260</v>
      </c>
      <c r="Q669" s="21" t="str">
        <f>HYPERLINK("https://www.une.edu/sfs/undergraduate/costs", "$27172")</f>
        <v>$27172</v>
      </c>
      <c r="R669" s="20">
        <v>29442</v>
      </c>
      <c r="S669" s="20">
        <v>36717</v>
      </c>
      <c r="T669" s="20">
        <v>4150</v>
      </c>
      <c r="U669" s="20">
        <v>23022</v>
      </c>
      <c r="W669" s="19">
        <v>0.12690000000000001</v>
      </c>
      <c r="X669" s="19">
        <v>0.11950000000000011</v>
      </c>
      <c r="Z669" s="18">
        <v>2360</v>
      </c>
    </row>
    <row r="670" spans="1:26" ht="15.75" customHeight="1" x14ac:dyDescent="0.2">
      <c r="A670" s="36" t="str">
        <f>HYPERLINK("https://www.newhaven.edu", "University of New Haven")</f>
        <v>University of New Haven</v>
      </c>
      <c r="B670" s="18" t="s">
        <v>32</v>
      </c>
      <c r="C670" s="18" t="s">
        <v>94</v>
      </c>
      <c r="D670" s="18" t="s">
        <v>1311</v>
      </c>
      <c r="E670" s="18">
        <v>1124</v>
      </c>
      <c r="F670" s="18" t="s">
        <v>35</v>
      </c>
      <c r="J670" s="19">
        <v>0.60329999999999995</v>
      </c>
      <c r="K670" s="19">
        <v>0.45484949800000002</v>
      </c>
      <c r="L670" s="19">
        <v>0.65280000000000005</v>
      </c>
      <c r="M670" s="19">
        <v>0.51649999999999996</v>
      </c>
      <c r="N670" s="19">
        <v>1</v>
      </c>
      <c r="O670" s="19">
        <v>0.54549999999999998</v>
      </c>
      <c r="P670" s="20">
        <v>56446</v>
      </c>
      <c r="Q670" s="21" t="str">
        <f>HYPERLINK("https://newhaven.studentaidcalculator.com/survey.aspx", "$28688")</f>
        <v>$28688</v>
      </c>
      <c r="R670" s="20">
        <v>32294</v>
      </c>
      <c r="S670" s="20">
        <v>34659</v>
      </c>
      <c r="T670" s="20">
        <v>2666</v>
      </c>
      <c r="U670" s="20">
        <v>26022</v>
      </c>
      <c r="W670" s="19">
        <v>0.25359999999999999</v>
      </c>
      <c r="X670" s="19">
        <v>0.38879999999999998</v>
      </c>
      <c r="Z670" s="18">
        <v>5147</v>
      </c>
    </row>
    <row r="671" spans="1:26" ht="15.75" customHeight="1" x14ac:dyDescent="0.2">
      <c r="A671" s="36" t="str">
        <f>HYPERLINK("https://www.unm.edu", "University of New Mexico-Main Campus")</f>
        <v>University of New Mexico-Main Campus</v>
      </c>
      <c r="B671" s="18" t="s">
        <v>49</v>
      </c>
      <c r="C671" s="18" t="s">
        <v>234</v>
      </c>
      <c r="D671" s="18" t="s">
        <v>993</v>
      </c>
      <c r="E671" s="18">
        <v>1103</v>
      </c>
      <c r="F671" s="18" t="s">
        <v>35</v>
      </c>
      <c r="J671" s="19">
        <v>0.48680000000000001</v>
      </c>
      <c r="K671" s="19">
        <v>0.29735506299999998</v>
      </c>
      <c r="L671" s="19">
        <v>0.54020000000000001</v>
      </c>
      <c r="M671" s="19">
        <v>0.36899999999999999</v>
      </c>
      <c r="N671" s="19">
        <v>0.45490000000000003</v>
      </c>
      <c r="O671" s="19">
        <v>0.69569999999999999</v>
      </c>
      <c r="P671" s="20">
        <v>36736</v>
      </c>
      <c r="Q671" s="21" t="str">
        <f>HYPERLINK("https://npc.collegeboard.org/student/app/unm", "$31431")</f>
        <v>$31431</v>
      </c>
      <c r="R671" s="20">
        <v>34038</v>
      </c>
      <c r="S671" s="20">
        <v>35108</v>
      </c>
      <c r="T671" s="20">
        <v>5036</v>
      </c>
      <c r="U671" s="20">
        <v>26395.59016393443</v>
      </c>
      <c r="W671" s="19">
        <v>0.37959999999999999</v>
      </c>
      <c r="X671" s="19">
        <v>0.67510000000000003</v>
      </c>
      <c r="Y671" s="18" t="s">
        <v>37</v>
      </c>
      <c r="Z671" s="18">
        <v>18912</v>
      </c>
    </row>
    <row r="672" spans="1:26" ht="15.75" customHeight="1" x14ac:dyDescent="0.2">
      <c r="A672" s="36" t="str">
        <f>HYPERLINK("https://valencia.unm.edu/", "University of New Mexico-Valencia County Campus")</f>
        <v>University of New Mexico-Valencia County Campus</v>
      </c>
      <c r="B672" s="18" t="s">
        <v>49</v>
      </c>
      <c r="C672" s="18" t="s">
        <v>234</v>
      </c>
      <c r="D672" s="18" t="s">
        <v>1313</v>
      </c>
      <c r="E672" s="18" t="s">
        <v>36</v>
      </c>
      <c r="F672" s="18" t="s">
        <v>36</v>
      </c>
      <c r="J672" s="19">
        <v>0.1163</v>
      </c>
      <c r="K672" s="19">
        <v>0.29735506299999998</v>
      </c>
      <c r="L672" s="19">
        <v>8.1600000000000006E-2</v>
      </c>
      <c r="M672" s="19">
        <v>0</v>
      </c>
      <c r="N672" s="19">
        <v>0.12570000000000001</v>
      </c>
      <c r="O672" s="19" t="s">
        <v>36</v>
      </c>
      <c r="P672" s="20">
        <v>21150</v>
      </c>
      <c r="Q672" s="21" t="str">
        <f>HYPERLINK("https://npc.collegeboard.org/student/app/unm", "$15846")</f>
        <v>$15846</v>
      </c>
      <c r="R672" s="20">
        <v>17836</v>
      </c>
      <c r="S672" s="20">
        <v>19678</v>
      </c>
      <c r="T672" s="20">
        <v>6358</v>
      </c>
      <c r="U672" s="20">
        <v>9488.3277310924368</v>
      </c>
      <c r="W672" s="19">
        <v>0.42270000000000002</v>
      </c>
      <c r="X672" s="19">
        <v>0.74790000000000001</v>
      </c>
      <c r="Z672" s="18">
        <v>1341</v>
      </c>
    </row>
    <row r="673" spans="1:26" ht="15.75" customHeight="1" x14ac:dyDescent="0.2">
      <c r="A673" s="36" t="str">
        <f>HYPERLINK("https://www.una.edu", "University of North Alabama")</f>
        <v>University of North Alabama</v>
      </c>
      <c r="B673" s="18" t="s">
        <v>49</v>
      </c>
      <c r="C673" s="18" t="s">
        <v>300</v>
      </c>
      <c r="D673" s="18" t="s">
        <v>772</v>
      </c>
      <c r="E673" s="18">
        <v>1104</v>
      </c>
      <c r="F673" s="18" t="s">
        <v>35</v>
      </c>
      <c r="J673" s="19">
        <v>0.44540000000000002</v>
      </c>
      <c r="K673" s="19">
        <v>0.33020134200000001</v>
      </c>
      <c r="L673" s="19">
        <v>0.48120000000000002</v>
      </c>
      <c r="M673" s="19">
        <v>0.35260000000000002</v>
      </c>
      <c r="N673" s="19">
        <v>0.42109999999999997</v>
      </c>
      <c r="O673" s="19">
        <v>0</v>
      </c>
      <c r="P673" s="20">
        <v>26912</v>
      </c>
      <c r="Q673" s="21" t="str">
        <f>HYPERLINK("https://studentnpc.collegeboard.org/", "$19753")</f>
        <v>$19753</v>
      </c>
      <c r="R673" s="20">
        <v>21954</v>
      </c>
      <c r="S673" s="20">
        <v>23028</v>
      </c>
      <c r="T673" s="20">
        <v>4300</v>
      </c>
      <c r="U673" s="20">
        <v>15453.11940298507</v>
      </c>
      <c r="W673" s="19">
        <v>0.40339999999999998</v>
      </c>
      <c r="X673" s="19">
        <v>0.27</v>
      </c>
      <c r="Z673" s="18">
        <v>5771</v>
      </c>
    </row>
    <row r="674" spans="1:26" ht="15.75" customHeight="1" x14ac:dyDescent="0.2">
      <c r="A674" s="36" t="str">
        <f>HYPERLINK("https://www.uncsa.edu/", "University of North Carolina School of the Arts")</f>
        <v>University of North Carolina School of the Arts</v>
      </c>
      <c r="B674" s="18" t="s">
        <v>49</v>
      </c>
      <c r="C674" s="18" t="s">
        <v>103</v>
      </c>
      <c r="D674" s="18" t="s">
        <v>178</v>
      </c>
      <c r="E674" s="18">
        <v>1198</v>
      </c>
      <c r="F674" s="18" t="s">
        <v>35</v>
      </c>
      <c r="J674" s="19">
        <v>0.70220000000000005</v>
      </c>
      <c r="K674" s="19">
        <v>0.68181818199999999</v>
      </c>
      <c r="L674" s="19">
        <v>0.74619999999999997</v>
      </c>
      <c r="M674" s="19">
        <v>0.5625</v>
      </c>
      <c r="N674" s="19">
        <v>0.55000000000000004</v>
      </c>
      <c r="O674" s="19">
        <v>0.5</v>
      </c>
      <c r="P674" s="20">
        <v>37677</v>
      </c>
      <c r="Q674" s="21" t="str">
        <f>HYPERLINK("https://www.uncsa.edu/financialaid/netpricecalculator/npcalc.html", "$23351")</f>
        <v>$23351</v>
      </c>
      <c r="R674" s="20">
        <v>27899</v>
      </c>
      <c r="S674" s="20">
        <v>34877</v>
      </c>
      <c r="T674" s="20">
        <v>3619</v>
      </c>
      <c r="U674" s="20">
        <v>19732.967741935481</v>
      </c>
      <c r="W674" s="19">
        <v>0.2944</v>
      </c>
      <c r="X674" s="19">
        <v>0.28720000000000001</v>
      </c>
      <c r="Z674" s="18">
        <v>867</v>
      </c>
    </row>
    <row r="675" spans="1:26" ht="15.75" customHeight="1" x14ac:dyDescent="0.2">
      <c r="A675" s="36" t="str">
        <f>HYPERLINK("https://www.uncc.edu", "University of North Carolina at Charlotte")</f>
        <v>University of North Carolina at Charlotte</v>
      </c>
      <c r="B675" s="18" t="s">
        <v>49</v>
      </c>
      <c r="C675" s="18" t="s">
        <v>103</v>
      </c>
      <c r="D675" s="18" t="s">
        <v>447</v>
      </c>
      <c r="E675" s="18">
        <v>1187</v>
      </c>
      <c r="F675" s="18" t="s">
        <v>35</v>
      </c>
      <c r="J675" s="19">
        <v>0.53979999999999995</v>
      </c>
      <c r="K675" s="19">
        <v>0.49886234400000001</v>
      </c>
      <c r="L675" s="19">
        <v>0.53069999999999995</v>
      </c>
      <c r="M675" s="19">
        <v>0.57730000000000004</v>
      </c>
      <c r="N675" s="19">
        <v>0.52070000000000005</v>
      </c>
      <c r="O675" s="19">
        <v>0.59379999999999999</v>
      </c>
      <c r="P675" s="20">
        <v>37081</v>
      </c>
      <c r="Q675" s="21" t="str">
        <f>HYPERLINK("https://calculator.uncc.edu/1516/npcalc.htm", "$27146")</f>
        <v>$27146</v>
      </c>
      <c r="R675" s="20">
        <v>30708</v>
      </c>
      <c r="S675" s="20">
        <v>34643</v>
      </c>
      <c r="T675" s="20">
        <v>4407</v>
      </c>
      <c r="U675" s="20">
        <v>22739.870229007629</v>
      </c>
      <c r="W675" s="19">
        <v>0.37309999999999999</v>
      </c>
      <c r="X675" s="19">
        <v>0.42309999999999998</v>
      </c>
      <c r="Z675" s="18">
        <v>23622</v>
      </c>
    </row>
    <row r="676" spans="1:26" ht="15.75" customHeight="1" x14ac:dyDescent="0.2">
      <c r="A676" s="36" t="str">
        <f>HYPERLINK("https://www.uncg.edu", "University of North Carolina at Greensboro")</f>
        <v>University of North Carolina at Greensboro</v>
      </c>
      <c r="B676" s="18" t="s">
        <v>49</v>
      </c>
      <c r="C676" s="18" t="s">
        <v>103</v>
      </c>
      <c r="D676" s="18" t="s">
        <v>643</v>
      </c>
      <c r="E676" s="18">
        <v>1114</v>
      </c>
      <c r="F676" s="18" t="s">
        <v>35</v>
      </c>
      <c r="J676" s="19">
        <v>0.54290000000000005</v>
      </c>
      <c r="K676" s="19">
        <v>0.53278122799999994</v>
      </c>
      <c r="L676" s="19">
        <v>0.54579999999999995</v>
      </c>
      <c r="M676" s="19">
        <v>0.53969999999999996</v>
      </c>
      <c r="N676" s="19">
        <v>0.55759999999999998</v>
      </c>
      <c r="O676" s="19">
        <v>0.57950000000000002</v>
      </c>
      <c r="P676" s="20">
        <v>35818</v>
      </c>
      <c r="Q676" s="21" t="str">
        <f>HYPERLINK("https://fia.uncg.edu/net-price-calculator/", "$25179")</f>
        <v>$25179</v>
      </c>
      <c r="R676" s="20">
        <v>30187</v>
      </c>
      <c r="S676" s="20">
        <v>34227</v>
      </c>
      <c r="T676" s="20">
        <v>3226</v>
      </c>
      <c r="U676" s="20">
        <v>21953.366336633659</v>
      </c>
      <c r="W676" s="19">
        <v>0.4662</v>
      </c>
      <c r="X676" s="19">
        <v>0.51079999999999992</v>
      </c>
      <c r="Z676" s="18">
        <v>15988</v>
      </c>
    </row>
    <row r="677" spans="1:26" ht="15.75" customHeight="1" x14ac:dyDescent="0.2">
      <c r="A677" s="36" t="str">
        <f>HYPERLINK("https://und.edu", "University of North Dakota")</f>
        <v>University of North Dakota</v>
      </c>
      <c r="B677" s="18" t="s">
        <v>49</v>
      </c>
      <c r="C677" s="18" t="s">
        <v>730</v>
      </c>
      <c r="D677" s="18" t="s">
        <v>1316</v>
      </c>
      <c r="E677" s="18">
        <v>1165</v>
      </c>
      <c r="F677" s="18" t="s">
        <v>35</v>
      </c>
      <c r="J677" s="19">
        <v>0.53620000000000001</v>
      </c>
      <c r="K677" s="19">
        <v>0.43045112800000002</v>
      </c>
      <c r="L677" s="19">
        <v>0.54869999999999997</v>
      </c>
      <c r="M677" s="19">
        <v>0.2273</v>
      </c>
      <c r="N677" s="19">
        <v>0.4783</v>
      </c>
      <c r="O677" s="19">
        <v>0.56000000000000005</v>
      </c>
      <c r="P677" s="20">
        <v>33017</v>
      </c>
      <c r="Q677" s="21" t="str">
        <f>HYPERLINK("https://und.edu/admissions/cost-and-aid/calculator.html", "$24090")</f>
        <v>$24090</v>
      </c>
      <c r="R677" s="20">
        <v>26752</v>
      </c>
      <c r="S677" s="20">
        <v>29226</v>
      </c>
      <c r="T677" s="20">
        <v>4422</v>
      </c>
      <c r="U677" s="20">
        <v>19668.442105263159</v>
      </c>
      <c r="W677" s="19">
        <v>0.1812</v>
      </c>
      <c r="X677" s="19">
        <v>0.18640000000000001</v>
      </c>
      <c r="Z677" s="18">
        <v>10351</v>
      </c>
    </row>
    <row r="678" spans="1:26" ht="15.75" customHeight="1" x14ac:dyDescent="0.2">
      <c r="A678" s="36" t="str">
        <f>HYPERLINK("https://www.ung.edu", "University of North Georgia")</f>
        <v>University of North Georgia</v>
      </c>
      <c r="B678" s="18" t="s">
        <v>49</v>
      </c>
      <c r="C678" s="18" t="s">
        <v>107</v>
      </c>
      <c r="D678" s="18" t="s">
        <v>1317</v>
      </c>
      <c r="E678" s="18">
        <v>1058</v>
      </c>
      <c r="F678" s="18" t="s">
        <v>35</v>
      </c>
      <c r="J678" s="19">
        <v>0.28599999999999998</v>
      </c>
      <c r="K678" s="19">
        <v>0.330917874</v>
      </c>
      <c r="L678" s="19">
        <v>0.30570000000000003</v>
      </c>
      <c r="M678" s="19">
        <v>0.1827</v>
      </c>
      <c r="N678" s="19">
        <v>0.19700000000000001</v>
      </c>
      <c r="O678" s="19">
        <v>0.2651</v>
      </c>
      <c r="P678" s="20">
        <v>28094</v>
      </c>
      <c r="Q678" s="21" t="str">
        <f>HYPERLINK("https://ung.edu/financial-aid/net-calculator.php", "$20623")</f>
        <v>$20623</v>
      </c>
      <c r="R678" s="20">
        <v>22992</v>
      </c>
      <c r="S678" s="20">
        <v>24659</v>
      </c>
      <c r="T678" s="20">
        <v>4820</v>
      </c>
      <c r="U678" s="20">
        <v>15803.37188208617</v>
      </c>
      <c r="W678" s="19">
        <v>0.33139999999999997</v>
      </c>
      <c r="X678" s="19">
        <v>0.26</v>
      </c>
      <c r="Z678" s="18">
        <v>17067</v>
      </c>
    </row>
    <row r="679" spans="1:26" ht="15.75" customHeight="1" x14ac:dyDescent="0.2">
      <c r="A679" s="36" t="str">
        <f>HYPERLINK("https://www.unt.edu", "University of North Texas")</f>
        <v>University of North Texas</v>
      </c>
      <c r="B679" s="18" t="s">
        <v>49</v>
      </c>
      <c r="C679" s="18" t="s">
        <v>146</v>
      </c>
      <c r="D679" s="18" t="s">
        <v>865</v>
      </c>
      <c r="E679" s="18">
        <v>1167</v>
      </c>
      <c r="F679" s="18" t="s">
        <v>35</v>
      </c>
      <c r="J679" s="19">
        <v>0.54310000000000003</v>
      </c>
      <c r="K679" s="19">
        <v>0.513705945</v>
      </c>
      <c r="L679" s="19">
        <v>0.54649999999999999</v>
      </c>
      <c r="M679" s="19">
        <v>0.47810000000000002</v>
      </c>
      <c r="N679" s="19">
        <v>0.5101</v>
      </c>
      <c r="O679" s="19">
        <v>0.60980000000000001</v>
      </c>
      <c r="P679" s="20">
        <v>33908</v>
      </c>
      <c r="Q679" s="21" t="str">
        <f>HYPERLINK("https://www.collegeforalltexans.com/apps/CollegeMoney/", "$22268")</f>
        <v>$22268</v>
      </c>
      <c r="R679" s="20">
        <v>26591</v>
      </c>
      <c r="S679" s="20">
        <v>31595</v>
      </c>
      <c r="T679" s="20">
        <v>4136</v>
      </c>
      <c r="U679" s="20">
        <v>18132.918309859149</v>
      </c>
      <c r="W679" s="19">
        <v>0.35659999999999997</v>
      </c>
      <c r="X679" s="19">
        <v>0.55069999999999997</v>
      </c>
      <c r="Z679" s="18">
        <v>31448</v>
      </c>
    </row>
    <row r="680" spans="1:26" ht="15.75" customHeight="1" x14ac:dyDescent="0.2">
      <c r="A680" s="36" t="str">
        <f>HYPERLINK("https://www.unco.edu", "University of Northern Colorado")</f>
        <v>University of Northern Colorado</v>
      </c>
      <c r="B680" s="18" t="s">
        <v>49</v>
      </c>
      <c r="C680" s="18" t="s">
        <v>87</v>
      </c>
      <c r="D680" s="18" t="s">
        <v>1318</v>
      </c>
      <c r="E680" s="18">
        <v>1107</v>
      </c>
      <c r="F680" s="18" t="s">
        <v>35</v>
      </c>
      <c r="J680" s="19">
        <v>0.47749999999999998</v>
      </c>
      <c r="K680" s="19">
        <v>0.50610583499999995</v>
      </c>
      <c r="L680" s="19">
        <v>0.50509999999999999</v>
      </c>
      <c r="M680" s="19">
        <v>0.40570000000000001</v>
      </c>
      <c r="N680" s="19">
        <v>0.42030000000000001</v>
      </c>
      <c r="O680" s="19">
        <v>0.5</v>
      </c>
      <c r="P680" s="20">
        <v>35653</v>
      </c>
      <c r="Q680" s="21" t="str">
        <f>HYPERLINK("https://www.unco.edu/financial-aid/resources/net-price-calculator.aspx", "$31088")</f>
        <v>$31088</v>
      </c>
      <c r="R680" s="20">
        <v>33675</v>
      </c>
      <c r="S680" s="20">
        <v>35219</v>
      </c>
      <c r="T680" s="20">
        <v>3541</v>
      </c>
      <c r="U680" s="20">
        <v>27547.513402061861</v>
      </c>
      <c r="W680" s="19">
        <v>0.2923</v>
      </c>
      <c r="X680" s="19">
        <v>0.38850000000000001</v>
      </c>
      <c r="Z680" s="18">
        <v>9104</v>
      </c>
    </row>
    <row r="681" spans="1:26" ht="15.75" customHeight="1" x14ac:dyDescent="0.2">
      <c r="A681" s="36" t="str">
        <f>HYPERLINK("https://www.uni.edu", "University of Northern Iowa")</f>
        <v>University of Northern Iowa</v>
      </c>
      <c r="B681" s="18" t="s">
        <v>49</v>
      </c>
      <c r="C681" s="18" t="s">
        <v>211</v>
      </c>
      <c r="D681" s="18" t="s">
        <v>1320</v>
      </c>
      <c r="E681" s="18">
        <v>1166</v>
      </c>
      <c r="F681" s="18" t="s">
        <v>35</v>
      </c>
      <c r="J681" s="19">
        <v>0.67530000000000001</v>
      </c>
      <c r="K681" s="19">
        <v>0.54640980700000008</v>
      </c>
      <c r="L681" s="19">
        <v>0.67900000000000005</v>
      </c>
      <c r="M681" s="19">
        <v>0.56000000000000005</v>
      </c>
      <c r="N681" s="19">
        <v>0.73680000000000001</v>
      </c>
      <c r="O681" s="19">
        <v>0.66669999999999996</v>
      </c>
      <c r="P681" s="20">
        <v>31872</v>
      </c>
      <c r="Q681" s="21" t="str">
        <f>HYPERLINK("https://cgi.access.uni.edu/cgi-bin/calc_aid/calc_aid.cgi", "$23051")</f>
        <v>$23051</v>
      </c>
      <c r="R681" s="20">
        <v>27205</v>
      </c>
      <c r="S681" s="20">
        <v>29770</v>
      </c>
      <c r="T681" s="20">
        <v>3850</v>
      </c>
      <c r="U681" s="20">
        <v>19201.87074829932</v>
      </c>
      <c r="W681" s="19">
        <v>0.26250000000000001</v>
      </c>
      <c r="X681" s="19">
        <v>0.1772</v>
      </c>
      <c r="Z681" s="18">
        <v>9686</v>
      </c>
    </row>
    <row r="682" spans="1:26" ht="15.75" customHeight="1" x14ac:dyDescent="0.2">
      <c r="A682" s="36" t="str">
        <f>HYPERLINK("https://www.unwsp.edu", "University of Northwestern-St Paul")</f>
        <v>University of Northwestern-St Paul</v>
      </c>
      <c r="B682" s="18" t="s">
        <v>32</v>
      </c>
      <c r="C682" s="18" t="s">
        <v>72</v>
      </c>
      <c r="D682" s="18" t="s">
        <v>131</v>
      </c>
      <c r="E682" s="18">
        <v>1174</v>
      </c>
      <c r="F682" s="18" t="s">
        <v>35</v>
      </c>
      <c r="J682" s="19">
        <v>0.62029999999999996</v>
      </c>
      <c r="K682" s="19">
        <v>0.42028985499999999</v>
      </c>
      <c r="L682" s="19">
        <v>0.64459999999999995</v>
      </c>
      <c r="M682" s="19">
        <v>0.3846</v>
      </c>
      <c r="N682" s="19">
        <v>0.57889999999999997</v>
      </c>
      <c r="O682" s="19">
        <v>0.42859999999999998</v>
      </c>
      <c r="P682" s="20">
        <v>43404</v>
      </c>
      <c r="Q682" s="21" t="str">
        <f>HYPERLINK("https://unwsp.edu/become-a-student/financial-aid/undergraduate-net-price-calculator", "$19076")</f>
        <v>$19076</v>
      </c>
      <c r="R682" s="20">
        <v>20531</v>
      </c>
      <c r="S682" s="20">
        <v>22550</v>
      </c>
      <c r="T682" s="20">
        <v>3340</v>
      </c>
      <c r="U682" s="20">
        <v>15736</v>
      </c>
      <c r="W682" s="19">
        <v>0.2046</v>
      </c>
      <c r="X682" s="19">
        <v>0.17190000000000011</v>
      </c>
      <c r="Z682" s="18">
        <v>1827</v>
      </c>
    </row>
    <row r="683" spans="1:26" ht="15.75" customHeight="1" x14ac:dyDescent="0.2">
      <c r="A683" s="36" t="str">
        <f>HYPERLINK("https://www.upb.pitt.edu/", "University of Pittsburgh-Bradford")</f>
        <v>University of Pittsburgh-Bradford</v>
      </c>
      <c r="B683" s="18" t="s">
        <v>49</v>
      </c>
      <c r="C683" s="18" t="s">
        <v>65</v>
      </c>
      <c r="D683" s="18" t="s">
        <v>1322</v>
      </c>
      <c r="E683" s="18">
        <v>1077</v>
      </c>
      <c r="F683" s="18" t="s">
        <v>35</v>
      </c>
      <c r="J683" s="19">
        <v>0.44629999999999997</v>
      </c>
      <c r="K683" s="19">
        <v>0.53456221199999998</v>
      </c>
      <c r="L683" s="19">
        <v>0.47189999999999999</v>
      </c>
      <c r="M683" s="19">
        <v>0.25580000000000003</v>
      </c>
      <c r="N683" s="19">
        <v>0.69230000000000003</v>
      </c>
      <c r="O683" s="19">
        <v>0.18179999999999999</v>
      </c>
      <c r="P683" s="20">
        <v>39355</v>
      </c>
      <c r="Q683" s="21" t="str">
        <f>HYPERLINK("https://npc.collegeboard.org/student/app/pitt", "$28518")</f>
        <v>$28518</v>
      </c>
      <c r="R683" s="20">
        <v>31829</v>
      </c>
      <c r="S683" s="20">
        <v>33085</v>
      </c>
      <c r="T683" s="20">
        <v>5153</v>
      </c>
      <c r="U683" s="20">
        <v>23365.772727272732</v>
      </c>
      <c r="W683" s="19">
        <v>0.44440000000000002</v>
      </c>
      <c r="X683" s="19">
        <v>0.31169999999999998</v>
      </c>
      <c r="Z683" s="18">
        <v>1296</v>
      </c>
    </row>
    <row r="684" spans="1:26" ht="15.75" customHeight="1" x14ac:dyDescent="0.2">
      <c r="A684" s="36" t="str">
        <f>HYPERLINK("https://www.greensburg.pitt.edu/", "University of Pittsburgh-Greensburg")</f>
        <v>University of Pittsburgh-Greensburg</v>
      </c>
      <c r="B684" s="18" t="s">
        <v>49</v>
      </c>
      <c r="C684" s="18" t="s">
        <v>65</v>
      </c>
      <c r="D684" s="18" t="s">
        <v>1150</v>
      </c>
      <c r="E684" s="18">
        <v>1101</v>
      </c>
      <c r="F684" s="18" t="s">
        <v>35</v>
      </c>
      <c r="J684" s="19">
        <v>0.3145</v>
      </c>
      <c r="K684" s="19">
        <v>0.53456221199999998</v>
      </c>
      <c r="L684" s="19">
        <v>0.34150000000000003</v>
      </c>
      <c r="M684" s="19">
        <v>0.1905</v>
      </c>
      <c r="N684" s="19">
        <v>0.1</v>
      </c>
      <c r="O684" s="19">
        <v>0.30769999999999997</v>
      </c>
      <c r="P684" s="20">
        <v>40537</v>
      </c>
      <c r="Q684" s="21" t="str">
        <f>HYPERLINK("https://npc.collegeboard.org/student/app/pitt", "$28101")</f>
        <v>$28101</v>
      </c>
      <c r="R684" s="20">
        <v>31243</v>
      </c>
      <c r="S684" s="20">
        <v>33831</v>
      </c>
      <c r="T684" s="20">
        <v>5153</v>
      </c>
      <c r="U684" s="20">
        <v>22948.50943396227</v>
      </c>
      <c r="W684" s="19">
        <v>0.34610000000000002</v>
      </c>
      <c r="X684" s="19">
        <v>0.2452</v>
      </c>
      <c r="Z684" s="18">
        <v>1521</v>
      </c>
    </row>
    <row r="685" spans="1:26" ht="15.75" customHeight="1" x14ac:dyDescent="0.2">
      <c r="A685" s="36" t="str">
        <f>HYPERLINK("https://www.uprovidence.edu", "University of Great Falls")</f>
        <v>University of Great Falls</v>
      </c>
      <c r="B685" s="18" t="s">
        <v>32</v>
      </c>
      <c r="C685" s="18" t="s">
        <v>421</v>
      </c>
      <c r="D685" s="18" t="s">
        <v>1325</v>
      </c>
      <c r="E685" s="18" t="s">
        <v>36</v>
      </c>
      <c r="F685" s="18" t="s">
        <v>90</v>
      </c>
      <c r="J685" s="19">
        <v>0.45400000000000001</v>
      </c>
      <c r="K685" s="19">
        <v>0.30534351199999998</v>
      </c>
      <c r="L685" s="19">
        <v>0.4526</v>
      </c>
      <c r="M685" s="19">
        <v>1</v>
      </c>
      <c r="N685" s="19">
        <v>0.57140000000000002</v>
      </c>
      <c r="O685" s="19">
        <v>0.6</v>
      </c>
      <c r="P685" s="20">
        <v>37890</v>
      </c>
      <c r="Q685" s="21" t="str">
        <f>HYPERLINK("https://www.uprovidence.edu/become-a-student/financial-aid/", "$18402")</f>
        <v>$18402</v>
      </c>
      <c r="R685" s="20">
        <v>21592</v>
      </c>
      <c r="S685" s="20">
        <v>19649</v>
      </c>
      <c r="T685" s="20">
        <v>4950</v>
      </c>
      <c r="U685" s="20">
        <v>13452</v>
      </c>
      <c r="W685" s="19">
        <v>0.26390000000000002</v>
      </c>
      <c r="X685" s="19">
        <v>0.32829999999999998</v>
      </c>
      <c r="Z685" s="18">
        <v>923</v>
      </c>
    </row>
    <row r="686" spans="1:26" ht="15.75" customHeight="1" x14ac:dyDescent="0.2">
      <c r="A686" s="36" t="str">
        <f>HYPERLINK("https://www.uprag.edu", "University of Puerto Rico-Aguadilla")</f>
        <v>University of Puerto Rico-Aguadilla</v>
      </c>
      <c r="B686" s="18" t="s">
        <v>49</v>
      </c>
      <c r="C686" s="18" t="s">
        <v>284</v>
      </c>
      <c r="D686" s="18" t="s">
        <v>1327</v>
      </c>
      <c r="E686" s="18">
        <v>1049</v>
      </c>
      <c r="F686" s="18" t="s">
        <v>35</v>
      </c>
      <c r="J686" s="19">
        <v>0.41810000000000003</v>
      </c>
      <c r="K686" s="19">
        <v>0.34285714299999998</v>
      </c>
      <c r="L686" s="19">
        <v>1</v>
      </c>
      <c r="M686" s="19" t="s">
        <v>36</v>
      </c>
      <c r="N686" s="19">
        <v>0.4345</v>
      </c>
      <c r="O686" s="19" t="s">
        <v>36</v>
      </c>
      <c r="P686" s="20">
        <v>19924</v>
      </c>
      <c r="Q686" s="21" t="str">
        <f>HYPERLINK("https://www.uprag.edu/opei_old/NPC/npcalc.htm", "$14161")</f>
        <v>$14161</v>
      </c>
      <c r="R686" s="20">
        <v>16854</v>
      </c>
      <c r="S686" s="20">
        <v>18693</v>
      </c>
      <c r="T686" s="20">
        <v>4693</v>
      </c>
      <c r="U686" s="20">
        <v>9468.1523809523806</v>
      </c>
      <c r="W686" s="19">
        <v>0.82010000000000005</v>
      </c>
      <c r="X686" s="19">
        <v>0.96750000000000003</v>
      </c>
      <c r="Z686" s="18">
        <v>3385</v>
      </c>
    </row>
    <row r="687" spans="1:26" ht="15.75" customHeight="1" x14ac:dyDescent="0.2">
      <c r="A687" s="36" t="str">
        <f>HYPERLINK("https://www.uprc.edu/", "University of Puerto Rico-Carolina")</f>
        <v>University of Puerto Rico-Carolina</v>
      </c>
      <c r="B687" s="18" t="s">
        <v>49</v>
      </c>
      <c r="C687" s="18" t="s">
        <v>284</v>
      </c>
      <c r="D687" s="18" t="s">
        <v>1328</v>
      </c>
      <c r="E687" s="18">
        <v>1021</v>
      </c>
      <c r="F687" s="18" t="s">
        <v>35</v>
      </c>
      <c r="J687" s="19">
        <v>0.46389999999999998</v>
      </c>
      <c r="K687" s="19">
        <v>0.2</v>
      </c>
      <c r="L687" s="19">
        <v>0</v>
      </c>
      <c r="M687" s="19" t="s">
        <v>36</v>
      </c>
      <c r="N687" s="19">
        <v>0.46800000000000003</v>
      </c>
      <c r="O687" s="19" t="s">
        <v>36</v>
      </c>
      <c r="P687" s="20">
        <v>23056</v>
      </c>
      <c r="Q687" s="21" t="str">
        <f>HYPERLINK("https://home.uprc.upr.edu/info//NetPrice/npcalc.htm", "$17150")</f>
        <v>$17150</v>
      </c>
      <c r="R687" s="20">
        <v>20029</v>
      </c>
      <c r="S687" s="20" t="s">
        <v>36</v>
      </c>
      <c r="T687" s="20">
        <v>5705</v>
      </c>
      <c r="U687" s="20">
        <v>11445.895716946001</v>
      </c>
      <c r="W687" s="19">
        <v>0.72240000000000004</v>
      </c>
      <c r="X687" s="19">
        <v>1</v>
      </c>
      <c r="Z687" s="18">
        <v>3532</v>
      </c>
    </row>
    <row r="688" spans="1:26" ht="15.75" customHeight="1" x14ac:dyDescent="0.2">
      <c r="A688" s="36" t="str">
        <f>HYPERLINK("https://www.uprh.edu", "University of Puerto Rico-Humacao")</f>
        <v>University of Puerto Rico-Humacao</v>
      </c>
      <c r="B688" s="18" t="s">
        <v>49</v>
      </c>
      <c r="C688" s="18" t="s">
        <v>284</v>
      </c>
      <c r="D688" s="18" t="s">
        <v>1050</v>
      </c>
      <c r="E688" s="18" t="s">
        <v>36</v>
      </c>
      <c r="F688" s="18" t="s">
        <v>45</v>
      </c>
      <c r="J688" s="19">
        <v>0.51919999999999999</v>
      </c>
      <c r="K688" s="19" t="s">
        <v>36</v>
      </c>
      <c r="L688" s="19">
        <v>0.33329999999999999</v>
      </c>
      <c r="M688" s="19">
        <v>0</v>
      </c>
      <c r="N688" s="19">
        <v>0.54110000000000003</v>
      </c>
      <c r="O688" s="19" t="s">
        <v>36</v>
      </c>
      <c r="P688" s="20">
        <v>19920</v>
      </c>
      <c r="Q688" s="21" t="str">
        <f>HYPERLINK("https://www.uprh.edu/npcalc.htm", "$14212")</f>
        <v>$14212</v>
      </c>
      <c r="R688" s="20">
        <v>17353</v>
      </c>
      <c r="S688" s="20">
        <v>18500</v>
      </c>
      <c r="T688" s="20">
        <v>4621</v>
      </c>
      <c r="U688" s="20">
        <v>9591.3287292817677</v>
      </c>
      <c r="W688" s="19">
        <v>0.77729999999999999</v>
      </c>
      <c r="X688" s="19">
        <v>0.99199999999999999</v>
      </c>
      <c r="Z688" s="18">
        <v>3626</v>
      </c>
    </row>
    <row r="689" spans="1:26" ht="15.75" customHeight="1" x14ac:dyDescent="0.2">
      <c r="A689" s="36" t="str">
        <f>HYPERLINK("https://www.uprm.edu", "University of Puerto Rico-Mayaguez")</f>
        <v>University of Puerto Rico-Mayaguez</v>
      </c>
      <c r="B689" s="18" t="s">
        <v>49</v>
      </c>
      <c r="C689" s="18" t="s">
        <v>284</v>
      </c>
      <c r="D689" s="18" t="s">
        <v>1052</v>
      </c>
      <c r="E689" s="18" t="s">
        <v>36</v>
      </c>
      <c r="F689" s="18" t="s">
        <v>45</v>
      </c>
      <c r="J689" s="19">
        <v>0.47260000000000002</v>
      </c>
      <c r="K689" s="19">
        <v>0.49058219199999997</v>
      </c>
      <c r="L689" s="19" t="s">
        <v>36</v>
      </c>
      <c r="M689" s="19" t="s">
        <v>36</v>
      </c>
      <c r="N689" s="19">
        <v>0.47220000000000001</v>
      </c>
      <c r="O689" s="19" t="s">
        <v>36</v>
      </c>
      <c r="P689" s="20">
        <v>19887</v>
      </c>
      <c r="Q689" s="21" t="str">
        <f>HYPERLINK("https://www.uprm.edu/netpricecalculator", "$13887")</f>
        <v>$13887</v>
      </c>
      <c r="R689" s="20">
        <v>16887</v>
      </c>
      <c r="S689" s="20">
        <v>18831</v>
      </c>
      <c r="T689" s="20">
        <v>4621</v>
      </c>
      <c r="U689" s="20">
        <v>9266.6962855061902</v>
      </c>
      <c r="W689" s="19">
        <v>0.63500000000000001</v>
      </c>
      <c r="X689" s="19">
        <v>1</v>
      </c>
      <c r="Z689" s="18">
        <v>12208</v>
      </c>
    </row>
    <row r="690" spans="1:26" ht="15.75" customHeight="1" x14ac:dyDescent="0.2">
      <c r="A690" s="36" t="str">
        <f>HYPERLINK("https://www.uprp.edu", "University of Puerto Rico-Ponce")</f>
        <v>University of Puerto Rico-Ponce</v>
      </c>
      <c r="B690" s="18" t="s">
        <v>49</v>
      </c>
      <c r="C690" s="18" t="s">
        <v>284</v>
      </c>
      <c r="D690" s="18" t="s">
        <v>1332</v>
      </c>
      <c r="E690" s="18" t="s">
        <v>36</v>
      </c>
      <c r="F690" s="18" t="s">
        <v>45</v>
      </c>
      <c r="J690" s="19">
        <v>0.40949999999999998</v>
      </c>
      <c r="K690" s="19" t="s">
        <v>36</v>
      </c>
      <c r="L690" s="19" t="s">
        <v>36</v>
      </c>
      <c r="M690" s="19" t="s">
        <v>36</v>
      </c>
      <c r="N690" s="19">
        <v>0.40949999999999998</v>
      </c>
      <c r="O690" s="19" t="s">
        <v>36</v>
      </c>
      <c r="P690" s="20">
        <v>19920</v>
      </c>
      <c r="Q690" s="21" t="str">
        <f>HYPERLINK("https://www.uprp.edu/index.php?option=com_content&amp;view=article&amp;id=460:net-price-calculator&amp;catid=73:opei&amp;Itemid=441", "$14017")</f>
        <v>$14017</v>
      </c>
      <c r="R690" s="20">
        <v>17044</v>
      </c>
      <c r="S690" s="20">
        <v>18788</v>
      </c>
      <c r="T690" s="20">
        <v>4621</v>
      </c>
      <c r="U690" s="20">
        <v>9396.3924914675772</v>
      </c>
      <c r="W690" s="19">
        <v>0.80799999999999994</v>
      </c>
      <c r="X690" s="19">
        <v>1</v>
      </c>
      <c r="Z690" s="18">
        <v>3150</v>
      </c>
    </row>
    <row r="691" spans="1:26" ht="15.75" customHeight="1" x14ac:dyDescent="0.2">
      <c r="A691" s="36" t="str">
        <f>HYPERLINK("https://www.uprutuado.edu", "University of Puerto Rico-Utuado")</f>
        <v>University of Puerto Rico-Utuado</v>
      </c>
      <c r="B691" s="18" t="s">
        <v>49</v>
      </c>
      <c r="C691" s="18" t="s">
        <v>284</v>
      </c>
      <c r="D691" s="18" t="s">
        <v>1333</v>
      </c>
      <c r="E691" s="18" t="s">
        <v>36</v>
      </c>
      <c r="F691" s="18" t="s">
        <v>45</v>
      </c>
      <c r="J691" s="19">
        <v>0.2135</v>
      </c>
      <c r="K691" s="19" t="s">
        <v>36</v>
      </c>
      <c r="L691" s="19">
        <v>0</v>
      </c>
      <c r="M691" s="19">
        <v>0</v>
      </c>
      <c r="N691" s="19">
        <v>0.22420000000000001</v>
      </c>
      <c r="O691" s="19" t="s">
        <v>36</v>
      </c>
      <c r="P691" s="20">
        <v>19920</v>
      </c>
      <c r="Q691" s="21" t="str">
        <f>HYPERLINK("https://www.uprutuado.edu/sites/default/files/documents/asec/NetPriceCalculator18/npcalc.htm", "$14250")</f>
        <v>$14250</v>
      </c>
      <c r="R691" s="20">
        <v>16884</v>
      </c>
      <c r="S691" s="20">
        <v>16980</v>
      </c>
      <c r="T691" s="20">
        <v>4621</v>
      </c>
      <c r="U691" s="20">
        <v>9629.5862676056349</v>
      </c>
      <c r="W691" s="19">
        <v>0.86660000000000004</v>
      </c>
      <c r="X691" s="19">
        <v>0.99299999999999999</v>
      </c>
      <c r="Z691" s="18">
        <v>1136</v>
      </c>
    </row>
    <row r="692" spans="1:26" ht="15.75" customHeight="1" x14ac:dyDescent="0.2">
      <c r="A692" s="36" t="str">
        <f>HYPERLINK("https://web.uri.edu/", "University of Rhode Island")</f>
        <v>University of Rhode Island</v>
      </c>
      <c r="B692" s="18" t="s">
        <v>49</v>
      </c>
      <c r="C692" s="18" t="s">
        <v>63</v>
      </c>
      <c r="D692" s="18" t="s">
        <v>1334</v>
      </c>
      <c r="E692" s="18">
        <v>1152</v>
      </c>
      <c r="F692" s="18" t="s">
        <v>35</v>
      </c>
      <c r="J692" s="19">
        <v>0.65599999999999992</v>
      </c>
      <c r="K692" s="19">
        <v>0.51646706600000003</v>
      </c>
      <c r="L692" s="19">
        <v>0.67700000000000005</v>
      </c>
      <c r="M692" s="19">
        <v>0.64929999999999999</v>
      </c>
      <c r="N692" s="19">
        <v>0.56410000000000005</v>
      </c>
      <c r="O692" s="19">
        <v>0.57140000000000002</v>
      </c>
      <c r="P692" s="20">
        <v>45735</v>
      </c>
      <c r="Q692" s="21" t="str">
        <f>HYPERLINK("https://web.uri.edu/ir/netprice-2/", "$31419")</f>
        <v>$31419</v>
      </c>
      <c r="R692" s="20">
        <v>37534</v>
      </c>
      <c r="S692" s="20">
        <v>40624</v>
      </c>
      <c r="T692" s="20">
        <v>3241</v>
      </c>
      <c r="U692" s="20">
        <v>28178.931914893619</v>
      </c>
      <c r="W692" s="19">
        <v>0.23330000000000001</v>
      </c>
      <c r="X692" s="19">
        <v>0.27339999999999998</v>
      </c>
      <c r="Z692" s="18">
        <v>14008</v>
      </c>
    </row>
    <row r="693" spans="1:26" ht="15.75" customHeight="1" x14ac:dyDescent="0.2">
      <c r="A693" s="36" t="str">
        <f>HYPERLINK("https://www.sf.edu", "University of Saint Francis-Fort Wayne")</f>
        <v>University of Saint Francis-Fort Wayne</v>
      </c>
      <c r="B693" s="18" t="s">
        <v>32</v>
      </c>
      <c r="C693" s="18" t="s">
        <v>148</v>
      </c>
      <c r="D693" s="18" t="s">
        <v>815</v>
      </c>
      <c r="E693" s="18">
        <v>1062</v>
      </c>
      <c r="F693" s="18" t="s">
        <v>35</v>
      </c>
      <c r="J693" s="19">
        <v>0.57530000000000003</v>
      </c>
      <c r="K693" s="19">
        <v>0.46859903400000003</v>
      </c>
      <c r="L693" s="19">
        <v>0.6159</v>
      </c>
      <c r="M693" s="19">
        <v>0.25</v>
      </c>
      <c r="N693" s="19">
        <v>0.66669999999999996</v>
      </c>
      <c r="O693" s="19">
        <v>0</v>
      </c>
      <c r="P693" s="20">
        <v>42140</v>
      </c>
      <c r="Q693" s="21" t="str">
        <f>HYPERLINK("https://financialaid.sf.edu/paying-for-college/net-price-calculator/", "$15422")</f>
        <v>$15422</v>
      </c>
      <c r="R693" s="20">
        <v>18786</v>
      </c>
      <c r="S693" s="20">
        <v>21172</v>
      </c>
      <c r="T693" s="20">
        <v>3700</v>
      </c>
      <c r="U693" s="20">
        <v>11722</v>
      </c>
      <c r="W693" s="19">
        <v>0.38840000000000002</v>
      </c>
      <c r="X693" s="19">
        <v>0.2147</v>
      </c>
      <c r="Z693" s="18">
        <v>1840</v>
      </c>
    </row>
    <row r="694" spans="1:26" ht="15.75" customHeight="1" x14ac:dyDescent="0.2">
      <c r="A694" s="36" t="str">
        <f>HYPERLINK("https://www.stmary.edu", "University of Saint Mary")</f>
        <v>University of Saint Mary</v>
      </c>
      <c r="B694" s="18" t="s">
        <v>32</v>
      </c>
      <c r="C694" s="18" t="s">
        <v>307</v>
      </c>
      <c r="D694" s="18" t="s">
        <v>1337</v>
      </c>
      <c r="E694" s="18">
        <v>1078</v>
      </c>
      <c r="F694" s="18" t="s">
        <v>35</v>
      </c>
      <c r="J694" s="19">
        <v>0.43690000000000001</v>
      </c>
      <c r="K694" s="19">
        <v>0.4375</v>
      </c>
      <c r="L694" s="19">
        <v>0.57689999999999997</v>
      </c>
      <c r="M694" s="19">
        <v>0.2273</v>
      </c>
      <c r="N694" s="19">
        <v>0.66669999999999996</v>
      </c>
      <c r="O694" s="19">
        <v>0</v>
      </c>
      <c r="P694" s="20">
        <v>41040</v>
      </c>
      <c r="Q694" s="21" t="str">
        <f>HYPERLINK("https://www.stmary.edu/Admissions/Net-Price-Calculator.aspx", "$15026")</f>
        <v>$15026</v>
      </c>
      <c r="R694" s="20">
        <v>19031</v>
      </c>
      <c r="S694" s="20">
        <v>18054</v>
      </c>
      <c r="T694" s="20">
        <v>4520</v>
      </c>
      <c r="U694" s="20">
        <v>10506</v>
      </c>
      <c r="W694" s="19">
        <v>0.34410000000000002</v>
      </c>
      <c r="X694" s="19">
        <v>0.4476</v>
      </c>
      <c r="Z694" s="18">
        <v>744</v>
      </c>
    </row>
    <row r="695" spans="1:26" ht="15.75" customHeight="1" x14ac:dyDescent="0.2">
      <c r="A695" s="36" t="str">
        <f>HYPERLINK("https://www.usiouxfalls.edu/", "University of Sioux Falls")</f>
        <v>University of Sioux Falls</v>
      </c>
      <c r="B695" s="18" t="s">
        <v>32</v>
      </c>
      <c r="C695" s="18" t="s">
        <v>302</v>
      </c>
      <c r="D695" s="18" t="s">
        <v>303</v>
      </c>
      <c r="E695" s="18">
        <v>1124</v>
      </c>
      <c r="F695" s="18" t="s">
        <v>35</v>
      </c>
      <c r="J695" s="19">
        <v>0.49440000000000001</v>
      </c>
      <c r="K695" s="19">
        <v>0.42452830200000002</v>
      </c>
      <c r="L695" s="19">
        <v>0.50309999999999999</v>
      </c>
      <c r="M695" s="19">
        <v>0.4</v>
      </c>
      <c r="N695" s="19">
        <v>0.42859999999999998</v>
      </c>
      <c r="O695" s="19" t="s">
        <v>36</v>
      </c>
      <c r="P695" s="20">
        <v>39865</v>
      </c>
      <c r="Q695" s="21" t="str">
        <f>HYPERLINK("https://apps.usiouxfalls.edu/npc?ref=fa", "$16669")</f>
        <v>$16669</v>
      </c>
      <c r="R695" s="20">
        <v>17976</v>
      </c>
      <c r="S695" s="20">
        <v>21888</v>
      </c>
      <c r="T695" s="20">
        <v>4535</v>
      </c>
      <c r="U695" s="20">
        <v>12134</v>
      </c>
      <c r="W695" s="19">
        <v>0.3034</v>
      </c>
      <c r="X695" s="19">
        <v>0.15759999999999999</v>
      </c>
      <c r="Z695" s="18">
        <v>1174</v>
      </c>
    </row>
    <row r="696" spans="1:26" ht="15.75" customHeight="1" x14ac:dyDescent="0.2">
      <c r="A696" s="36" t="str">
        <f>HYPERLINK("https://www.southalabama.edu", "University of South Alabama")</f>
        <v>University of South Alabama</v>
      </c>
      <c r="B696" s="18" t="s">
        <v>49</v>
      </c>
      <c r="C696" s="18" t="s">
        <v>300</v>
      </c>
      <c r="D696" s="18" t="s">
        <v>1190</v>
      </c>
      <c r="E696" s="18">
        <v>1142</v>
      </c>
      <c r="F696" s="18" t="s">
        <v>35</v>
      </c>
      <c r="J696" s="19">
        <v>0.4007</v>
      </c>
      <c r="K696" s="19">
        <v>0.330375427</v>
      </c>
      <c r="L696" s="19">
        <v>0.44950000000000001</v>
      </c>
      <c r="M696" s="19">
        <v>0.31440000000000001</v>
      </c>
      <c r="N696" s="19">
        <v>0.34689999999999999</v>
      </c>
      <c r="O696" s="19">
        <v>0.54390000000000005</v>
      </c>
      <c r="P696" s="20">
        <v>28210</v>
      </c>
      <c r="Q696" s="21" t="str">
        <f>HYPERLINK("https://usadev.southalabama.edu/npc/", "$20100")</f>
        <v>$20100</v>
      </c>
      <c r="R696" s="20">
        <v>24803</v>
      </c>
      <c r="S696" s="20">
        <v>27909</v>
      </c>
      <c r="T696" s="20">
        <v>5396</v>
      </c>
      <c r="U696" s="20">
        <v>14704.614711033269</v>
      </c>
      <c r="W696" s="19">
        <v>0.37230000000000002</v>
      </c>
      <c r="X696" s="19">
        <v>0.4073</v>
      </c>
      <c r="Z696" s="18">
        <v>10712</v>
      </c>
    </row>
    <row r="697" spans="1:26" ht="15.75" customHeight="1" x14ac:dyDescent="0.2">
      <c r="A697" s="36" t="str">
        <f>HYPERLINK("https://www.usca.edu", "University of South Carolina-Aiken")</f>
        <v>University of South Carolina-Aiken</v>
      </c>
      <c r="B697" s="18" t="s">
        <v>49</v>
      </c>
      <c r="C697" s="18" t="s">
        <v>208</v>
      </c>
      <c r="D697" s="18" t="s">
        <v>1339</v>
      </c>
      <c r="E697" s="18">
        <v>1033</v>
      </c>
      <c r="F697" s="18" t="s">
        <v>35</v>
      </c>
      <c r="J697" s="19">
        <v>0.4073</v>
      </c>
      <c r="K697" s="19">
        <v>0.413793103</v>
      </c>
      <c r="L697" s="19">
        <v>0.44119999999999998</v>
      </c>
      <c r="M697" s="19">
        <v>0.32579999999999998</v>
      </c>
      <c r="N697" s="19">
        <v>0.5333</v>
      </c>
      <c r="O697" s="19">
        <v>0.8</v>
      </c>
      <c r="P697" s="20">
        <v>34586</v>
      </c>
      <c r="Q697" s="21" t="str">
        <f>HYPERLINK("https://ie.usca.edu/NetPrice/npcalc.htm", "$25349")</f>
        <v>$25349</v>
      </c>
      <c r="R697" s="20">
        <v>29086</v>
      </c>
      <c r="S697" s="20">
        <v>30228</v>
      </c>
      <c r="T697" s="20">
        <v>6292</v>
      </c>
      <c r="U697" s="20">
        <v>19057.351931330471</v>
      </c>
      <c r="W697" s="19">
        <v>0.40639999999999998</v>
      </c>
      <c r="X697" s="19">
        <v>0.42820000000000003</v>
      </c>
      <c r="Z697" s="18">
        <v>3029</v>
      </c>
    </row>
    <row r="698" spans="1:26" ht="15.75" customHeight="1" x14ac:dyDescent="0.2">
      <c r="A698" s="36" t="str">
        <f>HYPERLINK("https://www.uscb.edu", "University of South Carolina-Beaufort")</f>
        <v>University of South Carolina-Beaufort</v>
      </c>
      <c r="B698" s="18" t="s">
        <v>49</v>
      </c>
      <c r="C698" s="18" t="s">
        <v>208</v>
      </c>
      <c r="D698" s="18" t="s">
        <v>582</v>
      </c>
      <c r="E698" s="18">
        <v>1010</v>
      </c>
      <c r="F698" s="18" t="s">
        <v>35</v>
      </c>
      <c r="J698" s="19">
        <v>0.2727</v>
      </c>
      <c r="K698" s="19">
        <v>0.29955947100000002</v>
      </c>
      <c r="L698" s="19">
        <v>0.28789999999999999</v>
      </c>
      <c r="M698" s="19">
        <v>0.21779999999999999</v>
      </c>
      <c r="N698" s="19">
        <v>0.44440000000000002</v>
      </c>
      <c r="O698" s="19">
        <v>0.1429</v>
      </c>
      <c r="P698" s="20">
        <v>35087</v>
      </c>
      <c r="Q698" s="21" t="str">
        <f>HYPERLINK("https://www.uscb.edu/institutional_effectiveness/net-price-calculator.html", "$26017")</f>
        <v>$26017</v>
      </c>
      <c r="R698" s="20">
        <v>30319</v>
      </c>
      <c r="S698" s="20">
        <v>31291</v>
      </c>
      <c r="T698" s="20">
        <v>5080</v>
      </c>
      <c r="U698" s="20">
        <v>20937.29896907217</v>
      </c>
      <c r="W698" s="19">
        <v>0.44190000000000002</v>
      </c>
      <c r="X698" s="19">
        <v>0.41670000000000001</v>
      </c>
      <c r="Z698" s="18">
        <v>2011</v>
      </c>
    </row>
    <row r="699" spans="1:26" ht="15.75" customHeight="1" x14ac:dyDescent="0.2">
      <c r="A699" s="36" t="str">
        <f>HYPERLINK("https://www.uscupstate.edu", "University of South Carolina-Upstate")</f>
        <v>University of South Carolina-Upstate</v>
      </c>
      <c r="B699" s="18" t="s">
        <v>49</v>
      </c>
      <c r="C699" s="18" t="s">
        <v>208</v>
      </c>
      <c r="D699" s="18" t="s">
        <v>542</v>
      </c>
      <c r="E699" s="18">
        <v>1010</v>
      </c>
      <c r="F699" s="18" t="s">
        <v>35</v>
      </c>
      <c r="J699" s="19">
        <v>0.43280000000000002</v>
      </c>
      <c r="K699" s="19">
        <v>0.46242774599999997</v>
      </c>
      <c r="L699" s="19">
        <v>0.4415</v>
      </c>
      <c r="M699" s="19">
        <v>0.43090000000000001</v>
      </c>
      <c r="N699" s="19">
        <v>0.48720000000000002</v>
      </c>
      <c r="O699" s="19">
        <v>0.25</v>
      </c>
      <c r="P699" s="20">
        <v>36246</v>
      </c>
      <c r="Q699" s="21" t="str">
        <f>HYPERLINK("https://www.uscupstate.edu/admissions-and-financial-aid/application-faq/student-consumer-information/", "$26302")</f>
        <v>$26302</v>
      </c>
      <c r="R699" s="20">
        <v>29311</v>
      </c>
      <c r="S699" s="20">
        <v>32089</v>
      </c>
      <c r="T699" s="20">
        <v>5064</v>
      </c>
      <c r="U699" s="20">
        <v>21238.845921450149</v>
      </c>
      <c r="W699" s="19">
        <v>0.4466</v>
      </c>
      <c r="X699" s="19">
        <v>0.46750000000000003</v>
      </c>
      <c r="Z699" s="18">
        <v>5149</v>
      </c>
    </row>
    <row r="700" spans="1:26" ht="15.75" customHeight="1" x14ac:dyDescent="0.2">
      <c r="A700" s="36" t="str">
        <f>HYPERLINK("https://WWW.USD.EDU", "University of South Dakota")</f>
        <v>University of South Dakota</v>
      </c>
      <c r="B700" s="18" t="s">
        <v>49</v>
      </c>
      <c r="C700" s="18" t="s">
        <v>302</v>
      </c>
      <c r="D700" s="18" t="s">
        <v>1342</v>
      </c>
      <c r="E700" s="18">
        <v>1125</v>
      </c>
      <c r="F700" s="18" t="s">
        <v>35</v>
      </c>
      <c r="J700" s="19">
        <v>0.55189999999999995</v>
      </c>
      <c r="K700" s="19">
        <v>0.422185431</v>
      </c>
      <c r="L700" s="19">
        <v>0.59419999999999995</v>
      </c>
      <c r="M700" s="19">
        <v>0</v>
      </c>
      <c r="N700" s="19">
        <v>0.31430000000000002</v>
      </c>
      <c r="O700" s="19">
        <v>0.33329999999999999</v>
      </c>
      <c r="P700" s="20">
        <v>25521</v>
      </c>
      <c r="Q700" s="21" t="str">
        <f>HYPERLINK("https://admissions.usd.edu/cost-and-aid/coyote-cost-estimator.cfm", "$18341")</f>
        <v>$18341</v>
      </c>
      <c r="R700" s="20">
        <v>21666</v>
      </c>
      <c r="S700" s="20">
        <v>23388</v>
      </c>
      <c r="T700" s="20">
        <v>5472</v>
      </c>
      <c r="U700" s="20">
        <v>12869.86301369863</v>
      </c>
      <c r="W700" s="19">
        <v>0.23169999999999999</v>
      </c>
      <c r="X700" s="19">
        <v>0.16220000000000001</v>
      </c>
      <c r="Z700" s="18">
        <v>6171</v>
      </c>
    </row>
    <row r="701" spans="1:26" ht="15.75" customHeight="1" x14ac:dyDescent="0.2">
      <c r="A701" s="36" t="str">
        <f>HYPERLINK("https://www.usf.edu", "University of South Florida-Main Campus")</f>
        <v>University of South Florida-Main Campus</v>
      </c>
      <c r="B701" s="18" t="s">
        <v>49</v>
      </c>
      <c r="C701" s="18" t="s">
        <v>162</v>
      </c>
      <c r="D701" s="18" t="s">
        <v>1230</v>
      </c>
      <c r="E701" s="18">
        <v>1246</v>
      </c>
      <c r="F701" s="18" t="s">
        <v>35</v>
      </c>
      <c r="J701" s="19">
        <v>0.70920000000000005</v>
      </c>
      <c r="K701" s="19">
        <v>0.59780712700000005</v>
      </c>
      <c r="L701" s="19">
        <v>0.68110000000000004</v>
      </c>
      <c r="M701" s="19">
        <v>0.73650000000000004</v>
      </c>
      <c r="N701" s="19">
        <v>0.72009999999999996</v>
      </c>
      <c r="O701" s="19">
        <v>0.87450000000000006</v>
      </c>
      <c r="P701" s="20">
        <v>32324</v>
      </c>
      <c r="Q701" s="21" t="str">
        <f>HYPERLINK("https://usfweb2.usf.edu/finaid/npc/npcalc.htm", "$20569")</f>
        <v>$20569</v>
      </c>
      <c r="R701" s="20">
        <v>25001</v>
      </c>
      <c r="S701" s="20">
        <v>28884</v>
      </c>
      <c r="T701" s="20">
        <v>5300</v>
      </c>
      <c r="U701" s="20">
        <v>15269.17366412214</v>
      </c>
      <c r="W701" s="19">
        <v>0.37509999999999999</v>
      </c>
      <c r="X701" s="19">
        <v>0.5161</v>
      </c>
      <c r="Z701" s="18">
        <v>30918</v>
      </c>
    </row>
    <row r="702" spans="1:26" ht="15.75" customHeight="1" x14ac:dyDescent="0.2">
      <c r="A702" s="36" t="str">
        <f>HYPERLINK("https://usfsm.edu/", "University of South Florida-Sarasota-Manatee")</f>
        <v>University of South Florida-Sarasota-Manatee</v>
      </c>
      <c r="B702" s="18" t="s">
        <v>49</v>
      </c>
      <c r="C702" s="18" t="s">
        <v>162</v>
      </c>
      <c r="D702" s="18" t="s">
        <v>233</v>
      </c>
      <c r="E702" s="18">
        <v>1177</v>
      </c>
      <c r="F702" s="18" t="s">
        <v>35</v>
      </c>
      <c r="J702" s="19" t="s">
        <v>36</v>
      </c>
      <c r="K702" s="19">
        <v>0.59780712700000005</v>
      </c>
      <c r="L702" s="19" t="s">
        <v>36</v>
      </c>
      <c r="M702" s="19" t="s">
        <v>36</v>
      </c>
      <c r="N702" s="19" t="s">
        <v>36</v>
      </c>
      <c r="O702" s="19" t="s">
        <v>36</v>
      </c>
      <c r="P702" s="20">
        <v>31501</v>
      </c>
      <c r="Q702" s="21" t="str">
        <f>HYPERLINK("https://usfweb2.usf.edu/finaid/npc/npc.aspx", "$23363")</f>
        <v>$23363</v>
      </c>
      <c r="R702" s="20">
        <v>28429</v>
      </c>
      <c r="S702" s="20">
        <v>30376</v>
      </c>
      <c r="T702" s="20">
        <v>5300</v>
      </c>
      <c r="U702" s="20">
        <v>18063.84615384616</v>
      </c>
      <c r="W702" s="19">
        <v>0.38779999999999998</v>
      </c>
      <c r="X702" s="19">
        <v>0.30299999999999988</v>
      </c>
      <c r="Z702" s="18">
        <v>1868</v>
      </c>
    </row>
    <row r="703" spans="1:26" ht="15.75" customHeight="1" x14ac:dyDescent="0.2">
      <c r="A703" s="36" t="str">
        <f>HYPERLINK("https://www.usfsp.edu", "University of South Florida-St Petersburg")</f>
        <v>University of South Florida-St Petersburg</v>
      </c>
      <c r="B703" s="18" t="s">
        <v>49</v>
      </c>
      <c r="C703" s="18" t="s">
        <v>162</v>
      </c>
      <c r="D703" s="18" t="s">
        <v>1344</v>
      </c>
      <c r="E703" s="18">
        <v>1165</v>
      </c>
      <c r="F703" s="18" t="s">
        <v>35</v>
      </c>
      <c r="J703" s="19">
        <v>0.35589999999999999</v>
      </c>
      <c r="K703" s="19">
        <v>0.59780712700000005</v>
      </c>
      <c r="L703" s="19">
        <v>0.39219999999999999</v>
      </c>
      <c r="M703" s="19">
        <v>0.37780000000000002</v>
      </c>
      <c r="N703" s="19">
        <v>0.25619999999999998</v>
      </c>
      <c r="O703" s="19">
        <v>0.4</v>
      </c>
      <c r="P703" s="20">
        <v>32843</v>
      </c>
      <c r="Q703" s="21" t="str">
        <f>HYPERLINK("https://www.usfsp.edu/USFSP-Net-Price-Calculator/npcalc.htm", "$22608")</f>
        <v>$22608</v>
      </c>
      <c r="R703" s="20">
        <v>27481</v>
      </c>
      <c r="S703" s="20">
        <v>31082</v>
      </c>
      <c r="T703" s="20">
        <v>5300</v>
      </c>
      <c r="U703" s="20">
        <v>17308.38095238095</v>
      </c>
      <c r="W703" s="19">
        <v>0.4027</v>
      </c>
      <c r="X703" s="19">
        <v>0.37190000000000001</v>
      </c>
      <c r="Z703" s="18">
        <v>4162</v>
      </c>
    </row>
    <row r="704" spans="1:26" ht="15.75" customHeight="1" x14ac:dyDescent="0.2">
      <c r="A704" s="36" t="str">
        <f>HYPERLINK("https://www.usi.edu", "University of Southern Indiana")</f>
        <v>University of Southern Indiana</v>
      </c>
      <c r="B704" s="18" t="s">
        <v>49</v>
      </c>
      <c r="C704" s="18" t="s">
        <v>148</v>
      </c>
      <c r="D704" s="18" t="s">
        <v>509</v>
      </c>
      <c r="E704" s="18">
        <v>1084</v>
      </c>
      <c r="F704" s="18" t="s">
        <v>35</v>
      </c>
      <c r="J704" s="19">
        <v>0.40670000000000001</v>
      </c>
      <c r="K704" s="19">
        <v>0.23536737199999999</v>
      </c>
      <c r="L704" s="19">
        <v>0.43120000000000003</v>
      </c>
      <c r="M704" s="19">
        <v>0.2185</v>
      </c>
      <c r="N704" s="19">
        <v>0.25</v>
      </c>
      <c r="O704" s="19">
        <v>0.5</v>
      </c>
      <c r="P704" s="20">
        <v>30861</v>
      </c>
      <c r="Q704" s="21" t="str">
        <f>HYPERLINK("https://usi.studentaidcalculator.com/survey.aspx", "$21507")</f>
        <v>$21507</v>
      </c>
      <c r="R704" s="20">
        <v>26494</v>
      </c>
      <c r="S704" s="20">
        <v>28654</v>
      </c>
      <c r="T704" s="20">
        <v>3397</v>
      </c>
      <c r="U704" s="20">
        <v>18110.365079365081</v>
      </c>
      <c r="W704" s="19">
        <v>0.2631</v>
      </c>
      <c r="X704" s="19">
        <v>0.1359999999999999</v>
      </c>
      <c r="Z704" s="18">
        <v>7554</v>
      </c>
    </row>
    <row r="705" spans="1:26" ht="15.75" customHeight="1" x14ac:dyDescent="0.2">
      <c r="A705" s="36" t="str">
        <f>HYPERLINK("https://www.usm.maine.edu", "University of Southern Maine")</f>
        <v>University of Southern Maine</v>
      </c>
      <c r="B705" s="18" t="s">
        <v>49</v>
      </c>
      <c r="C705" s="18" t="s">
        <v>43</v>
      </c>
      <c r="D705" s="18" t="s">
        <v>144</v>
      </c>
      <c r="E705" s="18">
        <v>1059</v>
      </c>
      <c r="F705" s="18" t="s">
        <v>35</v>
      </c>
      <c r="J705" s="19">
        <v>0.32929999999999998</v>
      </c>
      <c r="K705" s="19">
        <v>0.43206106900000002</v>
      </c>
      <c r="L705" s="19">
        <v>0.34289999999999998</v>
      </c>
      <c r="M705" s="19">
        <v>0.3</v>
      </c>
      <c r="N705" s="19">
        <v>0.21740000000000001</v>
      </c>
      <c r="O705" s="19">
        <v>0.4</v>
      </c>
      <c r="P705" s="20">
        <v>34568</v>
      </c>
      <c r="Q705" s="21" t="str">
        <f>HYPERLINK("https://usm.maine.edu/student-financial-services/net-price-calculator", "$23935")</f>
        <v>$23935</v>
      </c>
      <c r="R705" s="20">
        <v>27871</v>
      </c>
      <c r="S705" s="20">
        <v>31461</v>
      </c>
      <c r="T705" s="20">
        <v>4200</v>
      </c>
      <c r="U705" s="20">
        <v>19735.167364016739</v>
      </c>
      <c r="W705" s="19">
        <v>0.35510000000000003</v>
      </c>
      <c r="X705" s="19">
        <v>0.20309999999999989</v>
      </c>
      <c r="Z705" s="18">
        <v>5248</v>
      </c>
    </row>
    <row r="706" spans="1:26" ht="15.75" customHeight="1" x14ac:dyDescent="0.2">
      <c r="A706" s="36" t="str">
        <f>HYPERLINK("https://www.usm.edu", "University of Southern Mississippi")</f>
        <v>University of Southern Mississippi</v>
      </c>
      <c r="B706" s="18" t="s">
        <v>49</v>
      </c>
      <c r="C706" s="18" t="s">
        <v>59</v>
      </c>
      <c r="D706" s="18" t="s">
        <v>939</v>
      </c>
      <c r="E706" s="18">
        <v>1125</v>
      </c>
      <c r="F706" s="18" t="s">
        <v>35</v>
      </c>
      <c r="J706" s="19">
        <v>0.46739999999999998</v>
      </c>
      <c r="K706" s="19">
        <v>0.36751691800000003</v>
      </c>
      <c r="L706" s="19">
        <v>0.58989999999999998</v>
      </c>
      <c r="M706" s="19">
        <v>0.31569999999999998</v>
      </c>
      <c r="N706" s="19">
        <v>0.3947</v>
      </c>
      <c r="O706" s="19">
        <v>0.5</v>
      </c>
      <c r="P706" s="20">
        <v>24883</v>
      </c>
      <c r="Q706" s="21" t="str">
        <f>HYPERLINK("https://www.usm.edu/financial-aid/net-price-calculator", "$15904")</f>
        <v>$15904</v>
      </c>
      <c r="R706" s="20">
        <v>18469</v>
      </c>
      <c r="S706" s="20">
        <v>19999</v>
      </c>
      <c r="T706" s="20">
        <v>5034</v>
      </c>
      <c r="U706" s="20">
        <v>10870.18007662835</v>
      </c>
      <c r="W706" s="19">
        <v>0.46860000000000002</v>
      </c>
      <c r="X706" s="19">
        <v>0.39019999999999999</v>
      </c>
      <c r="Z706" s="18">
        <v>11747</v>
      </c>
    </row>
    <row r="707" spans="1:26" ht="15.75" customHeight="1" x14ac:dyDescent="0.2">
      <c r="A707" s="36" t="str">
        <f>HYPERLINK("https://www.stfrancis.edu", "University of St Francis")</f>
        <v>University of St Francis</v>
      </c>
      <c r="B707" s="18" t="s">
        <v>32</v>
      </c>
      <c r="C707" s="18" t="s">
        <v>137</v>
      </c>
      <c r="D707" s="18" t="s">
        <v>1346</v>
      </c>
      <c r="E707" s="18">
        <v>1126</v>
      </c>
      <c r="F707" s="18" t="s">
        <v>35</v>
      </c>
      <c r="J707" s="19">
        <v>0.62780000000000002</v>
      </c>
      <c r="K707" s="19">
        <v>0.51282051299999998</v>
      </c>
      <c r="L707" s="19">
        <v>0.70909999999999995</v>
      </c>
      <c r="M707" s="19">
        <v>0.5333</v>
      </c>
      <c r="N707" s="19">
        <v>0.4884</v>
      </c>
      <c r="O707" s="19">
        <v>1</v>
      </c>
      <c r="P707" s="20">
        <v>44628</v>
      </c>
      <c r="Q707" s="21" t="str">
        <f>HYPERLINK("https://www.stfrancis.edu/admissions/financial-aid/np-calculator/", "$15072")</f>
        <v>$15072</v>
      </c>
      <c r="R707" s="20">
        <v>16924</v>
      </c>
      <c r="S707" s="20">
        <v>20051</v>
      </c>
      <c r="T707" s="20">
        <v>3800</v>
      </c>
      <c r="U707" s="20">
        <v>11272</v>
      </c>
      <c r="W707" s="19">
        <v>0.34200000000000003</v>
      </c>
      <c r="X707" s="19">
        <v>0.37619999999999998</v>
      </c>
      <c r="Z707" s="18">
        <v>1563</v>
      </c>
    </row>
    <row r="708" spans="1:26" ht="15.75" customHeight="1" x14ac:dyDescent="0.2">
      <c r="A708" s="36" t="str">
        <f>HYPERLINK("https://www.utoledo.edu/", "University of Toledo")</f>
        <v>University of Toledo</v>
      </c>
      <c r="B708" s="18" t="s">
        <v>49</v>
      </c>
      <c r="C708" s="18" t="s">
        <v>75</v>
      </c>
      <c r="D708" s="18" t="s">
        <v>1256</v>
      </c>
      <c r="E708" s="18">
        <v>1142</v>
      </c>
      <c r="F708" s="18" t="s">
        <v>35</v>
      </c>
      <c r="J708" s="19">
        <v>0.40749999999999997</v>
      </c>
      <c r="K708" s="19">
        <v>0.27509778400000001</v>
      </c>
      <c r="L708" s="19">
        <v>0.52410000000000001</v>
      </c>
      <c r="M708" s="19">
        <v>0.1356</v>
      </c>
      <c r="N708" s="19">
        <v>0.34620000000000001</v>
      </c>
      <c r="O708" s="19">
        <v>0.65149999999999997</v>
      </c>
      <c r="P708" s="20">
        <v>34375</v>
      </c>
      <c r="Q708" s="21" t="str">
        <f>HYPERLINK("https://utoledo.studentaidcalculator.com/survey.aspx", "$23398")</f>
        <v>$23398</v>
      </c>
      <c r="R708" s="20">
        <v>26314</v>
      </c>
      <c r="S708" s="20">
        <v>28266</v>
      </c>
      <c r="T708" s="20">
        <v>4486</v>
      </c>
      <c r="U708" s="20">
        <v>18912.626936829562</v>
      </c>
      <c r="W708" s="19">
        <v>0.2974</v>
      </c>
      <c r="X708" s="19">
        <v>0.31609999999999999</v>
      </c>
      <c r="Z708" s="18">
        <v>15109</v>
      </c>
    </row>
    <row r="709" spans="1:26" ht="15.75" customHeight="1" x14ac:dyDescent="0.2">
      <c r="A709" s="36" t="str">
        <f>HYPERLINK("https://www.valleyforge.edu", "University of Valley Forge")</f>
        <v>University of Valley Forge</v>
      </c>
      <c r="B709" s="18" t="s">
        <v>32</v>
      </c>
      <c r="C709" s="18" t="s">
        <v>65</v>
      </c>
      <c r="D709" s="18" t="s">
        <v>1348</v>
      </c>
      <c r="E709" s="18" t="s">
        <v>36</v>
      </c>
      <c r="F709" s="18" t="s">
        <v>90</v>
      </c>
      <c r="J709" s="19">
        <v>0.4491</v>
      </c>
      <c r="K709" s="19">
        <v>0.26168224299999998</v>
      </c>
      <c r="L709" s="19">
        <v>0.52480000000000004</v>
      </c>
      <c r="M709" s="19">
        <v>6.6699999999999995E-2</v>
      </c>
      <c r="N709" s="19">
        <v>0.4375</v>
      </c>
      <c r="O709" s="19">
        <v>0.25</v>
      </c>
      <c r="P709" s="20">
        <v>34176</v>
      </c>
      <c r="Q709" s="21" t="str">
        <f>HYPERLINK("https://npc.collegeboard.org/app/valleyforge", "$19939")</f>
        <v>$19939</v>
      </c>
      <c r="R709" s="20">
        <v>20143</v>
      </c>
      <c r="S709" s="20">
        <v>24478</v>
      </c>
      <c r="T709" s="20">
        <v>4196</v>
      </c>
      <c r="U709" s="20">
        <v>15743</v>
      </c>
      <c r="W709" s="19">
        <v>0.38640000000000002</v>
      </c>
      <c r="X709" s="19">
        <v>0.4395</v>
      </c>
      <c r="Z709" s="18">
        <v>669</v>
      </c>
    </row>
    <row r="710" spans="1:26" ht="15.75" customHeight="1" x14ac:dyDescent="0.2">
      <c r="A710" s="36" t="str">
        <f>HYPERLINK("https://www.uwb.edu", "University of Washington-Bothell Campus")</f>
        <v>University of Washington-Bothell Campus</v>
      </c>
      <c r="B710" s="18" t="s">
        <v>49</v>
      </c>
      <c r="C710" s="18" t="s">
        <v>184</v>
      </c>
      <c r="D710" s="18" t="s">
        <v>1084</v>
      </c>
      <c r="E710" s="18">
        <v>1129</v>
      </c>
      <c r="F710" s="18" t="s">
        <v>35</v>
      </c>
      <c r="J710" s="19">
        <v>0.63619999999999999</v>
      </c>
      <c r="K710" s="19">
        <v>0.74704761900000005</v>
      </c>
      <c r="L710" s="19">
        <v>0.61650000000000005</v>
      </c>
      <c r="M710" s="19">
        <v>0.44440000000000002</v>
      </c>
      <c r="N710" s="19">
        <v>0.58209999999999995</v>
      </c>
      <c r="O710" s="19">
        <v>0.71609999999999996</v>
      </c>
      <c r="P710" s="20">
        <v>51348</v>
      </c>
      <c r="Q710" s="21" t="str">
        <f>HYPERLINK("https://www.washington.edu/students/osfa/prospectiveug/aid.est.1.html", "$36145")</f>
        <v>$36145</v>
      </c>
      <c r="R710" s="20">
        <v>37727</v>
      </c>
      <c r="S710" s="20">
        <v>45515</v>
      </c>
      <c r="T710" s="20">
        <v>4614</v>
      </c>
      <c r="U710" s="20">
        <v>31531.259615384621</v>
      </c>
      <c r="W710" s="19">
        <v>0.31790000000000002</v>
      </c>
      <c r="X710" s="19">
        <v>0.61470000000000002</v>
      </c>
      <c r="Z710" s="18">
        <v>5329</v>
      </c>
    </row>
    <row r="711" spans="1:26" ht="15.75" customHeight="1" x14ac:dyDescent="0.2">
      <c r="A711" s="36" t="str">
        <f>HYPERLINK("https://www.tacoma.uw.edu/", "University of Washington-Tacoma Campus")</f>
        <v>University of Washington-Tacoma Campus</v>
      </c>
      <c r="B711" s="18" t="s">
        <v>49</v>
      </c>
      <c r="C711" s="18" t="s">
        <v>184</v>
      </c>
      <c r="D711" s="18" t="s">
        <v>286</v>
      </c>
      <c r="E711" s="18">
        <v>1083</v>
      </c>
      <c r="F711" s="18" t="s">
        <v>35</v>
      </c>
      <c r="J711" s="19">
        <v>0.58450000000000002</v>
      </c>
      <c r="K711" s="19">
        <v>0.74704761900000005</v>
      </c>
      <c r="L711" s="19">
        <v>0.5595</v>
      </c>
      <c r="M711" s="19">
        <v>0.5</v>
      </c>
      <c r="N711" s="19">
        <v>0.51719999999999999</v>
      </c>
      <c r="O711" s="19">
        <v>0.67310000000000003</v>
      </c>
      <c r="P711" s="20">
        <v>50874</v>
      </c>
      <c r="Q711" s="21" t="str">
        <f>HYPERLINK("https://www.washington.edu/students/osfa/prospectiveug/aid.est.1.html", "$35564")</f>
        <v>$35564</v>
      </c>
      <c r="R711" s="20">
        <v>37161</v>
      </c>
      <c r="S711" s="20">
        <v>45375</v>
      </c>
      <c r="T711" s="20">
        <v>4614</v>
      </c>
      <c r="U711" s="20">
        <v>30950.449367088611</v>
      </c>
      <c r="W711" s="19">
        <v>0.44219999999999998</v>
      </c>
      <c r="X711" s="19">
        <v>0.59319999999999995</v>
      </c>
      <c r="Z711" s="18">
        <v>4412</v>
      </c>
    </row>
    <row r="712" spans="1:26" ht="15.75" customHeight="1" x14ac:dyDescent="0.2">
      <c r="A712" s="36" t="str">
        <f>HYPERLINK("https://www.uwa.edu", "University of West Alabama")</f>
        <v>University of West Alabama</v>
      </c>
      <c r="B712" s="18" t="s">
        <v>49</v>
      </c>
      <c r="C712" s="18" t="s">
        <v>300</v>
      </c>
      <c r="D712" s="18" t="s">
        <v>1349</v>
      </c>
      <c r="E712" s="18">
        <v>1041</v>
      </c>
      <c r="F712" s="18" t="s">
        <v>35</v>
      </c>
      <c r="J712" s="19">
        <v>0.33239999999999997</v>
      </c>
      <c r="K712" s="19">
        <v>0.24318658300000001</v>
      </c>
      <c r="L712" s="19">
        <v>0.39129999999999998</v>
      </c>
      <c r="M712" s="19">
        <v>0.2215</v>
      </c>
      <c r="N712" s="19">
        <v>0.7</v>
      </c>
      <c r="O712" s="19" t="s">
        <v>36</v>
      </c>
      <c r="P712" s="20">
        <v>28619</v>
      </c>
      <c r="Q712" s="21" t="str">
        <f>HYPERLINK("https://secure.uwa.edu/calculator/npcalc.htm", "$21501")</f>
        <v>$21501</v>
      </c>
      <c r="R712" s="20">
        <v>24254</v>
      </c>
      <c r="S712" s="20">
        <v>23200</v>
      </c>
      <c r="T712" s="20">
        <v>4721</v>
      </c>
      <c r="U712" s="20">
        <v>16780.8</v>
      </c>
      <c r="W712" s="19">
        <v>0.53080000000000005</v>
      </c>
      <c r="X712" s="19">
        <v>0.57689999999999997</v>
      </c>
      <c r="Z712" s="18">
        <v>2106</v>
      </c>
    </row>
    <row r="713" spans="1:26" ht="15.75" customHeight="1" x14ac:dyDescent="0.2">
      <c r="A713" s="36" t="str">
        <f>HYPERLINK("https://www.westga.edu", "University of West Georgia")</f>
        <v>University of West Georgia</v>
      </c>
      <c r="B713" s="18" t="s">
        <v>49</v>
      </c>
      <c r="C713" s="18" t="s">
        <v>107</v>
      </c>
      <c r="D713" s="18" t="s">
        <v>1351</v>
      </c>
      <c r="E713" s="18">
        <v>1016</v>
      </c>
      <c r="F713" s="18" t="s">
        <v>35</v>
      </c>
      <c r="J713" s="19">
        <v>0.40489999999999998</v>
      </c>
      <c r="K713" s="19">
        <v>0.42919964799999999</v>
      </c>
      <c r="L713" s="19">
        <v>0.39679999999999999</v>
      </c>
      <c r="M713" s="19">
        <v>0.4163</v>
      </c>
      <c r="N713" s="19">
        <v>0.35920000000000002</v>
      </c>
      <c r="O713" s="19">
        <v>0.38100000000000001</v>
      </c>
      <c r="P713" s="20">
        <v>34854</v>
      </c>
      <c r="Q713" s="21" t="str">
        <f>HYPERLINK("https://www.westga.edu/finaid/npcalc/npcalc.htm", "$26870")</f>
        <v>$26870</v>
      </c>
      <c r="R713" s="20">
        <v>29979</v>
      </c>
      <c r="S713" s="20">
        <v>31651</v>
      </c>
      <c r="T713" s="20">
        <v>8400</v>
      </c>
      <c r="U713" s="20">
        <v>18470.717948717949</v>
      </c>
      <c r="W713" s="19">
        <v>0.4728</v>
      </c>
      <c r="X713" s="19">
        <v>0.53360000000000007</v>
      </c>
      <c r="Z713" s="18">
        <v>10468</v>
      </c>
    </row>
    <row r="714" spans="1:26" ht="15.75" customHeight="1" x14ac:dyDescent="0.2">
      <c r="A714" s="36" t="str">
        <f>HYPERLINK("https://www.uwgb.edu", "University of Wisconsin-Green Bay")</f>
        <v>University of Wisconsin-Green Bay</v>
      </c>
      <c r="B714" s="18" t="s">
        <v>49</v>
      </c>
      <c r="C714" s="18" t="s">
        <v>196</v>
      </c>
      <c r="D714" s="18" t="s">
        <v>1353</v>
      </c>
      <c r="E714" s="18">
        <v>1125</v>
      </c>
      <c r="F714" s="18" t="s">
        <v>35</v>
      </c>
      <c r="J714" s="19">
        <v>0.51090000000000002</v>
      </c>
      <c r="K714" s="19">
        <v>0.44567627500000001</v>
      </c>
      <c r="L714" s="19">
        <v>0.51990000000000003</v>
      </c>
      <c r="M714" s="19">
        <v>0.375</v>
      </c>
      <c r="N714" s="19">
        <v>0.36670000000000003</v>
      </c>
      <c r="O714" s="19">
        <v>0.63160000000000005</v>
      </c>
      <c r="P714" s="20">
        <v>27184</v>
      </c>
      <c r="Q714" s="21" t="str">
        <f>HYPERLINK("https://www.uwgb.edu/vsa/calculator/", "$17974")</f>
        <v>$17974</v>
      </c>
      <c r="R714" s="20">
        <v>23280</v>
      </c>
      <c r="S714" s="20">
        <v>25976</v>
      </c>
      <c r="T714" s="20">
        <v>4150</v>
      </c>
      <c r="U714" s="20">
        <v>13824.068965517239</v>
      </c>
      <c r="W714" s="19">
        <v>0.27100000000000002</v>
      </c>
      <c r="X714" s="19">
        <v>0.157</v>
      </c>
      <c r="Z714" s="18">
        <v>5503</v>
      </c>
    </row>
    <row r="715" spans="1:26" ht="15.75" customHeight="1" x14ac:dyDescent="0.2">
      <c r="A715" s="36" t="str">
        <f>HYPERLINK("https://uwm.edu", "University of Wisconsin-Milwaukee")</f>
        <v>University of Wisconsin-Milwaukee</v>
      </c>
      <c r="B715" s="18" t="s">
        <v>49</v>
      </c>
      <c r="C715" s="18" t="s">
        <v>196</v>
      </c>
      <c r="D715" s="18" t="s">
        <v>410</v>
      </c>
      <c r="E715" s="18">
        <v>1125</v>
      </c>
      <c r="F715" s="18" t="s">
        <v>35</v>
      </c>
      <c r="J715" s="19">
        <v>0.4148</v>
      </c>
      <c r="K715" s="19">
        <v>0.41033755300000002</v>
      </c>
      <c r="L715" s="19">
        <v>0.45550000000000002</v>
      </c>
      <c r="M715" s="19">
        <v>0.1608</v>
      </c>
      <c r="N715" s="19">
        <v>0.27879999999999999</v>
      </c>
      <c r="O715" s="19">
        <v>0.43799999999999989</v>
      </c>
      <c r="P715" s="20">
        <v>35510</v>
      </c>
      <c r="Q715" s="21" t="str">
        <f>HYPERLINK("https://uwm.edu/onestop/finances/net-price-calculator/", "$25531")</f>
        <v>$25531</v>
      </c>
      <c r="R715" s="20">
        <v>30511</v>
      </c>
      <c r="S715" s="20">
        <v>34169</v>
      </c>
      <c r="T715" s="20">
        <v>4106</v>
      </c>
      <c r="U715" s="20">
        <v>21425.936974789922</v>
      </c>
      <c r="W715" s="19">
        <v>0.34310000000000002</v>
      </c>
      <c r="X715" s="19">
        <v>0.34050000000000002</v>
      </c>
      <c r="Z715" s="18">
        <v>19436</v>
      </c>
    </row>
    <row r="716" spans="1:26" ht="15.75" customHeight="1" x14ac:dyDescent="0.2">
      <c r="A716" s="36" t="str">
        <f>HYPERLINK("https://flex.wisconsin.edu", "University of Wisconsin-Milwaukee")</f>
        <v>University of Wisconsin-Milwaukee</v>
      </c>
      <c r="B716" s="18" t="s">
        <v>49</v>
      </c>
      <c r="C716" s="18" t="s">
        <v>196</v>
      </c>
      <c r="D716" s="18" t="s">
        <v>410</v>
      </c>
      <c r="E716" s="18" t="s">
        <v>36</v>
      </c>
      <c r="F716" s="18" t="s">
        <v>35</v>
      </c>
      <c r="J716" s="19" t="s">
        <v>36</v>
      </c>
      <c r="K716" s="19" t="s">
        <v>36</v>
      </c>
      <c r="L716" s="19" t="s">
        <v>36</v>
      </c>
      <c r="M716" s="19" t="s">
        <v>36</v>
      </c>
      <c r="N716" s="19" t="s">
        <v>36</v>
      </c>
      <c r="O716" s="19" t="s">
        <v>36</v>
      </c>
      <c r="P716" s="20">
        <v>19990</v>
      </c>
      <c r="Q716" s="21" t="str">
        <f>HYPERLINK("https://flex.wisconsin.edu/tuition-financial-aid/tuition/net-price-calculator/", "Not reported")</f>
        <v>Not reported</v>
      </c>
      <c r="R716" s="20" t="s">
        <v>36</v>
      </c>
      <c r="S716" s="20" t="s">
        <v>36</v>
      </c>
      <c r="T716" s="20">
        <v>2500</v>
      </c>
      <c r="U716" s="20" t="s">
        <v>36</v>
      </c>
      <c r="W716" s="19">
        <v>3.2899999999999999E-2</v>
      </c>
      <c r="X716" s="19">
        <v>0.44309999999999999</v>
      </c>
      <c r="Z716" s="18">
        <v>501</v>
      </c>
    </row>
    <row r="717" spans="1:26" ht="15.75" customHeight="1" x14ac:dyDescent="0.2">
      <c r="A717" s="36" t="str">
        <f>HYPERLINK("https://www.uwplatt.edu", "University of Wisconsin-Platteville")</f>
        <v>University of Wisconsin-Platteville</v>
      </c>
      <c r="B717" s="18" t="s">
        <v>49</v>
      </c>
      <c r="C717" s="18" t="s">
        <v>196</v>
      </c>
      <c r="D717" s="18" t="s">
        <v>1355</v>
      </c>
      <c r="E717" s="18">
        <v>1165</v>
      </c>
      <c r="F717" s="18" t="s">
        <v>35</v>
      </c>
      <c r="J717" s="19">
        <v>0.52829999999999999</v>
      </c>
      <c r="K717" s="19">
        <v>0.51212937999999997</v>
      </c>
      <c r="L717" s="19">
        <v>0.54759999999999998</v>
      </c>
      <c r="M717" s="19">
        <v>0.1351</v>
      </c>
      <c r="N717" s="19">
        <v>0.42220000000000002</v>
      </c>
      <c r="O717" s="19">
        <v>0.5</v>
      </c>
      <c r="P717" s="20">
        <v>26762</v>
      </c>
      <c r="Q717" s="21" t="str">
        <f>HYPERLINK("https://www.uwplatt.edu/financial-aid/net-price-calculator", "$18404")</f>
        <v>$18404</v>
      </c>
      <c r="R717" s="20">
        <v>22719</v>
      </c>
      <c r="S717" s="20">
        <v>25758</v>
      </c>
      <c r="T717" s="20">
        <v>3850</v>
      </c>
      <c r="U717" s="20">
        <v>14554.219512195121</v>
      </c>
      <c r="W717" s="19">
        <v>0.24340000000000001</v>
      </c>
      <c r="X717" s="19">
        <v>0.10329999999999991</v>
      </c>
      <c r="Z717" s="18">
        <v>7496</v>
      </c>
    </row>
    <row r="718" spans="1:26" ht="15.75" customHeight="1" x14ac:dyDescent="0.2">
      <c r="A718" s="36" t="str">
        <f>HYPERLINK("https://www.uwsp.edu", "University of Wisconsin-Stevens Point")</f>
        <v>University of Wisconsin-Stevens Point</v>
      </c>
      <c r="B718" s="18" t="s">
        <v>49</v>
      </c>
      <c r="C718" s="18" t="s">
        <v>196</v>
      </c>
      <c r="D718" s="18" t="s">
        <v>1356</v>
      </c>
      <c r="E718" s="18">
        <v>1125</v>
      </c>
      <c r="F718" s="18" t="s">
        <v>35</v>
      </c>
      <c r="J718" s="19">
        <v>0.6502</v>
      </c>
      <c r="K718" s="19">
        <v>0.52815533999999997</v>
      </c>
      <c r="L718" s="19">
        <v>0.6613</v>
      </c>
      <c r="M718" s="19">
        <v>0.52170000000000005</v>
      </c>
      <c r="N718" s="19">
        <v>0.54349999999999998</v>
      </c>
      <c r="O718" s="19">
        <v>0.61760000000000004</v>
      </c>
      <c r="P718" s="20">
        <v>27195</v>
      </c>
      <c r="Q718" s="21" t="str">
        <f>HYPERLINK("https://www.uwsp.edu/finaid/Pages/NetPriceCalculator/npcalc.htm", "$18592")</f>
        <v>$18592</v>
      </c>
      <c r="R718" s="20">
        <v>22758</v>
      </c>
      <c r="S718" s="20">
        <v>25969</v>
      </c>
      <c r="T718" s="20">
        <v>3428</v>
      </c>
      <c r="U718" s="20">
        <v>15164.69858156028</v>
      </c>
      <c r="W718" s="19">
        <v>0.32340000000000002</v>
      </c>
      <c r="X718" s="19">
        <v>0.1363</v>
      </c>
      <c r="Z718" s="18">
        <v>7768</v>
      </c>
    </row>
    <row r="719" spans="1:26" ht="15.75" customHeight="1" x14ac:dyDescent="0.2">
      <c r="A719" s="36" t="str">
        <f>HYPERLINK("https://www.uwstout.edu", "University of Wisconsin-Stout")</f>
        <v>University of Wisconsin-Stout</v>
      </c>
      <c r="B719" s="18" t="s">
        <v>49</v>
      </c>
      <c r="C719" s="18" t="s">
        <v>196</v>
      </c>
      <c r="D719" s="18" t="s">
        <v>1357</v>
      </c>
      <c r="E719" s="18">
        <v>1105</v>
      </c>
      <c r="F719" s="18" t="s">
        <v>35</v>
      </c>
      <c r="J719" s="19">
        <v>0.54249999999999998</v>
      </c>
      <c r="K719" s="19">
        <v>0.521226415</v>
      </c>
      <c r="L719" s="19">
        <v>0.55269999999999997</v>
      </c>
      <c r="M719" s="19">
        <v>0.36840000000000001</v>
      </c>
      <c r="N719" s="19">
        <v>0.55559999999999998</v>
      </c>
      <c r="O719" s="19">
        <v>0.52080000000000004</v>
      </c>
      <c r="P719" s="20">
        <v>27687</v>
      </c>
      <c r="Q719" s="21" t="str">
        <f>HYPERLINK("https://www2.uwstout.edu/content/finaid/vsa/", "$19542")</f>
        <v>$19542</v>
      </c>
      <c r="R719" s="20">
        <v>23510</v>
      </c>
      <c r="S719" s="20">
        <v>26242</v>
      </c>
      <c r="T719" s="20">
        <v>3550</v>
      </c>
      <c r="U719" s="20">
        <v>15992.139303482591</v>
      </c>
      <c r="W719" s="19">
        <v>0.26240000000000002</v>
      </c>
      <c r="X719" s="19">
        <v>0.1283</v>
      </c>
      <c r="Z719" s="18">
        <v>7955</v>
      </c>
    </row>
    <row r="720" spans="1:26" ht="15.75" customHeight="1" x14ac:dyDescent="0.2">
      <c r="A720" s="36" t="str">
        <f>HYPERLINK("https://www.uwsuper.edu", "University of Wisconsin-Superior")</f>
        <v>University of Wisconsin-Superior</v>
      </c>
      <c r="B720" s="18" t="s">
        <v>49</v>
      </c>
      <c r="C720" s="18" t="s">
        <v>196</v>
      </c>
      <c r="D720" s="18" t="s">
        <v>1359</v>
      </c>
      <c r="E720" s="18">
        <v>1045</v>
      </c>
      <c r="F720" s="18" t="s">
        <v>35</v>
      </c>
      <c r="J720" s="19">
        <v>0.434</v>
      </c>
      <c r="K720" s="19">
        <v>0.40802675599999999</v>
      </c>
      <c r="L720" s="19">
        <v>0.44030000000000002</v>
      </c>
      <c r="M720" s="19">
        <v>0.5</v>
      </c>
      <c r="N720" s="19">
        <v>0</v>
      </c>
      <c r="O720" s="19">
        <v>0.16669999999999999</v>
      </c>
      <c r="P720" s="20">
        <v>27412</v>
      </c>
      <c r="Q720" s="21" t="str">
        <f>HYPERLINK("https://www.uwsuper.edu/finaid/calculator", "$17517")</f>
        <v>$17517</v>
      </c>
      <c r="R720" s="20">
        <v>22924</v>
      </c>
      <c r="S720" s="20">
        <v>25242</v>
      </c>
      <c r="T720" s="20">
        <v>5020</v>
      </c>
      <c r="U720" s="20">
        <v>12497.64864864865</v>
      </c>
      <c r="W720" s="19">
        <v>0.35699999999999998</v>
      </c>
      <c r="X720" s="19">
        <v>0.2044</v>
      </c>
      <c r="Z720" s="18">
        <v>2241</v>
      </c>
    </row>
    <row r="721" spans="1:26" ht="15.75" customHeight="1" x14ac:dyDescent="0.2">
      <c r="A721" s="36" t="str">
        <f>HYPERLINK("https://www.uww.edu", "University of Wisconsin-Whitewater")</f>
        <v>University of Wisconsin-Whitewater</v>
      </c>
      <c r="B721" s="18" t="s">
        <v>49</v>
      </c>
      <c r="C721" s="18" t="s">
        <v>196</v>
      </c>
      <c r="D721" s="18" t="s">
        <v>1360</v>
      </c>
      <c r="E721" s="18">
        <v>1105</v>
      </c>
      <c r="F721" s="18" t="s">
        <v>35</v>
      </c>
      <c r="J721" s="19">
        <v>0.61670000000000003</v>
      </c>
      <c r="K721" s="19">
        <v>0.46985815600000003</v>
      </c>
      <c r="L721" s="19">
        <v>0.63500000000000001</v>
      </c>
      <c r="M721" s="19">
        <v>0.37859999999999999</v>
      </c>
      <c r="N721" s="19">
        <v>0.54759999999999998</v>
      </c>
      <c r="O721" s="19">
        <v>0.59260000000000002</v>
      </c>
      <c r="P721" s="20">
        <v>26377</v>
      </c>
      <c r="Q721" s="21" t="str">
        <f>HYPERLINK("https://www.uww.edu/students/financial-aid-award-estimator", "$18251")</f>
        <v>$18251</v>
      </c>
      <c r="R721" s="20">
        <v>22172</v>
      </c>
      <c r="S721" s="20">
        <v>25339</v>
      </c>
      <c r="T721" s="20">
        <v>3700</v>
      </c>
      <c r="U721" s="20">
        <v>14551.76</v>
      </c>
      <c r="W721" s="19">
        <v>0.26300000000000001</v>
      </c>
      <c r="X721" s="19">
        <v>0.18129999999999999</v>
      </c>
      <c r="Z721" s="18">
        <v>10543</v>
      </c>
    </row>
    <row r="722" spans="1:26" ht="15.75" customHeight="1" x14ac:dyDescent="0.2">
      <c r="A722" s="36" t="str">
        <f>HYPERLINK("https://www.uwyo.edu", "University of Wyoming")</f>
        <v>University of Wyoming</v>
      </c>
      <c r="B722" s="18" t="s">
        <v>49</v>
      </c>
      <c r="C722" s="18" t="s">
        <v>1086</v>
      </c>
      <c r="D722" s="18" t="s">
        <v>1361</v>
      </c>
      <c r="E722" s="18">
        <v>1195</v>
      </c>
      <c r="F722" s="18" t="s">
        <v>35</v>
      </c>
      <c r="J722" s="19">
        <v>0.58200000000000007</v>
      </c>
      <c r="K722" s="19">
        <v>0.47937411099999999</v>
      </c>
      <c r="L722" s="19">
        <v>0.58809999999999996</v>
      </c>
      <c r="M722" s="19">
        <v>0.46150000000000002</v>
      </c>
      <c r="N722" s="19">
        <v>0.55649999999999999</v>
      </c>
      <c r="O722" s="19">
        <v>0.72219999999999995</v>
      </c>
      <c r="P722" s="20">
        <v>31387</v>
      </c>
      <c r="Q722" s="21" t="str">
        <f>HYPERLINK("https://www.uwyo.edu/sfa/net-price-calculator/npcalc.htm", "$21104")</f>
        <v>$21104</v>
      </c>
      <c r="R722" s="20">
        <v>24906</v>
      </c>
      <c r="S722" s="20">
        <v>26763</v>
      </c>
      <c r="T722" s="20">
        <v>4240</v>
      </c>
      <c r="U722" s="20">
        <v>16864.15966386555</v>
      </c>
      <c r="W722" s="19">
        <v>0.21290000000000001</v>
      </c>
      <c r="X722" s="19">
        <v>0.28549999999999998</v>
      </c>
      <c r="Z722" s="18">
        <v>9623</v>
      </c>
    </row>
    <row r="723" spans="1:26" ht="15.75" customHeight="1" x14ac:dyDescent="0.2">
      <c r="A723" s="36" t="str">
        <f>HYPERLINK("https://www.ucumberlands.edu", "University of the Cumberlands")</f>
        <v>University of the Cumberlands</v>
      </c>
      <c r="B723" s="18" t="s">
        <v>32</v>
      </c>
      <c r="C723" s="18" t="s">
        <v>205</v>
      </c>
      <c r="D723" s="18" t="s">
        <v>84</v>
      </c>
      <c r="E723" s="18">
        <v>1092</v>
      </c>
      <c r="F723" s="18" t="s">
        <v>35</v>
      </c>
      <c r="J723" s="19">
        <v>0.40849999999999997</v>
      </c>
      <c r="K723" s="19">
        <v>0.32978723399999998</v>
      </c>
      <c r="L723" s="19">
        <v>0.43969999999999998</v>
      </c>
      <c r="M723" s="19">
        <v>0.1429</v>
      </c>
      <c r="N723" s="19">
        <v>9.0899999999999995E-2</v>
      </c>
      <c r="O723" s="19">
        <v>0</v>
      </c>
      <c r="P723" s="20">
        <v>38400</v>
      </c>
      <c r="Q723" s="21" t="str">
        <f>HYPERLINK("https://ucumberlands.studentaidcalculator.com/survey.aspx", "$17439")</f>
        <v>$17439</v>
      </c>
      <c r="R723" s="20">
        <v>20295</v>
      </c>
      <c r="S723" s="20">
        <v>22069</v>
      </c>
      <c r="T723" s="20">
        <v>6400</v>
      </c>
      <c r="U723" s="20">
        <v>11039</v>
      </c>
      <c r="W723" s="19">
        <v>0.317</v>
      </c>
      <c r="X723" s="19">
        <v>0.47960000000000003</v>
      </c>
      <c r="Z723" s="18">
        <v>2085</v>
      </c>
    </row>
    <row r="724" spans="1:26" ht="15.75" customHeight="1" x14ac:dyDescent="0.2">
      <c r="A724" s="36" t="str">
        <f>HYPERLINK("https://www.uiw.edu", "University of the Incarnate Word")</f>
        <v>University of the Incarnate Word</v>
      </c>
      <c r="B724" s="18" t="s">
        <v>32</v>
      </c>
      <c r="C724" s="18" t="s">
        <v>146</v>
      </c>
      <c r="D724" s="18" t="s">
        <v>268</v>
      </c>
      <c r="E724" s="18">
        <v>1028</v>
      </c>
      <c r="F724" s="18" t="s">
        <v>35</v>
      </c>
      <c r="J724" s="19">
        <v>0.53420000000000001</v>
      </c>
      <c r="K724" s="19">
        <v>0.53162393200000002</v>
      </c>
      <c r="L724" s="19">
        <v>0.53939999999999999</v>
      </c>
      <c r="M724" s="19">
        <v>0.375</v>
      </c>
      <c r="N724" s="19">
        <v>0.54979999999999996</v>
      </c>
      <c r="O724" s="19">
        <v>0.66669999999999996</v>
      </c>
      <c r="P724" s="20">
        <v>46766</v>
      </c>
      <c r="Q724" s="21" t="str">
        <f>HYPERLINK("https://www.uiw.edu/finaid/estimateyourcosts2.html", "$18427")</f>
        <v>$18427</v>
      </c>
      <c r="R724" s="20">
        <v>22172</v>
      </c>
      <c r="S724" s="20">
        <v>24837</v>
      </c>
      <c r="T724" s="20">
        <v>4340</v>
      </c>
      <c r="U724" s="20">
        <v>14087</v>
      </c>
      <c r="W724" s="19">
        <v>0.38769999999999999</v>
      </c>
      <c r="X724" s="19">
        <v>0.80630000000000002</v>
      </c>
      <c r="Z724" s="18">
        <v>5807</v>
      </c>
    </row>
    <row r="725" spans="1:26" ht="15.75" customHeight="1" x14ac:dyDescent="0.2">
      <c r="A725" s="36" t="str">
        <f>HYPERLINK("https://www.ozarks.edu", "University of the Ozarks")</f>
        <v>University of the Ozarks</v>
      </c>
      <c r="B725" s="18" t="s">
        <v>32</v>
      </c>
      <c r="C725" s="18" t="s">
        <v>371</v>
      </c>
      <c r="D725" s="18" t="s">
        <v>564</v>
      </c>
      <c r="E725" s="18">
        <v>1047</v>
      </c>
      <c r="F725" s="18" t="s">
        <v>115</v>
      </c>
      <c r="J725" s="19">
        <v>0.50539999999999996</v>
      </c>
      <c r="K725" s="19">
        <v>0.28571428599999998</v>
      </c>
      <c r="L725" s="19">
        <v>0.52339999999999998</v>
      </c>
      <c r="M725" s="19">
        <v>0.1</v>
      </c>
      <c r="N725" s="19">
        <v>0.5</v>
      </c>
      <c r="O725" s="19" t="s">
        <v>36</v>
      </c>
      <c r="P725" s="20">
        <v>36435</v>
      </c>
      <c r="Q725" s="21" t="str">
        <f>HYPERLINK("https://ozarks.edu/new-student/cost-and-aid/applying-financial-aid/", "$13334")</f>
        <v>$13334</v>
      </c>
      <c r="R725" s="20">
        <v>17021</v>
      </c>
      <c r="S725" s="20">
        <v>21548</v>
      </c>
      <c r="T725" s="20">
        <v>5385</v>
      </c>
      <c r="U725" s="20">
        <v>7949</v>
      </c>
      <c r="W725" s="19">
        <v>0.42420000000000002</v>
      </c>
      <c r="X725" s="19">
        <v>0.46710000000000002</v>
      </c>
      <c r="Z725" s="18">
        <v>745</v>
      </c>
    </row>
    <row r="726" spans="1:26" ht="15.75" customHeight="1" x14ac:dyDescent="0.2">
      <c r="A726" s="36" t="str">
        <f>HYPERLINK("https://www.urbana.edu", "Urbana University")</f>
        <v>Urbana University</v>
      </c>
      <c r="B726" s="18" t="s">
        <v>32</v>
      </c>
      <c r="C726" s="18" t="s">
        <v>75</v>
      </c>
      <c r="D726" s="18" t="s">
        <v>1364</v>
      </c>
      <c r="E726" s="18">
        <v>1025</v>
      </c>
      <c r="F726" s="18" t="s">
        <v>35</v>
      </c>
      <c r="J726" s="19">
        <v>0.19009999999999999</v>
      </c>
      <c r="K726" s="19">
        <v>0.40298507500000003</v>
      </c>
      <c r="L726" s="19">
        <v>0.21740000000000001</v>
      </c>
      <c r="M726" s="19">
        <v>0.125</v>
      </c>
      <c r="N726" s="19">
        <v>0</v>
      </c>
      <c r="O726" s="19">
        <v>0</v>
      </c>
      <c r="P726" s="20">
        <v>37118</v>
      </c>
      <c r="Q726" s="21" t="str">
        <f>HYPERLINK("https://www.urbana.edu/admissions/financial-aid/net-price-calculator.html", "$16672")</f>
        <v>$16672</v>
      </c>
      <c r="R726" s="20">
        <v>16046</v>
      </c>
      <c r="S726" s="20">
        <v>19585</v>
      </c>
      <c r="T726" s="20">
        <v>4960</v>
      </c>
      <c r="U726" s="20">
        <v>11712</v>
      </c>
      <c r="W726" s="19">
        <v>0.1118</v>
      </c>
      <c r="X726" s="19">
        <v>0.47989999999999999</v>
      </c>
      <c r="Z726" s="18">
        <v>548</v>
      </c>
    </row>
    <row r="727" spans="1:26" ht="15.75" customHeight="1" x14ac:dyDescent="0.2">
      <c r="A727" s="36" t="str">
        <f>HYPERLINK("https://www.ursuline.edu", "Ursuline College")</f>
        <v>Ursuline College</v>
      </c>
      <c r="B727" s="18" t="s">
        <v>32</v>
      </c>
      <c r="C727" s="18" t="s">
        <v>75</v>
      </c>
      <c r="D727" s="18" t="s">
        <v>1365</v>
      </c>
      <c r="E727" s="18">
        <v>1068</v>
      </c>
      <c r="F727" s="18" t="s">
        <v>35</v>
      </c>
      <c r="J727" s="19">
        <v>0.52559999999999996</v>
      </c>
      <c r="K727" s="19">
        <v>0.306748466</v>
      </c>
      <c r="L727" s="19">
        <v>0.6038</v>
      </c>
      <c r="M727" s="19">
        <v>0.44440000000000002</v>
      </c>
      <c r="N727" s="19">
        <v>0</v>
      </c>
      <c r="O727" s="19">
        <v>0</v>
      </c>
      <c r="P727" s="20">
        <v>44512</v>
      </c>
      <c r="Q727" s="21" t="str">
        <f>HYPERLINK("https://www.ursuline.edu/netprice/", "$15754")</f>
        <v>$15754</v>
      </c>
      <c r="R727" s="20">
        <v>16373</v>
      </c>
      <c r="S727" s="20">
        <v>17364</v>
      </c>
      <c r="T727" s="20">
        <v>3000</v>
      </c>
      <c r="U727" s="20">
        <v>12754</v>
      </c>
      <c r="W727" s="19">
        <v>0.40620000000000001</v>
      </c>
      <c r="X727" s="19">
        <v>0.37890000000000001</v>
      </c>
      <c r="Z727" s="18">
        <v>607</v>
      </c>
    </row>
    <row r="728" spans="1:26" ht="15.75" customHeight="1" x14ac:dyDescent="0.2">
      <c r="A728" s="36" t="str">
        <f>HYPERLINK("https://www.usu.edu", "Utah State University")</f>
        <v>Utah State University</v>
      </c>
      <c r="B728" s="18" t="s">
        <v>49</v>
      </c>
      <c r="C728" s="18" t="s">
        <v>199</v>
      </c>
      <c r="D728" s="18" t="s">
        <v>1367</v>
      </c>
      <c r="E728" s="18">
        <v>1177</v>
      </c>
      <c r="F728" s="18" t="s">
        <v>35</v>
      </c>
      <c r="J728" s="19">
        <v>0.49780000000000002</v>
      </c>
      <c r="K728" s="19">
        <v>0.40973236000000002</v>
      </c>
      <c r="L728" s="19">
        <v>0.53469999999999995</v>
      </c>
      <c r="M728" s="19">
        <v>0.3548</v>
      </c>
      <c r="N728" s="19">
        <v>0.31969999999999998</v>
      </c>
      <c r="O728" s="19">
        <v>0.41299999999999998</v>
      </c>
      <c r="P728" s="20">
        <v>33264</v>
      </c>
      <c r="Q728" s="21" t="str">
        <f>HYPERLINK("https://www.usu.edu/netprice/", "$27003")</f>
        <v>$27003</v>
      </c>
      <c r="R728" s="20">
        <v>28822</v>
      </c>
      <c r="S728" s="20">
        <v>31091</v>
      </c>
      <c r="T728" s="20">
        <v>4664</v>
      </c>
      <c r="U728" s="20">
        <v>22339.844006568139</v>
      </c>
      <c r="W728" s="19">
        <v>0.34279999999999999</v>
      </c>
      <c r="X728" s="19">
        <v>0.18049999999999999</v>
      </c>
      <c r="Z728" s="18">
        <v>21473</v>
      </c>
    </row>
    <row r="729" spans="1:26" ht="15.75" customHeight="1" x14ac:dyDescent="0.2">
      <c r="A729" s="36" t="str">
        <f>HYPERLINK("https://www.utica.edu/", "Utica College")</f>
        <v>Utica College</v>
      </c>
      <c r="B729" s="18" t="s">
        <v>32</v>
      </c>
      <c r="C729" s="18" t="s">
        <v>38</v>
      </c>
      <c r="D729" s="18" t="s">
        <v>463</v>
      </c>
      <c r="E729" s="18" t="s">
        <v>36</v>
      </c>
      <c r="F729" s="18" t="s">
        <v>90</v>
      </c>
      <c r="G729" s="18" t="s">
        <v>40</v>
      </c>
      <c r="H729" s="18" t="s">
        <v>1370</v>
      </c>
      <c r="I729" s="18" t="s">
        <v>1371</v>
      </c>
      <c r="J729" s="19">
        <v>0.48959999999999998</v>
      </c>
      <c r="K729" s="19">
        <v>0.41925465799999989</v>
      </c>
      <c r="L729" s="19">
        <v>0.53200000000000003</v>
      </c>
      <c r="M729" s="19">
        <v>0.37290000000000001</v>
      </c>
      <c r="N729" s="19">
        <v>0.36070000000000002</v>
      </c>
      <c r="O729" s="19">
        <v>0.5</v>
      </c>
      <c r="P729" s="20">
        <v>34668</v>
      </c>
      <c r="Q729" s="21" t="str">
        <f>HYPERLINK("https://www.utica.edu/enrollment/estimator.cfm", "$17517")</f>
        <v>$17517</v>
      </c>
      <c r="R729" s="20">
        <v>20801</v>
      </c>
      <c r="S729" s="20">
        <v>23170</v>
      </c>
      <c r="T729" s="20">
        <v>3164</v>
      </c>
      <c r="U729" s="20">
        <v>14353</v>
      </c>
      <c r="W729" s="19">
        <v>0.3589</v>
      </c>
      <c r="X729" s="19">
        <v>0.32800000000000001</v>
      </c>
      <c r="Z729" s="18">
        <v>3595</v>
      </c>
    </row>
    <row r="730" spans="1:26" ht="15.75" customHeight="1" x14ac:dyDescent="0.2">
      <c r="A730" s="36" t="str">
        <f>HYPERLINK("https://www.valdosta.edu", "Valdosta State University")</f>
        <v>Valdosta State University</v>
      </c>
      <c r="B730" s="18" t="s">
        <v>49</v>
      </c>
      <c r="C730" s="18" t="s">
        <v>107</v>
      </c>
      <c r="D730" s="18" t="s">
        <v>1372</v>
      </c>
      <c r="E730" s="18">
        <v>1059</v>
      </c>
      <c r="F730" s="18" t="s">
        <v>35</v>
      </c>
      <c r="J730" s="19">
        <v>0.36930000000000002</v>
      </c>
      <c r="K730" s="19">
        <v>0.35732870799999999</v>
      </c>
      <c r="L730" s="19">
        <v>0.39410000000000001</v>
      </c>
      <c r="M730" s="19">
        <v>0.3508</v>
      </c>
      <c r="N730" s="19">
        <v>0.31</v>
      </c>
      <c r="O730" s="19">
        <v>0.26090000000000002</v>
      </c>
      <c r="P730" s="20">
        <v>32080</v>
      </c>
      <c r="Q730" s="21" t="str">
        <f>HYPERLINK("https://www.valdosta.edu/administration/finance-admin/financial-services/students/net-price-calculator.php", "$23839")</f>
        <v>$23839</v>
      </c>
      <c r="R730" s="20">
        <v>27544</v>
      </c>
      <c r="S730" s="20">
        <v>28538</v>
      </c>
      <c r="T730" s="20">
        <v>6546</v>
      </c>
      <c r="U730" s="20">
        <v>17293.565298507459</v>
      </c>
      <c r="W730" s="19">
        <v>0.47399999999999998</v>
      </c>
      <c r="X730" s="19">
        <v>0.52689999999999992</v>
      </c>
      <c r="Z730" s="18">
        <v>8557</v>
      </c>
    </row>
    <row r="731" spans="1:26" ht="15.75" customHeight="1" x14ac:dyDescent="0.2">
      <c r="A731" s="36" t="str">
        <f>HYPERLINK("https://www.vaughn.edu", "Vaughn College of Aeronautics and Technology")</f>
        <v>Vaughn College of Aeronautics and Technology</v>
      </c>
      <c r="B731" s="18" t="s">
        <v>32</v>
      </c>
      <c r="C731" s="18" t="s">
        <v>38</v>
      </c>
      <c r="D731" s="18" t="s">
        <v>1374</v>
      </c>
      <c r="E731" s="18" t="s">
        <v>36</v>
      </c>
      <c r="F731" s="18" t="s">
        <v>36</v>
      </c>
      <c r="G731" s="18" t="s">
        <v>40</v>
      </c>
      <c r="H731" s="18" t="s">
        <v>1375</v>
      </c>
      <c r="I731" s="18" t="s">
        <v>1111</v>
      </c>
      <c r="J731" s="19">
        <v>0.32079999999999997</v>
      </c>
      <c r="K731" s="19">
        <v>0.304597701</v>
      </c>
      <c r="L731" s="19">
        <v>0.39389999999999997</v>
      </c>
      <c r="M731" s="19">
        <v>0.22059999999999999</v>
      </c>
      <c r="N731" s="19">
        <v>0.31859999999999999</v>
      </c>
      <c r="O731" s="19">
        <v>0.375</v>
      </c>
      <c r="P731" s="20">
        <v>47750</v>
      </c>
      <c r="Q731" s="21" t="str">
        <f>HYPERLINK("https://www.vaughn.edu", "$30891")</f>
        <v>$30891</v>
      </c>
      <c r="R731" s="20">
        <v>33967</v>
      </c>
      <c r="S731" s="20">
        <v>34928</v>
      </c>
      <c r="T731" s="20">
        <v>9100</v>
      </c>
      <c r="U731" s="20">
        <v>21791</v>
      </c>
      <c r="W731" s="19">
        <v>0.52529999999999999</v>
      </c>
      <c r="X731" s="19">
        <v>0.873</v>
      </c>
      <c r="Z731" s="18">
        <v>1496</v>
      </c>
    </row>
    <row r="732" spans="1:26" ht="15.75" customHeight="1" x14ac:dyDescent="0.2">
      <c r="A732" s="36" t="str">
        <f>HYPERLINK("https://cs.uarts.edu/sms", "Villanova University - Summer Music Studies Program")</f>
        <v>Villanova University - Summer Music Studies Program</v>
      </c>
      <c r="B732" s="18" t="s">
        <v>32</v>
      </c>
      <c r="C732" s="18" t="s">
        <v>65</v>
      </c>
      <c r="D732" s="18" t="s">
        <v>177</v>
      </c>
      <c r="E732" s="18" t="s">
        <v>36</v>
      </c>
      <c r="F732" s="18" t="s">
        <v>36</v>
      </c>
      <c r="J732" s="19" t="s">
        <v>36</v>
      </c>
      <c r="K732" s="19">
        <v>0.513761468</v>
      </c>
      <c r="L732" s="19" t="s">
        <v>36</v>
      </c>
      <c r="M732" s="19" t="s">
        <v>36</v>
      </c>
      <c r="N732" s="19" t="s">
        <v>36</v>
      </c>
      <c r="O732" s="19" t="s">
        <v>36</v>
      </c>
      <c r="P732" s="20" t="s">
        <v>36</v>
      </c>
      <c r="Q732" s="35" t="s">
        <v>36</v>
      </c>
      <c r="R732" s="20" t="s">
        <v>36</v>
      </c>
      <c r="S732" s="20" t="s">
        <v>36</v>
      </c>
      <c r="T732" s="20" t="s">
        <v>36</v>
      </c>
      <c r="U732" s="20" t="s">
        <v>36</v>
      </c>
      <c r="W732" s="19" t="s">
        <v>36</v>
      </c>
      <c r="X732" s="19" t="s">
        <v>36</v>
      </c>
      <c r="Z732" s="18" t="s">
        <v>36</v>
      </c>
    </row>
    <row r="733" spans="1:26" ht="15.75" customHeight="1" x14ac:dyDescent="0.2">
      <c r="A733" s="36" t="str">
        <f>HYPERLINK("https://www.vcu.edu/", "Virginia Commonwealth University")</f>
        <v>Virginia Commonwealth University</v>
      </c>
      <c r="B733" s="18" t="s">
        <v>49</v>
      </c>
      <c r="C733" s="18" t="s">
        <v>83</v>
      </c>
      <c r="D733" s="18" t="s">
        <v>350</v>
      </c>
      <c r="E733" s="18">
        <v>1168</v>
      </c>
      <c r="F733" s="18" t="s">
        <v>35</v>
      </c>
      <c r="J733" s="19">
        <v>0.62549999999999994</v>
      </c>
      <c r="K733" s="19">
        <v>0.57782672499999999</v>
      </c>
      <c r="L733" s="19">
        <v>0.62760000000000005</v>
      </c>
      <c r="M733" s="19">
        <v>0.59830000000000005</v>
      </c>
      <c r="N733" s="19">
        <v>0.58160000000000001</v>
      </c>
      <c r="O733" s="19">
        <v>0.68730000000000002</v>
      </c>
      <c r="P733" s="20">
        <v>51204</v>
      </c>
      <c r="Q733" s="21" t="str">
        <f>HYPERLINK("https://npc.collegeboard.org/student/app/vcu", "$37856")</f>
        <v>$37856</v>
      </c>
      <c r="R733" s="20">
        <v>44172</v>
      </c>
      <c r="S733" s="20">
        <v>46393</v>
      </c>
      <c r="T733" s="20">
        <v>6042</v>
      </c>
      <c r="U733" s="20">
        <v>31814.968181818189</v>
      </c>
      <c r="W733" s="19">
        <v>0.28079999999999999</v>
      </c>
      <c r="X733" s="19">
        <v>0.53449999999999998</v>
      </c>
      <c r="Z733" s="18">
        <v>22393</v>
      </c>
    </row>
    <row r="734" spans="1:26" ht="15.75" customHeight="1" x14ac:dyDescent="0.2">
      <c r="A734" s="36" t="str">
        <f>HYPERLINK("https://www.vmi.edu", "Virginia Military Institute")</f>
        <v>Virginia Military Institute</v>
      </c>
      <c r="B734" s="18" t="s">
        <v>49</v>
      </c>
      <c r="C734" s="18" t="s">
        <v>83</v>
      </c>
      <c r="D734" s="18" t="s">
        <v>180</v>
      </c>
      <c r="E734" s="18">
        <v>1204</v>
      </c>
      <c r="F734" s="18" t="s">
        <v>35</v>
      </c>
      <c r="J734" s="19">
        <v>0.7661</v>
      </c>
      <c r="K734" s="19">
        <v>0.65217391299999994</v>
      </c>
      <c r="L734" s="19">
        <v>0.78359999999999996</v>
      </c>
      <c r="M734" s="19">
        <v>0.44829999999999998</v>
      </c>
      <c r="N734" s="19">
        <v>0.79169999999999996</v>
      </c>
      <c r="O734" s="19">
        <v>0.88239999999999996</v>
      </c>
      <c r="P734" s="20">
        <v>56288</v>
      </c>
      <c r="Q734" s="21" t="str">
        <f>HYPERLINK("https://npc.collegeboard.org/student/app/vmi", "$33238")</f>
        <v>$33238</v>
      </c>
      <c r="R734" s="20">
        <v>36100</v>
      </c>
      <c r="S734" s="20">
        <v>46612</v>
      </c>
      <c r="T734" s="20">
        <v>3150</v>
      </c>
      <c r="U734" s="20">
        <v>30088.17391304348</v>
      </c>
      <c r="W734" s="19">
        <v>0.12839999999999999</v>
      </c>
      <c r="X734" s="19">
        <v>0.21249999999999999</v>
      </c>
      <c r="Z734" s="18">
        <v>1722</v>
      </c>
    </row>
    <row r="735" spans="1:26" ht="15.75" customHeight="1" x14ac:dyDescent="0.2">
      <c r="A735" s="36" t="str">
        <f>HYPERLINK("https://www.vsu.edu", "Virginia State University")</f>
        <v>Virginia State University</v>
      </c>
      <c r="B735" s="18" t="s">
        <v>49</v>
      </c>
      <c r="C735" s="18" t="s">
        <v>83</v>
      </c>
      <c r="D735" s="18" t="s">
        <v>1379</v>
      </c>
      <c r="E735" s="18">
        <v>914</v>
      </c>
      <c r="F735" s="18" t="s">
        <v>35</v>
      </c>
      <c r="J735" s="19">
        <v>0.42120000000000002</v>
      </c>
      <c r="K735" s="19">
        <v>0.45547073799999999</v>
      </c>
      <c r="L735" s="19">
        <v>0.16</v>
      </c>
      <c r="M735" s="19">
        <v>0.42759999999999998</v>
      </c>
      <c r="N735" s="19">
        <v>0.36</v>
      </c>
      <c r="O735" s="19" t="s">
        <v>36</v>
      </c>
      <c r="P735" s="20">
        <v>33427</v>
      </c>
      <c r="Q735" s="21" t="str">
        <f>HYPERLINK("https://www.vsu.edu/financial-aid/mandates/net-price-calculator.php", "$25203")</f>
        <v>$25203</v>
      </c>
      <c r="R735" s="20">
        <v>28631</v>
      </c>
      <c r="S735" s="20">
        <v>30226</v>
      </c>
      <c r="T735" s="20">
        <v>2975</v>
      </c>
      <c r="U735" s="20">
        <v>22228.594936708861</v>
      </c>
      <c r="W735" s="19">
        <v>0.70709999999999995</v>
      </c>
      <c r="X735" s="19">
        <v>0.99180000000000001</v>
      </c>
      <c r="Z735" s="18">
        <v>4265</v>
      </c>
    </row>
    <row r="736" spans="1:26" ht="15.75" customHeight="1" x14ac:dyDescent="0.2">
      <c r="A736" s="36" t="str">
        <f>HYPERLINK("https://www.vuu.edu", "Virginia Union University")</f>
        <v>Virginia Union University</v>
      </c>
      <c r="B736" s="18" t="s">
        <v>32</v>
      </c>
      <c r="C736" s="18" t="s">
        <v>83</v>
      </c>
      <c r="D736" s="18" t="s">
        <v>350</v>
      </c>
      <c r="E736" s="18">
        <v>922</v>
      </c>
      <c r="F736" s="18" t="s">
        <v>115</v>
      </c>
      <c r="J736" s="19">
        <v>0.26569999999999999</v>
      </c>
      <c r="K736" s="19">
        <v>0.247557003</v>
      </c>
      <c r="L736" s="19">
        <v>0.5</v>
      </c>
      <c r="M736" s="19">
        <v>0.26600000000000001</v>
      </c>
      <c r="N736" s="19">
        <v>0</v>
      </c>
      <c r="O736" s="19" t="s">
        <v>36</v>
      </c>
      <c r="P736" s="20">
        <v>30896</v>
      </c>
      <c r="Q736" s="21" t="str">
        <f>HYPERLINK("https://my.vuu.edu/ICS/Student_Finances/My_Financial_Aid.jnz?", "$19795")</f>
        <v>$19795</v>
      </c>
      <c r="R736" s="20">
        <v>23819</v>
      </c>
      <c r="S736" s="20">
        <v>24842</v>
      </c>
      <c r="T736" s="20">
        <v>4936</v>
      </c>
      <c r="U736" s="20">
        <v>14859</v>
      </c>
      <c r="W736" s="19">
        <v>0.74529999999999996</v>
      </c>
      <c r="X736" s="19">
        <v>0.98680000000000001</v>
      </c>
      <c r="Z736" s="18">
        <v>1211</v>
      </c>
    </row>
    <row r="737" spans="1:26" ht="15.75" customHeight="1" x14ac:dyDescent="0.2">
      <c r="A737" s="36" t="str">
        <f>HYPERLINK("https://www.voorhees.edu", "Voorhees College")</f>
        <v>Voorhees College</v>
      </c>
      <c r="B737" s="18" t="s">
        <v>32</v>
      </c>
      <c r="C737" s="18" t="s">
        <v>208</v>
      </c>
      <c r="D737" s="18" t="s">
        <v>1381</v>
      </c>
      <c r="E737" s="18" t="s">
        <v>36</v>
      </c>
      <c r="F737" s="18" t="s">
        <v>90</v>
      </c>
      <c r="J737" s="19">
        <v>0.29199999999999998</v>
      </c>
      <c r="K737" s="19">
        <v>0.198501873</v>
      </c>
      <c r="L737" s="19" t="s">
        <v>36</v>
      </c>
      <c r="M737" s="19">
        <v>0.29630000000000001</v>
      </c>
      <c r="N737" s="19" t="s">
        <v>36</v>
      </c>
      <c r="O737" s="19" t="s">
        <v>36</v>
      </c>
      <c r="P737" s="20">
        <v>26336</v>
      </c>
      <c r="Q737" s="21" t="str">
        <f>HYPERLINK("https://www.voorhees.edu", "$16688")</f>
        <v>$16688</v>
      </c>
      <c r="R737" s="20">
        <v>19974</v>
      </c>
      <c r="S737" s="20">
        <v>23632</v>
      </c>
      <c r="T737" s="20">
        <v>6360</v>
      </c>
      <c r="U737" s="20">
        <v>10328</v>
      </c>
      <c r="W737" s="19">
        <v>0.88190000000000002</v>
      </c>
      <c r="X737" s="19">
        <v>0.99160000000000004</v>
      </c>
      <c r="Z737" s="18">
        <v>475</v>
      </c>
    </row>
    <row r="738" spans="1:26" ht="15.75" customHeight="1" x14ac:dyDescent="0.2">
      <c r="A738" s="36" t="str">
        <f>HYPERLINK("https://www.waldorf.edu", "Waldorf College")</f>
        <v>Waldorf College</v>
      </c>
      <c r="B738" s="18" t="s">
        <v>368</v>
      </c>
      <c r="C738" s="18" t="s">
        <v>211</v>
      </c>
      <c r="D738" s="18" t="s">
        <v>1383</v>
      </c>
      <c r="E738" s="18">
        <v>1027</v>
      </c>
      <c r="F738" s="18" t="s">
        <v>35</v>
      </c>
      <c r="J738" s="19">
        <v>0.29089999999999999</v>
      </c>
      <c r="K738" s="19">
        <v>0.408450704</v>
      </c>
      <c r="L738" s="19">
        <v>0.34150000000000003</v>
      </c>
      <c r="M738" s="19">
        <v>9.0899999999999995E-2</v>
      </c>
      <c r="N738" s="19">
        <v>0.15379999999999999</v>
      </c>
      <c r="O738" s="19">
        <v>0</v>
      </c>
      <c r="P738" s="20">
        <v>33602</v>
      </c>
      <c r="Q738" s="21" t="str">
        <f>HYPERLINK("https://secure.waldorf.edu/financialaid/calculator/enter.asp", "$17981")</f>
        <v>$17981</v>
      </c>
      <c r="R738" s="20">
        <v>19945</v>
      </c>
      <c r="S738" s="20">
        <v>20943</v>
      </c>
      <c r="T738" s="20">
        <v>4554</v>
      </c>
      <c r="U738" s="20">
        <v>13427</v>
      </c>
      <c r="W738" s="19">
        <v>0.37640000000000001</v>
      </c>
      <c r="X738" s="19">
        <v>0.35659999999999997</v>
      </c>
      <c r="Z738" s="18">
        <v>2053</v>
      </c>
    </row>
    <row r="739" spans="1:26" ht="15.75" customHeight="1" x14ac:dyDescent="0.2">
      <c r="A739" s="36" t="str">
        <f>HYPERLINK("https://www.walsh.edu", "Walsh University")</f>
        <v>Walsh University</v>
      </c>
      <c r="B739" s="18" t="s">
        <v>32</v>
      </c>
      <c r="C739" s="18" t="s">
        <v>75</v>
      </c>
      <c r="D739" s="18" t="s">
        <v>1384</v>
      </c>
      <c r="E739" s="18">
        <v>1140</v>
      </c>
      <c r="F739" s="18" t="s">
        <v>35</v>
      </c>
      <c r="J739" s="19">
        <v>0.61129999999999995</v>
      </c>
      <c r="K739" s="19">
        <v>0.48</v>
      </c>
      <c r="L739" s="19">
        <v>0.63570000000000004</v>
      </c>
      <c r="M739" s="19">
        <v>0.30430000000000001</v>
      </c>
      <c r="N739" s="19">
        <v>0.66669999999999996</v>
      </c>
      <c r="O739" s="19">
        <v>0.4</v>
      </c>
      <c r="P739" s="20">
        <v>43142</v>
      </c>
      <c r="Q739" s="21" t="str">
        <f>HYPERLINK("https://www.walsh.edu/cost-calculator", "$15023")</f>
        <v>$15023</v>
      </c>
      <c r="R739" s="20">
        <v>18423</v>
      </c>
      <c r="S739" s="20">
        <v>21722</v>
      </c>
      <c r="T739" s="20">
        <v>3462</v>
      </c>
      <c r="U739" s="20">
        <v>11561</v>
      </c>
      <c r="W739" s="19">
        <v>0.29920000000000002</v>
      </c>
      <c r="X739" s="19">
        <v>0.31929999999999997</v>
      </c>
      <c r="Z739" s="18">
        <v>1929</v>
      </c>
    </row>
    <row r="740" spans="1:26" ht="15.75" customHeight="1" x14ac:dyDescent="0.2">
      <c r="A740" s="36" t="str">
        <f>HYPERLINK("https://www.warnerpacific.edu/", "Warner Pacific College")</f>
        <v>Warner Pacific College</v>
      </c>
      <c r="B740" s="18" t="s">
        <v>32</v>
      </c>
      <c r="C740" s="18" t="s">
        <v>143</v>
      </c>
      <c r="D740" s="18" t="s">
        <v>144</v>
      </c>
      <c r="E740" s="18" t="s">
        <v>36</v>
      </c>
      <c r="F740" s="18" t="s">
        <v>90</v>
      </c>
      <c r="J740" s="19">
        <v>0.38540000000000002</v>
      </c>
      <c r="K740" s="19">
        <v>0.54452054799999994</v>
      </c>
      <c r="L740" s="19">
        <v>0.37309999999999999</v>
      </c>
      <c r="M740" s="19">
        <v>0.55559999999999998</v>
      </c>
      <c r="N740" s="19">
        <v>0.2</v>
      </c>
      <c r="O740" s="19">
        <v>1</v>
      </c>
      <c r="P740" s="20">
        <v>37406</v>
      </c>
      <c r="Q740" s="21" t="str">
        <f>HYPERLINK("https://www.warnerpacific.edu/admission/undergraduate/tuition-aid/net-price-calculator/", "$19726")</f>
        <v>$19726</v>
      </c>
      <c r="R740" s="20">
        <v>23188</v>
      </c>
      <c r="S740" s="20">
        <v>25499</v>
      </c>
      <c r="T740" s="20">
        <v>3606</v>
      </c>
      <c r="U740" s="20">
        <v>16120</v>
      </c>
      <c r="W740" s="19">
        <v>0.51670000000000005</v>
      </c>
      <c r="X740" s="19">
        <v>0.64319999999999999</v>
      </c>
      <c r="Z740" s="18">
        <v>398</v>
      </c>
    </row>
    <row r="741" spans="1:26" ht="15.75" customHeight="1" x14ac:dyDescent="0.2">
      <c r="A741" s="36" t="str">
        <f>HYPERLINK("https://www.warner.edu/academics/undergraduate_programs/admissions/criteria-for-admission/", "Warner University")</f>
        <v>Warner University</v>
      </c>
      <c r="B741" s="18" t="s">
        <v>32</v>
      </c>
      <c r="C741" s="18" t="s">
        <v>162</v>
      </c>
      <c r="D741" s="18" t="s">
        <v>1385</v>
      </c>
      <c r="E741" s="18">
        <v>946</v>
      </c>
      <c r="F741" s="18" t="s">
        <v>115</v>
      </c>
      <c r="J741" s="19">
        <v>0.40300000000000002</v>
      </c>
      <c r="K741" s="19">
        <v>0.46666666699999998</v>
      </c>
      <c r="L741" s="19">
        <v>0.50790000000000002</v>
      </c>
      <c r="M741" s="19">
        <v>0.27910000000000001</v>
      </c>
      <c r="N741" s="19">
        <v>0.33329999999999999</v>
      </c>
      <c r="O741" s="19">
        <v>1</v>
      </c>
      <c r="P741" s="20">
        <v>34064</v>
      </c>
      <c r="Q741" s="21" t="str">
        <f>HYPERLINK("https://www.warner.edu/student-dashboard/registrar/financial-aid/net-price-calculator/", "$16375")</f>
        <v>$16375</v>
      </c>
      <c r="R741" s="20">
        <v>18380</v>
      </c>
      <c r="S741" s="20">
        <v>21372</v>
      </c>
      <c r="T741" s="20">
        <v>4500</v>
      </c>
      <c r="U741" s="20">
        <v>11875</v>
      </c>
      <c r="W741" s="19">
        <v>0.65890000000000004</v>
      </c>
      <c r="X741" s="19">
        <v>0.56469999999999998</v>
      </c>
      <c r="Z741" s="18">
        <v>981</v>
      </c>
    </row>
    <row r="742" spans="1:26" ht="15.75" customHeight="1" x14ac:dyDescent="0.2">
      <c r="A742" s="36" t="str">
        <f>HYPERLINK("https://www.wau.edu", "Washington Adventist University")</f>
        <v>Washington Adventist University</v>
      </c>
      <c r="B742" s="18" t="s">
        <v>32</v>
      </c>
      <c r="C742" s="18" t="s">
        <v>124</v>
      </c>
      <c r="D742" s="18" t="s">
        <v>1386</v>
      </c>
      <c r="E742" s="18">
        <v>957</v>
      </c>
      <c r="F742" s="18" t="s">
        <v>35</v>
      </c>
      <c r="J742" s="19">
        <v>0.37200000000000011</v>
      </c>
      <c r="K742" s="19">
        <v>0.42391304400000002</v>
      </c>
      <c r="L742" s="19">
        <v>0.33329999999999999</v>
      </c>
      <c r="M742" s="19">
        <v>0.36890000000000001</v>
      </c>
      <c r="N742" s="19">
        <v>0.4</v>
      </c>
      <c r="O742" s="19">
        <v>0.4667</v>
      </c>
      <c r="P742" s="20">
        <v>34630</v>
      </c>
      <c r="Q742" s="21" t="str">
        <f>HYPERLINK("https://www.wau.edu/future-students/admission/financial-aid/net-price-calculator/", "$17839")</f>
        <v>$17839</v>
      </c>
      <c r="R742" s="20">
        <v>17948</v>
      </c>
      <c r="S742" s="20">
        <v>25151</v>
      </c>
      <c r="T742" s="20">
        <v>2300</v>
      </c>
      <c r="U742" s="20">
        <v>15539</v>
      </c>
      <c r="W742" s="19">
        <v>0.44790000000000002</v>
      </c>
      <c r="X742" s="19">
        <v>0.94130000000000003</v>
      </c>
      <c r="Z742" s="18">
        <v>750</v>
      </c>
    </row>
    <row r="743" spans="1:26" ht="15.75" customHeight="1" x14ac:dyDescent="0.2">
      <c r="A743" s="36" t="str">
        <f>HYPERLINK("https://wsu.edu/", "Washington State University")</f>
        <v>Washington State University</v>
      </c>
      <c r="B743" s="18" t="s">
        <v>49</v>
      </c>
      <c r="C743" s="18" t="s">
        <v>184</v>
      </c>
      <c r="D743" s="18" t="s">
        <v>1388</v>
      </c>
      <c r="E743" s="18">
        <v>1127</v>
      </c>
      <c r="F743" s="18" t="s">
        <v>35</v>
      </c>
      <c r="J743" s="19">
        <v>0.62439999999999996</v>
      </c>
      <c r="K743" s="19">
        <v>0.54345434500000001</v>
      </c>
      <c r="L743" s="19">
        <v>0.64980000000000004</v>
      </c>
      <c r="M743" s="19">
        <v>0.53100000000000003</v>
      </c>
      <c r="N743" s="19">
        <v>0.56730000000000003</v>
      </c>
      <c r="O743" s="19">
        <v>0.59309999999999996</v>
      </c>
      <c r="P743" s="20">
        <v>41675</v>
      </c>
      <c r="Q743" s="21" t="str">
        <f>HYPERLINK("https://finaid.wsu.edu/cost-of-attendanceaid-estimator/net-price-calculator/", "$26282")</f>
        <v>$26282</v>
      </c>
      <c r="R743" s="20">
        <v>32441</v>
      </c>
      <c r="S743" s="20">
        <v>38440</v>
      </c>
      <c r="T743" s="20">
        <v>4502</v>
      </c>
      <c r="U743" s="20">
        <v>21780.919674039578</v>
      </c>
      <c r="W743" s="19">
        <v>0.30780000000000002</v>
      </c>
      <c r="X743" s="19">
        <v>0.38929999999999998</v>
      </c>
      <c r="Z743" s="18">
        <v>24797</v>
      </c>
    </row>
    <row r="744" spans="1:26" ht="15.75" customHeight="1" x14ac:dyDescent="0.2">
      <c r="A744" s="36" t="str">
        <f>HYPERLINK("https://spokane.wsu.edu/", "Washington State University-Spokane")</f>
        <v>Washington State University-Spokane</v>
      </c>
      <c r="B744" s="18" t="s">
        <v>49</v>
      </c>
      <c r="C744" s="18" t="s">
        <v>184</v>
      </c>
      <c r="D744" s="18" t="s">
        <v>222</v>
      </c>
      <c r="E744" s="18" t="s">
        <v>36</v>
      </c>
      <c r="F744" s="18" t="s">
        <v>36</v>
      </c>
      <c r="J744" s="19" t="s">
        <v>36</v>
      </c>
      <c r="K744" s="19">
        <v>0.54345434500000001</v>
      </c>
      <c r="L744" s="19" t="s">
        <v>36</v>
      </c>
      <c r="M744" s="19" t="s">
        <v>36</v>
      </c>
      <c r="N744" s="19" t="s">
        <v>36</v>
      </c>
      <c r="O744" s="19" t="s">
        <v>36</v>
      </c>
      <c r="P744" s="20" t="s">
        <v>36</v>
      </c>
      <c r="Q744" s="35" t="s">
        <v>36</v>
      </c>
      <c r="R744" s="20" t="s">
        <v>36</v>
      </c>
      <c r="S744" s="20" t="s">
        <v>36</v>
      </c>
      <c r="T744" s="20" t="s">
        <v>36</v>
      </c>
      <c r="U744" s="20" t="s">
        <v>36</v>
      </c>
      <c r="W744" s="19" t="s">
        <v>36</v>
      </c>
      <c r="X744" s="19" t="s">
        <v>36</v>
      </c>
      <c r="Z744" s="18" t="s">
        <v>36</v>
      </c>
    </row>
    <row r="745" spans="1:26" ht="15.75" customHeight="1" x14ac:dyDescent="0.2">
      <c r="A745" s="36" t="str">
        <f>HYPERLINK("https://tricities.wsu.edu/", "Washington State University-Tri Cities")</f>
        <v>Washington State University-Tri Cities</v>
      </c>
      <c r="B745" s="18" t="s">
        <v>49</v>
      </c>
      <c r="C745" s="18" t="s">
        <v>184</v>
      </c>
      <c r="D745" s="18" t="s">
        <v>1389</v>
      </c>
      <c r="E745" s="18" t="s">
        <v>36</v>
      </c>
      <c r="F745" s="18" t="s">
        <v>36</v>
      </c>
      <c r="J745" s="19" t="s">
        <v>36</v>
      </c>
      <c r="K745" s="19">
        <v>0.54345434500000001</v>
      </c>
      <c r="L745" s="19" t="s">
        <v>36</v>
      </c>
      <c r="M745" s="19" t="s">
        <v>36</v>
      </c>
      <c r="N745" s="19" t="s">
        <v>36</v>
      </c>
      <c r="O745" s="19" t="s">
        <v>36</v>
      </c>
      <c r="P745" s="20" t="s">
        <v>36</v>
      </c>
      <c r="Q745" s="35" t="s">
        <v>36</v>
      </c>
      <c r="R745" s="20" t="s">
        <v>36</v>
      </c>
      <c r="S745" s="20" t="s">
        <v>36</v>
      </c>
      <c r="T745" s="20" t="s">
        <v>36</v>
      </c>
      <c r="U745" s="20" t="s">
        <v>36</v>
      </c>
      <c r="W745" s="19" t="s">
        <v>36</v>
      </c>
      <c r="X745" s="19" t="s">
        <v>36</v>
      </c>
      <c r="Z745" s="18" t="s">
        <v>36</v>
      </c>
    </row>
    <row r="746" spans="1:26" ht="15.75" customHeight="1" x14ac:dyDescent="0.2">
      <c r="A746" s="36" t="str">
        <f>HYPERLINK("https://www.vancouver.wsu.edu/", "Washington State University-Vancouver")</f>
        <v>Washington State University-Vancouver</v>
      </c>
      <c r="B746" s="18" t="s">
        <v>49</v>
      </c>
      <c r="C746" s="18" t="s">
        <v>184</v>
      </c>
      <c r="D746" s="18" t="s">
        <v>1146</v>
      </c>
      <c r="E746" s="18" t="s">
        <v>36</v>
      </c>
      <c r="F746" s="18" t="s">
        <v>36</v>
      </c>
      <c r="J746" s="19" t="s">
        <v>36</v>
      </c>
      <c r="K746" s="19">
        <v>0.54345434500000001</v>
      </c>
      <c r="L746" s="19" t="s">
        <v>36</v>
      </c>
      <c r="M746" s="19" t="s">
        <v>36</v>
      </c>
      <c r="N746" s="19" t="s">
        <v>36</v>
      </c>
      <c r="O746" s="19" t="s">
        <v>36</v>
      </c>
      <c r="P746" s="20" t="s">
        <v>36</v>
      </c>
      <c r="Q746" s="35" t="s">
        <v>36</v>
      </c>
      <c r="R746" s="20" t="s">
        <v>36</v>
      </c>
      <c r="S746" s="20" t="s">
        <v>36</v>
      </c>
      <c r="T746" s="20" t="s">
        <v>36</v>
      </c>
      <c r="U746" s="20" t="s">
        <v>36</v>
      </c>
      <c r="W746" s="19" t="s">
        <v>36</v>
      </c>
      <c r="X746" s="19" t="s">
        <v>36</v>
      </c>
      <c r="Z746" s="18" t="s">
        <v>36</v>
      </c>
    </row>
    <row r="747" spans="1:26" ht="15.75" customHeight="1" x14ac:dyDescent="0.2">
      <c r="A747" s="36" t="str">
        <f>HYPERLINK("https://www.wayne.edu", "Wayne State University")</f>
        <v>Wayne State University</v>
      </c>
      <c r="B747" s="18" t="s">
        <v>49</v>
      </c>
      <c r="C747" s="18" t="s">
        <v>226</v>
      </c>
      <c r="D747" s="18" t="s">
        <v>668</v>
      </c>
      <c r="E747" s="18">
        <v>1134</v>
      </c>
      <c r="F747" s="18" t="s">
        <v>35</v>
      </c>
      <c r="J747" s="19">
        <v>0.46560000000000001</v>
      </c>
      <c r="K747" s="19">
        <v>0.34480498199999998</v>
      </c>
      <c r="L747" s="19">
        <v>0.55069999999999997</v>
      </c>
      <c r="M747" s="19">
        <v>0.1988</v>
      </c>
      <c r="N747" s="19">
        <v>0.28949999999999998</v>
      </c>
      <c r="O747" s="19">
        <v>0.63160000000000005</v>
      </c>
      <c r="P747" s="20">
        <v>40763</v>
      </c>
      <c r="Q747" s="21" t="str">
        <f>HYPERLINK("https://oira.wayne.edu/net-price-calculator/npcalc.htm", "$27983")</f>
        <v>$27983</v>
      </c>
      <c r="R747" s="20">
        <v>32150</v>
      </c>
      <c r="S747" s="20">
        <v>35412</v>
      </c>
      <c r="T747" s="20">
        <v>3458</v>
      </c>
      <c r="U747" s="20">
        <v>24525.978021978019</v>
      </c>
      <c r="W747" s="19">
        <v>0.43580000000000002</v>
      </c>
      <c r="X747" s="19">
        <v>0.41420000000000001</v>
      </c>
      <c r="Z747" s="18">
        <v>16768</v>
      </c>
    </row>
    <row r="748" spans="1:26" ht="15.75" customHeight="1" x14ac:dyDescent="0.2">
      <c r="A748" s="36" t="str">
        <f>HYPERLINK("https://www.waynesburg.edu", "Waynesburg University")</f>
        <v>Waynesburg University</v>
      </c>
      <c r="B748" s="18" t="s">
        <v>32</v>
      </c>
      <c r="C748" s="18" t="s">
        <v>65</v>
      </c>
      <c r="D748" s="18" t="s">
        <v>1392</v>
      </c>
      <c r="E748" s="18">
        <v>1065</v>
      </c>
      <c r="F748" s="18" t="s">
        <v>35</v>
      </c>
      <c r="J748" s="19">
        <v>0.66500000000000004</v>
      </c>
      <c r="K748" s="19">
        <v>0.54676259000000005</v>
      </c>
      <c r="L748" s="19">
        <v>0.70200000000000007</v>
      </c>
      <c r="M748" s="19">
        <v>0.43480000000000002</v>
      </c>
      <c r="N748" s="19">
        <v>0.33329999999999999</v>
      </c>
      <c r="O748" s="19">
        <v>0.33329999999999999</v>
      </c>
      <c r="P748" s="20">
        <v>36000</v>
      </c>
      <c r="Q748" s="21" t="str">
        <f>HYPERLINK("https://www.waynesburg.edu/mycost", "$15365")</f>
        <v>$15365</v>
      </c>
      <c r="R748" s="20">
        <v>18981</v>
      </c>
      <c r="S748" s="20">
        <v>20262</v>
      </c>
      <c r="T748" s="20">
        <v>2170</v>
      </c>
      <c r="U748" s="20">
        <v>13195</v>
      </c>
      <c r="W748" s="19">
        <v>0.33829999999999999</v>
      </c>
      <c r="X748" s="19">
        <v>0.13639999999999999</v>
      </c>
      <c r="Z748" s="18">
        <v>1371</v>
      </c>
    </row>
    <row r="749" spans="1:26" ht="15.75" customHeight="1" x14ac:dyDescent="0.2">
      <c r="A749" s="36" t="str">
        <f>HYPERLINK("https://www.webber.edu", "Webber International University")</f>
        <v>Webber International University</v>
      </c>
      <c r="B749" s="18" t="s">
        <v>32</v>
      </c>
      <c r="C749" s="18" t="s">
        <v>162</v>
      </c>
      <c r="D749" s="18" t="s">
        <v>191</v>
      </c>
      <c r="E749" s="18">
        <v>986</v>
      </c>
      <c r="F749" s="18" t="s">
        <v>35</v>
      </c>
      <c r="J749" s="19">
        <v>0.31909999999999999</v>
      </c>
      <c r="K749" s="19">
        <v>0.3</v>
      </c>
      <c r="L749" s="19">
        <v>0.3387</v>
      </c>
      <c r="M749" s="19">
        <v>0.2</v>
      </c>
      <c r="N749" s="19">
        <v>0.25</v>
      </c>
      <c r="O749" s="19">
        <v>0.33329999999999999</v>
      </c>
      <c r="P749" s="20">
        <v>40296</v>
      </c>
      <c r="Q749" s="21" t="str">
        <f>HYPERLINK("https://npc.collegeboard.org/student/app/webber", "$21012")</f>
        <v>$21012</v>
      </c>
      <c r="R749" s="20">
        <v>25198</v>
      </c>
      <c r="S749" s="20">
        <v>29609</v>
      </c>
      <c r="T749" s="20">
        <v>5996</v>
      </c>
      <c r="U749" s="20">
        <v>15016</v>
      </c>
      <c r="W749" s="19">
        <v>0.4698</v>
      </c>
      <c r="X749" s="19">
        <v>0.65759999999999996</v>
      </c>
      <c r="Z749" s="18">
        <v>625</v>
      </c>
    </row>
    <row r="750" spans="1:26" ht="15.75" customHeight="1" x14ac:dyDescent="0.2">
      <c r="A750" s="36" t="str">
        <f>HYPERLINK("https://www.webster.edu", "Webster University")</f>
        <v>Webster University</v>
      </c>
      <c r="B750" s="18" t="s">
        <v>32</v>
      </c>
      <c r="C750" s="18" t="s">
        <v>164</v>
      </c>
      <c r="D750" s="18" t="s">
        <v>179</v>
      </c>
      <c r="E750" s="18">
        <v>1164</v>
      </c>
      <c r="F750" s="18" t="s">
        <v>35</v>
      </c>
      <c r="J750" s="19">
        <v>0.63560000000000005</v>
      </c>
      <c r="K750" s="19">
        <v>0.53664921499999996</v>
      </c>
      <c r="L750" s="19">
        <v>0.66099999999999992</v>
      </c>
      <c r="M750" s="19">
        <v>0.5</v>
      </c>
      <c r="N750" s="19">
        <v>0.56000000000000005</v>
      </c>
      <c r="O750" s="19">
        <v>0.57140000000000002</v>
      </c>
      <c r="P750" s="20">
        <v>44962</v>
      </c>
      <c r="Q750" s="21" t="str">
        <f>HYPERLINK("https://apps.webster.edu/secure/financialaid/npc.html", "$19242")</f>
        <v>$19242</v>
      </c>
      <c r="R750" s="20">
        <v>21019</v>
      </c>
      <c r="S750" s="20">
        <v>24301</v>
      </c>
      <c r="T750" s="20">
        <v>6812</v>
      </c>
      <c r="U750" s="20">
        <v>12430</v>
      </c>
      <c r="W750" s="19">
        <v>0.32950000000000002</v>
      </c>
      <c r="X750" s="19">
        <v>0.38150000000000001</v>
      </c>
      <c r="Z750" s="18">
        <v>2954</v>
      </c>
    </row>
    <row r="751" spans="1:26" ht="15.75" customHeight="1" x14ac:dyDescent="0.2">
      <c r="A751" s="36" t="str">
        <f>HYPERLINK("https://WIT.EDU", "Wentworth Institute of Technology")</f>
        <v>Wentworth Institute of Technology</v>
      </c>
      <c r="B751" s="18" t="s">
        <v>32</v>
      </c>
      <c r="C751" s="18" t="s">
        <v>33</v>
      </c>
      <c r="D751" s="18" t="s">
        <v>136</v>
      </c>
      <c r="E751" s="18">
        <v>1181</v>
      </c>
      <c r="F751" s="18" t="s">
        <v>35</v>
      </c>
      <c r="J751" s="19">
        <v>0.67449999999999999</v>
      </c>
      <c r="K751" s="19">
        <v>0.56122448999999996</v>
      </c>
      <c r="L751" s="19">
        <v>0.70420000000000005</v>
      </c>
      <c r="M751" s="19">
        <v>0.57779999999999998</v>
      </c>
      <c r="N751" s="19">
        <v>0.54720000000000002</v>
      </c>
      <c r="O751" s="19">
        <v>0.65669999999999995</v>
      </c>
      <c r="P751" s="20">
        <v>54071</v>
      </c>
      <c r="Q751" s="21" t="str">
        <f>HYPERLINK("https://wit.studentaidcalculator.com/survey.aspx", "$31615")</f>
        <v>$31615</v>
      </c>
      <c r="R751" s="20">
        <v>35772</v>
      </c>
      <c r="S751" s="20">
        <v>37784</v>
      </c>
      <c r="T751" s="20">
        <v>5250</v>
      </c>
      <c r="U751" s="20">
        <v>26365</v>
      </c>
      <c r="W751" s="19">
        <v>0.22650000000000001</v>
      </c>
      <c r="X751" s="19">
        <v>0.37609999999999999</v>
      </c>
      <c r="Z751" s="18">
        <v>4204</v>
      </c>
    </row>
    <row r="752" spans="1:26" ht="15.75" customHeight="1" x14ac:dyDescent="0.2">
      <c r="A752" s="36" t="str">
        <f>HYPERLINK("https://www.wesley.edu", "Wesley College")</f>
        <v>Wesley College</v>
      </c>
      <c r="B752" s="18" t="s">
        <v>32</v>
      </c>
      <c r="C752" s="18" t="s">
        <v>507</v>
      </c>
      <c r="D752" s="18" t="s">
        <v>728</v>
      </c>
      <c r="E752" s="18">
        <v>903</v>
      </c>
      <c r="F752" s="18" t="s">
        <v>35</v>
      </c>
      <c r="J752" s="19">
        <v>0.1724</v>
      </c>
      <c r="K752" s="19">
        <v>0.163090129</v>
      </c>
      <c r="L752" s="19">
        <v>0.25929999999999997</v>
      </c>
      <c r="M752" s="19">
        <v>0.13880000000000001</v>
      </c>
      <c r="N752" s="19">
        <v>0.1053</v>
      </c>
      <c r="O752" s="19">
        <v>0</v>
      </c>
      <c r="P752" s="20">
        <v>42048</v>
      </c>
      <c r="Q752" s="21" t="str">
        <f>HYPERLINK("https://wesley.studentaidcalculator.com/survey.aspx", "$22187")</f>
        <v>$22187</v>
      </c>
      <c r="R752" s="20">
        <v>23864</v>
      </c>
      <c r="S752" s="20">
        <v>27270</v>
      </c>
      <c r="T752" s="20">
        <v>4200</v>
      </c>
      <c r="U752" s="20">
        <v>17987</v>
      </c>
      <c r="W752" s="19">
        <v>0.56169999999999998</v>
      </c>
      <c r="X752" s="19">
        <v>0.62440000000000007</v>
      </c>
      <c r="Z752" s="18">
        <v>1342</v>
      </c>
    </row>
    <row r="753" spans="1:26" ht="15.75" customHeight="1" x14ac:dyDescent="0.2">
      <c r="A753" s="36" t="str">
        <f>HYPERLINK("https://www.wesleyancollege.edu", "Wesleyan College")</f>
        <v>Wesleyan College</v>
      </c>
      <c r="B753" s="18" t="s">
        <v>32</v>
      </c>
      <c r="C753" s="18" t="s">
        <v>107</v>
      </c>
      <c r="D753" s="18" t="s">
        <v>415</v>
      </c>
      <c r="E753" s="18">
        <v>1114</v>
      </c>
      <c r="F753" s="18" t="s">
        <v>35</v>
      </c>
      <c r="J753" s="19">
        <v>0.55879999999999996</v>
      </c>
      <c r="K753" s="19">
        <v>0.28125</v>
      </c>
      <c r="L753" s="19">
        <v>0.58140000000000003</v>
      </c>
      <c r="M753" s="19">
        <v>0.3448</v>
      </c>
      <c r="N753" s="19">
        <v>0.66669999999999996</v>
      </c>
      <c r="O753" s="19" t="s">
        <v>36</v>
      </c>
      <c r="P753" s="20">
        <v>33940</v>
      </c>
      <c r="Q753" s="21" t="str">
        <f>HYPERLINK("https://wesportal.wesleyancollege.edu/ICS/Net_Price_Calculator/", "$13502")</f>
        <v>$13502</v>
      </c>
      <c r="R753" s="20">
        <v>16282</v>
      </c>
      <c r="S753" s="20">
        <v>16486</v>
      </c>
      <c r="T753" s="20" t="s">
        <v>36</v>
      </c>
      <c r="U753" s="20" t="s">
        <v>36</v>
      </c>
      <c r="V753" s="18" t="s">
        <v>37</v>
      </c>
      <c r="W753" s="19">
        <v>0.41110000000000002</v>
      </c>
      <c r="X753" s="19">
        <v>0.58079999999999998</v>
      </c>
      <c r="Y753" s="18" t="s">
        <v>37</v>
      </c>
      <c r="Z753" s="18">
        <v>501</v>
      </c>
    </row>
    <row r="754" spans="1:26" ht="15.75" customHeight="1" x14ac:dyDescent="0.2">
      <c r="A754" s="36" t="str">
        <f>HYPERLINK("https://www.wcupa.edu", "West Chester University of Pennsylvania")</f>
        <v>West Chester University of Pennsylvania</v>
      </c>
      <c r="B754" s="18" t="s">
        <v>49</v>
      </c>
      <c r="C754" s="18" t="s">
        <v>65</v>
      </c>
      <c r="D754" s="18" t="s">
        <v>1395</v>
      </c>
      <c r="E754" s="18">
        <v>1131</v>
      </c>
      <c r="F754" s="18" t="s">
        <v>35</v>
      </c>
      <c r="J754" s="19">
        <v>0.72599999999999998</v>
      </c>
      <c r="K754" s="19">
        <v>0.51076923100000005</v>
      </c>
      <c r="L754" s="19">
        <v>0.75380000000000003</v>
      </c>
      <c r="M754" s="19">
        <v>0.55959999999999999</v>
      </c>
      <c r="N754" s="19">
        <v>0.60119999999999996</v>
      </c>
      <c r="O754" s="19">
        <v>0.76670000000000005</v>
      </c>
      <c r="P754" s="20">
        <v>38253</v>
      </c>
      <c r="Q754" s="21" t="str">
        <f>HYPERLINK("https://www.passhe.edu/answers/Calculator/WE/npcalc-216764.htm", "$30197")</f>
        <v>$30197</v>
      </c>
      <c r="R754" s="20">
        <v>34326</v>
      </c>
      <c r="S754" s="20">
        <v>37019</v>
      </c>
      <c r="T754" s="20">
        <v>3720</v>
      </c>
      <c r="U754" s="20">
        <v>26477.577319587632</v>
      </c>
      <c r="W754" s="19">
        <v>0.25330000000000003</v>
      </c>
      <c r="X754" s="19">
        <v>0.2452</v>
      </c>
      <c r="Z754" s="18">
        <v>14223</v>
      </c>
    </row>
    <row r="755" spans="1:26" ht="15.75" customHeight="1" x14ac:dyDescent="0.2">
      <c r="A755" s="36" t="str">
        <f>HYPERLINK("https://www.wtamu.edu", "West Texas A &amp; M University")</f>
        <v>West Texas A &amp; M University</v>
      </c>
      <c r="B755" s="18" t="s">
        <v>49</v>
      </c>
      <c r="C755" s="18" t="s">
        <v>146</v>
      </c>
      <c r="D755" s="18" t="s">
        <v>1397</v>
      </c>
      <c r="E755" s="18">
        <v>1069</v>
      </c>
      <c r="F755" s="18" t="s">
        <v>35</v>
      </c>
      <c r="J755" s="19">
        <v>0.40570000000000001</v>
      </c>
      <c r="K755" s="19">
        <v>0.39333333300000001</v>
      </c>
      <c r="L755" s="19">
        <v>0.46339999999999998</v>
      </c>
      <c r="M755" s="19">
        <v>0.3085</v>
      </c>
      <c r="N755" s="19">
        <v>0.3387</v>
      </c>
      <c r="O755" s="19">
        <v>0.57140000000000002</v>
      </c>
      <c r="P755" s="20">
        <v>22467</v>
      </c>
      <c r="Q755" s="21" t="str">
        <f>HYPERLINK("https://apps.wtamu.edu/calculator/", "$12925")</f>
        <v>$12925</v>
      </c>
      <c r="R755" s="20">
        <v>17171</v>
      </c>
      <c r="S755" s="20">
        <v>20266</v>
      </c>
      <c r="T755" s="20">
        <v>5854</v>
      </c>
      <c r="U755" s="20">
        <v>7071.994318181818</v>
      </c>
      <c r="W755" s="19">
        <v>0.35339999999999999</v>
      </c>
      <c r="X755" s="19">
        <v>0.41870000000000002</v>
      </c>
      <c r="Z755" s="18">
        <v>7383</v>
      </c>
    </row>
    <row r="756" spans="1:26" ht="15.75" customHeight="1" x14ac:dyDescent="0.2">
      <c r="A756" s="36" t="str">
        <f>HYPERLINK("https://www.wvu.edu", "West Virginia University")</f>
        <v>West Virginia University</v>
      </c>
      <c r="B756" s="18" t="s">
        <v>49</v>
      </c>
      <c r="C756" s="18" t="s">
        <v>574</v>
      </c>
      <c r="D756" s="18" t="s">
        <v>1399</v>
      </c>
      <c r="E756" s="18">
        <v>1159</v>
      </c>
      <c r="F756" s="18" t="s">
        <v>35</v>
      </c>
      <c r="J756" s="19">
        <v>0.56759999999999999</v>
      </c>
      <c r="K756" s="19">
        <v>0.37653631300000001</v>
      </c>
      <c r="L756" s="19">
        <v>0.58440000000000003</v>
      </c>
      <c r="M756" s="19">
        <v>0.43840000000000001</v>
      </c>
      <c r="N756" s="19">
        <v>0.44569999999999999</v>
      </c>
      <c r="O756" s="19">
        <v>0.53569999999999995</v>
      </c>
      <c r="P756" s="20">
        <v>37712</v>
      </c>
      <c r="Q756" s="21" t="str">
        <f>HYPERLINK("https://financialaid.wvu.edu/net-price-calculator", "$25724")</f>
        <v>$25724</v>
      </c>
      <c r="R756" s="20">
        <v>29291</v>
      </c>
      <c r="S756" s="20">
        <v>31735</v>
      </c>
      <c r="T756" s="20">
        <v>3520</v>
      </c>
      <c r="U756" s="20">
        <v>22204.31136738056</v>
      </c>
      <c r="W756" s="19">
        <v>0.25269999999999998</v>
      </c>
      <c r="X756" s="19">
        <v>0.2117</v>
      </c>
      <c r="Z756" s="18">
        <v>21703</v>
      </c>
    </row>
    <row r="757" spans="1:26" ht="15.75" customHeight="1" x14ac:dyDescent="0.2">
      <c r="A757" s="36" t="str">
        <f>HYPERLINK("https://www.wvutech.edu", "West Virginia University Institute of Technology")</f>
        <v>West Virginia University Institute of Technology</v>
      </c>
      <c r="B757" s="18" t="s">
        <v>49</v>
      </c>
      <c r="C757" s="18" t="s">
        <v>574</v>
      </c>
      <c r="D757" s="18" t="s">
        <v>1401</v>
      </c>
      <c r="E757" s="18">
        <v>1165</v>
      </c>
      <c r="F757" s="18" t="s">
        <v>35</v>
      </c>
      <c r="J757" s="19">
        <v>0.2145</v>
      </c>
      <c r="K757" s="19">
        <v>0.37653631300000001</v>
      </c>
      <c r="L757" s="19">
        <v>0.21879999999999999</v>
      </c>
      <c r="M757" s="19">
        <v>0.1852</v>
      </c>
      <c r="N757" s="19">
        <v>0.33329999999999999</v>
      </c>
      <c r="O757" s="19">
        <v>1</v>
      </c>
      <c r="P757" s="20">
        <v>32368</v>
      </c>
      <c r="Q757" s="21" t="str">
        <f>HYPERLINK("https://wvutech.studentaidcalculator.com", "$22869")</f>
        <v>$22869</v>
      </c>
      <c r="R757" s="20">
        <v>26502</v>
      </c>
      <c r="S757" s="20">
        <v>27359</v>
      </c>
      <c r="T757" s="20">
        <v>3520</v>
      </c>
      <c r="U757" s="20">
        <v>19349.541666666661</v>
      </c>
      <c r="W757" s="19">
        <v>0.35930000000000001</v>
      </c>
      <c r="X757" s="19">
        <v>0.2452</v>
      </c>
      <c r="Z757" s="18">
        <v>1256</v>
      </c>
    </row>
    <row r="758" spans="1:26" ht="15.75" customHeight="1" x14ac:dyDescent="0.2">
      <c r="A758" s="36" t="str">
        <f>HYPERLINK("https://www.wvwc.edu", "West Virginia Wesleyan College")</f>
        <v>West Virginia Wesleyan College</v>
      </c>
      <c r="B758" s="18" t="s">
        <v>32</v>
      </c>
      <c r="C758" s="18" t="s">
        <v>574</v>
      </c>
      <c r="D758" s="18" t="s">
        <v>1402</v>
      </c>
      <c r="E758" s="18">
        <v>1091</v>
      </c>
      <c r="F758" s="18" t="s">
        <v>35</v>
      </c>
      <c r="J758" s="19">
        <v>0.49630000000000002</v>
      </c>
      <c r="K758" s="19">
        <v>0.35294117700000011</v>
      </c>
      <c r="L758" s="19">
        <v>0.54820000000000002</v>
      </c>
      <c r="M758" s="19">
        <v>0.22220000000000001</v>
      </c>
      <c r="N758" s="19">
        <v>0.28570000000000001</v>
      </c>
      <c r="O758" s="19">
        <v>0</v>
      </c>
      <c r="P758" s="20">
        <v>45253</v>
      </c>
      <c r="Q758" s="21" t="str">
        <f>HYPERLINK("https://wvwc.studentaidcalculator.com/welcome.aspx", "$15184")</f>
        <v>$15184</v>
      </c>
      <c r="R758" s="20">
        <v>17682</v>
      </c>
      <c r="S758" s="20">
        <v>18933</v>
      </c>
      <c r="T758" s="20">
        <v>6065</v>
      </c>
      <c r="U758" s="20">
        <v>9119</v>
      </c>
      <c r="W758" s="19">
        <v>0.31519999999999998</v>
      </c>
      <c r="X758" s="19">
        <v>0.22389999999999999</v>
      </c>
      <c r="Z758" s="18">
        <v>1304</v>
      </c>
    </row>
    <row r="759" spans="1:26" ht="15.75" customHeight="1" x14ac:dyDescent="0.2">
      <c r="A759" s="17" t="str">
        <f>HYPERLINK("https://www.wcu.edu", "Western Carolina University")</f>
        <v>Western Carolina University</v>
      </c>
      <c r="B759" s="18" t="s">
        <v>49</v>
      </c>
      <c r="C759" s="18" t="s">
        <v>103</v>
      </c>
      <c r="D759" s="18" t="s">
        <v>1403</v>
      </c>
      <c r="E759" s="18">
        <v>1095</v>
      </c>
      <c r="F759" s="18" t="s">
        <v>35</v>
      </c>
      <c r="J759" s="19">
        <v>0.59030000000000005</v>
      </c>
      <c r="K759" s="19">
        <v>0.55156249999999996</v>
      </c>
      <c r="L759" s="19">
        <v>0.60389999999999999</v>
      </c>
      <c r="M759" s="19">
        <v>0.51190000000000002</v>
      </c>
      <c r="N759" s="19">
        <v>0.47620000000000001</v>
      </c>
      <c r="O759" s="19">
        <v>0.7</v>
      </c>
      <c r="P759" s="20">
        <v>31845</v>
      </c>
      <c r="Q759" s="33" t="str">
        <f>HYPERLINK("https://www.wcu.edu/apply/financial-aid/facts-and-resources/npcalc.htm", "$22365")</f>
        <v>$22365</v>
      </c>
      <c r="R759" s="20">
        <v>27500</v>
      </c>
      <c r="S759" s="20">
        <v>29996</v>
      </c>
      <c r="T759" s="20">
        <v>5002</v>
      </c>
      <c r="U759" s="20">
        <v>17363.25566343042</v>
      </c>
      <c r="W759" s="19">
        <v>0.38440000000000002</v>
      </c>
      <c r="X759" s="19">
        <v>0.21279999999999999</v>
      </c>
      <c r="Z759" s="18">
        <v>9234</v>
      </c>
    </row>
    <row r="760" spans="1:26" ht="15.75" customHeight="1" x14ac:dyDescent="0.2">
      <c r="A760" s="17" t="str">
        <f>HYPERLINK("https://www.wcsu.edu", "Western Connecticut State University")</f>
        <v>Western Connecticut State University</v>
      </c>
      <c r="B760" s="18" t="s">
        <v>49</v>
      </c>
      <c r="C760" s="18" t="s">
        <v>94</v>
      </c>
      <c r="D760" s="18" t="s">
        <v>1405</v>
      </c>
      <c r="E760" s="18" t="s">
        <v>36</v>
      </c>
      <c r="F760" s="18" t="s">
        <v>90</v>
      </c>
      <c r="J760" s="19">
        <v>0.43890000000000001</v>
      </c>
      <c r="K760" s="19">
        <v>0.46130952400000003</v>
      </c>
      <c r="L760" s="19">
        <v>0.4597</v>
      </c>
      <c r="M760" s="19">
        <v>0.33329999999999999</v>
      </c>
      <c r="N760" s="19">
        <v>0.3876</v>
      </c>
      <c r="O760" s="19">
        <v>0.61109999999999998</v>
      </c>
      <c r="P760" s="20">
        <v>40636</v>
      </c>
      <c r="Q760" s="33" t="str">
        <f>HYPERLINK("https://www.wcsu.edu/admissions/netprice.asp", "$33149")</f>
        <v>$33149</v>
      </c>
      <c r="R760" s="20">
        <v>34895</v>
      </c>
      <c r="S760" s="20">
        <v>39002</v>
      </c>
      <c r="T760" s="20">
        <v>5112</v>
      </c>
      <c r="U760" s="20">
        <v>28037.57777777778</v>
      </c>
      <c r="W760" s="19">
        <v>0.35920000000000002</v>
      </c>
      <c r="X760" s="19">
        <v>0.38829999999999998</v>
      </c>
      <c r="Z760" s="18">
        <v>4890</v>
      </c>
    </row>
    <row r="761" spans="1:26" ht="15.75" customHeight="1" x14ac:dyDescent="0.2">
      <c r="A761" s="17" t="str">
        <f>HYPERLINK("https://www.wiu.edu", "Western Illinois University")</f>
        <v>Western Illinois University</v>
      </c>
      <c r="B761" s="18" t="s">
        <v>49</v>
      </c>
      <c r="C761" s="18" t="s">
        <v>137</v>
      </c>
      <c r="D761" s="18" t="s">
        <v>1407</v>
      </c>
      <c r="E761" s="18">
        <v>1045</v>
      </c>
      <c r="F761" s="18" t="s">
        <v>35</v>
      </c>
      <c r="J761" s="19">
        <v>0.50449999999999995</v>
      </c>
      <c r="K761" s="19">
        <v>0.52702702700000004</v>
      </c>
      <c r="L761" s="19">
        <v>0.57620000000000005</v>
      </c>
      <c r="M761" s="19">
        <v>0.35980000000000001</v>
      </c>
      <c r="N761" s="19">
        <v>0.46879999999999999</v>
      </c>
      <c r="O761" s="19">
        <v>0.36359999999999998</v>
      </c>
      <c r="P761" s="20">
        <v>25835</v>
      </c>
      <c r="Q761" s="33" t="str">
        <f>HYPERLINK("https://www.wiu.edu/student_services/financial_aid/netPriceCalculator.php", "$14362")</f>
        <v>$14362</v>
      </c>
      <c r="R761" s="20">
        <v>18151</v>
      </c>
      <c r="S761" s="20">
        <v>20948</v>
      </c>
      <c r="T761" s="20">
        <v>3308</v>
      </c>
      <c r="U761" s="20">
        <v>11054.115898959881</v>
      </c>
      <c r="W761" s="19">
        <v>0.48449999999999999</v>
      </c>
      <c r="X761" s="19">
        <v>0.4103</v>
      </c>
      <c r="Z761" s="18">
        <v>7599</v>
      </c>
    </row>
    <row r="762" spans="1:26" ht="15.75" customHeight="1" x14ac:dyDescent="0.2">
      <c r="A762" s="17" t="str">
        <f>HYPERLINK("https://wmich.edu/", "Western Michigan University")</f>
        <v>Western Michigan University</v>
      </c>
      <c r="B762" s="18" t="s">
        <v>49</v>
      </c>
      <c r="C762" s="18" t="s">
        <v>226</v>
      </c>
      <c r="D762" s="18" t="s">
        <v>227</v>
      </c>
      <c r="E762" s="18">
        <v>1103</v>
      </c>
      <c r="F762" s="18" t="s">
        <v>35</v>
      </c>
      <c r="J762" s="19">
        <v>0.50819999999999999</v>
      </c>
      <c r="K762" s="19">
        <v>0.49893390199999998</v>
      </c>
      <c r="L762" s="19">
        <v>0.55379999999999996</v>
      </c>
      <c r="M762" s="19">
        <v>0.31719999999999998</v>
      </c>
      <c r="N762" s="19">
        <v>0.45069999999999999</v>
      </c>
      <c r="O762" s="19">
        <v>0.46939999999999998</v>
      </c>
      <c r="P762" s="20">
        <v>27895</v>
      </c>
      <c r="Q762" s="33" t="str">
        <f>HYPERLINK("https://wmich.edu/finaid/NetPriceCalculator/npcalc.htm", "$16046")</f>
        <v>$16046</v>
      </c>
      <c r="R762" s="20">
        <v>21489</v>
      </c>
      <c r="S762" s="20">
        <v>24263</v>
      </c>
      <c r="T762" s="20">
        <v>3348</v>
      </c>
      <c r="U762" s="20">
        <v>12698.39627659574</v>
      </c>
      <c r="W762" s="19">
        <v>0.33379999999999999</v>
      </c>
      <c r="X762" s="19">
        <v>0.29380000000000001</v>
      </c>
      <c r="Z762" s="18">
        <v>17704</v>
      </c>
    </row>
    <row r="763" spans="1:26" ht="15.75" customHeight="1" x14ac:dyDescent="0.2">
      <c r="A763" s="17" t="str">
        <f>HYPERLINK("https://www1.wne.edu", "Western New England University")</f>
        <v>Western New England University</v>
      </c>
      <c r="B763" s="18" t="s">
        <v>32</v>
      </c>
      <c r="C763" s="18" t="s">
        <v>33</v>
      </c>
      <c r="D763" s="18" t="s">
        <v>349</v>
      </c>
      <c r="E763" s="18">
        <v>1096</v>
      </c>
      <c r="F763" s="18" t="s">
        <v>115</v>
      </c>
      <c r="J763" s="19">
        <v>0.59200000000000008</v>
      </c>
      <c r="K763" s="19">
        <v>0.468468469</v>
      </c>
      <c r="L763" s="19">
        <v>0.61550000000000005</v>
      </c>
      <c r="M763" s="19">
        <v>0.5</v>
      </c>
      <c r="N763" s="19">
        <v>0.52380000000000004</v>
      </c>
      <c r="O763" s="19">
        <v>0.59089999999999998</v>
      </c>
      <c r="P763" s="20">
        <v>52547</v>
      </c>
      <c r="Q763" s="33" t="str">
        <f>HYPERLINK("https://www1.wne.edu/student-administrative-services/billing-and-finances/finance-calculator.cfm", "$24895")</f>
        <v>$24895</v>
      </c>
      <c r="R763" s="20">
        <v>27368</v>
      </c>
      <c r="S763" s="20">
        <v>29623</v>
      </c>
      <c r="T763" s="20">
        <v>3365</v>
      </c>
      <c r="U763" s="20">
        <v>21530</v>
      </c>
      <c r="W763" s="19">
        <v>0.2621</v>
      </c>
      <c r="X763" s="19">
        <v>0.26479999999999998</v>
      </c>
      <c r="Z763" s="18">
        <v>2723</v>
      </c>
    </row>
    <row r="764" spans="1:26" ht="15.75" customHeight="1" x14ac:dyDescent="0.2">
      <c r="A764" s="17" t="str">
        <f>HYPERLINK("https://www.wou.edu", "Western Oregon University")</f>
        <v>Western Oregon University</v>
      </c>
      <c r="B764" s="18" t="s">
        <v>49</v>
      </c>
      <c r="C764" s="18" t="s">
        <v>143</v>
      </c>
      <c r="D764" s="18" t="s">
        <v>984</v>
      </c>
      <c r="E764" s="18" t="s">
        <v>36</v>
      </c>
      <c r="F764" s="18" t="s">
        <v>45</v>
      </c>
      <c r="J764" s="19">
        <v>0.43509999999999999</v>
      </c>
      <c r="K764" s="19">
        <v>0.36799999999999999</v>
      </c>
      <c r="L764" s="19">
        <v>0.43149999999999999</v>
      </c>
      <c r="M764" s="19">
        <v>0.3125</v>
      </c>
      <c r="N764" s="19">
        <v>0.53029999999999999</v>
      </c>
      <c r="O764" s="19">
        <v>0.44440000000000002</v>
      </c>
      <c r="P764" s="20">
        <v>39564</v>
      </c>
      <c r="Q764" s="33" t="str">
        <f>HYPERLINK("https://wou.edu/student/finaid/tuition_fees/net_price_calculator.php", "$29962")</f>
        <v>$29962</v>
      </c>
      <c r="R764" s="20">
        <v>33868</v>
      </c>
      <c r="S764" s="20">
        <v>37742</v>
      </c>
      <c r="T764" s="20">
        <v>3708</v>
      </c>
      <c r="U764" s="20">
        <v>26254.511111111111</v>
      </c>
      <c r="W764" s="19">
        <v>0.435</v>
      </c>
      <c r="X764" s="19">
        <v>0.39410000000000001</v>
      </c>
      <c r="Z764" s="18">
        <v>4747</v>
      </c>
    </row>
    <row r="765" spans="1:26" ht="15.75" customHeight="1" x14ac:dyDescent="0.2">
      <c r="A765" s="17" t="str">
        <f>HYPERLINK("https://www.western.edu", "Western State Colorado University")</f>
        <v>Western State Colorado University</v>
      </c>
      <c r="B765" s="18" t="s">
        <v>49</v>
      </c>
      <c r="C765" s="18" t="s">
        <v>87</v>
      </c>
      <c r="D765" s="18" t="s">
        <v>1409</v>
      </c>
      <c r="E765" s="18">
        <v>1120</v>
      </c>
      <c r="F765" s="18" t="s">
        <v>35</v>
      </c>
      <c r="J765" s="19">
        <v>0.40970000000000001</v>
      </c>
      <c r="K765" s="19">
        <v>0.30909090900000002</v>
      </c>
      <c r="L765" s="19">
        <v>0.43669999999999998</v>
      </c>
      <c r="M765" s="19">
        <v>0.2</v>
      </c>
      <c r="N765" s="19">
        <v>0.31819999999999998</v>
      </c>
      <c r="O765" s="19">
        <v>0.66669999999999996</v>
      </c>
      <c r="P765" s="20">
        <v>35144</v>
      </c>
      <c r="Q765" s="33" t="str">
        <f>HYPERLINK("https://www.western.edu/financial-aid/net-price-calculator", "$26331")</f>
        <v>$26331</v>
      </c>
      <c r="R765" s="20">
        <v>30683</v>
      </c>
      <c r="S765" s="20">
        <v>31640</v>
      </c>
      <c r="T765" s="20">
        <v>4324</v>
      </c>
      <c r="U765" s="20">
        <v>22007</v>
      </c>
      <c r="W765" s="19">
        <v>0.2326</v>
      </c>
      <c r="X765" s="19">
        <v>0.29120000000000001</v>
      </c>
      <c r="Z765" s="18">
        <v>1899</v>
      </c>
    </row>
    <row r="766" spans="1:26" ht="15.75" customHeight="1" x14ac:dyDescent="0.2">
      <c r="A766" s="17" t="str">
        <f>HYPERLINK("https://www.westfield.ma.edu", "Westfield State University")</f>
        <v>Westfield State University</v>
      </c>
      <c r="B766" s="18" t="s">
        <v>49</v>
      </c>
      <c r="C766" s="18" t="s">
        <v>33</v>
      </c>
      <c r="D766" s="18" t="s">
        <v>1410</v>
      </c>
      <c r="E766" s="18">
        <v>1064</v>
      </c>
      <c r="F766" s="18" t="s">
        <v>35</v>
      </c>
      <c r="J766" s="19">
        <v>0.65039999999999998</v>
      </c>
      <c r="K766" s="19">
        <v>0.58630952400000003</v>
      </c>
      <c r="L766" s="19">
        <v>0.66559999999999997</v>
      </c>
      <c r="M766" s="19">
        <v>0.48149999999999998</v>
      </c>
      <c r="N766" s="19">
        <v>0.5333</v>
      </c>
      <c r="O766" s="19">
        <v>0.83330000000000004</v>
      </c>
      <c r="P766" s="20">
        <v>30156</v>
      </c>
      <c r="Q766" s="33" t="str">
        <f>HYPERLINK("https://www.westfield.ma.edu/netprice/", "$20855")</f>
        <v>$20855</v>
      </c>
      <c r="R766" s="20">
        <v>24184</v>
      </c>
      <c r="S766" s="20">
        <v>28384</v>
      </c>
      <c r="T766" s="20">
        <v>3672</v>
      </c>
      <c r="U766" s="20">
        <v>17183.270142180099</v>
      </c>
      <c r="W766" s="19">
        <v>0.30940000000000001</v>
      </c>
      <c r="X766" s="19">
        <v>0.254</v>
      </c>
      <c r="Z766" s="18">
        <v>5375</v>
      </c>
    </row>
    <row r="767" spans="1:26" ht="15.75" customHeight="1" x14ac:dyDescent="0.2">
      <c r="A767" s="17" t="str">
        <f>HYPERLINK("https://www.westminster.edu", "Westminster College")</f>
        <v>Westminster College</v>
      </c>
      <c r="B767" s="18" t="s">
        <v>32</v>
      </c>
      <c r="C767" s="18" t="s">
        <v>65</v>
      </c>
      <c r="D767" s="18" t="s">
        <v>1412</v>
      </c>
      <c r="E767" s="18">
        <v>1124</v>
      </c>
      <c r="F767" s="18" t="s">
        <v>35</v>
      </c>
      <c r="J767" s="19">
        <v>0.69530000000000003</v>
      </c>
      <c r="K767" s="19">
        <v>0.65753424700000007</v>
      </c>
      <c r="L767" s="19">
        <v>0.72789999999999999</v>
      </c>
      <c r="M767" s="19">
        <v>0.1429</v>
      </c>
      <c r="N767" s="19">
        <v>0.33329999999999999</v>
      </c>
      <c r="O767" s="19">
        <v>0.5</v>
      </c>
      <c r="P767" s="20">
        <v>49546</v>
      </c>
      <c r="Q767" s="33" t="str">
        <f>HYPERLINK("https://www.westminster.edu/admissions/financial-aid/101.cfm", "$16973")</f>
        <v>$16973</v>
      </c>
      <c r="R767" s="20">
        <v>20765</v>
      </c>
      <c r="S767" s="20">
        <v>23635</v>
      </c>
      <c r="T767" s="20">
        <v>2250</v>
      </c>
      <c r="U767" s="20">
        <v>14723</v>
      </c>
      <c r="W767" s="19">
        <v>0.33850000000000002</v>
      </c>
      <c r="X767" s="19">
        <v>0.29559999999999997</v>
      </c>
      <c r="Z767" s="18">
        <v>1174</v>
      </c>
    </row>
    <row r="768" spans="1:26" ht="15.75" customHeight="1" x14ac:dyDescent="0.2">
      <c r="A768" s="17" t="str">
        <f>HYPERLINK("https://www.wju.edu", "Wheeling Jesuit University")</f>
        <v>Wheeling Jesuit University</v>
      </c>
      <c r="B768" s="18" t="s">
        <v>32</v>
      </c>
      <c r="C768" s="18" t="s">
        <v>574</v>
      </c>
      <c r="D768" s="18" t="s">
        <v>1413</v>
      </c>
      <c r="E768" s="18">
        <v>1063</v>
      </c>
      <c r="F768" s="18" t="s">
        <v>35</v>
      </c>
      <c r="J768" s="19">
        <v>0.63590000000000002</v>
      </c>
      <c r="K768" s="19">
        <v>0.46153846199999998</v>
      </c>
      <c r="L768" s="19">
        <v>0.63349999999999995</v>
      </c>
      <c r="M768" s="19">
        <v>0.25</v>
      </c>
      <c r="N768" s="19">
        <v>0.6</v>
      </c>
      <c r="O768" s="19">
        <v>1</v>
      </c>
      <c r="P768" s="20">
        <v>40206</v>
      </c>
      <c r="Q768" s="33" t="str">
        <f>HYPERLINK("https://wju.edu/finaid/net-price.html", "$13631")</f>
        <v>$13631</v>
      </c>
      <c r="R768" s="20">
        <v>15835</v>
      </c>
      <c r="S768" s="20">
        <v>21321</v>
      </c>
      <c r="T768" s="20">
        <v>3100</v>
      </c>
      <c r="U768" s="20">
        <v>10531</v>
      </c>
      <c r="W768" s="19">
        <v>0.30480000000000002</v>
      </c>
      <c r="X768" s="19">
        <v>0.30399999999999999</v>
      </c>
      <c r="Z768" s="18">
        <v>694</v>
      </c>
    </row>
    <row r="769" spans="1:26" ht="15.75" customHeight="1" x14ac:dyDescent="0.2">
      <c r="A769" s="17" t="str">
        <f>HYPERLINK("https://www.bu.edu/wheelock/", "Wheelock College")</f>
        <v>Wheelock College</v>
      </c>
      <c r="B769" s="18" t="s">
        <v>32</v>
      </c>
      <c r="C769" s="18" t="s">
        <v>33</v>
      </c>
      <c r="D769" s="18" t="s">
        <v>136</v>
      </c>
      <c r="E769" s="18">
        <v>879</v>
      </c>
      <c r="F769" s="18" t="s">
        <v>115</v>
      </c>
      <c r="J769" s="19">
        <v>0.56899999999999995</v>
      </c>
      <c r="K769" s="19">
        <v>0.66071428600000004</v>
      </c>
      <c r="L769" s="19">
        <v>0.52780000000000005</v>
      </c>
      <c r="M769" s="19">
        <v>0.74070000000000003</v>
      </c>
      <c r="N769" s="19">
        <v>0.68</v>
      </c>
      <c r="O769" s="19">
        <v>0.5</v>
      </c>
      <c r="P769" s="20">
        <v>54725</v>
      </c>
      <c r="Q769" s="33" t="str">
        <f>HYPERLINK("https://www.bu.edu/finaid/aid-basics/cost-of-education/net-price-calculator/", "$22239")</f>
        <v>$22239</v>
      </c>
      <c r="R769" s="20">
        <v>28132</v>
      </c>
      <c r="S769" s="20">
        <v>30483</v>
      </c>
      <c r="T769" s="20">
        <v>3400</v>
      </c>
      <c r="U769" s="20">
        <v>18839</v>
      </c>
      <c r="W769" s="19">
        <v>0.41739999999999999</v>
      </c>
      <c r="X769" s="19">
        <v>0.44779999999999998</v>
      </c>
      <c r="Z769" s="18">
        <v>603</v>
      </c>
    </row>
    <row r="770" spans="1:26" ht="15.75" customHeight="1" x14ac:dyDescent="0.2">
      <c r="A770" s="17" t="str">
        <f>HYPERLINK("https://www.whittier.edu", "Whittier College")</f>
        <v>Whittier College</v>
      </c>
      <c r="B770" s="18" t="s">
        <v>32</v>
      </c>
      <c r="C770" s="18" t="s">
        <v>68</v>
      </c>
      <c r="D770" s="18" t="s">
        <v>1415</v>
      </c>
      <c r="E770" s="18">
        <v>1138</v>
      </c>
      <c r="F770" s="18" t="s">
        <v>115</v>
      </c>
      <c r="J770" s="19">
        <v>0.69179999999999997</v>
      </c>
      <c r="K770" s="19">
        <v>0.68269230800000003</v>
      </c>
      <c r="L770" s="19">
        <v>0.6623</v>
      </c>
      <c r="M770" s="19">
        <v>0.625</v>
      </c>
      <c r="N770" s="19">
        <v>0.72729999999999995</v>
      </c>
      <c r="O770" s="19">
        <v>0.77270000000000005</v>
      </c>
      <c r="P770" s="20">
        <v>61409</v>
      </c>
      <c r="Q770" s="33" t="str">
        <f>HYPERLINK("https://www.whittier.edu/financialaid/npc", "$20447")</f>
        <v>$20447</v>
      </c>
      <c r="R770" s="20">
        <v>24229</v>
      </c>
      <c r="S770" s="20">
        <v>27491</v>
      </c>
      <c r="T770" s="20">
        <v>1789</v>
      </c>
      <c r="U770" s="20">
        <v>18658</v>
      </c>
      <c r="W770" s="19">
        <v>0.3569</v>
      </c>
      <c r="X770" s="19">
        <v>0.72849999999999993</v>
      </c>
      <c r="Z770" s="18">
        <v>1665</v>
      </c>
    </row>
    <row r="771" spans="1:26" ht="15.75" customHeight="1" x14ac:dyDescent="0.2">
      <c r="A771" s="17" t="str">
        <f>HYPERLINK("https://www.whitworth.edu", "Whitworth University-Adult Degree Programs")</f>
        <v>Whitworth University-Adult Degree Programs</v>
      </c>
      <c r="B771" s="18" t="s">
        <v>32</v>
      </c>
      <c r="C771" s="18" t="s">
        <v>184</v>
      </c>
      <c r="D771" s="18" t="s">
        <v>222</v>
      </c>
      <c r="E771" s="18">
        <v>1217</v>
      </c>
      <c r="F771" s="18" t="s">
        <v>115</v>
      </c>
      <c r="J771" s="19">
        <v>0.74950000000000006</v>
      </c>
      <c r="K771" s="19">
        <v>0.548571429</v>
      </c>
      <c r="L771" s="19">
        <v>0.78669999999999995</v>
      </c>
      <c r="M771" s="19">
        <v>0.5</v>
      </c>
      <c r="N771" s="19">
        <v>0.6</v>
      </c>
      <c r="O771" s="19">
        <v>0.625</v>
      </c>
      <c r="P771" s="20">
        <v>57824</v>
      </c>
      <c r="Q771" s="33" t="str">
        <f>HYPERLINK("https://www.whitworth.edu/forms/financial-aid/net-price-calculator/index.aspx", "$19367")</f>
        <v>$19367</v>
      </c>
      <c r="R771" s="20">
        <v>25528</v>
      </c>
      <c r="S771" s="20">
        <v>30131</v>
      </c>
      <c r="T771" s="20">
        <v>4142</v>
      </c>
      <c r="U771" s="20">
        <v>15225</v>
      </c>
      <c r="W771" s="19">
        <v>0.2329</v>
      </c>
      <c r="X771" s="19">
        <v>0.29820000000000002</v>
      </c>
      <c r="Z771" s="18">
        <v>2227</v>
      </c>
    </row>
    <row r="772" spans="1:26" ht="15.75" customHeight="1" x14ac:dyDescent="0.2">
      <c r="A772" s="17" t="str">
        <f>HYPERLINK("https://www.wichita.edu", "Wichita State University")</f>
        <v>Wichita State University</v>
      </c>
      <c r="B772" s="18" t="s">
        <v>49</v>
      </c>
      <c r="C772" s="18" t="s">
        <v>307</v>
      </c>
      <c r="D772" s="18" t="s">
        <v>778</v>
      </c>
      <c r="E772" s="18">
        <v>1159</v>
      </c>
      <c r="F772" s="18" t="s">
        <v>35</v>
      </c>
      <c r="J772" s="19">
        <v>0.47570000000000001</v>
      </c>
      <c r="K772" s="19">
        <v>0.403700589</v>
      </c>
      <c r="L772" s="19">
        <v>0.48530000000000001</v>
      </c>
      <c r="M772" s="19">
        <v>0.18459999999999999</v>
      </c>
      <c r="N772" s="19">
        <v>0.5</v>
      </c>
      <c r="O772" s="19">
        <v>0.57999999999999996</v>
      </c>
      <c r="P772" s="20">
        <v>32716</v>
      </c>
      <c r="Q772" s="33" t="str">
        <f>HYPERLINK("https://webapps.wichita.edu/netprice/", "$25307")</f>
        <v>$25307</v>
      </c>
      <c r="R772" s="20">
        <v>28380</v>
      </c>
      <c r="S772" s="20">
        <v>30255</v>
      </c>
      <c r="T772" s="20">
        <v>5326</v>
      </c>
      <c r="U772" s="20">
        <v>19981.12727272727</v>
      </c>
      <c r="W772" s="19">
        <v>0.33850000000000002</v>
      </c>
      <c r="X772" s="19">
        <v>0.4</v>
      </c>
      <c r="Z772" s="18">
        <v>10970</v>
      </c>
    </row>
    <row r="773" spans="1:26" ht="15.75" customHeight="1" x14ac:dyDescent="0.2">
      <c r="A773" s="17" t="str">
        <f>HYPERLINK("https://www.widener.edu", "Widener University-Main Campus")</f>
        <v>Widener University-Main Campus</v>
      </c>
      <c r="B773" s="18" t="s">
        <v>32</v>
      </c>
      <c r="C773" s="18" t="s">
        <v>65</v>
      </c>
      <c r="D773" s="18" t="s">
        <v>1417</v>
      </c>
      <c r="E773" s="18">
        <v>1104</v>
      </c>
      <c r="F773" s="18" t="s">
        <v>35</v>
      </c>
      <c r="J773" s="19">
        <v>0.57089999999999996</v>
      </c>
      <c r="K773" s="19">
        <v>0.47773279400000002</v>
      </c>
      <c r="L773" s="19">
        <v>0.63039999999999996</v>
      </c>
      <c r="M773" s="19">
        <v>0.3916</v>
      </c>
      <c r="N773" s="19">
        <v>0.40539999999999998</v>
      </c>
      <c r="O773" s="19">
        <v>0.45829999999999999</v>
      </c>
      <c r="P773" s="20">
        <v>61218</v>
      </c>
      <c r="Q773" s="33" t="str">
        <f>HYPERLINK("https://collegecostcalculator.org/widener", "$27687")</f>
        <v>$27687</v>
      </c>
      <c r="R773" s="20">
        <v>29647</v>
      </c>
      <c r="S773" s="20">
        <v>31759</v>
      </c>
      <c r="T773" s="20">
        <v>3028</v>
      </c>
      <c r="U773" s="20">
        <v>24659</v>
      </c>
      <c r="W773" s="19">
        <v>0.2321</v>
      </c>
      <c r="X773" s="19">
        <v>0.2913</v>
      </c>
      <c r="Z773" s="18">
        <v>3224</v>
      </c>
    </row>
    <row r="774" spans="1:26" ht="15.75" customHeight="1" x14ac:dyDescent="0.2">
      <c r="A774" s="17" t="str">
        <f>HYPERLINK("https://www.wilkes.edu", "Wilkes University")</f>
        <v>Wilkes University</v>
      </c>
      <c r="B774" s="18" t="s">
        <v>32</v>
      </c>
      <c r="C774" s="18" t="s">
        <v>65</v>
      </c>
      <c r="D774" s="18" t="s">
        <v>875</v>
      </c>
      <c r="E774" s="18">
        <v>1137</v>
      </c>
      <c r="F774" s="18" t="s">
        <v>35</v>
      </c>
      <c r="J774" s="19">
        <v>0.59740000000000004</v>
      </c>
      <c r="K774" s="19">
        <v>0.44444444399999999</v>
      </c>
      <c r="L774" s="19">
        <v>0.60529999999999995</v>
      </c>
      <c r="M774" s="19">
        <v>0.47370000000000001</v>
      </c>
      <c r="N774" s="19">
        <v>0.52629999999999999</v>
      </c>
      <c r="O774" s="19">
        <v>0.7</v>
      </c>
      <c r="P774" s="20">
        <v>53966</v>
      </c>
      <c r="Q774" s="33" t="str">
        <f>HYPERLINK("https://www.wilkes.edu/admissions/financial-aid/undergraduate-aid/types-of-aid/net-price-calculator/index.aspx", "$22205")</f>
        <v>$22205</v>
      </c>
      <c r="R774" s="20">
        <v>25372</v>
      </c>
      <c r="S774" s="20">
        <v>26241</v>
      </c>
      <c r="T774" s="20">
        <v>4800</v>
      </c>
      <c r="U774" s="20">
        <v>17405</v>
      </c>
      <c r="W774" s="19">
        <v>0.33500000000000002</v>
      </c>
      <c r="X774" s="19">
        <v>0.28789999999999999</v>
      </c>
      <c r="Z774" s="18">
        <v>2379</v>
      </c>
    </row>
    <row r="775" spans="1:26" ht="15.75" customHeight="1" x14ac:dyDescent="0.2">
      <c r="A775" s="17" t="str">
        <f>HYPERLINK("https://www.wpunj.edu", "William Paterson University of New Jersey")</f>
        <v>William Paterson University of New Jersey</v>
      </c>
      <c r="B775" s="18" t="s">
        <v>49</v>
      </c>
      <c r="C775" s="18" t="s">
        <v>141</v>
      </c>
      <c r="D775" s="18" t="s">
        <v>1418</v>
      </c>
      <c r="E775" s="18">
        <v>1030</v>
      </c>
      <c r="F775" s="18" t="s">
        <v>35</v>
      </c>
      <c r="J775" s="19">
        <v>0.55159999999999998</v>
      </c>
      <c r="K775" s="19">
        <v>0.49272116500000002</v>
      </c>
      <c r="L775" s="19">
        <v>0.60529999999999995</v>
      </c>
      <c r="M775" s="19">
        <v>0.43780000000000002</v>
      </c>
      <c r="N775" s="19">
        <v>0.4708</v>
      </c>
      <c r="O775" s="19">
        <v>0.66669999999999996</v>
      </c>
      <c r="P775" s="20">
        <v>35711</v>
      </c>
      <c r="Q775" s="33" t="str">
        <f>HYPERLINK("https://www.wpunj.edu/financial-aid/net_price_calc.html", "$25427")</f>
        <v>$25427</v>
      </c>
      <c r="R775" s="20">
        <v>30755</v>
      </c>
      <c r="S775" s="20">
        <v>33221</v>
      </c>
      <c r="T775" s="20">
        <v>4740</v>
      </c>
      <c r="U775" s="20">
        <v>20687.336520076478</v>
      </c>
      <c r="W775" s="19">
        <v>0.47449999999999998</v>
      </c>
      <c r="X775" s="19">
        <v>0.61</v>
      </c>
      <c r="Z775" s="18">
        <v>8710</v>
      </c>
    </row>
    <row r="776" spans="1:26" ht="15.75" customHeight="1" x14ac:dyDescent="0.2">
      <c r="A776" s="17" t="str">
        <f>HYPERLINK("https://www.peace.edu", "William Peace University")</f>
        <v>William Peace University</v>
      </c>
      <c r="B776" s="18" t="s">
        <v>32</v>
      </c>
      <c r="C776" s="18" t="s">
        <v>103</v>
      </c>
      <c r="D776" s="18" t="s">
        <v>236</v>
      </c>
      <c r="E776" s="18">
        <v>1033</v>
      </c>
      <c r="F776" s="18" t="s">
        <v>35</v>
      </c>
      <c r="J776" s="19">
        <v>0.39229999999999998</v>
      </c>
      <c r="K776" s="19">
        <v>0.41129032300000001</v>
      </c>
      <c r="L776" s="19">
        <v>0.40910000000000002</v>
      </c>
      <c r="M776" s="19">
        <v>0.5</v>
      </c>
      <c r="N776" s="19">
        <v>1</v>
      </c>
      <c r="O776" s="19">
        <v>0</v>
      </c>
      <c r="P776" s="20">
        <v>44030</v>
      </c>
      <c r="Q776" s="33" t="str">
        <f>HYPERLINK("https://www.peace.edu/net-price-calculator/", "$17793")</f>
        <v>$17793</v>
      </c>
      <c r="R776" s="20">
        <v>19311</v>
      </c>
      <c r="S776" s="20">
        <v>24088</v>
      </c>
      <c r="T776" s="20" t="s">
        <v>36</v>
      </c>
      <c r="U776" s="20" t="s">
        <v>36</v>
      </c>
      <c r="W776" s="19">
        <v>0.56669999999999998</v>
      </c>
      <c r="X776" s="19">
        <v>0.52539999999999998</v>
      </c>
      <c r="Z776" s="18">
        <v>927</v>
      </c>
    </row>
    <row r="777" spans="1:26" ht="15.75" customHeight="1" x14ac:dyDescent="0.2">
      <c r="A777" s="17" t="str">
        <f>HYPERLINK("https://www.wmpenn.edu", "William Penn University")</f>
        <v>William Penn University</v>
      </c>
      <c r="B777" s="18" t="s">
        <v>32</v>
      </c>
      <c r="C777" s="18" t="s">
        <v>211</v>
      </c>
      <c r="D777" s="18" t="s">
        <v>1421</v>
      </c>
      <c r="E777" s="18">
        <v>963</v>
      </c>
      <c r="F777" s="18" t="s">
        <v>115</v>
      </c>
      <c r="J777" s="19">
        <v>0.35039999999999999</v>
      </c>
      <c r="K777" s="19">
        <v>0.312302839</v>
      </c>
      <c r="L777" s="19">
        <v>0.4526</v>
      </c>
      <c r="M777" s="19">
        <v>0.18820000000000001</v>
      </c>
      <c r="N777" s="19">
        <v>0.23810000000000001</v>
      </c>
      <c r="O777" s="19">
        <v>0.66669999999999996</v>
      </c>
      <c r="P777" s="20">
        <v>37352</v>
      </c>
      <c r="Q777" s="33" t="str">
        <f>HYPERLINK("https://www.wmpenn.edu/admissions-aid/financial-aid/net-price-calculator/", "$18249")</f>
        <v>$18249</v>
      </c>
      <c r="R777" s="20">
        <v>21215</v>
      </c>
      <c r="S777" s="20">
        <v>22299</v>
      </c>
      <c r="T777" s="20">
        <v>5400</v>
      </c>
      <c r="U777" s="20">
        <v>12849</v>
      </c>
      <c r="W777" s="19">
        <v>0.47689999999999999</v>
      </c>
      <c r="X777" s="19">
        <v>0.43830000000000002</v>
      </c>
      <c r="Z777" s="18">
        <v>1184</v>
      </c>
    </row>
    <row r="778" spans="1:26" ht="15.75" customHeight="1" x14ac:dyDescent="0.2">
      <c r="A778" s="17" t="str">
        <f>HYPERLINK("https://www.williamwoods.edu", "William Woods University")</f>
        <v>William Woods University</v>
      </c>
      <c r="B778" s="18" t="s">
        <v>32</v>
      </c>
      <c r="C778" s="18" t="s">
        <v>164</v>
      </c>
      <c r="D778" s="18" t="s">
        <v>539</v>
      </c>
      <c r="E778" s="18">
        <v>1141</v>
      </c>
      <c r="F778" s="18" t="s">
        <v>35</v>
      </c>
      <c r="J778" s="19">
        <v>0.59219999999999995</v>
      </c>
      <c r="K778" s="19">
        <v>0.47826087</v>
      </c>
      <c r="L778" s="19">
        <v>0.59709999999999996</v>
      </c>
      <c r="M778" s="19">
        <v>1</v>
      </c>
      <c r="N778" s="19">
        <v>0.5</v>
      </c>
      <c r="O778" s="19" t="s">
        <v>36</v>
      </c>
      <c r="P778" s="20">
        <v>38860</v>
      </c>
      <c r="Q778" s="33" t="str">
        <f>HYPERLINK("https://www.williamwoods.edu/admissions/undergraduate/calculator.html", "$21036")</f>
        <v>$21036</v>
      </c>
      <c r="R778" s="20">
        <v>22480</v>
      </c>
      <c r="S778" s="20">
        <v>21427</v>
      </c>
      <c r="T778" s="20">
        <v>6200</v>
      </c>
      <c r="U778" s="20">
        <v>14836</v>
      </c>
      <c r="W778" s="19">
        <v>0.28160000000000002</v>
      </c>
      <c r="X778" s="19">
        <v>0.20349999999999999</v>
      </c>
      <c r="Z778" s="18">
        <v>919</v>
      </c>
    </row>
    <row r="779" spans="1:26" ht="15.75" customHeight="1" x14ac:dyDescent="0.2">
      <c r="A779" s="17" t="str">
        <f>HYPERLINK("https://www.wilmington.edu", "Wilmington College")</f>
        <v>Wilmington College</v>
      </c>
      <c r="B779" s="18" t="s">
        <v>32</v>
      </c>
      <c r="C779" s="18" t="s">
        <v>75</v>
      </c>
      <c r="D779" s="18" t="s">
        <v>517</v>
      </c>
      <c r="E779" s="18">
        <v>1086</v>
      </c>
      <c r="F779" s="18" t="s">
        <v>35</v>
      </c>
      <c r="J779" s="19">
        <v>0.5786</v>
      </c>
      <c r="K779" s="19">
        <v>0.49253731299999998</v>
      </c>
      <c r="L779" s="19">
        <v>0.5917</v>
      </c>
      <c r="M779" s="19">
        <v>0.2581</v>
      </c>
      <c r="N779" s="19">
        <v>0</v>
      </c>
      <c r="O779" s="19">
        <v>1</v>
      </c>
      <c r="P779" s="20">
        <v>38500</v>
      </c>
      <c r="Q779" s="33" t="str">
        <f>HYPERLINK("https://www.wilmington.edu/admission/financial-aid/calculate-tuition-costs/", "$16794")</f>
        <v>$16794</v>
      </c>
      <c r="R779" s="20">
        <v>20830</v>
      </c>
      <c r="S779" s="20">
        <v>21979</v>
      </c>
      <c r="T779" s="20">
        <v>3900</v>
      </c>
      <c r="U779" s="20">
        <v>12894</v>
      </c>
      <c r="W779" s="19">
        <v>0.40960000000000002</v>
      </c>
      <c r="X779" s="19">
        <v>0.21510000000000001</v>
      </c>
      <c r="Z779" s="18">
        <v>1167</v>
      </c>
    </row>
    <row r="780" spans="1:26" ht="15.75" customHeight="1" x14ac:dyDescent="0.2">
      <c r="A780" s="17" t="str">
        <f>HYPERLINK("https://www.wilson.edu", "Wilson College")</f>
        <v>Wilson College</v>
      </c>
      <c r="B780" s="18" t="s">
        <v>32</v>
      </c>
      <c r="C780" s="18" t="s">
        <v>65</v>
      </c>
      <c r="D780" s="18" t="s">
        <v>1422</v>
      </c>
      <c r="E780" s="18">
        <v>1032</v>
      </c>
      <c r="F780" s="18" t="s">
        <v>35</v>
      </c>
      <c r="J780" s="19">
        <v>0.51470000000000005</v>
      </c>
      <c r="K780" s="19">
        <v>0.305882353</v>
      </c>
      <c r="L780" s="19">
        <v>0.56000000000000005</v>
      </c>
      <c r="M780" s="19">
        <v>0</v>
      </c>
      <c r="N780" s="19">
        <v>0.66669999999999996</v>
      </c>
      <c r="O780" s="19" t="s">
        <v>36</v>
      </c>
      <c r="P780" s="20">
        <v>38616</v>
      </c>
      <c r="Q780" s="33" t="str">
        <f>HYPERLINK("https://npc.collegeboard.org/student/app/wilson", "$17318")</f>
        <v>$17318</v>
      </c>
      <c r="R780" s="20">
        <v>18012</v>
      </c>
      <c r="S780" s="20">
        <v>21782</v>
      </c>
      <c r="T780" s="20">
        <v>2800</v>
      </c>
      <c r="U780" s="20">
        <v>14518</v>
      </c>
      <c r="W780" s="19">
        <v>0.35160000000000002</v>
      </c>
      <c r="X780" s="19">
        <v>0.29120000000000001</v>
      </c>
      <c r="Z780" s="18">
        <v>697</v>
      </c>
    </row>
    <row r="781" spans="1:26" ht="15.75" customHeight="1" x14ac:dyDescent="0.2">
      <c r="A781" s="17" t="str">
        <f>HYPERLINK("https://www.wingate.edu", "Wingate University")</f>
        <v>Wingate University</v>
      </c>
      <c r="B781" s="18" t="s">
        <v>32</v>
      </c>
      <c r="C781" s="18" t="s">
        <v>103</v>
      </c>
      <c r="D781" s="18" t="s">
        <v>1423</v>
      </c>
      <c r="E781" s="18">
        <v>1045</v>
      </c>
      <c r="F781" s="18" t="s">
        <v>35</v>
      </c>
      <c r="J781" s="19">
        <v>0.52339999999999998</v>
      </c>
      <c r="K781" s="19">
        <v>0.42241379299999998</v>
      </c>
      <c r="L781" s="19">
        <v>0.55559999999999998</v>
      </c>
      <c r="M781" s="19">
        <v>0.43080000000000002</v>
      </c>
      <c r="N781" s="19">
        <v>0.41670000000000001</v>
      </c>
      <c r="O781" s="19">
        <v>0.36840000000000001</v>
      </c>
      <c r="P781" s="20">
        <v>46700</v>
      </c>
      <c r="Q781" s="33" t="str">
        <f>HYPERLINK("https://www.wingate.edu/admissions/financial-aid", "$15472")</f>
        <v>$15472</v>
      </c>
      <c r="R781" s="20">
        <v>16505</v>
      </c>
      <c r="S781" s="20">
        <v>20991</v>
      </c>
      <c r="T781" s="20">
        <v>4800</v>
      </c>
      <c r="U781" s="20">
        <v>10672</v>
      </c>
      <c r="W781" s="19">
        <v>0.35410000000000003</v>
      </c>
      <c r="X781" s="19">
        <v>0.41649999999999998</v>
      </c>
      <c r="Z781" s="18">
        <v>2586</v>
      </c>
    </row>
    <row r="782" spans="1:26" ht="15.75" customHeight="1" x14ac:dyDescent="0.2">
      <c r="A782" s="17" t="str">
        <f>HYPERLINK("https://www.winona.edu", "Winona State University")</f>
        <v>Winona State University</v>
      </c>
      <c r="B782" s="18" t="s">
        <v>49</v>
      </c>
      <c r="C782" s="18" t="s">
        <v>72</v>
      </c>
      <c r="D782" s="18" t="s">
        <v>1140</v>
      </c>
      <c r="E782" s="18">
        <v>1125</v>
      </c>
      <c r="F782" s="18" t="s">
        <v>35</v>
      </c>
      <c r="J782" s="19">
        <v>0.60670000000000002</v>
      </c>
      <c r="K782" s="19">
        <v>0.57777777799999996</v>
      </c>
      <c r="L782" s="19">
        <v>0.62090000000000001</v>
      </c>
      <c r="M782" s="19">
        <v>0.23810000000000001</v>
      </c>
      <c r="N782" s="19">
        <v>0.54349999999999998</v>
      </c>
      <c r="O782" s="19">
        <v>0.48280000000000001</v>
      </c>
      <c r="P782" s="20">
        <v>27692</v>
      </c>
      <c r="Q782" s="33" t="str">
        <f>HYPERLINK("https://www.ohe.state.mn.us/Estimator/firstQuestions.cfm", "$19025")</f>
        <v>$19025</v>
      </c>
      <c r="R782" s="20">
        <v>21645</v>
      </c>
      <c r="S782" s="20">
        <v>25329</v>
      </c>
      <c r="T782" s="20">
        <v>3660</v>
      </c>
      <c r="U782" s="20">
        <v>15365.956249999999</v>
      </c>
      <c r="W782" s="19">
        <v>0.25230000000000002</v>
      </c>
      <c r="X782" s="19">
        <v>0.1474</v>
      </c>
      <c r="Z782" s="18">
        <v>7308</v>
      </c>
    </row>
    <row r="783" spans="1:26" ht="15.75" customHeight="1" x14ac:dyDescent="0.2">
      <c r="A783" s="17" t="str">
        <f>HYPERLINK("https://www.winthrop.edu", "Winthrop University")</f>
        <v>Winthrop University</v>
      </c>
      <c r="B783" s="18" t="s">
        <v>49</v>
      </c>
      <c r="C783" s="18" t="s">
        <v>208</v>
      </c>
      <c r="D783" s="18" t="s">
        <v>1147</v>
      </c>
      <c r="E783" s="18">
        <v>1101</v>
      </c>
      <c r="F783" s="18" t="s">
        <v>35</v>
      </c>
      <c r="J783" s="19">
        <v>0.57069999999999999</v>
      </c>
      <c r="K783" s="19">
        <v>0.53809523799999992</v>
      </c>
      <c r="L783" s="19">
        <v>0.54249999999999998</v>
      </c>
      <c r="M783" s="19">
        <v>0.62860000000000005</v>
      </c>
      <c r="N783" s="19">
        <v>0.54549999999999998</v>
      </c>
      <c r="O783" s="19">
        <v>0.625</v>
      </c>
      <c r="P783" s="20">
        <v>42104</v>
      </c>
      <c r="Q783" s="33" t="str">
        <f>HYPERLINK("https://www.winthrop.edu/finaid/default.aspx?id=20273", "$29826")</f>
        <v>$29826</v>
      </c>
      <c r="R783" s="20">
        <v>32619</v>
      </c>
      <c r="S783" s="20">
        <v>34556</v>
      </c>
      <c r="T783" s="20">
        <v>4228</v>
      </c>
      <c r="U783" s="20">
        <v>25598.915167095121</v>
      </c>
      <c r="W783" s="19">
        <v>0.40799999999999997</v>
      </c>
      <c r="X783" s="19">
        <v>0.42530000000000001</v>
      </c>
      <c r="Z783" s="18">
        <v>4710</v>
      </c>
    </row>
    <row r="784" spans="1:26" ht="15.75" customHeight="1" x14ac:dyDescent="0.2">
      <c r="A784" s="17" t="str">
        <f>HYPERLINK("https://www.worcester.edu", "Worcester State University")</f>
        <v>Worcester State University</v>
      </c>
      <c r="B784" s="18" t="s">
        <v>49</v>
      </c>
      <c r="C784" s="18" t="s">
        <v>33</v>
      </c>
      <c r="D784" s="18" t="s">
        <v>86</v>
      </c>
      <c r="E784" s="18" t="s">
        <v>36</v>
      </c>
      <c r="F784" s="18" t="s">
        <v>90</v>
      </c>
      <c r="J784" s="19">
        <v>0.5544</v>
      </c>
      <c r="K784" s="19">
        <v>0.39933993400000001</v>
      </c>
      <c r="L784" s="19">
        <v>0.57769999999999999</v>
      </c>
      <c r="M784" s="19">
        <v>0.58330000000000004</v>
      </c>
      <c r="N784" s="19">
        <v>0.44619999999999999</v>
      </c>
      <c r="O784" s="19">
        <v>0.57889999999999997</v>
      </c>
      <c r="P784" s="20">
        <v>31810</v>
      </c>
      <c r="Q784" s="33" t="str">
        <f>HYPERLINK("https://www.worcester.edu/NetPriceCalculator/npcalc.htm", "$26411")</f>
        <v>$26411</v>
      </c>
      <c r="R784" s="20">
        <v>29897</v>
      </c>
      <c r="S784" s="20">
        <v>31440</v>
      </c>
      <c r="T784" s="20">
        <v>4068</v>
      </c>
      <c r="U784" s="20">
        <v>22343.608938547481</v>
      </c>
      <c r="W784" s="19">
        <v>0.2888</v>
      </c>
      <c r="X784" s="19">
        <v>0.33779999999999999</v>
      </c>
      <c r="Z784" s="18">
        <v>5035</v>
      </c>
    </row>
    <row r="785" spans="1:26" ht="15.75" customHeight="1" x14ac:dyDescent="0.2">
      <c r="A785" s="17" t="str">
        <f>HYPERLINK("https://lake.wright.edu", "Wright State University-Lake Campus")</f>
        <v>Wright State University-Lake Campus</v>
      </c>
      <c r="B785" s="18" t="s">
        <v>49</v>
      </c>
      <c r="C785" s="18" t="s">
        <v>75</v>
      </c>
      <c r="D785" s="18" t="s">
        <v>1427</v>
      </c>
      <c r="E785" s="18">
        <v>1041</v>
      </c>
      <c r="F785" s="18" t="s">
        <v>35</v>
      </c>
      <c r="J785" s="19">
        <v>0.42059999999999997</v>
      </c>
      <c r="K785" s="19">
        <v>0.31297709899999998</v>
      </c>
      <c r="L785" s="19">
        <v>0.43440000000000001</v>
      </c>
      <c r="M785" s="19">
        <v>0</v>
      </c>
      <c r="N785" s="19">
        <v>0</v>
      </c>
      <c r="O785" s="19" t="s">
        <v>36</v>
      </c>
      <c r="P785" s="20">
        <v>28826</v>
      </c>
      <c r="Q785" s="33" t="str">
        <f>HYPERLINK("https://www.wright.edu/raiderconnect/forms-and-resources/cost-estimator", "$23367")</f>
        <v>$23367</v>
      </c>
      <c r="R785" s="20">
        <v>24957</v>
      </c>
      <c r="S785" s="20">
        <v>27295</v>
      </c>
      <c r="T785" s="20">
        <v>4032</v>
      </c>
      <c r="U785" s="20">
        <v>19335.232558139531</v>
      </c>
      <c r="W785" s="19">
        <v>0.25519999999999998</v>
      </c>
      <c r="X785" s="19">
        <v>7.6099999999999945E-2</v>
      </c>
      <c r="Z785" s="18">
        <v>828</v>
      </c>
    </row>
    <row r="786" spans="1:26" ht="15.75" customHeight="1" x14ac:dyDescent="0.2">
      <c r="A786" s="17" t="str">
        <f>HYPERLINK("https://www.wright.edu", "Wright State University-Main Campus")</f>
        <v>Wright State University-Main Campus</v>
      </c>
      <c r="B786" s="18" t="s">
        <v>49</v>
      </c>
      <c r="C786" s="18" t="s">
        <v>75</v>
      </c>
      <c r="D786" s="18" t="s">
        <v>506</v>
      </c>
      <c r="E786" s="18">
        <v>1107</v>
      </c>
      <c r="F786" s="18" t="s">
        <v>35</v>
      </c>
      <c r="J786" s="19">
        <v>0.35759999999999997</v>
      </c>
      <c r="K786" s="19">
        <v>0.31297709899999998</v>
      </c>
      <c r="L786" s="19">
        <v>0.42749999999999999</v>
      </c>
      <c r="M786" s="19">
        <v>0.14580000000000001</v>
      </c>
      <c r="N786" s="19">
        <v>0.30669999999999997</v>
      </c>
      <c r="O786" s="19">
        <v>0.48209999999999997</v>
      </c>
      <c r="P786" s="20">
        <v>32506</v>
      </c>
      <c r="Q786" s="33" t="str">
        <f>HYPERLINK("https://www.wright.edu/raiderconnect/forms-and-resources/cost-estimator", "$24523")</f>
        <v>$24523</v>
      </c>
      <c r="R786" s="20">
        <v>28147</v>
      </c>
      <c r="S786" s="20">
        <v>30209</v>
      </c>
      <c r="T786" s="20">
        <v>4032</v>
      </c>
      <c r="U786" s="20">
        <v>20491.52941176471</v>
      </c>
      <c r="W786" s="19">
        <v>0.3387</v>
      </c>
      <c r="X786" s="19">
        <v>0.25469999999999998</v>
      </c>
      <c r="Z786" s="18">
        <v>11251</v>
      </c>
    </row>
    <row r="787" spans="1:26" ht="15.75" customHeight="1" x14ac:dyDescent="0.2">
      <c r="A787" s="17" t="str">
        <f>HYPERLINK("https://www.xula.edu", "Xavier University of Louisiana")</f>
        <v>Xavier University of Louisiana</v>
      </c>
      <c r="B787" s="18" t="s">
        <v>32</v>
      </c>
      <c r="C787" s="18" t="s">
        <v>158</v>
      </c>
      <c r="D787" s="18" t="s">
        <v>159</v>
      </c>
      <c r="E787" s="18">
        <v>1126</v>
      </c>
      <c r="F787" s="18" t="s">
        <v>35</v>
      </c>
      <c r="J787" s="19">
        <v>0.44009999999999999</v>
      </c>
      <c r="K787" s="19">
        <v>0.33793103499999999</v>
      </c>
      <c r="L787" s="19">
        <v>0.6875</v>
      </c>
      <c r="M787" s="19">
        <v>0.42299999999999999</v>
      </c>
      <c r="N787" s="19">
        <v>0.4</v>
      </c>
      <c r="O787" s="19">
        <v>0.61539999999999995</v>
      </c>
      <c r="P787" s="20">
        <v>36443</v>
      </c>
      <c r="Q787" s="33" t="str">
        <f>HYPERLINK("https://www.xula.edu/net-price-calculator", "$12888")</f>
        <v>$12888</v>
      </c>
      <c r="R787" s="20">
        <v>19442</v>
      </c>
      <c r="S787" s="20">
        <v>20753</v>
      </c>
      <c r="T787" s="20">
        <v>3303</v>
      </c>
      <c r="U787" s="20">
        <v>9585</v>
      </c>
      <c r="W787" s="19">
        <v>0.53649999999999998</v>
      </c>
      <c r="X787" s="19">
        <v>0.97219999999999995</v>
      </c>
      <c r="Z787" s="18">
        <v>2266</v>
      </c>
    </row>
    <row r="788" spans="1:26" ht="15.75" customHeight="1" x14ac:dyDescent="0.2">
      <c r="A788" s="17" t="str">
        <f>HYPERLINK("https://www.ycp.edu", "York College Pennsylvania")</f>
        <v>York College Pennsylvania</v>
      </c>
      <c r="B788" s="18" t="s">
        <v>32</v>
      </c>
      <c r="C788" s="18" t="s">
        <v>65</v>
      </c>
      <c r="D788" s="18" t="s">
        <v>1064</v>
      </c>
      <c r="E788" s="18">
        <v>1101</v>
      </c>
      <c r="F788" s="18" t="s">
        <v>35</v>
      </c>
      <c r="J788" s="19">
        <v>0.56740000000000002</v>
      </c>
      <c r="K788" s="19">
        <v>0.49090909100000002</v>
      </c>
      <c r="L788" s="19">
        <v>0.59650000000000003</v>
      </c>
      <c r="M788" s="19">
        <v>0.44119999999999998</v>
      </c>
      <c r="N788" s="19">
        <v>0.45950000000000002</v>
      </c>
      <c r="O788" s="19">
        <v>0.3</v>
      </c>
      <c r="P788" s="20">
        <v>33460</v>
      </c>
      <c r="Q788" s="33" t="str">
        <f>HYPERLINK("https://tcc.noellevitz.com/(S(3frm42zkl0tip1ycarunmxhg))/York%20College%20of%20Pennsylvania/Freshman-Students", "$16097")</f>
        <v>$16097</v>
      </c>
      <c r="R788" s="20">
        <v>19219</v>
      </c>
      <c r="S788" s="20">
        <v>22230</v>
      </c>
      <c r="T788" s="20">
        <v>3200</v>
      </c>
      <c r="U788" s="20">
        <v>12897</v>
      </c>
      <c r="W788" s="19">
        <v>0.24390000000000001</v>
      </c>
      <c r="X788" s="19">
        <v>0.20050000000000001</v>
      </c>
      <c r="Z788" s="18">
        <v>4079</v>
      </c>
    </row>
    <row r="789" spans="1:26" ht="15.75" customHeight="1" x14ac:dyDescent="0.2">
      <c r="A789" s="34"/>
      <c r="B789" s="34"/>
      <c r="C789" s="34"/>
      <c r="D789" s="34"/>
      <c r="E789" s="19"/>
      <c r="F789" s="19"/>
      <c r="G789" s="19"/>
      <c r="H789" s="19"/>
      <c r="I789" s="19"/>
      <c r="J789" s="19"/>
      <c r="K789" s="19"/>
      <c r="L789" s="19"/>
      <c r="M789" s="19"/>
      <c r="N789" s="19"/>
      <c r="O789" s="19"/>
      <c r="P789" s="20"/>
      <c r="Q789" s="20"/>
      <c r="R789" s="22"/>
      <c r="S789" s="22"/>
      <c r="T789" s="20"/>
      <c r="U789" s="20"/>
      <c r="V789" s="20"/>
      <c r="W789" s="19"/>
      <c r="X789" s="19"/>
      <c r="Y789" s="19"/>
      <c r="Z789" s="23"/>
    </row>
    <row r="790" spans="1:26" ht="15.75" customHeight="1" x14ac:dyDescent="0.2">
      <c r="A790" s="34"/>
      <c r="B790" s="34"/>
      <c r="C790" s="34"/>
      <c r="D790" s="34"/>
      <c r="E790" s="19"/>
      <c r="F790" s="19"/>
      <c r="G790" s="19"/>
      <c r="H790" s="19"/>
      <c r="I790" s="19"/>
      <c r="J790" s="19"/>
      <c r="K790" s="19"/>
      <c r="L790" s="19"/>
      <c r="M790" s="19"/>
      <c r="N790" s="19"/>
      <c r="O790" s="19"/>
      <c r="P790" s="20"/>
      <c r="Q790" s="20"/>
      <c r="R790" s="22"/>
      <c r="S790" s="22"/>
      <c r="T790" s="20"/>
      <c r="U790" s="20"/>
      <c r="V790" s="20"/>
      <c r="W790" s="19"/>
      <c r="X790" s="19"/>
      <c r="Y790" s="19"/>
      <c r="Z790" s="23"/>
    </row>
    <row r="791" spans="1:26" ht="15.75" customHeight="1" x14ac:dyDescent="0.2">
      <c r="A791" s="34"/>
      <c r="B791" s="34"/>
      <c r="C791" s="34"/>
      <c r="D791" s="34"/>
      <c r="E791" s="19"/>
      <c r="F791" s="19"/>
      <c r="G791" s="19"/>
      <c r="H791" s="19"/>
      <c r="I791" s="19"/>
      <c r="J791" s="19"/>
      <c r="K791" s="19"/>
      <c r="L791" s="19"/>
      <c r="M791" s="19"/>
      <c r="N791" s="19"/>
      <c r="O791" s="19"/>
      <c r="P791" s="20"/>
      <c r="Q791" s="20"/>
      <c r="R791" s="22"/>
      <c r="S791" s="22"/>
      <c r="T791" s="20"/>
      <c r="U791" s="20"/>
      <c r="V791" s="20"/>
      <c r="W791" s="19"/>
      <c r="X791" s="19"/>
      <c r="Y791" s="19"/>
      <c r="Z791" s="23"/>
    </row>
    <row r="792" spans="1:26" ht="15.75" customHeight="1" x14ac:dyDescent="0.2">
      <c r="A792" s="34"/>
      <c r="B792" s="34"/>
      <c r="C792" s="34"/>
      <c r="D792" s="34"/>
      <c r="E792" s="19"/>
      <c r="F792" s="19"/>
      <c r="G792" s="19"/>
      <c r="H792" s="19"/>
      <c r="I792" s="19"/>
      <c r="J792" s="19"/>
      <c r="K792" s="19"/>
      <c r="L792" s="19"/>
      <c r="M792" s="19"/>
      <c r="N792" s="19"/>
      <c r="O792" s="19"/>
      <c r="P792" s="20"/>
      <c r="Q792" s="20"/>
      <c r="R792" s="22"/>
      <c r="S792" s="22"/>
      <c r="T792" s="20"/>
      <c r="U792" s="20"/>
      <c r="V792" s="20"/>
      <c r="W792" s="19"/>
      <c r="X792" s="19"/>
      <c r="Y792" s="19"/>
      <c r="Z792" s="23"/>
    </row>
    <row r="793" spans="1:26" ht="15.75" customHeight="1" x14ac:dyDescent="0.2">
      <c r="A793" s="34"/>
      <c r="B793" s="34"/>
      <c r="C793" s="34"/>
      <c r="D793" s="34"/>
      <c r="E793" s="19"/>
      <c r="F793" s="19"/>
      <c r="G793" s="19"/>
      <c r="H793" s="19"/>
      <c r="I793" s="19"/>
      <c r="J793" s="19"/>
      <c r="K793" s="19"/>
      <c r="L793" s="19"/>
      <c r="M793" s="19"/>
      <c r="N793" s="19"/>
      <c r="O793" s="19"/>
      <c r="P793" s="20"/>
      <c r="Q793" s="20"/>
      <c r="R793" s="22"/>
      <c r="S793" s="22"/>
      <c r="T793" s="20"/>
      <c r="U793" s="20"/>
      <c r="V793" s="20"/>
      <c r="W793" s="19"/>
      <c r="X793" s="19"/>
      <c r="Y793" s="19"/>
      <c r="Z793" s="23"/>
    </row>
    <row r="794" spans="1:26" ht="15.75" customHeight="1" x14ac:dyDescent="0.2">
      <c r="A794" s="34"/>
      <c r="B794" s="34"/>
      <c r="C794" s="34"/>
      <c r="D794" s="34"/>
      <c r="E794" s="19"/>
      <c r="F794" s="19"/>
      <c r="G794" s="19"/>
      <c r="H794" s="19"/>
      <c r="I794" s="19"/>
      <c r="J794" s="19"/>
      <c r="K794" s="19"/>
      <c r="L794" s="19"/>
      <c r="M794" s="19"/>
      <c r="N794" s="19"/>
      <c r="O794" s="19"/>
      <c r="P794" s="20"/>
      <c r="Q794" s="20"/>
      <c r="R794" s="22"/>
      <c r="S794" s="22"/>
      <c r="T794" s="20"/>
      <c r="U794" s="20"/>
      <c r="V794" s="20"/>
      <c r="W794" s="19"/>
      <c r="X794" s="19"/>
      <c r="Y794" s="19"/>
      <c r="Z794" s="23"/>
    </row>
    <row r="795" spans="1:26" ht="15.75" customHeight="1" x14ac:dyDescent="0.2">
      <c r="A795" s="34"/>
      <c r="B795" s="34"/>
      <c r="C795" s="34"/>
      <c r="D795" s="34"/>
      <c r="E795" s="19"/>
      <c r="F795" s="19"/>
      <c r="G795" s="19"/>
      <c r="H795" s="19"/>
      <c r="I795" s="19"/>
      <c r="J795" s="19"/>
      <c r="K795" s="19"/>
      <c r="L795" s="19"/>
      <c r="M795" s="19"/>
      <c r="N795" s="19"/>
      <c r="O795" s="19"/>
      <c r="P795" s="20"/>
      <c r="Q795" s="20"/>
      <c r="R795" s="22"/>
      <c r="S795" s="22"/>
      <c r="T795" s="20"/>
      <c r="U795" s="20"/>
      <c r="V795" s="20"/>
      <c r="W795" s="19"/>
      <c r="X795" s="19"/>
      <c r="Y795" s="19"/>
      <c r="Z795" s="23"/>
    </row>
    <row r="796" spans="1:26" ht="15.75" customHeight="1" x14ac:dyDescent="0.2">
      <c r="A796" s="34"/>
      <c r="B796" s="34"/>
      <c r="C796" s="34"/>
      <c r="D796" s="34"/>
      <c r="E796" s="19"/>
      <c r="F796" s="19"/>
      <c r="G796" s="19"/>
      <c r="H796" s="19"/>
      <c r="I796" s="19"/>
      <c r="J796" s="19"/>
      <c r="K796" s="19"/>
      <c r="L796" s="19"/>
      <c r="M796" s="19"/>
      <c r="N796" s="19"/>
      <c r="O796" s="19"/>
      <c r="P796" s="20"/>
      <c r="Q796" s="20"/>
      <c r="R796" s="22"/>
      <c r="S796" s="22"/>
      <c r="T796" s="20"/>
      <c r="U796" s="20"/>
      <c r="V796" s="20"/>
      <c r="W796" s="19"/>
      <c r="X796" s="19"/>
      <c r="Y796" s="19"/>
      <c r="Z796" s="23"/>
    </row>
    <row r="797" spans="1:26" ht="15.75" customHeight="1" x14ac:dyDescent="0.2">
      <c r="A797" s="34"/>
      <c r="B797" s="34"/>
      <c r="C797" s="34"/>
      <c r="D797" s="34"/>
      <c r="E797" s="19"/>
      <c r="F797" s="19"/>
      <c r="G797" s="19"/>
      <c r="H797" s="19"/>
      <c r="I797" s="19"/>
      <c r="J797" s="19"/>
      <c r="K797" s="19"/>
      <c r="L797" s="19"/>
      <c r="M797" s="19"/>
      <c r="N797" s="19"/>
      <c r="O797" s="19"/>
      <c r="P797" s="20"/>
      <c r="Q797" s="20"/>
      <c r="R797" s="22"/>
      <c r="S797" s="22"/>
      <c r="T797" s="20"/>
      <c r="U797" s="20"/>
      <c r="V797" s="20"/>
      <c r="W797" s="19"/>
      <c r="X797" s="19"/>
      <c r="Y797" s="19"/>
      <c r="Z797" s="23"/>
    </row>
    <row r="798" spans="1:26" ht="15.75" customHeight="1" x14ac:dyDescent="0.2">
      <c r="A798" s="34"/>
      <c r="B798" s="34"/>
      <c r="C798" s="34"/>
      <c r="D798" s="34"/>
      <c r="E798" s="19"/>
      <c r="F798" s="19"/>
      <c r="G798" s="19"/>
      <c r="H798" s="19"/>
      <c r="I798" s="19"/>
      <c r="J798" s="19"/>
      <c r="K798" s="19"/>
      <c r="L798" s="19"/>
      <c r="M798" s="19"/>
      <c r="N798" s="19"/>
      <c r="O798" s="19"/>
      <c r="P798" s="20"/>
      <c r="Q798" s="20"/>
      <c r="R798" s="22"/>
      <c r="S798" s="22"/>
      <c r="T798" s="20"/>
      <c r="U798" s="20"/>
      <c r="V798" s="20"/>
      <c r="W798" s="19"/>
      <c r="X798" s="19"/>
      <c r="Y798" s="19"/>
      <c r="Z798" s="23"/>
    </row>
    <row r="799" spans="1:26" ht="15.75" customHeight="1" x14ac:dyDescent="0.2">
      <c r="A799" s="34"/>
      <c r="B799" s="34"/>
      <c r="C799" s="34"/>
      <c r="D799" s="34"/>
      <c r="E799" s="19"/>
      <c r="F799" s="19"/>
      <c r="G799" s="19"/>
      <c r="H799" s="19"/>
      <c r="I799" s="19"/>
      <c r="J799" s="19"/>
      <c r="K799" s="19"/>
      <c r="L799" s="19"/>
      <c r="M799" s="19"/>
      <c r="N799" s="19"/>
      <c r="O799" s="19"/>
      <c r="P799" s="20"/>
      <c r="Q799" s="20"/>
      <c r="R799" s="22"/>
      <c r="S799" s="22"/>
      <c r="T799" s="20"/>
      <c r="U799" s="20"/>
      <c r="V799" s="20"/>
      <c r="W799" s="19"/>
      <c r="X799" s="19"/>
      <c r="Y799" s="19"/>
      <c r="Z799" s="23"/>
    </row>
    <row r="800" spans="1:26" ht="15.75" customHeight="1" x14ac:dyDescent="0.2">
      <c r="A800" s="34"/>
      <c r="B800" s="34"/>
      <c r="C800" s="34"/>
      <c r="D800" s="34"/>
      <c r="E800" s="19"/>
      <c r="F800" s="19"/>
      <c r="G800" s="19"/>
      <c r="H800" s="19"/>
      <c r="I800" s="19"/>
      <c r="J800" s="19"/>
      <c r="K800" s="19"/>
      <c r="L800" s="19"/>
      <c r="M800" s="19"/>
      <c r="N800" s="19"/>
      <c r="O800" s="19"/>
      <c r="P800" s="20"/>
      <c r="Q800" s="20"/>
      <c r="R800" s="22"/>
      <c r="S800" s="22"/>
      <c r="T800" s="20"/>
      <c r="U800" s="20"/>
      <c r="V800" s="20"/>
      <c r="W800" s="19"/>
      <c r="X800" s="19"/>
      <c r="Y800" s="19"/>
      <c r="Z800" s="23"/>
    </row>
    <row r="801" spans="1:26" ht="15.75" customHeight="1" x14ac:dyDescent="0.2">
      <c r="A801" s="34"/>
      <c r="B801" s="34"/>
      <c r="C801" s="34"/>
      <c r="D801" s="34"/>
      <c r="E801" s="19"/>
      <c r="F801" s="19"/>
      <c r="G801" s="19"/>
      <c r="H801" s="19"/>
      <c r="I801" s="19"/>
      <c r="J801" s="19"/>
      <c r="K801" s="19"/>
      <c r="L801" s="19"/>
      <c r="M801" s="19"/>
      <c r="N801" s="19"/>
      <c r="O801" s="19"/>
      <c r="P801" s="20"/>
      <c r="Q801" s="20"/>
      <c r="R801" s="22"/>
      <c r="S801" s="22"/>
      <c r="T801" s="20"/>
      <c r="U801" s="20"/>
      <c r="V801" s="20"/>
      <c r="W801" s="19"/>
      <c r="X801" s="19"/>
      <c r="Y801" s="19"/>
      <c r="Z801" s="23"/>
    </row>
    <row r="802" spans="1:26" ht="15.75" customHeight="1" x14ac:dyDescent="0.2">
      <c r="A802" s="34"/>
      <c r="B802" s="34"/>
      <c r="C802" s="34"/>
      <c r="D802" s="34"/>
      <c r="E802" s="19"/>
      <c r="F802" s="19"/>
      <c r="G802" s="19"/>
      <c r="H802" s="19"/>
      <c r="I802" s="19"/>
      <c r="J802" s="19"/>
      <c r="K802" s="19"/>
      <c r="L802" s="19"/>
      <c r="M802" s="19"/>
      <c r="N802" s="19"/>
      <c r="O802" s="19"/>
      <c r="P802" s="20"/>
      <c r="Q802" s="20"/>
      <c r="R802" s="22"/>
      <c r="S802" s="22"/>
      <c r="T802" s="20"/>
      <c r="U802" s="20"/>
      <c r="V802" s="20"/>
      <c r="W802" s="19"/>
      <c r="X802" s="19"/>
      <c r="Y802" s="19"/>
      <c r="Z802" s="23"/>
    </row>
    <row r="803" spans="1:26" ht="15.75" customHeight="1" x14ac:dyDescent="0.2">
      <c r="A803" s="34"/>
      <c r="B803" s="34"/>
      <c r="C803" s="34"/>
      <c r="D803" s="34"/>
      <c r="E803" s="19"/>
      <c r="F803" s="19"/>
      <c r="G803" s="19"/>
      <c r="H803" s="19"/>
      <c r="I803" s="19"/>
      <c r="J803" s="19"/>
      <c r="K803" s="19"/>
      <c r="L803" s="19"/>
      <c r="M803" s="19"/>
      <c r="N803" s="19"/>
      <c r="O803" s="19"/>
      <c r="P803" s="20"/>
      <c r="Q803" s="20"/>
      <c r="R803" s="22"/>
      <c r="S803" s="22"/>
      <c r="T803" s="20"/>
      <c r="U803" s="20"/>
      <c r="V803" s="20"/>
      <c r="W803" s="19"/>
      <c r="X803" s="19"/>
      <c r="Y803" s="19"/>
      <c r="Z803" s="23"/>
    </row>
    <row r="804" spans="1:26" ht="15.75" customHeight="1" x14ac:dyDescent="0.2">
      <c r="A804" s="34"/>
      <c r="B804" s="34"/>
      <c r="C804" s="34"/>
      <c r="D804" s="34"/>
      <c r="E804" s="19"/>
      <c r="F804" s="19"/>
      <c r="G804" s="19"/>
      <c r="H804" s="19"/>
      <c r="I804" s="19"/>
      <c r="J804" s="19"/>
      <c r="K804" s="19"/>
      <c r="L804" s="19"/>
      <c r="M804" s="19"/>
      <c r="N804" s="19"/>
      <c r="O804" s="19"/>
      <c r="P804" s="20"/>
      <c r="Q804" s="20"/>
      <c r="R804" s="22"/>
      <c r="S804" s="22"/>
      <c r="T804" s="20"/>
      <c r="U804" s="20"/>
      <c r="V804" s="20"/>
      <c r="W804" s="19"/>
      <c r="X804" s="19"/>
      <c r="Y804" s="19"/>
      <c r="Z804" s="23"/>
    </row>
    <row r="805" spans="1:26" ht="15.75" customHeight="1" x14ac:dyDescent="0.2">
      <c r="A805" s="34"/>
      <c r="B805" s="34"/>
      <c r="C805" s="34"/>
      <c r="D805" s="34"/>
      <c r="E805" s="19"/>
      <c r="F805" s="19"/>
      <c r="G805" s="19"/>
      <c r="H805" s="19"/>
      <c r="I805" s="19"/>
      <c r="J805" s="19"/>
      <c r="K805" s="19"/>
      <c r="L805" s="19"/>
      <c r="M805" s="19"/>
      <c r="N805" s="19"/>
      <c r="O805" s="19"/>
      <c r="P805" s="20"/>
      <c r="Q805" s="20"/>
      <c r="R805" s="22"/>
      <c r="S805" s="22"/>
      <c r="T805" s="20"/>
      <c r="U805" s="20"/>
      <c r="V805" s="20"/>
      <c r="W805" s="19"/>
      <c r="X805" s="19"/>
      <c r="Y805" s="19"/>
      <c r="Z805" s="23"/>
    </row>
    <row r="806" spans="1:26" ht="15.75" customHeight="1" x14ac:dyDescent="0.2">
      <c r="A806" s="34"/>
      <c r="B806" s="34"/>
      <c r="C806" s="34"/>
      <c r="D806" s="34"/>
      <c r="E806" s="19"/>
      <c r="F806" s="19"/>
      <c r="G806" s="19"/>
      <c r="H806" s="19"/>
      <c r="I806" s="19"/>
      <c r="J806" s="19"/>
      <c r="K806" s="19"/>
      <c r="L806" s="19"/>
      <c r="M806" s="19"/>
      <c r="N806" s="19"/>
      <c r="O806" s="19"/>
      <c r="P806" s="20"/>
      <c r="Q806" s="20"/>
      <c r="R806" s="22"/>
      <c r="S806" s="22"/>
      <c r="T806" s="20"/>
      <c r="U806" s="20"/>
      <c r="V806" s="20"/>
      <c r="W806" s="19"/>
      <c r="X806" s="19"/>
      <c r="Y806" s="19"/>
      <c r="Z806" s="23"/>
    </row>
    <row r="807" spans="1:26" ht="15.75" customHeight="1" x14ac:dyDescent="0.2">
      <c r="A807" s="34"/>
      <c r="B807" s="34"/>
      <c r="C807" s="34"/>
      <c r="D807" s="34"/>
      <c r="E807" s="19"/>
      <c r="F807" s="19"/>
      <c r="G807" s="19"/>
      <c r="H807" s="19"/>
      <c r="I807" s="19"/>
      <c r="J807" s="19"/>
      <c r="K807" s="19"/>
      <c r="L807" s="19"/>
      <c r="M807" s="19"/>
      <c r="N807" s="19"/>
      <c r="O807" s="19"/>
      <c r="P807" s="20"/>
      <c r="Q807" s="20"/>
      <c r="R807" s="22"/>
      <c r="S807" s="22"/>
      <c r="T807" s="20"/>
      <c r="U807" s="20"/>
      <c r="V807" s="20"/>
      <c r="W807" s="19"/>
      <c r="X807" s="19"/>
      <c r="Y807" s="19"/>
      <c r="Z807" s="23"/>
    </row>
    <row r="808" spans="1:26" ht="15.75" customHeight="1" x14ac:dyDescent="0.2">
      <c r="A808" s="34"/>
      <c r="B808" s="34"/>
      <c r="C808" s="34"/>
      <c r="D808" s="34"/>
      <c r="E808" s="19"/>
      <c r="F808" s="19"/>
      <c r="G808" s="19"/>
      <c r="H808" s="19"/>
      <c r="I808" s="19"/>
      <c r="J808" s="19"/>
      <c r="K808" s="19"/>
      <c r="L808" s="19"/>
      <c r="M808" s="19"/>
      <c r="N808" s="19"/>
      <c r="O808" s="19"/>
      <c r="P808" s="20"/>
      <c r="Q808" s="20"/>
      <c r="R808" s="22"/>
      <c r="S808" s="22"/>
      <c r="T808" s="20"/>
      <c r="U808" s="20"/>
      <c r="V808" s="20"/>
      <c r="W808" s="19"/>
      <c r="X808" s="19"/>
      <c r="Y808" s="19"/>
      <c r="Z808" s="23"/>
    </row>
    <row r="809" spans="1:26" ht="15.75" customHeight="1" x14ac:dyDescent="0.2">
      <c r="A809" s="34"/>
      <c r="B809" s="34"/>
      <c r="C809" s="34"/>
      <c r="D809" s="34"/>
      <c r="E809" s="19"/>
      <c r="F809" s="19"/>
      <c r="G809" s="19"/>
      <c r="H809" s="19"/>
      <c r="I809" s="19"/>
      <c r="J809" s="19"/>
      <c r="K809" s="19"/>
      <c r="L809" s="19"/>
      <c r="M809" s="19"/>
      <c r="N809" s="19"/>
      <c r="O809" s="19"/>
      <c r="P809" s="20"/>
      <c r="Q809" s="20"/>
      <c r="R809" s="22"/>
      <c r="S809" s="22"/>
      <c r="T809" s="20"/>
      <c r="U809" s="20"/>
      <c r="V809" s="20"/>
      <c r="W809" s="19"/>
      <c r="X809" s="19"/>
      <c r="Y809" s="19"/>
      <c r="Z809" s="23"/>
    </row>
    <row r="810" spans="1:26" ht="15.75" customHeight="1" x14ac:dyDescent="0.2">
      <c r="A810" s="34"/>
      <c r="B810" s="34"/>
      <c r="C810" s="34"/>
      <c r="D810" s="34"/>
      <c r="E810" s="19"/>
      <c r="F810" s="19"/>
      <c r="G810" s="19"/>
      <c r="H810" s="19"/>
      <c r="I810" s="19"/>
      <c r="J810" s="19"/>
      <c r="K810" s="19"/>
      <c r="L810" s="19"/>
      <c r="M810" s="19"/>
      <c r="N810" s="19"/>
      <c r="O810" s="19"/>
      <c r="P810" s="20"/>
      <c r="Q810" s="20"/>
      <c r="R810" s="22"/>
      <c r="S810" s="22"/>
      <c r="T810" s="20"/>
      <c r="U810" s="20"/>
      <c r="V810" s="20"/>
      <c r="W810" s="19"/>
      <c r="X810" s="19"/>
      <c r="Y810" s="19"/>
      <c r="Z810" s="23"/>
    </row>
    <row r="811" spans="1:26" ht="15.75" customHeight="1" x14ac:dyDescent="0.2">
      <c r="A811" s="34"/>
      <c r="B811" s="34"/>
      <c r="C811" s="34"/>
      <c r="D811" s="34"/>
      <c r="E811" s="19"/>
      <c r="F811" s="19"/>
      <c r="G811" s="19"/>
      <c r="H811" s="19"/>
      <c r="I811" s="19"/>
      <c r="J811" s="19"/>
      <c r="K811" s="19"/>
      <c r="L811" s="19"/>
      <c r="M811" s="19"/>
      <c r="N811" s="19"/>
      <c r="O811" s="19"/>
      <c r="P811" s="20"/>
      <c r="Q811" s="20"/>
      <c r="R811" s="22"/>
      <c r="S811" s="22"/>
      <c r="T811" s="20"/>
      <c r="U811" s="20"/>
      <c r="V811" s="20"/>
      <c r="W811" s="19"/>
      <c r="X811" s="19"/>
      <c r="Y811" s="19"/>
      <c r="Z811" s="23"/>
    </row>
    <row r="812" spans="1:26" ht="15.75" customHeight="1" x14ac:dyDescent="0.2">
      <c r="A812" s="34"/>
      <c r="B812" s="34"/>
      <c r="C812" s="34"/>
      <c r="D812" s="34"/>
      <c r="E812" s="19"/>
      <c r="F812" s="19"/>
      <c r="G812" s="19"/>
      <c r="H812" s="19"/>
      <c r="I812" s="19"/>
      <c r="J812" s="19"/>
      <c r="K812" s="19"/>
      <c r="L812" s="19"/>
      <c r="M812" s="19"/>
      <c r="N812" s="19"/>
      <c r="O812" s="19"/>
      <c r="P812" s="20"/>
      <c r="Q812" s="20"/>
      <c r="R812" s="22"/>
      <c r="S812" s="22"/>
      <c r="T812" s="20"/>
      <c r="U812" s="20"/>
      <c r="V812" s="20"/>
      <c r="W812" s="19"/>
      <c r="X812" s="19"/>
      <c r="Y812" s="19"/>
      <c r="Z812" s="23"/>
    </row>
    <row r="813" spans="1:26" ht="15.75" customHeight="1" x14ac:dyDescent="0.2">
      <c r="A813" s="34"/>
      <c r="B813" s="34"/>
      <c r="C813" s="34"/>
      <c r="D813" s="34"/>
      <c r="E813" s="19"/>
      <c r="F813" s="19"/>
      <c r="G813" s="19"/>
      <c r="H813" s="19"/>
      <c r="I813" s="19"/>
      <c r="J813" s="19"/>
      <c r="K813" s="19"/>
      <c r="L813" s="19"/>
      <c r="M813" s="19"/>
      <c r="N813" s="19"/>
      <c r="O813" s="19"/>
      <c r="P813" s="20"/>
      <c r="Q813" s="20"/>
      <c r="R813" s="22"/>
      <c r="S813" s="22"/>
      <c r="T813" s="20"/>
      <c r="U813" s="20"/>
      <c r="V813" s="20"/>
      <c r="W813" s="19"/>
      <c r="X813" s="19"/>
      <c r="Y813" s="19"/>
      <c r="Z813" s="23"/>
    </row>
    <row r="814" spans="1:26" ht="15.75" customHeight="1" x14ac:dyDescent="0.2">
      <c r="A814" s="34"/>
      <c r="B814" s="34"/>
      <c r="C814" s="34"/>
      <c r="D814" s="34"/>
      <c r="E814" s="19"/>
      <c r="F814" s="19"/>
      <c r="G814" s="19"/>
      <c r="H814" s="19"/>
      <c r="I814" s="19"/>
      <c r="J814" s="19"/>
      <c r="K814" s="19"/>
      <c r="L814" s="19"/>
      <c r="M814" s="19"/>
      <c r="N814" s="19"/>
      <c r="O814" s="19"/>
      <c r="P814" s="20"/>
      <c r="Q814" s="20"/>
      <c r="R814" s="22"/>
      <c r="S814" s="22"/>
      <c r="T814" s="20"/>
      <c r="U814" s="20"/>
      <c r="V814" s="20"/>
      <c r="W814" s="19"/>
      <c r="X814" s="19"/>
      <c r="Y814" s="19"/>
      <c r="Z814" s="23"/>
    </row>
    <row r="815" spans="1:26" ht="15.75" customHeight="1" x14ac:dyDescent="0.2">
      <c r="A815" s="34"/>
      <c r="B815" s="34"/>
      <c r="C815" s="34"/>
      <c r="D815" s="34"/>
      <c r="E815" s="19"/>
      <c r="F815" s="19"/>
      <c r="G815" s="19"/>
      <c r="H815" s="19"/>
      <c r="I815" s="19"/>
      <c r="J815" s="19"/>
      <c r="K815" s="19"/>
      <c r="L815" s="19"/>
      <c r="M815" s="19"/>
      <c r="N815" s="19"/>
      <c r="O815" s="19"/>
      <c r="P815" s="20"/>
      <c r="Q815" s="20"/>
      <c r="R815" s="22"/>
      <c r="S815" s="22"/>
      <c r="T815" s="20"/>
      <c r="U815" s="20"/>
      <c r="V815" s="20"/>
      <c r="W815" s="19"/>
      <c r="X815" s="19"/>
      <c r="Y815" s="19"/>
      <c r="Z815" s="23"/>
    </row>
    <row r="816" spans="1:26" ht="15.75" customHeight="1" x14ac:dyDescent="0.2">
      <c r="A816" s="34"/>
      <c r="B816" s="34"/>
      <c r="C816" s="34"/>
      <c r="D816" s="34"/>
      <c r="E816" s="19"/>
      <c r="F816" s="19"/>
      <c r="G816" s="19"/>
      <c r="H816" s="19"/>
      <c r="I816" s="19"/>
      <c r="J816" s="19"/>
      <c r="K816" s="19"/>
      <c r="L816" s="19"/>
      <c r="M816" s="19"/>
      <c r="N816" s="19"/>
      <c r="O816" s="19"/>
      <c r="P816" s="20"/>
      <c r="Q816" s="20"/>
      <c r="R816" s="22"/>
      <c r="S816" s="22"/>
      <c r="T816" s="20"/>
      <c r="U816" s="20"/>
      <c r="V816" s="20"/>
      <c r="W816" s="19"/>
      <c r="X816" s="19"/>
      <c r="Y816" s="19"/>
      <c r="Z816" s="23"/>
    </row>
    <row r="817" spans="1:26" ht="15.75" customHeight="1" x14ac:dyDescent="0.2">
      <c r="A817" s="34"/>
      <c r="B817" s="34"/>
      <c r="C817" s="34"/>
      <c r="D817" s="34"/>
      <c r="E817" s="19"/>
      <c r="F817" s="19"/>
      <c r="G817" s="19"/>
      <c r="H817" s="19"/>
      <c r="I817" s="19"/>
      <c r="J817" s="19"/>
      <c r="K817" s="19"/>
      <c r="L817" s="19"/>
      <c r="M817" s="19"/>
      <c r="N817" s="19"/>
      <c r="O817" s="19"/>
      <c r="P817" s="20"/>
      <c r="Q817" s="20"/>
      <c r="R817" s="22"/>
      <c r="S817" s="22"/>
      <c r="T817" s="20"/>
      <c r="U817" s="20"/>
      <c r="V817" s="20"/>
      <c r="W817" s="19"/>
      <c r="X817" s="19"/>
      <c r="Y817" s="19"/>
      <c r="Z817" s="23"/>
    </row>
    <row r="818" spans="1:26" ht="15.75" customHeight="1" x14ac:dyDescent="0.2">
      <c r="A818" s="34"/>
      <c r="B818" s="34"/>
      <c r="C818" s="34"/>
      <c r="D818" s="34"/>
      <c r="E818" s="19"/>
      <c r="F818" s="19"/>
      <c r="G818" s="19"/>
      <c r="H818" s="19"/>
      <c r="I818" s="19"/>
      <c r="J818" s="19"/>
      <c r="K818" s="19"/>
      <c r="L818" s="19"/>
      <c r="M818" s="19"/>
      <c r="N818" s="19"/>
      <c r="O818" s="19"/>
      <c r="P818" s="20"/>
      <c r="Q818" s="20"/>
      <c r="R818" s="22"/>
      <c r="S818" s="22"/>
      <c r="T818" s="20"/>
      <c r="U818" s="20"/>
      <c r="V818" s="20"/>
      <c r="W818" s="19"/>
      <c r="X818" s="19"/>
      <c r="Y818" s="19"/>
      <c r="Z818" s="23"/>
    </row>
    <row r="819" spans="1:26" ht="15.75" customHeight="1" x14ac:dyDescent="0.2">
      <c r="A819" s="34"/>
      <c r="B819" s="34"/>
      <c r="C819" s="34"/>
      <c r="D819" s="34"/>
      <c r="E819" s="19"/>
      <c r="F819" s="19"/>
      <c r="G819" s="19"/>
      <c r="H819" s="19"/>
      <c r="I819" s="19"/>
      <c r="J819" s="19"/>
      <c r="K819" s="19"/>
      <c r="L819" s="19"/>
      <c r="M819" s="19"/>
      <c r="N819" s="19"/>
      <c r="O819" s="19"/>
      <c r="P819" s="20"/>
      <c r="Q819" s="20"/>
      <c r="R819" s="22"/>
      <c r="S819" s="22"/>
      <c r="T819" s="20"/>
      <c r="U819" s="20"/>
      <c r="V819" s="20"/>
      <c r="W819" s="19"/>
      <c r="X819" s="19"/>
      <c r="Y819" s="19"/>
      <c r="Z819" s="23"/>
    </row>
    <row r="820" spans="1:26" ht="15.75" customHeight="1" x14ac:dyDescent="0.2">
      <c r="A820" s="34"/>
      <c r="B820" s="34"/>
      <c r="C820" s="34"/>
      <c r="D820" s="34"/>
      <c r="E820" s="19"/>
      <c r="F820" s="19"/>
      <c r="G820" s="19"/>
      <c r="H820" s="19"/>
      <c r="I820" s="19"/>
      <c r="J820" s="19"/>
      <c r="K820" s="19"/>
      <c r="L820" s="19"/>
      <c r="M820" s="19"/>
      <c r="N820" s="19"/>
      <c r="O820" s="19"/>
      <c r="P820" s="20"/>
      <c r="Q820" s="20"/>
      <c r="R820" s="22"/>
      <c r="S820" s="22"/>
      <c r="T820" s="20"/>
      <c r="U820" s="20"/>
      <c r="V820" s="20"/>
      <c r="W820" s="19"/>
      <c r="X820" s="19"/>
      <c r="Y820" s="19"/>
      <c r="Z820" s="23"/>
    </row>
    <row r="821" spans="1:26" ht="15.75" customHeight="1" x14ac:dyDescent="0.2">
      <c r="A821" s="34"/>
      <c r="B821" s="34"/>
      <c r="C821" s="34"/>
      <c r="D821" s="34"/>
      <c r="E821" s="19"/>
      <c r="F821" s="19"/>
      <c r="G821" s="19"/>
      <c r="H821" s="19"/>
      <c r="I821" s="19"/>
      <c r="J821" s="19"/>
      <c r="K821" s="19"/>
      <c r="L821" s="19"/>
      <c r="M821" s="19"/>
      <c r="N821" s="19"/>
      <c r="O821" s="19"/>
      <c r="P821" s="20"/>
      <c r="Q821" s="20"/>
      <c r="R821" s="22"/>
      <c r="S821" s="22"/>
      <c r="T821" s="20"/>
      <c r="U821" s="20"/>
      <c r="V821" s="20"/>
      <c r="W821" s="19"/>
      <c r="X821" s="19"/>
      <c r="Y821" s="19"/>
      <c r="Z821" s="23"/>
    </row>
    <row r="822" spans="1:26" ht="15.75" customHeight="1" x14ac:dyDescent="0.2">
      <c r="A822" s="34"/>
      <c r="B822" s="34"/>
      <c r="C822" s="34"/>
      <c r="D822" s="34"/>
      <c r="E822" s="19"/>
      <c r="F822" s="19"/>
      <c r="G822" s="19"/>
      <c r="H822" s="19"/>
      <c r="I822" s="19"/>
      <c r="J822" s="19"/>
      <c r="K822" s="19"/>
      <c r="L822" s="19"/>
      <c r="M822" s="19"/>
      <c r="N822" s="19"/>
      <c r="O822" s="19"/>
      <c r="P822" s="20"/>
      <c r="Q822" s="20"/>
      <c r="R822" s="22"/>
      <c r="S822" s="22"/>
      <c r="T822" s="20"/>
      <c r="U822" s="20"/>
      <c r="V822" s="20"/>
      <c r="W822" s="19"/>
      <c r="X822" s="19"/>
      <c r="Y822" s="19"/>
      <c r="Z822" s="23"/>
    </row>
    <row r="823" spans="1:26" ht="15.75" customHeight="1" x14ac:dyDescent="0.2">
      <c r="A823" s="34"/>
      <c r="B823" s="34"/>
      <c r="C823" s="34"/>
      <c r="D823" s="34"/>
      <c r="E823" s="19"/>
      <c r="F823" s="19"/>
      <c r="G823" s="19"/>
      <c r="H823" s="19"/>
      <c r="I823" s="19"/>
      <c r="J823" s="19"/>
      <c r="K823" s="19"/>
      <c r="L823" s="19"/>
      <c r="M823" s="19"/>
      <c r="N823" s="19"/>
      <c r="O823" s="19"/>
      <c r="P823" s="20"/>
      <c r="Q823" s="20"/>
      <c r="R823" s="22"/>
      <c r="S823" s="22"/>
      <c r="T823" s="20"/>
      <c r="U823" s="20"/>
      <c r="V823" s="20"/>
      <c r="W823" s="19"/>
      <c r="X823" s="19"/>
      <c r="Y823" s="19"/>
      <c r="Z823" s="23"/>
    </row>
    <row r="824" spans="1:26" ht="15.75" customHeight="1" x14ac:dyDescent="0.2">
      <c r="A824" s="34"/>
      <c r="B824" s="34"/>
      <c r="C824" s="34"/>
      <c r="D824" s="34"/>
      <c r="E824" s="19"/>
      <c r="F824" s="19"/>
      <c r="G824" s="19"/>
      <c r="H824" s="19"/>
      <c r="I824" s="19"/>
      <c r="J824" s="19"/>
      <c r="K824" s="19"/>
      <c r="L824" s="19"/>
      <c r="M824" s="19"/>
      <c r="N824" s="19"/>
      <c r="O824" s="19"/>
      <c r="P824" s="20"/>
      <c r="Q824" s="20"/>
      <c r="R824" s="22"/>
      <c r="S824" s="22"/>
      <c r="T824" s="20"/>
      <c r="U824" s="20"/>
      <c r="V824" s="20"/>
      <c r="W824" s="19"/>
      <c r="X824" s="19"/>
      <c r="Y824" s="19"/>
      <c r="Z824" s="23"/>
    </row>
    <row r="825" spans="1:26" ht="15.75" customHeight="1" x14ac:dyDescent="0.2">
      <c r="A825" s="34"/>
      <c r="B825" s="34"/>
      <c r="C825" s="34"/>
      <c r="D825" s="34"/>
      <c r="E825" s="19"/>
      <c r="F825" s="19"/>
      <c r="G825" s="19"/>
      <c r="H825" s="19"/>
      <c r="I825" s="19"/>
      <c r="J825" s="19"/>
      <c r="K825" s="19"/>
      <c r="L825" s="19"/>
      <c r="M825" s="19"/>
      <c r="N825" s="19"/>
      <c r="O825" s="19"/>
      <c r="P825" s="20"/>
      <c r="Q825" s="20"/>
      <c r="R825" s="22"/>
      <c r="S825" s="22"/>
      <c r="T825" s="20"/>
      <c r="U825" s="20"/>
      <c r="V825" s="20"/>
      <c r="W825" s="19"/>
      <c r="X825" s="19"/>
      <c r="Y825" s="19"/>
      <c r="Z825" s="23"/>
    </row>
    <row r="826" spans="1:26" ht="15.75" customHeight="1" x14ac:dyDescent="0.2">
      <c r="A826" s="34"/>
      <c r="B826" s="34"/>
      <c r="C826" s="34"/>
      <c r="D826" s="34"/>
      <c r="E826" s="19"/>
      <c r="F826" s="19"/>
      <c r="G826" s="19"/>
      <c r="H826" s="19"/>
      <c r="I826" s="19"/>
      <c r="J826" s="19"/>
      <c r="K826" s="19"/>
      <c r="L826" s="19"/>
      <c r="M826" s="19"/>
      <c r="N826" s="19"/>
      <c r="O826" s="19"/>
      <c r="P826" s="20"/>
      <c r="Q826" s="20"/>
      <c r="R826" s="22"/>
      <c r="S826" s="22"/>
      <c r="T826" s="20"/>
      <c r="U826" s="20"/>
      <c r="V826" s="20"/>
      <c r="W826" s="19"/>
      <c r="X826" s="19"/>
      <c r="Y826" s="19"/>
      <c r="Z826" s="23"/>
    </row>
    <row r="827" spans="1:26" ht="15.75" customHeight="1" x14ac:dyDescent="0.2">
      <c r="A827" s="34"/>
      <c r="B827" s="34"/>
      <c r="C827" s="34"/>
      <c r="D827" s="34"/>
      <c r="E827" s="19"/>
      <c r="F827" s="19"/>
      <c r="G827" s="19"/>
      <c r="H827" s="19"/>
      <c r="I827" s="19"/>
      <c r="J827" s="19"/>
      <c r="K827" s="19"/>
      <c r="L827" s="19"/>
      <c r="M827" s="19"/>
      <c r="N827" s="19"/>
      <c r="O827" s="19"/>
      <c r="P827" s="20"/>
      <c r="Q827" s="20"/>
      <c r="R827" s="22"/>
      <c r="S827" s="22"/>
      <c r="T827" s="20"/>
      <c r="U827" s="20"/>
      <c r="V827" s="20"/>
      <c r="W827" s="19"/>
      <c r="X827" s="19"/>
      <c r="Y827" s="19"/>
      <c r="Z827" s="23"/>
    </row>
    <row r="828" spans="1:26" ht="15.75" customHeight="1" x14ac:dyDescent="0.2">
      <c r="A828" s="34"/>
      <c r="B828" s="34"/>
      <c r="C828" s="34"/>
      <c r="D828" s="34"/>
      <c r="E828" s="19"/>
      <c r="F828" s="19"/>
      <c r="G828" s="19"/>
      <c r="H828" s="19"/>
      <c r="I828" s="19"/>
      <c r="J828" s="19"/>
      <c r="K828" s="19"/>
      <c r="L828" s="19"/>
      <c r="M828" s="19"/>
      <c r="N828" s="19"/>
      <c r="O828" s="19"/>
      <c r="P828" s="20"/>
      <c r="Q828" s="20"/>
      <c r="R828" s="22"/>
      <c r="S828" s="22"/>
      <c r="T828" s="20"/>
      <c r="U828" s="20"/>
      <c r="V828" s="20"/>
      <c r="W828" s="19"/>
      <c r="X828" s="19"/>
      <c r="Y828" s="19"/>
      <c r="Z828" s="23"/>
    </row>
    <row r="829" spans="1:26" ht="15.75" customHeight="1" x14ac:dyDescent="0.2">
      <c r="A829" s="34"/>
      <c r="B829" s="34"/>
      <c r="C829" s="34"/>
      <c r="D829" s="34"/>
      <c r="E829" s="19"/>
      <c r="F829" s="19"/>
      <c r="G829" s="19"/>
      <c r="H829" s="19"/>
      <c r="I829" s="19"/>
      <c r="J829" s="19"/>
      <c r="K829" s="19"/>
      <c r="L829" s="19"/>
      <c r="M829" s="19"/>
      <c r="N829" s="19"/>
      <c r="O829" s="19"/>
      <c r="P829" s="20"/>
      <c r="Q829" s="20"/>
      <c r="R829" s="22"/>
      <c r="S829" s="22"/>
      <c r="T829" s="20"/>
      <c r="U829" s="20"/>
      <c r="V829" s="20"/>
      <c r="W829" s="19"/>
      <c r="X829" s="19"/>
      <c r="Y829" s="19"/>
      <c r="Z829" s="23"/>
    </row>
    <row r="830" spans="1:26" ht="15.75" customHeight="1" x14ac:dyDescent="0.2">
      <c r="A830" s="34"/>
      <c r="B830" s="34"/>
      <c r="C830" s="34"/>
      <c r="D830" s="34"/>
      <c r="E830" s="19"/>
      <c r="F830" s="19"/>
      <c r="G830" s="19"/>
      <c r="H830" s="19"/>
      <c r="I830" s="19"/>
      <c r="J830" s="19"/>
      <c r="K830" s="19"/>
      <c r="L830" s="19"/>
      <c r="M830" s="19"/>
      <c r="N830" s="19"/>
      <c r="O830" s="19"/>
      <c r="P830" s="20"/>
      <c r="Q830" s="20"/>
      <c r="R830" s="22"/>
      <c r="S830" s="22"/>
      <c r="T830" s="20"/>
      <c r="U830" s="20"/>
      <c r="V830" s="20"/>
      <c r="W830" s="19"/>
      <c r="X830" s="19"/>
      <c r="Y830" s="19"/>
      <c r="Z830" s="23"/>
    </row>
    <row r="831" spans="1:26" ht="15.75" customHeight="1" x14ac:dyDescent="0.2">
      <c r="A831" s="34"/>
      <c r="B831" s="34"/>
      <c r="C831" s="34"/>
      <c r="D831" s="34"/>
      <c r="E831" s="19"/>
      <c r="F831" s="19"/>
      <c r="G831" s="19"/>
      <c r="H831" s="19"/>
      <c r="I831" s="19"/>
      <c r="J831" s="19"/>
      <c r="K831" s="19"/>
      <c r="L831" s="19"/>
      <c r="M831" s="19"/>
      <c r="N831" s="19"/>
      <c r="O831" s="19"/>
      <c r="P831" s="20"/>
      <c r="Q831" s="20"/>
      <c r="R831" s="22"/>
      <c r="S831" s="22"/>
      <c r="T831" s="20"/>
      <c r="U831" s="20"/>
      <c r="V831" s="20"/>
      <c r="W831" s="19"/>
      <c r="X831" s="19"/>
      <c r="Y831" s="19"/>
      <c r="Z831" s="23"/>
    </row>
    <row r="832" spans="1:26" ht="15.75" customHeight="1" x14ac:dyDescent="0.2">
      <c r="A832" s="34"/>
      <c r="B832" s="34"/>
      <c r="C832" s="34"/>
      <c r="D832" s="34"/>
      <c r="E832" s="19"/>
      <c r="F832" s="19"/>
      <c r="G832" s="19"/>
      <c r="H832" s="19"/>
      <c r="I832" s="19"/>
      <c r="J832" s="19"/>
      <c r="K832" s="19"/>
      <c r="L832" s="19"/>
      <c r="M832" s="19"/>
      <c r="N832" s="19"/>
      <c r="O832" s="19"/>
      <c r="P832" s="20"/>
      <c r="Q832" s="20"/>
      <c r="R832" s="22"/>
      <c r="S832" s="22"/>
      <c r="T832" s="20"/>
      <c r="U832" s="20"/>
      <c r="V832" s="20"/>
      <c r="W832" s="19"/>
      <c r="X832" s="19"/>
      <c r="Y832" s="19"/>
      <c r="Z832" s="23"/>
    </row>
    <row r="833" spans="1:26" ht="15.75" customHeight="1" x14ac:dyDescent="0.2">
      <c r="A833" s="34"/>
      <c r="B833" s="34"/>
      <c r="C833" s="34"/>
      <c r="D833" s="34"/>
      <c r="E833" s="19"/>
      <c r="F833" s="19"/>
      <c r="G833" s="19"/>
      <c r="H833" s="19"/>
      <c r="I833" s="19"/>
      <c r="J833" s="19"/>
      <c r="K833" s="19"/>
      <c r="L833" s="19"/>
      <c r="M833" s="19"/>
      <c r="N833" s="19"/>
      <c r="O833" s="19"/>
      <c r="P833" s="20"/>
      <c r="Q833" s="20"/>
      <c r="R833" s="22"/>
      <c r="S833" s="22"/>
      <c r="T833" s="20"/>
      <c r="U833" s="20"/>
      <c r="V833" s="20"/>
      <c r="W833" s="19"/>
      <c r="X833" s="19"/>
      <c r="Y833" s="19"/>
      <c r="Z833" s="23"/>
    </row>
    <row r="834" spans="1:26" ht="15.75" customHeight="1" x14ac:dyDescent="0.2">
      <c r="A834" s="34"/>
      <c r="B834" s="34"/>
      <c r="C834" s="34"/>
      <c r="D834" s="34"/>
      <c r="E834" s="19"/>
      <c r="F834" s="19"/>
      <c r="G834" s="19"/>
      <c r="H834" s="19"/>
      <c r="I834" s="19"/>
      <c r="J834" s="19"/>
      <c r="K834" s="19"/>
      <c r="L834" s="19"/>
      <c r="M834" s="19"/>
      <c r="N834" s="19"/>
      <c r="O834" s="19"/>
      <c r="P834" s="20"/>
      <c r="Q834" s="20"/>
      <c r="R834" s="22"/>
      <c r="S834" s="22"/>
      <c r="T834" s="20"/>
      <c r="U834" s="20"/>
      <c r="V834" s="20"/>
      <c r="W834" s="19"/>
      <c r="X834" s="19"/>
      <c r="Y834" s="19"/>
      <c r="Z834" s="23"/>
    </row>
    <row r="835" spans="1:26" ht="15.75" customHeight="1" x14ac:dyDescent="0.2">
      <c r="A835" s="34"/>
      <c r="B835" s="34"/>
      <c r="C835" s="34"/>
      <c r="D835" s="34"/>
      <c r="E835" s="19"/>
      <c r="F835" s="19"/>
      <c r="G835" s="19"/>
      <c r="H835" s="19"/>
      <c r="I835" s="19"/>
      <c r="J835" s="19"/>
      <c r="K835" s="19"/>
      <c r="L835" s="19"/>
      <c r="M835" s="19"/>
      <c r="N835" s="19"/>
      <c r="O835" s="19"/>
      <c r="P835" s="20"/>
      <c r="Q835" s="20"/>
      <c r="R835" s="22"/>
      <c r="S835" s="22"/>
      <c r="T835" s="20"/>
      <c r="U835" s="20"/>
      <c r="V835" s="20"/>
      <c r="W835" s="19"/>
      <c r="X835" s="19"/>
      <c r="Y835" s="19"/>
      <c r="Z835" s="23"/>
    </row>
    <row r="836" spans="1:26" ht="15.75" customHeight="1" x14ac:dyDescent="0.2">
      <c r="A836" s="34"/>
      <c r="B836" s="34"/>
      <c r="C836" s="34"/>
      <c r="D836" s="34"/>
      <c r="E836" s="19"/>
      <c r="F836" s="19"/>
      <c r="G836" s="19"/>
      <c r="H836" s="19"/>
      <c r="I836" s="19"/>
      <c r="J836" s="19"/>
      <c r="K836" s="19"/>
      <c r="L836" s="19"/>
      <c r="M836" s="19"/>
      <c r="N836" s="19"/>
      <c r="O836" s="19"/>
      <c r="P836" s="20"/>
      <c r="Q836" s="20"/>
      <c r="R836" s="22"/>
      <c r="S836" s="22"/>
      <c r="T836" s="20"/>
      <c r="U836" s="20"/>
      <c r="V836" s="20"/>
      <c r="W836" s="19"/>
      <c r="X836" s="19"/>
      <c r="Y836" s="19"/>
      <c r="Z836" s="23"/>
    </row>
    <row r="837" spans="1:26" ht="15.75" customHeight="1" x14ac:dyDescent="0.2">
      <c r="A837" s="34"/>
      <c r="B837" s="34"/>
      <c r="C837" s="34"/>
      <c r="D837" s="34"/>
      <c r="E837" s="19"/>
      <c r="F837" s="19"/>
      <c r="G837" s="19"/>
      <c r="H837" s="19"/>
      <c r="I837" s="19"/>
      <c r="J837" s="19"/>
      <c r="K837" s="19"/>
      <c r="L837" s="19"/>
      <c r="M837" s="19"/>
      <c r="N837" s="19"/>
      <c r="O837" s="19"/>
      <c r="P837" s="20"/>
      <c r="Q837" s="20"/>
      <c r="R837" s="22"/>
      <c r="S837" s="22"/>
      <c r="T837" s="20"/>
      <c r="U837" s="20"/>
      <c r="V837" s="20"/>
      <c r="W837" s="19"/>
      <c r="X837" s="19"/>
      <c r="Y837" s="19"/>
      <c r="Z837" s="23"/>
    </row>
    <row r="838" spans="1:26" ht="15.75" customHeight="1" x14ac:dyDescent="0.2">
      <c r="A838" s="34"/>
      <c r="B838" s="34"/>
      <c r="C838" s="34"/>
      <c r="D838" s="34"/>
      <c r="E838" s="19"/>
      <c r="F838" s="19"/>
      <c r="G838" s="19"/>
      <c r="H838" s="19"/>
      <c r="I838" s="19"/>
      <c r="J838" s="19"/>
      <c r="K838" s="19"/>
      <c r="L838" s="19"/>
      <c r="M838" s="19"/>
      <c r="N838" s="19"/>
      <c r="O838" s="19"/>
      <c r="P838" s="20"/>
      <c r="Q838" s="20"/>
      <c r="R838" s="22"/>
      <c r="S838" s="22"/>
      <c r="T838" s="20"/>
      <c r="U838" s="20"/>
      <c r="V838" s="20"/>
      <c r="W838" s="19"/>
      <c r="X838" s="19"/>
      <c r="Y838" s="19"/>
      <c r="Z838" s="23"/>
    </row>
    <row r="839" spans="1:26" ht="15.75" customHeight="1" x14ac:dyDescent="0.2">
      <c r="A839" s="34"/>
      <c r="B839" s="34"/>
      <c r="C839" s="34"/>
      <c r="D839" s="34"/>
      <c r="E839" s="19"/>
      <c r="F839" s="19"/>
      <c r="G839" s="19"/>
      <c r="H839" s="19"/>
      <c r="I839" s="19"/>
      <c r="J839" s="19"/>
      <c r="K839" s="19"/>
      <c r="L839" s="19"/>
      <c r="M839" s="19"/>
      <c r="N839" s="19"/>
      <c r="O839" s="19"/>
      <c r="P839" s="20"/>
      <c r="Q839" s="20"/>
      <c r="R839" s="22"/>
      <c r="S839" s="22"/>
      <c r="T839" s="20"/>
      <c r="U839" s="20"/>
      <c r="V839" s="20"/>
      <c r="W839" s="19"/>
      <c r="X839" s="19"/>
      <c r="Y839" s="19"/>
      <c r="Z839" s="23"/>
    </row>
    <row r="840" spans="1:26" ht="15.75" customHeight="1" x14ac:dyDescent="0.2">
      <c r="A840" s="34"/>
      <c r="B840" s="34"/>
      <c r="C840" s="34"/>
      <c r="D840" s="34"/>
      <c r="E840" s="19"/>
      <c r="F840" s="19"/>
      <c r="G840" s="19"/>
      <c r="H840" s="19"/>
      <c r="I840" s="19"/>
      <c r="J840" s="19"/>
      <c r="K840" s="19"/>
      <c r="L840" s="19"/>
      <c r="M840" s="19"/>
      <c r="N840" s="19"/>
      <c r="O840" s="19"/>
      <c r="P840" s="20"/>
      <c r="Q840" s="20"/>
      <c r="R840" s="22"/>
      <c r="S840" s="22"/>
      <c r="T840" s="20"/>
      <c r="U840" s="20"/>
      <c r="V840" s="20"/>
      <c r="W840" s="19"/>
      <c r="X840" s="19"/>
      <c r="Y840" s="19"/>
      <c r="Z840" s="23"/>
    </row>
    <row r="841" spans="1:26" ht="15.75" customHeight="1" x14ac:dyDescent="0.2">
      <c r="A841" s="34"/>
      <c r="B841" s="34"/>
      <c r="C841" s="34"/>
      <c r="D841" s="34"/>
      <c r="E841" s="19"/>
      <c r="F841" s="19"/>
      <c r="G841" s="19"/>
      <c r="H841" s="19"/>
      <c r="I841" s="19"/>
      <c r="J841" s="19"/>
      <c r="K841" s="19"/>
      <c r="L841" s="19"/>
      <c r="M841" s="19"/>
      <c r="N841" s="19"/>
      <c r="O841" s="19"/>
      <c r="P841" s="20"/>
      <c r="Q841" s="20"/>
      <c r="R841" s="22"/>
      <c r="S841" s="22"/>
      <c r="T841" s="20"/>
      <c r="U841" s="20"/>
      <c r="V841" s="20"/>
      <c r="W841" s="19"/>
      <c r="X841" s="19"/>
      <c r="Y841" s="19"/>
      <c r="Z841" s="23"/>
    </row>
    <row r="842" spans="1:26" ht="15.75" customHeight="1" x14ac:dyDescent="0.2">
      <c r="A842" s="34"/>
      <c r="B842" s="34"/>
      <c r="C842" s="34"/>
      <c r="D842" s="34"/>
      <c r="E842" s="19"/>
      <c r="F842" s="19"/>
      <c r="G842" s="19"/>
      <c r="H842" s="19"/>
      <c r="I842" s="19"/>
      <c r="J842" s="19"/>
      <c r="K842" s="19"/>
      <c r="L842" s="19"/>
      <c r="M842" s="19"/>
      <c r="N842" s="19"/>
      <c r="O842" s="19"/>
      <c r="P842" s="20"/>
      <c r="Q842" s="20"/>
      <c r="R842" s="22"/>
      <c r="S842" s="22"/>
      <c r="T842" s="20"/>
      <c r="U842" s="20"/>
      <c r="V842" s="20"/>
      <c r="W842" s="19"/>
      <c r="X842" s="19"/>
      <c r="Y842" s="19"/>
      <c r="Z842" s="23"/>
    </row>
    <row r="843" spans="1:26" ht="15.75" customHeight="1" x14ac:dyDescent="0.2">
      <c r="A843" s="34"/>
      <c r="B843" s="34"/>
      <c r="C843" s="34"/>
      <c r="D843" s="34"/>
      <c r="E843" s="19"/>
      <c r="F843" s="19"/>
      <c r="G843" s="19"/>
      <c r="H843" s="19"/>
      <c r="I843" s="19"/>
      <c r="J843" s="19"/>
      <c r="K843" s="19"/>
      <c r="L843" s="19"/>
      <c r="M843" s="19"/>
      <c r="N843" s="19"/>
      <c r="O843" s="19"/>
      <c r="P843" s="20"/>
      <c r="Q843" s="20"/>
      <c r="R843" s="22"/>
      <c r="S843" s="22"/>
      <c r="T843" s="20"/>
      <c r="U843" s="20"/>
      <c r="V843" s="20"/>
      <c r="W843" s="19"/>
      <c r="X843" s="19"/>
      <c r="Y843" s="19"/>
      <c r="Z843" s="23"/>
    </row>
    <row r="844" spans="1:26" ht="15.75" customHeight="1" x14ac:dyDescent="0.2">
      <c r="A844" s="34"/>
      <c r="B844" s="34"/>
      <c r="C844" s="34"/>
      <c r="D844" s="34"/>
      <c r="E844" s="19"/>
      <c r="F844" s="19"/>
      <c r="G844" s="19"/>
      <c r="H844" s="19"/>
      <c r="I844" s="19"/>
      <c r="J844" s="19"/>
      <c r="K844" s="19"/>
      <c r="L844" s="19"/>
      <c r="M844" s="19"/>
      <c r="N844" s="19"/>
      <c r="O844" s="19"/>
      <c r="P844" s="20"/>
      <c r="Q844" s="20"/>
      <c r="R844" s="22"/>
      <c r="S844" s="22"/>
      <c r="T844" s="20"/>
      <c r="U844" s="20"/>
      <c r="V844" s="20"/>
      <c r="W844" s="19"/>
      <c r="X844" s="19"/>
      <c r="Y844" s="19"/>
      <c r="Z844" s="23"/>
    </row>
    <row r="845" spans="1:26" ht="15.75" customHeight="1" x14ac:dyDescent="0.2">
      <c r="A845" s="34"/>
      <c r="B845" s="34"/>
      <c r="C845" s="34"/>
      <c r="D845" s="34"/>
      <c r="E845" s="19"/>
      <c r="F845" s="19"/>
      <c r="G845" s="19"/>
      <c r="H845" s="19"/>
      <c r="I845" s="19"/>
      <c r="J845" s="19"/>
      <c r="K845" s="19"/>
      <c r="L845" s="19"/>
      <c r="M845" s="19"/>
      <c r="N845" s="19"/>
      <c r="O845" s="19"/>
      <c r="P845" s="20"/>
      <c r="Q845" s="20"/>
      <c r="R845" s="22"/>
      <c r="S845" s="22"/>
      <c r="T845" s="20"/>
      <c r="U845" s="20"/>
      <c r="V845" s="20"/>
      <c r="W845" s="19"/>
      <c r="X845" s="19"/>
      <c r="Y845" s="19"/>
      <c r="Z845" s="23"/>
    </row>
    <row r="846" spans="1:26" ht="15.75" customHeight="1" x14ac:dyDescent="0.2">
      <c r="A846" s="34"/>
      <c r="B846" s="34"/>
      <c r="C846" s="34"/>
      <c r="D846" s="34"/>
      <c r="E846" s="19"/>
      <c r="F846" s="19"/>
      <c r="G846" s="19"/>
      <c r="H846" s="19"/>
      <c r="I846" s="19"/>
      <c r="J846" s="19"/>
      <c r="K846" s="19"/>
      <c r="L846" s="19"/>
      <c r="M846" s="19"/>
      <c r="N846" s="19"/>
      <c r="O846" s="19"/>
      <c r="P846" s="20"/>
      <c r="Q846" s="20"/>
      <c r="R846" s="22"/>
      <c r="S846" s="22"/>
      <c r="T846" s="20"/>
      <c r="U846" s="20"/>
      <c r="V846" s="20"/>
      <c r="W846" s="19"/>
      <c r="X846" s="19"/>
      <c r="Y846" s="19"/>
      <c r="Z846" s="23"/>
    </row>
    <row r="847" spans="1:26" ht="15.75" customHeight="1" x14ac:dyDescent="0.2">
      <c r="A847" s="34"/>
      <c r="B847" s="34"/>
      <c r="C847" s="34"/>
      <c r="D847" s="34"/>
      <c r="E847" s="19"/>
      <c r="F847" s="19"/>
      <c r="G847" s="19"/>
      <c r="H847" s="19"/>
      <c r="I847" s="19"/>
      <c r="J847" s="19"/>
      <c r="K847" s="19"/>
      <c r="L847" s="19"/>
      <c r="M847" s="19"/>
      <c r="N847" s="19"/>
      <c r="O847" s="19"/>
      <c r="P847" s="20"/>
      <c r="Q847" s="20"/>
      <c r="R847" s="22"/>
      <c r="S847" s="22"/>
      <c r="T847" s="20"/>
      <c r="U847" s="20"/>
      <c r="V847" s="20"/>
      <c r="W847" s="19"/>
      <c r="X847" s="19"/>
      <c r="Y847" s="19"/>
      <c r="Z847" s="23"/>
    </row>
    <row r="848" spans="1:26" ht="15.75" customHeight="1" x14ac:dyDescent="0.2">
      <c r="A848" s="34"/>
      <c r="B848" s="34"/>
      <c r="C848" s="34"/>
      <c r="D848" s="34"/>
      <c r="E848" s="19"/>
      <c r="F848" s="19"/>
      <c r="G848" s="19"/>
      <c r="H848" s="19"/>
      <c r="I848" s="19"/>
      <c r="J848" s="19"/>
      <c r="K848" s="19"/>
      <c r="L848" s="19"/>
      <c r="M848" s="19"/>
      <c r="N848" s="19"/>
      <c r="O848" s="19"/>
      <c r="P848" s="20"/>
      <c r="Q848" s="20"/>
      <c r="R848" s="22"/>
      <c r="S848" s="22"/>
      <c r="T848" s="20"/>
      <c r="U848" s="20"/>
      <c r="V848" s="20"/>
      <c r="W848" s="19"/>
      <c r="X848" s="19"/>
      <c r="Y848" s="19"/>
      <c r="Z848" s="23"/>
    </row>
    <row r="849" spans="1:26" ht="15.75" customHeight="1" x14ac:dyDescent="0.2">
      <c r="A849" s="34"/>
      <c r="B849" s="34"/>
      <c r="C849" s="34"/>
      <c r="D849" s="34"/>
      <c r="E849" s="19"/>
      <c r="F849" s="19"/>
      <c r="G849" s="19"/>
      <c r="H849" s="19"/>
      <c r="I849" s="19"/>
      <c r="J849" s="19"/>
      <c r="K849" s="19"/>
      <c r="L849" s="19"/>
      <c r="M849" s="19"/>
      <c r="N849" s="19"/>
      <c r="O849" s="19"/>
      <c r="P849" s="20"/>
      <c r="Q849" s="20"/>
      <c r="R849" s="22"/>
      <c r="S849" s="22"/>
      <c r="T849" s="20"/>
      <c r="U849" s="20"/>
      <c r="V849" s="20"/>
      <c r="W849" s="19"/>
      <c r="X849" s="19"/>
      <c r="Y849" s="19"/>
      <c r="Z849" s="23"/>
    </row>
    <row r="850" spans="1:26" ht="15.75" customHeight="1" x14ac:dyDescent="0.2">
      <c r="A850" s="34"/>
      <c r="B850" s="34"/>
      <c r="C850" s="34"/>
      <c r="D850" s="34"/>
      <c r="E850" s="19"/>
      <c r="F850" s="19"/>
      <c r="G850" s="19"/>
      <c r="H850" s="19"/>
      <c r="I850" s="19"/>
      <c r="J850" s="19"/>
      <c r="K850" s="19"/>
      <c r="L850" s="19"/>
      <c r="M850" s="19"/>
      <c r="N850" s="19"/>
      <c r="O850" s="19"/>
      <c r="P850" s="20"/>
      <c r="Q850" s="20"/>
      <c r="R850" s="22"/>
      <c r="S850" s="22"/>
      <c r="T850" s="20"/>
      <c r="U850" s="20"/>
      <c r="V850" s="20"/>
      <c r="W850" s="19"/>
      <c r="X850" s="19"/>
      <c r="Y850" s="19"/>
      <c r="Z850" s="23"/>
    </row>
    <row r="851" spans="1:26" ht="15.75" customHeight="1" x14ac:dyDescent="0.2">
      <c r="A851" s="34"/>
      <c r="B851" s="34"/>
      <c r="C851" s="34"/>
      <c r="D851" s="34"/>
      <c r="E851" s="19"/>
      <c r="F851" s="19"/>
      <c r="G851" s="19"/>
      <c r="H851" s="19"/>
      <c r="I851" s="19"/>
      <c r="J851" s="19"/>
      <c r="K851" s="19"/>
      <c r="L851" s="19"/>
      <c r="M851" s="19"/>
      <c r="N851" s="19"/>
      <c r="O851" s="19"/>
      <c r="P851" s="20"/>
      <c r="Q851" s="20"/>
      <c r="R851" s="22"/>
      <c r="S851" s="22"/>
      <c r="T851" s="20"/>
      <c r="U851" s="20"/>
      <c r="V851" s="20"/>
      <c r="W851" s="19"/>
      <c r="X851" s="19"/>
      <c r="Y851" s="19"/>
      <c r="Z851" s="23"/>
    </row>
    <row r="852" spans="1:26" ht="15.75" customHeight="1" x14ac:dyDescent="0.2">
      <c r="A852" s="34"/>
      <c r="B852" s="34"/>
      <c r="C852" s="34"/>
      <c r="D852" s="34"/>
      <c r="E852" s="19"/>
      <c r="F852" s="19"/>
      <c r="G852" s="19"/>
      <c r="H852" s="19"/>
      <c r="I852" s="19"/>
      <c r="J852" s="19"/>
      <c r="K852" s="19"/>
      <c r="L852" s="19"/>
      <c r="M852" s="19"/>
      <c r="N852" s="19"/>
      <c r="O852" s="19"/>
      <c r="P852" s="20"/>
      <c r="Q852" s="20"/>
      <c r="R852" s="22"/>
      <c r="S852" s="22"/>
      <c r="T852" s="20"/>
      <c r="U852" s="20"/>
      <c r="V852" s="20"/>
      <c r="W852" s="19"/>
      <c r="X852" s="19"/>
      <c r="Y852" s="19"/>
      <c r="Z852" s="23"/>
    </row>
    <row r="853" spans="1:26" ht="15.75" customHeight="1" x14ac:dyDescent="0.2">
      <c r="A853" s="34"/>
      <c r="B853" s="34"/>
      <c r="C853" s="34"/>
      <c r="D853" s="34"/>
      <c r="E853" s="19"/>
      <c r="F853" s="19"/>
      <c r="G853" s="19"/>
      <c r="H853" s="19"/>
      <c r="I853" s="19"/>
      <c r="J853" s="19"/>
      <c r="K853" s="19"/>
      <c r="L853" s="19"/>
      <c r="M853" s="19"/>
      <c r="N853" s="19"/>
      <c r="O853" s="19"/>
      <c r="P853" s="20"/>
      <c r="Q853" s="20"/>
      <c r="R853" s="22"/>
      <c r="S853" s="22"/>
      <c r="T853" s="20"/>
      <c r="U853" s="20"/>
      <c r="V853" s="20"/>
      <c r="W853" s="19"/>
      <c r="X853" s="19"/>
      <c r="Y853" s="19"/>
      <c r="Z853" s="23"/>
    </row>
    <row r="854" spans="1:26" ht="15.75" customHeight="1" x14ac:dyDescent="0.2">
      <c r="A854" s="34"/>
      <c r="B854" s="34"/>
      <c r="C854" s="34"/>
      <c r="D854" s="34"/>
      <c r="E854" s="19"/>
      <c r="F854" s="19"/>
      <c r="G854" s="19"/>
      <c r="H854" s="19"/>
      <c r="I854" s="19"/>
      <c r="J854" s="19"/>
      <c r="K854" s="19"/>
      <c r="L854" s="19"/>
      <c r="M854" s="19"/>
      <c r="N854" s="19"/>
      <c r="O854" s="19"/>
      <c r="P854" s="20"/>
      <c r="Q854" s="20"/>
      <c r="R854" s="22"/>
      <c r="S854" s="22"/>
      <c r="T854" s="20"/>
      <c r="U854" s="20"/>
      <c r="V854" s="20"/>
      <c r="W854" s="19"/>
      <c r="X854" s="19"/>
      <c r="Y854" s="19"/>
      <c r="Z854" s="23"/>
    </row>
    <row r="855" spans="1:26" ht="15.75" customHeight="1" x14ac:dyDescent="0.2">
      <c r="A855" s="34"/>
      <c r="B855" s="34"/>
      <c r="C855" s="34"/>
      <c r="D855" s="34"/>
      <c r="E855" s="19"/>
      <c r="F855" s="19"/>
      <c r="G855" s="19"/>
      <c r="H855" s="19"/>
      <c r="I855" s="19"/>
      <c r="J855" s="19"/>
      <c r="K855" s="19"/>
      <c r="L855" s="19"/>
      <c r="M855" s="19"/>
      <c r="N855" s="19"/>
      <c r="O855" s="19"/>
      <c r="P855" s="20"/>
      <c r="Q855" s="20"/>
      <c r="R855" s="22"/>
      <c r="S855" s="22"/>
      <c r="T855" s="20"/>
      <c r="U855" s="20"/>
      <c r="V855" s="20"/>
      <c r="W855" s="19"/>
      <c r="X855" s="19"/>
      <c r="Y855" s="19"/>
      <c r="Z855" s="23"/>
    </row>
    <row r="856" spans="1:26" ht="15.75" customHeight="1" x14ac:dyDescent="0.2">
      <c r="A856" s="34"/>
      <c r="B856" s="34"/>
      <c r="C856" s="34"/>
      <c r="D856" s="34"/>
      <c r="E856" s="19"/>
      <c r="F856" s="19"/>
      <c r="G856" s="19"/>
      <c r="H856" s="19"/>
      <c r="I856" s="19"/>
      <c r="J856" s="19"/>
      <c r="K856" s="19"/>
      <c r="L856" s="19"/>
      <c r="M856" s="19"/>
      <c r="N856" s="19"/>
      <c r="O856" s="19"/>
      <c r="P856" s="20"/>
      <c r="Q856" s="20"/>
      <c r="R856" s="22"/>
      <c r="S856" s="22"/>
      <c r="T856" s="20"/>
      <c r="U856" s="20"/>
      <c r="V856" s="20"/>
      <c r="W856" s="19"/>
      <c r="X856" s="19"/>
      <c r="Y856" s="19"/>
      <c r="Z856" s="23"/>
    </row>
    <row r="857" spans="1:26" ht="15.75" customHeight="1" x14ac:dyDescent="0.2">
      <c r="A857" s="34"/>
      <c r="B857" s="34"/>
      <c r="C857" s="34"/>
      <c r="D857" s="34"/>
      <c r="E857" s="19"/>
      <c r="F857" s="19"/>
      <c r="G857" s="19"/>
      <c r="H857" s="19"/>
      <c r="I857" s="19"/>
      <c r="J857" s="19"/>
      <c r="K857" s="19"/>
      <c r="L857" s="19"/>
      <c r="M857" s="19"/>
      <c r="N857" s="19"/>
      <c r="O857" s="19"/>
      <c r="P857" s="20"/>
      <c r="Q857" s="20"/>
      <c r="R857" s="22"/>
      <c r="S857" s="22"/>
      <c r="T857" s="20"/>
      <c r="U857" s="20"/>
      <c r="V857" s="20"/>
      <c r="W857" s="19"/>
      <c r="X857" s="19"/>
      <c r="Y857" s="19"/>
      <c r="Z857" s="23"/>
    </row>
    <row r="858" spans="1:26" ht="15.75" customHeight="1" x14ac:dyDescent="0.2">
      <c r="A858" s="34"/>
      <c r="B858" s="34"/>
      <c r="C858" s="34"/>
      <c r="D858" s="34"/>
      <c r="E858" s="19"/>
      <c r="F858" s="19"/>
      <c r="G858" s="19"/>
      <c r="H858" s="19"/>
      <c r="I858" s="19"/>
      <c r="J858" s="19"/>
      <c r="K858" s="19"/>
      <c r="L858" s="19"/>
      <c r="M858" s="19"/>
      <c r="N858" s="19"/>
      <c r="O858" s="19"/>
      <c r="P858" s="20"/>
      <c r="Q858" s="20"/>
      <c r="R858" s="22"/>
      <c r="S858" s="22"/>
      <c r="T858" s="20"/>
      <c r="U858" s="20"/>
      <c r="V858" s="20"/>
      <c r="W858" s="19"/>
      <c r="X858" s="19"/>
      <c r="Y858" s="19"/>
      <c r="Z858" s="23"/>
    </row>
    <row r="859" spans="1:26" ht="15.75" customHeight="1" x14ac:dyDescent="0.2">
      <c r="A859" s="34"/>
      <c r="B859" s="34"/>
      <c r="C859" s="34"/>
      <c r="D859" s="34"/>
      <c r="E859" s="19"/>
      <c r="F859" s="19"/>
      <c r="G859" s="19"/>
      <c r="H859" s="19"/>
      <c r="I859" s="19"/>
      <c r="J859" s="19"/>
      <c r="K859" s="19"/>
      <c r="L859" s="19"/>
      <c r="M859" s="19"/>
      <c r="N859" s="19"/>
      <c r="O859" s="19"/>
      <c r="P859" s="20"/>
      <c r="Q859" s="20"/>
      <c r="R859" s="22"/>
      <c r="S859" s="22"/>
      <c r="T859" s="20"/>
      <c r="U859" s="20"/>
      <c r="V859" s="20"/>
      <c r="W859" s="19"/>
      <c r="X859" s="19"/>
      <c r="Y859" s="19"/>
      <c r="Z859" s="23"/>
    </row>
    <row r="860" spans="1:26" ht="15.75" customHeight="1" x14ac:dyDescent="0.2">
      <c r="A860" s="34"/>
      <c r="B860" s="34"/>
      <c r="C860" s="34"/>
      <c r="D860" s="34"/>
      <c r="E860" s="19"/>
      <c r="F860" s="19"/>
      <c r="G860" s="19"/>
      <c r="H860" s="19"/>
      <c r="I860" s="19"/>
      <c r="J860" s="19"/>
      <c r="K860" s="19"/>
      <c r="L860" s="19"/>
      <c r="M860" s="19"/>
      <c r="N860" s="19"/>
      <c r="O860" s="19"/>
      <c r="P860" s="20"/>
      <c r="Q860" s="20"/>
      <c r="R860" s="22"/>
      <c r="S860" s="22"/>
      <c r="T860" s="20"/>
      <c r="U860" s="20"/>
      <c r="V860" s="20"/>
      <c r="W860" s="19"/>
      <c r="X860" s="19"/>
      <c r="Y860" s="19"/>
      <c r="Z860" s="23"/>
    </row>
    <row r="861" spans="1:26" ht="15.75" customHeight="1" x14ac:dyDescent="0.2">
      <c r="A861" s="34"/>
      <c r="B861" s="34"/>
      <c r="C861" s="34"/>
      <c r="D861" s="34"/>
      <c r="E861" s="19"/>
      <c r="F861" s="19"/>
      <c r="G861" s="19"/>
      <c r="H861" s="19"/>
      <c r="I861" s="19"/>
      <c r="J861" s="19"/>
      <c r="K861" s="19"/>
      <c r="L861" s="19"/>
      <c r="M861" s="19"/>
      <c r="N861" s="19"/>
      <c r="O861" s="19"/>
      <c r="P861" s="20"/>
      <c r="Q861" s="20"/>
      <c r="R861" s="22"/>
      <c r="S861" s="22"/>
      <c r="T861" s="20"/>
      <c r="U861" s="20"/>
      <c r="V861" s="20"/>
      <c r="W861" s="19"/>
      <c r="X861" s="19"/>
      <c r="Y861" s="19"/>
      <c r="Z861" s="23"/>
    </row>
    <row r="862" spans="1:26" ht="15.75" customHeight="1" x14ac:dyDescent="0.2">
      <c r="A862" s="34"/>
      <c r="B862" s="34"/>
      <c r="C862" s="34"/>
      <c r="D862" s="34"/>
      <c r="E862" s="19"/>
      <c r="F862" s="19"/>
      <c r="G862" s="19"/>
      <c r="H862" s="19"/>
      <c r="I862" s="19"/>
      <c r="J862" s="19"/>
      <c r="K862" s="19"/>
      <c r="L862" s="19"/>
      <c r="M862" s="19"/>
      <c r="N862" s="19"/>
      <c r="O862" s="19"/>
      <c r="P862" s="20"/>
      <c r="Q862" s="20"/>
      <c r="R862" s="22"/>
      <c r="S862" s="22"/>
      <c r="T862" s="20"/>
      <c r="U862" s="20"/>
      <c r="V862" s="20"/>
      <c r="W862" s="19"/>
      <c r="X862" s="19"/>
      <c r="Y862" s="19"/>
      <c r="Z862" s="23"/>
    </row>
    <row r="863" spans="1:26" ht="15.75" customHeight="1" x14ac:dyDescent="0.2">
      <c r="A863" s="34"/>
      <c r="B863" s="34"/>
      <c r="C863" s="34"/>
      <c r="D863" s="34"/>
      <c r="E863" s="19"/>
      <c r="F863" s="19"/>
      <c r="G863" s="19"/>
      <c r="H863" s="19"/>
      <c r="I863" s="19"/>
      <c r="J863" s="19"/>
      <c r="K863" s="19"/>
      <c r="L863" s="19"/>
      <c r="M863" s="19"/>
      <c r="N863" s="19"/>
      <c r="O863" s="19"/>
      <c r="P863" s="20"/>
      <c r="Q863" s="20"/>
      <c r="R863" s="22"/>
      <c r="S863" s="22"/>
      <c r="T863" s="20"/>
      <c r="U863" s="20"/>
      <c r="V863" s="20"/>
      <c r="W863" s="19"/>
      <c r="X863" s="19"/>
      <c r="Y863" s="19"/>
      <c r="Z863" s="23"/>
    </row>
    <row r="864" spans="1:26" ht="15.75" customHeight="1" x14ac:dyDescent="0.2">
      <c r="A864" s="34"/>
      <c r="B864" s="34"/>
      <c r="C864" s="34"/>
      <c r="D864" s="34"/>
      <c r="E864" s="19"/>
      <c r="F864" s="19"/>
      <c r="G864" s="19"/>
      <c r="H864" s="19"/>
      <c r="I864" s="19"/>
      <c r="J864" s="19"/>
      <c r="K864" s="19"/>
      <c r="L864" s="19"/>
      <c r="M864" s="19"/>
      <c r="N864" s="19"/>
      <c r="O864" s="19"/>
      <c r="P864" s="20"/>
      <c r="Q864" s="20"/>
      <c r="R864" s="22"/>
      <c r="S864" s="22"/>
      <c r="T864" s="20"/>
      <c r="U864" s="20"/>
      <c r="V864" s="20"/>
      <c r="W864" s="19"/>
      <c r="X864" s="19"/>
      <c r="Y864" s="19"/>
      <c r="Z864" s="23"/>
    </row>
    <row r="865" spans="1:26" ht="15.75" customHeight="1" x14ac:dyDescent="0.2">
      <c r="A865" s="34"/>
      <c r="B865" s="34"/>
      <c r="C865" s="34"/>
      <c r="D865" s="34"/>
      <c r="E865" s="19"/>
      <c r="F865" s="19"/>
      <c r="G865" s="19"/>
      <c r="H865" s="19"/>
      <c r="I865" s="19"/>
      <c r="J865" s="19"/>
      <c r="K865" s="19"/>
      <c r="L865" s="19"/>
      <c r="M865" s="19"/>
      <c r="N865" s="19"/>
      <c r="O865" s="19"/>
      <c r="P865" s="20"/>
      <c r="Q865" s="20"/>
      <c r="R865" s="22"/>
      <c r="S865" s="22"/>
      <c r="T865" s="20"/>
      <c r="U865" s="20"/>
      <c r="V865" s="20"/>
      <c r="W865" s="19"/>
      <c r="X865" s="19"/>
      <c r="Y865" s="19"/>
      <c r="Z865" s="23"/>
    </row>
    <row r="866" spans="1:26" ht="15.75" customHeight="1" x14ac:dyDescent="0.2">
      <c r="A866" s="34"/>
      <c r="B866" s="34"/>
      <c r="C866" s="34"/>
      <c r="D866" s="34"/>
      <c r="E866" s="19"/>
      <c r="F866" s="19"/>
      <c r="G866" s="19"/>
      <c r="H866" s="19"/>
      <c r="I866" s="19"/>
      <c r="J866" s="19"/>
      <c r="K866" s="19"/>
      <c r="L866" s="19"/>
      <c r="M866" s="19"/>
      <c r="N866" s="19"/>
      <c r="O866" s="19"/>
      <c r="P866" s="20"/>
      <c r="Q866" s="20"/>
      <c r="R866" s="22"/>
      <c r="S866" s="22"/>
      <c r="T866" s="20"/>
      <c r="U866" s="20"/>
      <c r="V866" s="20"/>
      <c r="W866" s="19"/>
      <c r="X866" s="19"/>
      <c r="Y866" s="19"/>
      <c r="Z866" s="23"/>
    </row>
    <row r="867" spans="1:26" ht="15.75" customHeight="1" x14ac:dyDescent="0.2">
      <c r="A867" s="34"/>
      <c r="B867" s="34"/>
      <c r="C867" s="34"/>
      <c r="D867" s="34"/>
      <c r="E867" s="19"/>
      <c r="F867" s="19"/>
      <c r="G867" s="19"/>
      <c r="H867" s="19"/>
      <c r="I867" s="19"/>
      <c r="J867" s="19"/>
      <c r="K867" s="19"/>
      <c r="L867" s="19"/>
      <c r="M867" s="19"/>
      <c r="N867" s="19"/>
      <c r="O867" s="19"/>
      <c r="P867" s="20"/>
      <c r="Q867" s="20"/>
      <c r="R867" s="22"/>
      <c r="S867" s="22"/>
      <c r="T867" s="20"/>
      <c r="U867" s="20"/>
      <c r="V867" s="20"/>
      <c r="W867" s="19"/>
      <c r="X867" s="19"/>
      <c r="Y867" s="19"/>
      <c r="Z867" s="23"/>
    </row>
    <row r="868" spans="1:26" ht="15.75" customHeight="1" x14ac:dyDescent="0.2">
      <c r="A868" s="34"/>
      <c r="B868" s="34"/>
      <c r="C868" s="34"/>
      <c r="D868" s="34"/>
      <c r="E868" s="19"/>
      <c r="F868" s="19"/>
      <c r="G868" s="19"/>
      <c r="H868" s="19"/>
      <c r="I868" s="19"/>
      <c r="J868" s="19"/>
      <c r="K868" s="19"/>
      <c r="L868" s="19"/>
      <c r="M868" s="19"/>
      <c r="N868" s="19"/>
      <c r="O868" s="19"/>
      <c r="P868" s="20"/>
      <c r="Q868" s="20"/>
      <c r="R868" s="22"/>
      <c r="S868" s="22"/>
      <c r="T868" s="20"/>
      <c r="U868" s="20"/>
      <c r="V868" s="20"/>
      <c r="W868" s="19"/>
      <c r="X868" s="19"/>
      <c r="Y868" s="19"/>
      <c r="Z868" s="23"/>
    </row>
    <row r="869" spans="1:26" ht="15.75" customHeight="1" x14ac:dyDescent="0.2">
      <c r="A869" s="34"/>
      <c r="B869" s="34"/>
      <c r="C869" s="34"/>
      <c r="D869" s="34"/>
      <c r="E869" s="19"/>
      <c r="F869" s="19"/>
      <c r="G869" s="19"/>
      <c r="H869" s="19"/>
      <c r="I869" s="19"/>
      <c r="J869" s="19"/>
      <c r="K869" s="19"/>
      <c r="L869" s="19"/>
      <c r="M869" s="19"/>
      <c r="N869" s="19"/>
      <c r="O869" s="19"/>
      <c r="P869" s="20"/>
      <c r="Q869" s="20"/>
      <c r="R869" s="22"/>
      <c r="S869" s="22"/>
      <c r="T869" s="20"/>
      <c r="U869" s="20"/>
      <c r="V869" s="20"/>
      <c r="W869" s="19"/>
      <c r="X869" s="19"/>
      <c r="Y869" s="19"/>
      <c r="Z869" s="23"/>
    </row>
    <row r="870" spans="1:26" ht="15.75" customHeight="1" x14ac:dyDescent="0.2">
      <c r="A870" s="34"/>
      <c r="B870" s="34"/>
      <c r="C870" s="34"/>
      <c r="D870" s="34"/>
      <c r="E870" s="19"/>
      <c r="F870" s="19"/>
      <c r="G870" s="19"/>
      <c r="H870" s="19"/>
      <c r="I870" s="19"/>
      <c r="J870" s="19"/>
      <c r="K870" s="19"/>
      <c r="L870" s="19"/>
      <c r="M870" s="19"/>
      <c r="N870" s="19"/>
      <c r="O870" s="19"/>
      <c r="P870" s="20"/>
      <c r="Q870" s="20"/>
      <c r="R870" s="22"/>
      <c r="S870" s="22"/>
      <c r="T870" s="20"/>
      <c r="U870" s="20"/>
      <c r="V870" s="20"/>
      <c r="W870" s="19"/>
      <c r="X870" s="19"/>
      <c r="Y870" s="19"/>
      <c r="Z870" s="23"/>
    </row>
    <row r="871" spans="1:26" ht="15.75" customHeight="1" x14ac:dyDescent="0.2">
      <c r="A871" s="34"/>
      <c r="B871" s="34"/>
      <c r="C871" s="34"/>
      <c r="D871" s="34"/>
      <c r="E871" s="19"/>
      <c r="F871" s="19"/>
      <c r="G871" s="19"/>
      <c r="H871" s="19"/>
      <c r="I871" s="19"/>
      <c r="J871" s="19"/>
      <c r="K871" s="19"/>
      <c r="L871" s="19"/>
      <c r="M871" s="19"/>
      <c r="N871" s="19"/>
      <c r="O871" s="19"/>
      <c r="P871" s="20"/>
      <c r="Q871" s="20"/>
      <c r="R871" s="22"/>
      <c r="S871" s="22"/>
      <c r="T871" s="20"/>
      <c r="U871" s="20"/>
      <c r="V871" s="20"/>
      <c r="W871" s="19"/>
      <c r="X871" s="19"/>
      <c r="Y871" s="19"/>
      <c r="Z871" s="23"/>
    </row>
    <row r="872" spans="1:26" ht="15.75" customHeight="1" x14ac:dyDescent="0.2">
      <c r="A872" s="34"/>
      <c r="B872" s="34"/>
      <c r="C872" s="34"/>
      <c r="D872" s="34"/>
      <c r="E872" s="19"/>
      <c r="F872" s="19"/>
      <c r="G872" s="19"/>
      <c r="H872" s="19"/>
      <c r="I872" s="19"/>
      <c r="J872" s="19"/>
      <c r="K872" s="19"/>
      <c r="L872" s="19"/>
      <c r="M872" s="19"/>
      <c r="N872" s="19"/>
      <c r="O872" s="19"/>
      <c r="P872" s="20"/>
      <c r="Q872" s="20"/>
      <c r="R872" s="22"/>
      <c r="S872" s="22"/>
      <c r="T872" s="20"/>
      <c r="U872" s="20"/>
      <c r="V872" s="20"/>
      <c r="W872" s="19"/>
      <c r="X872" s="19"/>
      <c r="Y872" s="19"/>
      <c r="Z872" s="23"/>
    </row>
    <row r="873" spans="1:26" ht="15.75" customHeight="1" x14ac:dyDescent="0.2">
      <c r="A873" s="34"/>
      <c r="B873" s="34"/>
      <c r="C873" s="34"/>
      <c r="D873" s="34"/>
      <c r="E873" s="19"/>
      <c r="F873" s="19"/>
      <c r="G873" s="19"/>
      <c r="H873" s="19"/>
      <c r="I873" s="19"/>
      <c r="J873" s="19"/>
      <c r="K873" s="19"/>
      <c r="L873" s="19"/>
      <c r="M873" s="19"/>
      <c r="N873" s="19"/>
      <c r="O873" s="19"/>
      <c r="P873" s="20"/>
      <c r="Q873" s="20"/>
      <c r="R873" s="22"/>
      <c r="S873" s="22"/>
      <c r="T873" s="20"/>
      <c r="U873" s="20"/>
      <c r="V873" s="20"/>
      <c r="W873" s="19"/>
      <c r="X873" s="19"/>
      <c r="Y873" s="19"/>
      <c r="Z873" s="23"/>
    </row>
    <row r="874" spans="1:26" ht="15.75" customHeight="1" x14ac:dyDescent="0.2">
      <c r="A874" s="34"/>
      <c r="B874" s="34"/>
      <c r="C874" s="34"/>
      <c r="D874" s="34"/>
      <c r="E874" s="19"/>
      <c r="F874" s="19"/>
      <c r="G874" s="19"/>
      <c r="H874" s="19"/>
      <c r="I874" s="19"/>
      <c r="J874" s="19"/>
      <c r="K874" s="19"/>
      <c r="L874" s="19"/>
      <c r="M874" s="19"/>
      <c r="N874" s="19"/>
      <c r="O874" s="19"/>
      <c r="P874" s="20"/>
      <c r="Q874" s="20"/>
      <c r="R874" s="22"/>
      <c r="S874" s="22"/>
      <c r="T874" s="20"/>
      <c r="U874" s="20"/>
      <c r="V874" s="20"/>
      <c r="W874" s="19"/>
      <c r="X874" s="19"/>
      <c r="Y874" s="19"/>
      <c r="Z874" s="23"/>
    </row>
    <row r="875" spans="1:26" ht="15.75" customHeight="1" x14ac:dyDescent="0.2">
      <c r="A875" s="34"/>
      <c r="B875" s="34"/>
      <c r="C875" s="34"/>
      <c r="D875" s="34"/>
      <c r="E875" s="19"/>
      <c r="F875" s="19"/>
      <c r="G875" s="19"/>
      <c r="H875" s="19"/>
      <c r="I875" s="19"/>
      <c r="J875" s="19"/>
      <c r="K875" s="19"/>
      <c r="L875" s="19"/>
      <c r="M875" s="19"/>
      <c r="N875" s="19"/>
      <c r="O875" s="19"/>
      <c r="P875" s="20"/>
      <c r="Q875" s="20"/>
      <c r="R875" s="22"/>
      <c r="S875" s="22"/>
      <c r="T875" s="20"/>
      <c r="U875" s="20"/>
      <c r="V875" s="20"/>
      <c r="W875" s="19"/>
      <c r="X875" s="19"/>
      <c r="Y875" s="19"/>
      <c r="Z875" s="23"/>
    </row>
    <row r="876" spans="1:26" ht="15.75" customHeight="1" x14ac:dyDescent="0.2">
      <c r="A876" s="34"/>
      <c r="B876" s="34"/>
      <c r="C876" s="34"/>
      <c r="D876" s="34"/>
      <c r="E876" s="19"/>
      <c r="F876" s="19"/>
      <c r="G876" s="19"/>
      <c r="H876" s="19"/>
      <c r="I876" s="19"/>
      <c r="J876" s="19"/>
      <c r="K876" s="19"/>
      <c r="L876" s="19"/>
      <c r="M876" s="19"/>
      <c r="N876" s="19"/>
      <c r="O876" s="19"/>
      <c r="P876" s="20"/>
      <c r="Q876" s="20"/>
      <c r="R876" s="22"/>
      <c r="S876" s="22"/>
      <c r="T876" s="20"/>
      <c r="U876" s="20"/>
      <c r="V876" s="20"/>
      <c r="W876" s="19"/>
      <c r="X876" s="19"/>
      <c r="Y876" s="19"/>
      <c r="Z876" s="23"/>
    </row>
    <row r="877" spans="1:26" ht="15.75" customHeight="1" x14ac:dyDescent="0.2">
      <c r="A877" s="34"/>
      <c r="B877" s="34"/>
      <c r="C877" s="34"/>
      <c r="D877" s="34"/>
      <c r="E877" s="19"/>
      <c r="F877" s="19"/>
      <c r="G877" s="19"/>
      <c r="H877" s="19"/>
      <c r="I877" s="19"/>
      <c r="J877" s="19"/>
      <c r="K877" s="19"/>
      <c r="L877" s="19"/>
      <c r="M877" s="19"/>
      <c r="N877" s="19"/>
      <c r="O877" s="19"/>
      <c r="P877" s="20"/>
      <c r="Q877" s="20"/>
      <c r="R877" s="22"/>
      <c r="S877" s="22"/>
      <c r="T877" s="20"/>
      <c r="U877" s="20"/>
      <c r="V877" s="20"/>
      <c r="W877" s="19"/>
      <c r="X877" s="19"/>
      <c r="Y877" s="19"/>
      <c r="Z877" s="23"/>
    </row>
    <row r="878" spans="1:26" ht="15.75" customHeight="1" x14ac:dyDescent="0.2">
      <c r="A878" s="34"/>
      <c r="B878" s="34"/>
      <c r="C878" s="34"/>
      <c r="D878" s="34"/>
      <c r="E878" s="19"/>
      <c r="F878" s="19"/>
      <c r="G878" s="19"/>
      <c r="H878" s="19"/>
      <c r="I878" s="19"/>
      <c r="J878" s="19"/>
      <c r="K878" s="19"/>
      <c r="L878" s="19"/>
      <c r="M878" s="19"/>
      <c r="N878" s="19"/>
      <c r="O878" s="19"/>
      <c r="P878" s="20"/>
      <c r="Q878" s="20"/>
      <c r="R878" s="22"/>
      <c r="S878" s="22"/>
      <c r="T878" s="20"/>
      <c r="U878" s="20"/>
      <c r="V878" s="20"/>
      <c r="W878" s="19"/>
      <c r="X878" s="19"/>
      <c r="Y878" s="19"/>
      <c r="Z878" s="23"/>
    </row>
    <row r="879" spans="1:26" ht="15.75" customHeight="1" x14ac:dyDescent="0.2">
      <c r="A879" s="34"/>
      <c r="B879" s="34"/>
      <c r="C879" s="34"/>
      <c r="D879" s="34"/>
      <c r="E879" s="19"/>
      <c r="F879" s="19"/>
      <c r="G879" s="19"/>
      <c r="H879" s="19"/>
      <c r="I879" s="19"/>
      <c r="J879" s="19"/>
      <c r="K879" s="19"/>
      <c r="L879" s="19"/>
      <c r="M879" s="19"/>
      <c r="N879" s="19"/>
      <c r="O879" s="19"/>
      <c r="P879" s="20"/>
      <c r="Q879" s="20"/>
      <c r="R879" s="22"/>
      <c r="S879" s="22"/>
      <c r="T879" s="20"/>
      <c r="U879" s="20"/>
      <c r="V879" s="20"/>
      <c r="W879" s="19"/>
      <c r="X879" s="19"/>
      <c r="Y879" s="19"/>
      <c r="Z879" s="23"/>
    </row>
    <row r="880" spans="1:26" ht="15.75" customHeight="1" x14ac:dyDescent="0.2">
      <c r="A880" s="34"/>
      <c r="B880" s="34"/>
      <c r="C880" s="34"/>
      <c r="D880" s="34"/>
      <c r="E880" s="19"/>
      <c r="F880" s="19"/>
      <c r="G880" s="19"/>
      <c r="H880" s="19"/>
      <c r="I880" s="19"/>
      <c r="J880" s="19"/>
      <c r="K880" s="19"/>
      <c r="L880" s="19"/>
      <c r="M880" s="19"/>
      <c r="N880" s="19"/>
      <c r="O880" s="19"/>
      <c r="P880" s="20"/>
      <c r="Q880" s="20"/>
      <c r="R880" s="22"/>
      <c r="S880" s="22"/>
      <c r="T880" s="20"/>
      <c r="U880" s="20"/>
      <c r="V880" s="20"/>
      <c r="W880" s="19"/>
      <c r="X880" s="19"/>
      <c r="Y880" s="19"/>
      <c r="Z880" s="23"/>
    </row>
    <row r="881" spans="1:26" ht="15.75" customHeight="1" x14ac:dyDescent="0.2">
      <c r="A881" s="34"/>
      <c r="B881" s="34"/>
      <c r="C881" s="34"/>
      <c r="D881" s="34"/>
      <c r="E881" s="19"/>
      <c r="F881" s="19"/>
      <c r="G881" s="19"/>
      <c r="H881" s="19"/>
      <c r="I881" s="19"/>
      <c r="J881" s="19"/>
      <c r="K881" s="19"/>
      <c r="L881" s="19"/>
      <c r="M881" s="19"/>
      <c r="N881" s="19"/>
      <c r="O881" s="19"/>
      <c r="P881" s="20"/>
      <c r="Q881" s="20"/>
      <c r="R881" s="22"/>
      <c r="S881" s="22"/>
      <c r="T881" s="20"/>
      <c r="U881" s="20"/>
      <c r="V881" s="20"/>
      <c r="W881" s="19"/>
      <c r="X881" s="19"/>
      <c r="Y881" s="19"/>
      <c r="Z881" s="23"/>
    </row>
    <row r="882" spans="1:26" ht="15.75" customHeight="1" x14ac:dyDescent="0.2">
      <c r="A882" s="34"/>
      <c r="B882" s="34"/>
      <c r="C882" s="34"/>
      <c r="D882" s="34"/>
      <c r="E882" s="19"/>
      <c r="F882" s="19"/>
      <c r="G882" s="19"/>
      <c r="H882" s="19"/>
      <c r="I882" s="19"/>
      <c r="J882" s="19"/>
      <c r="K882" s="19"/>
      <c r="L882" s="19"/>
      <c r="M882" s="19"/>
      <c r="N882" s="19"/>
      <c r="O882" s="19"/>
      <c r="P882" s="20"/>
      <c r="Q882" s="20"/>
      <c r="R882" s="22"/>
      <c r="S882" s="22"/>
      <c r="T882" s="20"/>
      <c r="U882" s="20"/>
      <c r="V882" s="20"/>
      <c r="W882" s="19"/>
      <c r="X882" s="19"/>
      <c r="Y882" s="19"/>
      <c r="Z882" s="23"/>
    </row>
    <row r="883" spans="1:26" ht="15.75" customHeight="1" x14ac:dyDescent="0.2">
      <c r="A883" s="34"/>
      <c r="B883" s="34"/>
      <c r="C883" s="34"/>
      <c r="D883" s="34"/>
      <c r="E883" s="19"/>
      <c r="F883" s="19"/>
      <c r="G883" s="19"/>
      <c r="H883" s="19"/>
      <c r="I883" s="19"/>
      <c r="J883" s="19"/>
      <c r="K883" s="19"/>
      <c r="L883" s="19"/>
      <c r="M883" s="19"/>
      <c r="N883" s="19"/>
      <c r="O883" s="19"/>
      <c r="P883" s="20"/>
      <c r="Q883" s="20"/>
      <c r="R883" s="22"/>
      <c r="S883" s="22"/>
      <c r="T883" s="20"/>
      <c r="U883" s="20"/>
      <c r="V883" s="20"/>
      <c r="W883" s="19"/>
      <c r="X883" s="19"/>
      <c r="Y883" s="19"/>
      <c r="Z883" s="23"/>
    </row>
    <row r="884" spans="1:26" ht="15.75" customHeight="1" x14ac:dyDescent="0.2">
      <c r="A884" s="34"/>
      <c r="B884" s="34"/>
      <c r="C884" s="34"/>
      <c r="D884" s="34"/>
      <c r="E884" s="19"/>
      <c r="F884" s="19"/>
      <c r="G884" s="19"/>
      <c r="H884" s="19"/>
      <c r="I884" s="19"/>
      <c r="J884" s="19"/>
      <c r="K884" s="19"/>
      <c r="L884" s="19"/>
      <c r="M884" s="19"/>
      <c r="N884" s="19"/>
      <c r="O884" s="19"/>
      <c r="P884" s="20"/>
      <c r="Q884" s="20"/>
      <c r="R884" s="22"/>
      <c r="S884" s="22"/>
      <c r="T884" s="20"/>
      <c r="U884" s="20"/>
      <c r="V884" s="20"/>
      <c r="W884" s="19"/>
      <c r="X884" s="19"/>
      <c r="Y884" s="19"/>
      <c r="Z884" s="23"/>
    </row>
    <row r="885" spans="1:26" ht="15.75" customHeight="1" x14ac:dyDescent="0.2">
      <c r="A885" s="34"/>
      <c r="B885" s="34"/>
      <c r="C885" s="34"/>
      <c r="D885" s="34"/>
      <c r="E885" s="19"/>
      <c r="F885" s="19"/>
      <c r="G885" s="19"/>
      <c r="H885" s="19"/>
      <c r="I885" s="19"/>
      <c r="J885" s="19"/>
      <c r="K885" s="19"/>
      <c r="L885" s="19"/>
      <c r="M885" s="19"/>
      <c r="N885" s="19"/>
      <c r="O885" s="19"/>
      <c r="P885" s="20"/>
      <c r="Q885" s="20"/>
      <c r="R885" s="22"/>
      <c r="S885" s="22"/>
      <c r="T885" s="20"/>
      <c r="U885" s="20"/>
      <c r="V885" s="20"/>
      <c r="W885" s="19"/>
      <c r="X885" s="19"/>
      <c r="Y885" s="19"/>
      <c r="Z885" s="23"/>
    </row>
    <row r="886" spans="1:26" ht="15.75" customHeight="1" x14ac:dyDescent="0.2">
      <c r="A886" s="34"/>
      <c r="B886" s="34"/>
      <c r="C886" s="34"/>
      <c r="D886" s="34"/>
      <c r="E886" s="19"/>
      <c r="F886" s="19"/>
      <c r="G886" s="19"/>
      <c r="H886" s="19"/>
      <c r="I886" s="19"/>
      <c r="J886" s="19"/>
      <c r="K886" s="19"/>
      <c r="L886" s="19"/>
      <c r="M886" s="19"/>
      <c r="N886" s="19"/>
      <c r="O886" s="19"/>
      <c r="P886" s="20"/>
      <c r="Q886" s="20"/>
      <c r="R886" s="22"/>
      <c r="S886" s="22"/>
      <c r="T886" s="20"/>
      <c r="U886" s="20"/>
      <c r="V886" s="20"/>
      <c r="W886" s="19"/>
      <c r="X886" s="19"/>
      <c r="Y886" s="19"/>
      <c r="Z886" s="23"/>
    </row>
    <row r="887" spans="1:26" ht="15.75" customHeight="1" x14ac:dyDescent="0.2">
      <c r="A887" s="34"/>
      <c r="B887" s="34"/>
      <c r="C887" s="34"/>
      <c r="D887" s="34"/>
      <c r="E887" s="19"/>
      <c r="F887" s="19"/>
      <c r="G887" s="19"/>
      <c r="H887" s="19"/>
      <c r="I887" s="19"/>
      <c r="J887" s="19"/>
      <c r="K887" s="19"/>
      <c r="L887" s="19"/>
      <c r="M887" s="19"/>
      <c r="N887" s="19"/>
      <c r="O887" s="19"/>
      <c r="P887" s="20"/>
      <c r="Q887" s="20"/>
      <c r="R887" s="22"/>
      <c r="S887" s="22"/>
      <c r="T887" s="20"/>
      <c r="U887" s="20"/>
      <c r="V887" s="20"/>
      <c r="W887" s="19"/>
      <c r="X887" s="19"/>
      <c r="Y887" s="19"/>
      <c r="Z887" s="23"/>
    </row>
    <row r="888" spans="1:26" ht="15.75" customHeight="1" x14ac:dyDescent="0.2">
      <c r="A888" s="34"/>
      <c r="B888" s="34"/>
      <c r="C888" s="34"/>
      <c r="D888" s="34"/>
      <c r="E888" s="19"/>
      <c r="F888" s="19"/>
      <c r="G888" s="19"/>
      <c r="H888" s="19"/>
      <c r="I888" s="19"/>
      <c r="J888" s="19"/>
      <c r="K888" s="19"/>
      <c r="L888" s="19"/>
      <c r="M888" s="19"/>
      <c r="N888" s="19"/>
      <c r="O888" s="19"/>
      <c r="P888" s="20"/>
      <c r="Q888" s="20"/>
      <c r="R888" s="22"/>
      <c r="S888" s="22"/>
      <c r="T888" s="20"/>
      <c r="U888" s="20"/>
      <c r="V888" s="20"/>
      <c r="W888" s="19"/>
      <c r="X888" s="19"/>
      <c r="Y888" s="19"/>
      <c r="Z888" s="23"/>
    </row>
    <row r="889" spans="1:26" ht="15.75" customHeight="1" x14ac:dyDescent="0.2">
      <c r="A889" s="34"/>
      <c r="B889" s="34"/>
      <c r="C889" s="34"/>
      <c r="D889" s="34"/>
      <c r="E889" s="19"/>
      <c r="F889" s="19"/>
      <c r="G889" s="19"/>
      <c r="H889" s="19"/>
      <c r="I889" s="19"/>
      <c r="J889" s="19"/>
      <c r="K889" s="19"/>
      <c r="L889" s="19"/>
      <c r="M889" s="19"/>
      <c r="N889" s="19"/>
      <c r="O889" s="19"/>
      <c r="P889" s="20"/>
      <c r="Q889" s="20"/>
      <c r="R889" s="22"/>
      <c r="S889" s="22"/>
      <c r="T889" s="20"/>
      <c r="U889" s="20"/>
      <c r="V889" s="20"/>
      <c r="W889" s="19"/>
      <c r="X889" s="19"/>
      <c r="Y889" s="19"/>
      <c r="Z889" s="23"/>
    </row>
    <row r="890" spans="1:26" ht="15.75" customHeight="1" x14ac:dyDescent="0.2">
      <c r="A890" s="34"/>
      <c r="B890" s="34"/>
      <c r="C890" s="34"/>
      <c r="D890" s="34"/>
      <c r="E890" s="19"/>
      <c r="F890" s="19"/>
      <c r="G890" s="19"/>
      <c r="H890" s="19"/>
      <c r="I890" s="19"/>
      <c r="J890" s="19"/>
      <c r="K890" s="19"/>
      <c r="L890" s="19"/>
      <c r="M890" s="19"/>
      <c r="N890" s="19"/>
      <c r="O890" s="19"/>
      <c r="P890" s="20"/>
      <c r="Q890" s="20"/>
      <c r="R890" s="22"/>
      <c r="S890" s="22"/>
      <c r="T890" s="20"/>
      <c r="U890" s="20"/>
      <c r="V890" s="20"/>
      <c r="W890" s="19"/>
      <c r="X890" s="19"/>
      <c r="Y890" s="19"/>
      <c r="Z890" s="23"/>
    </row>
    <row r="891" spans="1:26" ht="15.75" customHeight="1" x14ac:dyDescent="0.2">
      <c r="A891" s="34"/>
      <c r="B891" s="34"/>
      <c r="C891" s="34"/>
      <c r="D891" s="34"/>
      <c r="E891" s="19"/>
      <c r="F891" s="19"/>
      <c r="G891" s="19"/>
      <c r="H891" s="19"/>
      <c r="I891" s="19"/>
      <c r="J891" s="19"/>
      <c r="K891" s="19"/>
      <c r="L891" s="19"/>
      <c r="M891" s="19"/>
      <c r="N891" s="19"/>
      <c r="O891" s="19"/>
      <c r="P891" s="20"/>
      <c r="Q891" s="20"/>
      <c r="R891" s="22"/>
      <c r="S891" s="22"/>
      <c r="T891" s="20"/>
      <c r="U891" s="20"/>
      <c r="V891" s="20"/>
      <c r="W891" s="19"/>
      <c r="X891" s="19"/>
      <c r="Y891" s="19"/>
      <c r="Z891" s="23"/>
    </row>
    <row r="892" spans="1:26" ht="15.75" customHeight="1" x14ac:dyDescent="0.2">
      <c r="A892" s="34"/>
      <c r="B892" s="34"/>
      <c r="C892" s="34"/>
      <c r="D892" s="34"/>
      <c r="E892" s="19"/>
      <c r="F892" s="19"/>
      <c r="G892" s="19"/>
      <c r="H892" s="19"/>
      <c r="I892" s="19"/>
      <c r="J892" s="19"/>
      <c r="K892" s="19"/>
      <c r="L892" s="19"/>
      <c r="M892" s="19"/>
      <c r="N892" s="19"/>
      <c r="O892" s="19"/>
      <c r="P892" s="20"/>
      <c r="Q892" s="20"/>
      <c r="R892" s="22"/>
      <c r="S892" s="22"/>
      <c r="T892" s="20"/>
      <c r="U892" s="20"/>
      <c r="V892" s="20"/>
      <c r="W892" s="19"/>
      <c r="X892" s="19"/>
      <c r="Y892" s="19"/>
      <c r="Z892" s="23"/>
    </row>
    <row r="893" spans="1:26" ht="15.75" customHeight="1" x14ac:dyDescent="0.2">
      <c r="A893" s="34"/>
      <c r="B893" s="34"/>
      <c r="C893" s="34"/>
      <c r="D893" s="34"/>
      <c r="E893" s="19"/>
      <c r="F893" s="19"/>
      <c r="G893" s="19"/>
      <c r="H893" s="19"/>
      <c r="I893" s="19"/>
      <c r="J893" s="19"/>
      <c r="K893" s="19"/>
      <c r="L893" s="19"/>
      <c r="M893" s="19"/>
      <c r="N893" s="19"/>
      <c r="O893" s="19"/>
      <c r="P893" s="20"/>
      <c r="Q893" s="20"/>
      <c r="R893" s="22"/>
      <c r="S893" s="22"/>
      <c r="T893" s="20"/>
      <c r="U893" s="20"/>
      <c r="V893" s="20"/>
      <c r="W893" s="19"/>
      <c r="X893" s="19"/>
      <c r="Y893" s="19"/>
      <c r="Z893" s="23"/>
    </row>
    <row r="894" spans="1:26" ht="15.75" customHeight="1" x14ac:dyDescent="0.2">
      <c r="A894" s="34"/>
      <c r="B894" s="34"/>
      <c r="C894" s="34"/>
      <c r="D894" s="34"/>
      <c r="E894" s="19"/>
      <c r="F894" s="19"/>
      <c r="G894" s="19"/>
      <c r="H894" s="19"/>
      <c r="I894" s="19"/>
      <c r="J894" s="19"/>
      <c r="K894" s="19"/>
      <c r="L894" s="19"/>
      <c r="M894" s="19"/>
      <c r="N894" s="19"/>
      <c r="O894" s="19"/>
      <c r="P894" s="20"/>
      <c r="Q894" s="20"/>
      <c r="R894" s="22"/>
      <c r="S894" s="22"/>
      <c r="T894" s="20"/>
      <c r="U894" s="20"/>
      <c r="V894" s="20"/>
      <c r="W894" s="19"/>
      <c r="X894" s="19"/>
      <c r="Y894" s="19"/>
      <c r="Z894" s="23"/>
    </row>
    <row r="895" spans="1:26" ht="15.75" customHeight="1" x14ac:dyDescent="0.2">
      <c r="A895" s="34"/>
      <c r="B895" s="34"/>
      <c r="C895" s="34"/>
      <c r="D895" s="34"/>
      <c r="E895" s="19"/>
      <c r="F895" s="19"/>
      <c r="G895" s="19"/>
      <c r="H895" s="19"/>
      <c r="I895" s="19"/>
      <c r="J895" s="19"/>
      <c r="K895" s="19"/>
      <c r="L895" s="19"/>
      <c r="M895" s="19"/>
      <c r="N895" s="19"/>
      <c r="O895" s="19"/>
      <c r="P895" s="20"/>
      <c r="Q895" s="20"/>
      <c r="R895" s="22"/>
      <c r="S895" s="22"/>
      <c r="T895" s="20"/>
      <c r="U895" s="20"/>
      <c r="V895" s="20"/>
      <c r="W895" s="19"/>
      <c r="X895" s="19"/>
      <c r="Y895" s="19"/>
      <c r="Z895" s="23"/>
    </row>
    <row r="896" spans="1:26" ht="15.75" customHeight="1" x14ac:dyDescent="0.2">
      <c r="A896" s="34"/>
      <c r="B896" s="34"/>
      <c r="C896" s="34"/>
      <c r="D896" s="34"/>
      <c r="E896" s="19"/>
      <c r="F896" s="19"/>
      <c r="G896" s="19"/>
      <c r="H896" s="19"/>
      <c r="I896" s="19"/>
      <c r="J896" s="19"/>
      <c r="K896" s="19"/>
      <c r="L896" s="19"/>
      <c r="M896" s="19"/>
      <c r="N896" s="19"/>
      <c r="O896" s="19"/>
      <c r="P896" s="20"/>
      <c r="Q896" s="20"/>
      <c r="R896" s="22"/>
      <c r="S896" s="22"/>
      <c r="T896" s="20"/>
      <c r="U896" s="20"/>
      <c r="V896" s="20"/>
      <c r="W896" s="19"/>
      <c r="X896" s="19"/>
      <c r="Y896" s="19"/>
      <c r="Z896" s="23"/>
    </row>
    <row r="897" spans="1:26" ht="15.75" customHeight="1" x14ac:dyDescent="0.2">
      <c r="A897" s="34"/>
      <c r="B897" s="34"/>
      <c r="C897" s="34"/>
      <c r="D897" s="34"/>
      <c r="E897" s="19"/>
      <c r="F897" s="19"/>
      <c r="G897" s="19"/>
      <c r="H897" s="19"/>
      <c r="I897" s="19"/>
      <c r="J897" s="19"/>
      <c r="K897" s="19"/>
      <c r="L897" s="19"/>
      <c r="M897" s="19"/>
      <c r="N897" s="19"/>
      <c r="O897" s="19"/>
      <c r="P897" s="20"/>
      <c r="Q897" s="20"/>
      <c r="R897" s="22"/>
      <c r="S897" s="22"/>
      <c r="T897" s="20"/>
      <c r="U897" s="20"/>
      <c r="V897" s="20"/>
      <c r="W897" s="19"/>
      <c r="X897" s="19"/>
      <c r="Y897" s="19"/>
      <c r="Z897" s="23"/>
    </row>
    <row r="898" spans="1:26" ht="15.75" customHeight="1" x14ac:dyDescent="0.2">
      <c r="A898" s="34"/>
      <c r="B898" s="34"/>
      <c r="C898" s="34"/>
      <c r="D898" s="34"/>
      <c r="E898" s="19"/>
      <c r="F898" s="19"/>
      <c r="G898" s="19"/>
      <c r="H898" s="19"/>
      <c r="I898" s="19"/>
      <c r="J898" s="19"/>
      <c r="K898" s="19"/>
      <c r="L898" s="19"/>
      <c r="M898" s="19"/>
      <c r="N898" s="19"/>
      <c r="O898" s="19"/>
      <c r="P898" s="20"/>
      <c r="Q898" s="20"/>
      <c r="R898" s="22"/>
      <c r="S898" s="22"/>
      <c r="T898" s="20"/>
      <c r="U898" s="20"/>
      <c r="V898" s="20"/>
      <c r="W898" s="19"/>
      <c r="X898" s="19"/>
      <c r="Y898" s="19"/>
      <c r="Z898" s="23"/>
    </row>
    <row r="899" spans="1:26" ht="15.75" customHeight="1" x14ac:dyDescent="0.2">
      <c r="A899" s="34"/>
      <c r="B899" s="34"/>
      <c r="C899" s="34"/>
      <c r="D899" s="34"/>
      <c r="E899" s="19"/>
      <c r="F899" s="19"/>
      <c r="G899" s="19"/>
      <c r="H899" s="19"/>
      <c r="I899" s="19"/>
      <c r="J899" s="19"/>
      <c r="K899" s="19"/>
      <c r="L899" s="19"/>
      <c r="M899" s="19"/>
      <c r="N899" s="19"/>
      <c r="O899" s="19"/>
      <c r="P899" s="20"/>
      <c r="Q899" s="20"/>
      <c r="R899" s="22"/>
      <c r="S899" s="22"/>
      <c r="T899" s="20"/>
      <c r="U899" s="20"/>
      <c r="V899" s="20"/>
      <c r="W899" s="19"/>
      <c r="X899" s="19"/>
      <c r="Y899" s="19"/>
      <c r="Z899" s="23"/>
    </row>
    <row r="900" spans="1:26" ht="15.75" customHeight="1" x14ac:dyDescent="0.2">
      <c r="A900" s="34"/>
      <c r="B900" s="34"/>
      <c r="C900" s="34"/>
      <c r="D900" s="34"/>
      <c r="E900" s="19"/>
      <c r="F900" s="19"/>
      <c r="G900" s="19"/>
      <c r="H900" s="19"/>
      <c r="I900" s="19"/>
      <c r="J900" s="19"/>
      <c r="K900" s="19"/>
      <c r="L900" s="19"/>
      <c r="M900" s="19"/>
      <c r="N900" s="19"/>
      <c r="O900" s="19"/>
      <c r="P900" s="20"/>
      <c r="Q900" s="20"/>
      <c r="R900" s="22"/>
      <c r="S900" s="22"/>
      <c r="T900" s="20"/>
      <c r="U900" s="20"/>
      <c r="V900" s="20"/>
      <c r="W900" s="19"/>
      <c r="X900" s="19"/>
      <c r="Y900" s="19"/>
      <c r="Z900" s="23"/>
    </row>
    <row r="901" spans="1:26" ht="15.75" customHeight="1" x14ac:dyDescent="0.2">
      <c r="A901" s="34"/>
      <c r="B901" s="34"/>
      <c r="C901" s="34"/>
      <c r="D901" s="34"/>
      <c r="E901" s="19"/>
      <c r="F901" s="19"/>
      <c r="G901" s="19"/>
      <c r="H901" s="19"/>
      <c r="I901" s="19"/>
      <c r="J901" s="19"/>
      <c r="K901" s="19"/>
      <c r="L901" s="19"/>
      <c r="M901" s="19"/>
      <c r="N901" s="19"/>
      <c r="O901" s="19"/>
      <c r="P901" s="20"/>
      <c r="Q901" s="20"/>
      <c r="R901" s="22"/>
      <c r="S901" s="22"/>
      <c r="T901" s="20"/>
      <c r="U901" s="20"/>
      <c r="V901" s="20"/>
      <c r="W901" s="19"/>
      <c r="X901" s="19"/>
      <c r="Y901" s="19"/>
      <c r="Z901" s="23"/>
    </row>
    <row r="902" spans="1:26" ht="15.75" customHeight="1" x14ac:dyDescent="0.2">
      <c r="A902" s="34"/>
      <c r="B902" s="34"/>
      <c r="C902" s="34"/>
      <c r="D902" s="34"/>
      <c r="E902" s="19"/>
      <c r="F902" s="19"/>
      <c r="G902" s="19"/>
      <c r="H902" s="19"/>
      <c r="I902" s="19"/>
      <c r="J902" s="19"/>
      <c r="K902" s="19"/>
      <c r="L902" s="19"/>
      <c r="M902" s="19"/>
      <c r="N902" s="19"/>
      <c r="O902" s="19"/>
      <c r="P902" s="20"/>
      <c r="Q902" s="20"/>
      <c r="R902" s="22"/>
      <c r="S902" s="22"/>
      <c r="T902" s="20"/>
      <c r="U902" s="20"/>
      <c r="V902" s="20"/>
      <c r="W902" s="19"/>
      <c r="X902" s="19"/>
      <c r="Y902" s="19"/>
      <c r="Z902" s="23"/>
    </row>
    <row r="903" spans="1:26" ht="15.75" customHeight="1" x14ac:dyDescent="0.2">
      <c r="A903" s="34"/>
      <c r="B903" s="34"/>
      <c r="C903" s="34"/>
      <c r="D903" s="34"/>
      <c r="E903" s="19"/>
      <c r="F903" s="19"/>
      <c r="G903" s="19"/>
      <c r="H903" s="19"/>
      <c r="I903" s="19"/>
      <c r="J903" s="19"/>
      <c r="K903" s="19"/>
      <c r="L903" s="19"/>
      <c r="M903" s="19"/>
      <c r="N903" s="19"/>
      <c r="O903" s="19"/>
      <c r="P903" s="20"/>
      <c r="Q903" s="20"/>
      <c r="R903" s="22"/>
      <c r="S903" s="22"/>
      <c r="T903" s="20"/>
      <c r="U903" s="20"/>
      <c r="V903" s="20"/>
      <c r="W903" s="19"/>
      <c r="X903" s="19"/>
      <c r="Y903" s="19"/>
      <c r="Z903" s="23"/>
    </row>
    <row r="904" spans="1:26" ht="15.75" customHeight="1" x14ac:dyDescent="0.2">
      <c r="A904" s="34"/>
      <c r="B904" s="34"/>
      <c r="C904" s="34"/>
      <c r="D904" s="34"/>
      <c r="E904" s="19"/>
      <c r="F904" s="19"/>
      <c r="G904" s="19"/>
      <c r="H904" s="19"/>
      <c r="I904" s="19"/>
      <c r="J904" s="19"/>
      <c r="K904" s="19"/>
      <c r="L904" s="19"/>
      <c r="M904" s="19"/>
      <c r="N904" s="19"/>
      <c r="O904" s="19"/>
      <c r="P904" s="20"/>
      <c r="Q904" s="20"/>
      <c r="R904" s="22"/>
      <c r="S904" s="22"/>
      <c r="T904" s="20"/>
      <c r="U904" s="20"/>
      <c r="V904" s="20"/>
      <c r="W904" s="19"/>
      <c r="X904" s="19"/>
      <c r="Y904" s="19"/>
      <c r="Z904" s="23"/>
    </row>
    <row r="905" spans="1:26" ht="15.75" customHeight="1" x14ac:dyDescent="0.2">
      <c r="A905" s="34"/>
      <c r="B905" s="34"/>
      <c r="C905" s="34"/>
      <c r="D905" s="34"/>
      <c r="E905" s="19"/>
      <c r="F905" s="19"/>
      <c r="G905" s="19"/>
      <c r="H905" s="19"/>
      <c r="I905" s="19"/>
      <c r="J905" s="19"/>
      <c r="K905" s="19"/>
      <c r="L905" s="19"/>
      <c r="M905" s="19"/>
      <c r="N905" s="19"/>
      <c r="O905" s="19"/>
      <c r="P905" s="20"/>
      <c r="Q905" s="20"/>
      <c r="R905" s="22"/>
      <c r="S905" s="22"/>
      <c r="T905" s="20"/>
      <c r="U905" s="20"/>
      <c r="V905" s="20"/>
      <c r="W905" s="19"/>
      <c r="X905" s="19"/>
      <c r="Y905" s="19"/>
      <c r="Z905" s="23"/>
    </row>
    <row r="906" spans="1:26" ht="15.75" customHeight="1" x14ac:dyDescent="0.2">
      <c r="A906" s="34"/>
      <c r="B906" s="34"/>
      <c r="C906" s="34"/>
      <c r="D906" s="34"/>
      <c r="E906" s="19"/>
      <c r="F906" s="19"/>
      <c r="G906" s="19"/>
      <c r="H906" s="19"/>
      <c r="I906" s="19"/>
      <c r="J906" s="19"/>
      <c r="K906" s="19"/>
      <c r="L906" s="19"/>
      <c r="M906" s="19"/>
      <c r="N906" s="19"/>
      <c r="O906" s="19"/>
      <c r="P906" s="20"/>
      <c r="Q906" s="20"/>
      <c r="R906" s="22"/>
      <c r="S906" s="22"/>
      <c r="T906" s="20"/>
      <c r="U906" s="20"/>
      <c r="V906" s="20"/>
      <c r="W906" s="19"/>
      <c r="X906" s="19"/>
      <c r="Y906" s="19"/>
      <c r="Z906" s="23"/>
    </row>
    <row r="907" spans="1:26" ht="15.75" customHeight="1" x14ac:dyDescent="0.2">
      <c r="A907" s="34"/>
      <c r="B907" s="34"/>
      <c r="C907" s="34"/>
      <c r="D907" s="34"/>
      <c r="E907" s="19"/>
      <c r="F907" s="19"/>
      <c r="G907" s="19"/>
      <c r="H907" s="19"/>
      <c r="I907" s="19"/>
      <c r="J907" s="19"/>
      <c r="K907" s="19"/>
      <c r="L907" s="19"/>
      <c r="M907" s="19"/>
      <c r="N907" s="19"/>
      <c r="O907" s="19"/>
      <c r="P907" s="20"/>
      <c r="Q907" s="20"/>
      <c r="R907" s="22"/>
      <c r="S907" s="22"/>
      <c r="T907" s="20"/>
      <c r="U907" s="20"/>
      <c r="V907" s="20"/>
      <c r="W907" s="19"/>
      <c r="X907" s="19"/>
      <c r="Y907" s="19"/>
      <c r="Z907" s="23"/>
    </row>
    <row r="908" spans="1:26" ht="15.75" customHeight="1" x14ac:dyDescent="0.2">
      <c r="A908" s="34"/>
      <c r="B908" s="34"/>
      <c r="C908" s="34"/>
      <c r="D908" s="34"/>
      <c r="E908" s="19"/>
      <c r="F908" s="19"/>
      <c r="G908" s="19"/>
      <c r="H908" s="19"/>
      <c r="I908" s="19"/>
      <c r="J908" s="19"/>
      <c r="K908" s="19"/>
      <c r="L908" s="19"/>
      <c r="M908" s="19"/>
      <c r="N908" s="19"/>
      <c r="O908" s="19"/>
      <c r="P908" s="20"/>
      <c r="Q908" s="20"/>
      <c r="R908" s="22"/>
      <c r="S908" s="22"/>
      <c r="T908" s="20"/>
      <c r="U908" s="20"/>
      <c r="V908" s="20"/>
      <c r="W908" s="19"/>
      <c r="X908" s="19"/>
      <c r="Y908" s="19"/>
      <c r="Z908" s="23"/>
    </row>
    <row r="909" spans="1:26" ht="15.75" customHeight="1" x14ac:dyDescent="0.2">
      <c r="A909" s="34"/>
      <c r="B909" s="34"/>
      <c r="C909" s="34"/>
      <c r="D909" s="34"/>
      <c r="E909" s="19"/>
      <c r="F909" s="19"/>
      <c r="G909" s="19"/>
      <c r="H909" s="19"/>
      <c r="I909" s="19"/>
      <c r="J909" s="19"/>
      <c r="K909" s="19"/>
      <c r="L909" s="19"/>
      <c r="M909" s="19"/>
      <c r="N909" s="19"/>
      <c r="O909" s="19"/>
      <c r="P909" s="20"/>
      <c r="Q909" s="20"/>
      <c r="R909" s="22"/>
      <c r="S909" s="22"/>
      <c r="T909" s="20"/>
      <c r="U909" s="20"/>
      <c r="V909" s="20"/>
      <c r="W909" s="19"/>
      <c r="X909" s="19"/>
      <c r="Y909" s="19"/>
      <c r="Z909" s="23"/>
    </row>
    <row r="910" spans="1:26" ht="15.75" customHeight="1" x14ac:dyDescent="0.2">
      <c r="A910" s="34"/>
      <c r="B910" s="34"/>
      <c r="C910" s="34"/>
      <c r="D910" s="34"/>
      <c r="E910" s="19"/>
      <c r="F910" s="19"/>
      <c r="G910" s="19"/>
      <c r="H910" s="19"/>
      <c r="I910" s="19"/>
      <c r="J910" s="19"/>
      <c r="K910" s="19"/>
      <c r="L910" s="19"/>
      <c r="M910" s="19"/>
      <c r="N910" s="19"/>
      <c r="O910" s="19"/>
      <c r="P910" s="20"/>
      <c r="Q910" s="20"/>
      <c r="R910" s="22"/>
      <c r="S910" s="22"/>
      <c r="T910" s="20"/>
      <c r="U910" s="20"/>
      <c r="V910" s="20"/>
      <c r="W910" s="19"/>
      <c r="X910" s="19"/>
      <c r="Y910" s="19"/>
      <c r="Z910" s="23"/>
    </row>
    <row r="911" spans="1:26" ht="15.75" customHeight="1" x14ac:dyDescent="0.2">
      <c r="A911" s="34"/>
      <c r="B911" s="34"/>
      <c r="C911" s="34"/>
      <c r="D911" s="34"/>
      <c r="E911" s="19"/>
      <c r="F911" s="19"/>
      <c r="G911" s="19"/>
      <c r="H911" s="19"/>
      <c r="I911" s="19"/>
      <c r="J911" s="19"/>
      <c r="K911" s="19"/>
      <c r="L911" s="19"/>
      <c r="M911" s="19"/>
      <c r="N911" s="19"/>
      <c r="O911" s="19"/>
      <c r="P911" s="20"/>
      <c r="Q911" s="20"/>
      <c r="R911" s="22"/>
      <c r="S911" s="22"/>
      <c r="T911" s="20"/>
      <c r="U911" s="20"/>
      <c r="V911" s="20"/>
      <c r="W911" s="19"/>
      <c r="X911" s="19"/>
      <c r="Y911" s="19"/>
      <c r="Z911" s="23"/>
    </row>
    <row r="912" spans="1:26" ht="15.75" customHeight="1" x14ac:dyDescent="0.2">
      <c r="A912" s="34"/>
      <c r="B912" s="34"/>
      <c r="C912" s="34"/>
      <c r="D912" s="34"/>
      <c r="E912" s="19"/>
      <c r="F912" s="19"/>
      <c r="G912" s="19"/>
      <c r="H912" s="19"/>
      <c r="I912" s="19"/>
      <c r="J912" s="19"/>
      <c r="K912" s="19"/>
      <c r="L912" s="19"/>
      <c r="M912" s="19"/>
      <c r="N912" s="19"/>
      <c r="O912" s="19"/>
      <c r="P912" s="20"/>
      <c r="Q912" s="20"/>
      <c r="R912" s="22"/>
      <c r="S912" s="22"/>
      <c r="T912" s="20"/>
      <c r="U912" s="20"/>
      <c r="V912" s="20"/>
      <c r="W912" s="19"/>
      <c r="X912" s="19"/>
      <c r="Y912" s="19"/>
      <c r="Z912" s="23"/>
    </row>
    <row r="913" spans="1:26" ht="15.75" customHeight="1" x14ac:dyDescent="0.2">
      <c r="A913" s="34"/>
      <c r="B913" s="34"/>
      <c r="C913" s="34"/>
      <c r="D913" s="34"/>
      <c r="E913" s="19"/>
      <c r="F913" s="19"/>
      <c r="G913" s="19"/>
      <c r="H913" s="19"/>
      <c r="I913" s="19"/>
      <c r="J913" s="19"/>
      <c r="K913" s="19"/>
      <c r="L913" s="19"/>
      <c r="M913" s="19"/>
      <c r="N913" s="19"/>
      <c r="O913" s="19"/>
      <c r="P913" s="20"/>
      <c r="Q913" s="20"/>
      <c r="R913" s="22"/>
      <c r="S913" s="22"/>
      <c r="T913" s="20"/>
      <c r="U913" s="20"/>
      <c r="V913" s="20"/>
      <c r="W913" s="19"/>
      <c r="X913" s="19"/>
      <c r="Y913" s="19"/>
      <c r="Z913" s="23"/>
    </row>
    <row r="914" spans="1:26" ht="15.75" customHeight="1" x14ac:dyDescent="0.2">
      <c r="A914" s="34"/>
      <c r="B914" s="34"/>
      <c r="C914" s="34"/>
      <c r="D914" s="34"/>
      <c r="E914" s="19"/>
      <c r="F914" s="19"/>
      <c r="G914" s="19"/>
      <c r="H914" s="19"/>
      <c r="I914" s="19"/>
      <c r="J914" s="19"/>
      <c r="K914" s="19"/>
      <c r="L914" s="19"/>
      <c r="M914" s="19"/>
      <c r="N914" s="19"/>
      <c r="O914" s="19"/>
      <c r="P914" s="20"/>
      <c r="Q914" s="20"/>
      <c r="R914" s="22"/>
      <c r="S914" s="22"/>
      <c r="T914" s="20"/>
      <c r="U914" s="20"/>
      <c r="V914" s="20"/>
      <c r="W914" s="19"/>
      <c r="X914" s="19"/>
      <c r="Y914" s="19"/>
      <c r="Z914" s="23"/>
    </row>
    <row r="915" spans="1:26" ht="15.75" customHeight="1" x14ac:dyDescent="0.2">
      <c r="A915" s="34"/>
      <c r="B915" s="34"/>
      <c r="C915" s="34"/>
      <c r="D915" s="34"/>
      <c r="E915" s="19"/>
      <c r="F915" s="19"/>
      <c r="G915" s="19"/>
      <c r="H915" s="19"/>
      <c r="I915" s="19"/>
      <c r="J915" s="19"/>
      <c r="K915" s="19"/>
      <c r="L915" s="19"/>
      <c r="M915" s="19"/>
      <c r="N915" s="19"/>
      <c r="O915" s="19"/>
      <c r="P915" s="20"/>
      <c r="Q915" s="20"/>
      <c r="R915" s="22"/>
      <c r="S915" s="22"/>
      <c r="T915" s="20"/>
      <c r="U915" s="20"/>
      <c r="V915" s="20"/>
      <c r="W915" s="19"/>
      <c r="X915" s="19"/>
      <c r="Y915" s="19"/>
      <c r="Z915" s="23"/>
    </row>
    <row r="916" spans="1:26" ht="15.75" customHeight="1" x14ac:dyDescent="0.2">
      <c r="A916" s="34"/>
      <c r="B916" s="34"/>
      <c r="C916" s="34"/>
      <c r="D916" s="34"/>
      <c r="E916" s="19"/>
      <c r="F916" s="19"/>
      <c r="G916" s="19"/>
      <c r="H916" s="19"/>
      <c r="I916" s="19"/>
      <c r="J916" s="19"/>
      <c r="K916" s="19"/>
      <c r="L916" s="19"/>
      <c r="M916" s="19"/>
      <c r="N916" s="19"/>
      <c r="O916" s="19"/>
      <c r="P916" s="20"/>
      <c r="Q916" s="20"/>
      <c r="R916" s="22"/>
      <c r="S916" s="22"/>
      <c r="T916" s="20"/>
      <c r="U916" s="20"/>
      <c r="V916" s="20"/>
      <c r="W916" s="19"/>
      <c r="X916" s="19"/>
      <c r="Y916" s="19"/>
      <c r="Z916" s="23"/>
    </row>
    <row r="917" spans="1:26" ht="15.75" customHeight="1" x14ac:dyDescent="0.2">
      <c r="A917" s="34"/>
      <c r="B917" s="34"/>
      <c r="C917" s="34"/>
      <c r="D917" s="34"/>
      <c r="E917" s="19"/>
      <c r="F917" s="19"/>
      <c r="G917" s="19"/>
      <c r="H917" s="19"/>
      <c r="I917" s="19"/>
      <c r="J917" s="19"/>
      <c r="K917" s="19"/>
      <c r="L917" s="19"/>
      <c r="M917" s="19"/>
      <c r="N917" s="19"/>
      <c r="O917" s="19"/>
      <c r="P917" s="20"/>
      <c r="Q917" s="20"/>
      <c r="R917" s="22"/>
      <c r="S917" s="22"/>
      <c r="T917" s="20"/>
      <c r="U917" s="20"/>
      <c r="V917" s="20"/>
      <c r="W917" s="19"/>
      <c r="X917" s="19"/>
      <c r="Y917" s="19"/>
      <c r="Z917" s="23"/>
    </row>
    <row r="918" spans="1:26" ht="15.75" customHeight="1" x14ac:dyDescent="0.2">
      <c r="A918" s="34"/>
      <c r="B918" s="34"/>
      <c r="C918" s="34"/>
      <c r="D918" s="34"/>
      <c r="E918" s="19"/>
      <c r="F918" s="19"/>
      <c r="G918" s="19"/>
      <c r="H918" s="19"/>
      <c r="I918" s="19"/>
      <c r="J918" s="19"/>
      <c r="K918" s="19"/>
      <c r="L918" s="19"/>
      <c r="M918" s="19"/>
      <c r="N918" s="19"/>
      <c r="O918" s="19"/>
      <c r="P918" s="20"/>
      <c r="Q918" s="20"/>
      <c r="R918" s="22"/>
      <c r="S918" s="22"/>
      <c r="T918" s="20"/>
      <c r="U918" s="20"/>
      <c r="V918" s="20"/>
      <c r="W918" s="19"/>
      <c r="X918" s="19"/>
      <c r="Y918" s="19"/>
      <c r="Z918" s="23"/>
    </row>
    <row r="919" spans="1:26" ht="15.75" customHeight="1" x14ac:dyDescent="0.2">
      <c r="A919" s="34"/>
      <c r="B919" s="34"/>
      <c r="C919" s="34"/>
      <c r="D919" s="34"/>
      <c r="E919" s="19"/>
      <c r="F919" s="19"/>
      <c r="G919" s="19"/>
      <c r="H919" s="19"/>
      <c r="I919" s="19"/>
      <c r="J919" s="19"/>
      <c r="K919" s="19"/>
      <c r="L919" s="19"/>
      <c r="M919" s="19"/>
      <c r="N919" s="19"/>
      <c r="O919" s="19"/>
      <c r="P919" s="20"/>
      <c r="Q919" s="20"/>
      <c r="R919" s="22"/>
      <c r="S919" s="22"/>
      <c r="T919" s="20"/>
      <c r="U919" s="20"/>
      <c r="V919" s="20"/>
      <c r="W919" s="19"/>
      <c r="X919" s="19"/>
      <c r="Y919" s="19"/>
      <c r="Z919" s="23"/>
    </row>
    <row r="920" spans="1:26" ht="15.75" customHeight="1" x14ac:dyDescent="0.2">
      <c r="A920" s="34"/>
      <c r="B920" s="34"/>
      <c r="C920" s="34"/>
      <c r="D920" s="34"/>
      <c r="E920" s="19"/>
      <c r="F920" s="19"/>
      <c r="G920" s="19"/>
      <c r="H920" s="19"/>
      <c r="I920" s="19"/>
      <c r="J920" s="19"/>
      <c r="K920" s="19"/>
      <c r="L920" s="19"/>
      <c r="M920" s="19"/>
      <c r="N920" s="19"/>
      <c r="O920" s="19"/>
      <c r="P920" s="20"/>
      <c r="Q920" s="20"/>
      <c r="R920" s="22"/>
      <c r="S920" s="22"/>
      <c r="T920" s="20"/>
      <c r="U920" s="20"/>
      <c r="V920" s="20"/>
      <c r="W920" s="19"/>
      <c r="X920" s="19"/>
      <c r="Y920" s="19"/>
      <c r="Z920" s="23"/>
    </row>
    <row r="921" spans="1:26" ht="15.75" customHeight="1" x14ac:dyDescent="0.2">
      <c r="A921" s="34"/>
      <c r="B921" s="34"/>
      <c r="C921" s="34"/>
      <c r="D921" s="34"/>
      <c r="E921" s="19"/>
      <c r="F921" s="19"/>
      <c r="G921" s="19"/>
      <c r="H921" s="19"/>
      <c r="I921" s="19"/>
      <c r="J921" s="19"/>
      <c r="K921" s="19"/>
      <c r="L921" s="19"/>
      <c r="M921" s="19"/>
      <c r="N921" s="19"/>
      <c r="O921" s="19"/>
      <c r="P921" s="20"/>
      <c r="Q921" s="20"/>
      <c r="R921" s="22"/>
      <c r="S921" s="22"/>
      <c r="T921" s="20"/>
      <c r="U921" s="20"/>
      <c r="V921" s="20"/>
      <c r="W921" s="19"/>
      <c r="X921" s="19"/>
      <c r="Y921" s="19"/>
      <c r="Z921" s="23"/>
    </row>
    <row r="922" spans="1:26" ht="15.75" customHeight="1" x14ac:dyDescent="0.2">
      <c r="A922" s="34"/>
      <c r="B922" s="34"/>
      <c r="C922" s="34"/>
      <c r="D922" s="34"/>
      <c r="E922" s="19"/>
      <c r="F922" s="19"/>
      <c r="G922" s="19"/>
      <c r="H922" s="19"/>
      <c r="I922" s="19"/>
      <c r="J922" s="19"/>
      <c r="K922" s="19"/>
      <c r="L922" s="19"/>
      <c r="M922" s="19"/>
      <c r="N922" s="19"/>
      <c r="O922" s="19"/>
      <c r="P922" s="20"/>
      <c r="Q922" s="20"/>
      <c r="R922" s="22"/>
      <c r="S922" s="22"/>
      <c r="T922" s="20"/>
      <c r="U922" s="20"/>
      <c r="V922" s="20"/>
      <c r="W922" s="19"/>
      <c r="X922" s="19"/>
      <c r="Y922" s="19"/>
      <c r="Z922" s="23"/>
    </row>
    <row r="923" spans="1:26" ht="15.75" customHeight="1" x14ac:dyDescent="0.2">
      <c r="A923" s="34"/>
      <c r="B923" s="34"/>
      <c r="C923" s="34"/>
      <c r="D923" s="34"/>
      <c r="E923" s="19"/>
      <c r="F923" s="19"/>
      <c r="G923" s="19"/>
      <c r="H923" s="19"/>
      <c r="I923" s="19"/>
      <c r="J923" s="19"/>
      <c r="K923" s="19"/>
      <c r="L923" s="19"/>
      <c r="M923" s="19"/>
      <c r="N923" s="19"/>
      <c r="O923" s="19"/>
      <c r="P923" s="20"/>
      <c r="Q923" s="20"/>
      <c r="R923" s="22"/>
      <c r="S923" s="22"/>
      <c r="T923" s="20"/>
      <c r="U923" s="20"/>
      <c r="V923" s="20"/>
      <c r="W923" s="19"/>
      <c r="X923" s="19"/>
      <c r="Y923" s="19"/>
      <c r="Z923" s="23"/>
    </row>
    <row r="924" spans="1:26" ht="15.75" customHeight="1" x14ac:dyDescent="0.2">
      <c r="A924" s="34"/>
      <c r="B924" s="34"/>
      <c r="C924" s="34"/>
      <c r="D924" s="34"/>
      <c r="E924" s="19"/>
      <c r="F924" s="19"/>
      <c r="G924" s="19"/>
      <c r="H924" s="19"/>
      <c r="I924" s="19"/>
      <c r="J924" s="19"/>
      <c r="K924" s="19"/>
      <c r="L924" s="19"/>
      <c r="M924" s="19"/>
      <c r="N924" s="19"/>
      <c r="O924" s="19"/>
      <c r="P924" s="20"/>
      <c r="Q924" s="20"/>
      <c r="R924" s="22"/>
      <c r="S924" s="22"/>
      <c r="T924" s="20"/>
      <c r="U924" s="20"/>
      <c r="V924" s="20"/>
      <c r="W924" s="19"/>
      <c r="X924" s="19"/>
      <c r="Y924" s="19"/>
      <c r="Z924" s="23"/>
    </row>
    <row r="925" spans="1:26" ht="15.75" customHeight="1" x14ac:dyDescent="0.2">
      <c r="A925" s="34"/>
      <c r="B925" s="34"/>
      <c r="C925" s="34"/>
      <c r="D925" s="34"/>
      <c r="E925" s="19"/>
      <c r="F925" s="19"/>
      <c r="G925" s="19"/>
      <c r="H925" s="19"/>
      <c r="I925" s="19"/>
      <c r="J925" s="19"/>
      <c r="K925" s="19"/>
      <c r="L925" s="19"/>
      <c r="M925" s="19"/>
      <c r="N925" s="19"/>
      <c r="O925" s="19"/>
      <c r="P925" s="20"/>
      <c r="Q925" s="20"/>
      <c r="R925" s="22"/>
      <c r="S925" s="22"/>
      <c r="T925" s="20"/>
      <c r="U925" s="20"/>
      <c r="V925" s="20"/>
      <c r="W925" s="19"/>
      <c r="X925" s="19"/>
      <c r="Y925" s="19"/>
      <c r="Z925" s="23"/>
    </row>
    <row r="926" spans="1:26" ht="15.75" customHeight="1" x14ac:dyDescent="0.2">
      <c r="A926" s="34"/>
      <c r="B926" s="34"/>
      <c r="C926" s="34"/>
      <c r="D926" s="34"/>
      <c r="E926" s="19"/>
      <c r="F926" s="19"/>
      <c r="G926" s="19"/>
      <c r="H926" s="19"/>
      <c r="I926" s="19"/>
      <c r="J926" s="19"/>
      <c r="K926" s="19"/>
      <c r="L926" s="19"/>
      <c r="M926" s="19"/>
      <c r="N926" s="19"/>
      <c r="O926" s="19"/>
      <c r="P926" s="20"/>
      <c r="Q926" s="20"/>
      <c r="R926" s="22"/>
      <c r="S926" s="22"/>
      <c r="T926" s="20"/>
      <c r="U926" s="20"/>
      <c r="V926" s="20"/>
      <c r="W926" s="19"/>
      <c r="X926" s="19"/>
      <c r="Y926" s="19"/>
      <c r="Z926" s="23"/>
    </row>
    <row r="927" spans="1:26" ht="15.75" customHeight="1" x14ac:dyDescent="0.2">
      <c r="A927" s="34"/>
      <c r="B927" s="34"/>
      <c r="C927" s="34"/>
      <c r="D927" s="34"/>
      <c r="E927" s="19"/>
      <c r="F927" s="19"/>
      <c r="G927" s="19"/>
      <c r="H927" s="19"/>
      <c r="I927" s="19"/>
      <c r="J927" s="19"/>
      <c r="K927" s="19"/>
      <c r="L927" s="19"/>
      <c r="M927" s="19"/>
      <c r="N927" s="19"/>
      <c r="O927" s="19"/>
      <c r="P927" s="20"/>
      <c r="Q927" s="20"/>
      <c r="R927" s="22"/>
      <c r="S927" s="22"/>
      <c r="T927" s="20"/>
      <c r="U927" s="20"/>
      <c r="V927" s="20"/>
      <c r="W927" s="19"/>
      <c r="X927" s="19"/>
      <c r="Y927" s="19"/>
      <c r="Z927" s="23"/>
    </row>
    <row r="928" spans="1:26" ht="15.75" customHeight="1" x14ac:dyDescent="0.2">
      <c r="A928" s="34"/>
      <c r="B928" s="34"/>
      <c r="C928" s="34"/>
      <c r="D928" s="34"/>
      <c r="E928" s="19"/>
      <c r="F928" s="19"/>
      <c r="G928" s="19"/>
      <c r="H928" s="19"/>
      <c r="I928" s="19"/>
      <c r="J928" s="19"/>
      <c r="K928" s="19"/>
      <c r="L928" s="19"/>
      <c r="M928" s="19"/>
      <c r="N928" s="19"/>
      <c r="O928" s="19"/>
      <c r="P928" s="20"/>
      <c r="Q928" s="20"/>
      <c r="R928" s="22"/>
      <c r="S928" s="22"/>
      <c r="T928" s="20"/>
      <c r="U928" s="20"/>
      <c r="V928" s="20"/>
      <c r="W928" s="19"/>
      <c r="X928" s="19"/>
      <c r="Y928" s="19"/>
      <c r="Z928" s="23"/>
    </row>
    <row r="929" spans="1:26" ht="15.75" customHeight="1" x14ac:dyDescent="0.2">
      <c r="A929" s="34"/>
      <c r="B929" s="34"/>
      <c r="C929" s="34"/>
      <c r="D929" s="34"/>
      <c r="E929" s="19"/>
      <c r="F929" s="19"/>
      <c r="G929" s="19"/>
      <c r="H929" s="19"/>
      <c r="I929" s="19"/>
      <c r="J929" s="19"/>
      <c r="K929" s="19"/>
      <c r="L929" s="19"/>
      <c r="M929" s="19"/>
      <c r="N929" s="19"/>
      <c r="O929" s="19"/>
      <c r="P929" s="20"/>
      <c r="Q929" s="20"/>
      <c r="R929" s="22"/>
      <c r="S929" s="22"/>
      <c r="T929" s="20"/>
      <c r="U929" s="20"/>
      <c r="V929" s="20"/>
      <c r="W929" s="19"/>
      <c r="X929" s="19"/>
      <c r="Y929" s="19"/>
      <c r="Z929" s="23"/>
    </row>
    <row r="930" spans="1:26" ht="15.75" customHeight="1" x14ac:dyDescent="0.2">
      <c r="A930" s="34"/>
      <c r="B930" s="34"/>
      <c r="C930" s="34"/>
      <c r="D930" s="34"/>
      <c r="E930" s="19"/>
      <c r="F930" s="19"/>
      <c r="G930" s="19"/>
      <c r="H930" s="19"/>
      <c r="I930" s="19"/>
      <c r="J930" s="19"/>
      <c r="K930" s="19"/>
      <c r="L930" s="19"/>
      <c r="M930" s="19"/>
      <c r="N930" s="19"/>
      <c r="O930" s="19"/>
      <c r="P930" s="20"/>
      <c r="Q930" s="20"/>
      <c r="R930" s="22"/>
      <c r="S930" s="22"/>
      <c r="T930" s="20"/>
      <c r="U930" s="20"/>
      <c r="V930" s="20"/>
      <c r="W930" s="19"/>
      <c r="X930" s="19"/>
      <c r="Y930" s="19"/>
      <c r="Z930" s="23"/>
    </row>
    <row r="931" spans="1:26" ht="15.75" customHeight="1" x14ac:dyDescent="0.2">
      <c r="A931" s="34"/>
      <c r="B931" s="34"/>
      <c r="C931" s="34"/>
      <c r="D931" s="34"/>
      <c r="E931" s="19"/>
      <c r="F931" s="19"/>
      <c r="G931" s="19"/>
      <c r="H931" s="19"/>
      <c r="I931" s="19"/>
      <c r="J931" s="19"/>
      <c r="K931" s="19"/>
      <c r="L931" s="19"/>
      <c r="M931" s="19"/>
      <c r="N931" s="19"/>
      <c r="O931" s="19"/>
      <c r="P931" s="20"/>
      <c r="Q931" s="20"/>
      <c r="R931" s="22"/>
      <c r="S931" s="22"/>
      <c r="T931" s="20"/>
      <c r="U931" s="20"/>
      <c r="V931" s="20"/>
      <c r="W931" s="19"/>
      <c r="X931" s="19"/>
      <c r="Y931" s="19"/>
      <c r="Z931" s="23"/>
    </row>
    <row r="932" spans="1:26" ht="15.75" customHeight="1" x14ac:dyDescent="0.2">
      <c r="A932" s="34"/>
      <c r="B932" s="34"/>
      <c r="C932" s="34"/>
      <c r="D932" s="34"/>
      <c r="E932" s="19"/>
      <c r="F932" s="19"/>
      <c r="G932" s="19"/>
      <c r="H932" s="19"/>
      <c r="I932" s="19"/>
      <c r="J932" s="19"/>
      <c r="K932" s="19"/>
      <c r="L932" s="19"/>
      <c r="M932" s="19"/>
      <c r="N932" s="19"/>
      <c r="O932" s="19"/>
      <c r="P932" s="20"/>
      <c r="Q932" s="20"/>
      <c r="R932" s="22"/>
      <c r="S932" s="22"/>
      <c r="T932" s="20"/>
      <c r="U932" s="20"/>
      <c r="V932" s="20"/>
      <c r="W932" s="19"/>
      <c r="X932" s="19"/>
      <c r="Y932" s="19"/>
      <c r="Z932" s="23"/>
    </row>
    <row r="933" spans="1:26" ht="15.75" customHeight="1" x14ac:dyDescent="0.2">
      <c r="A933" s="34"/>
      <c r="B933" s="34"/>
      <c r="C933" s="34"/>
      <c r="D933" s="34"/>
      <c r="E933" s="19"/>
      <c r="F933" s="19"/>
      <c r="G933" s="19"/>
      <c r="H933" s="19"/>
      <c r="I933" s="19"/>
      <c r="J933" s="19"/>
      <c r="K933" s="19"/>
      <c r="L933" s="19"/>
      <c r="M933" s="19"/>
      <c r="N933" s="19"/>
      <c r="O933" s="19"/>
      <c r="P933" s="20"/>
      <c r="Q933" s="20"/>
      <c r="R933" s="22"/>
      <c r="S933" s="22"/>
      <c r="T933" s="20"/>
      <c r="U933" s="20"/>
      <c r="V933" s="20"/>
      <c r="W933" s="19"/>
      <c r="X933" s="19"/>
      <c r="Y933" s="19"/>
      <c r="Z933" s="23"/>
    </row>
    <row r="934" spans="1:26" ht="15.75" customHeight="1" x14ac:dyDescent="0.2">
      <c r="A934" s="34"/>
      <c r="B934" s="34"/>
      <c r="C934" s="34"/>
      <c r="D934" s="34"/>
      <c r="E934" s="19"/>
      <c r="F934" s="19"/>
      <c r="G934" s="19"/>
      <c r="H934" s="19"/>
      <c r="I934" s="19"/>
      <c r="J934" s="19"/>
      <c r="K934" s="19"/>
      <c r="L934" s="19"/>
      <c r="M934" s="19"/>
      <c r="N934" s="19"/>
      <c r="O934" s="19"/>
      <c r="P934" s="20"/>
      <c r="Q934" s="20"/>
      <c r="R934" s="22"/>
      <c r="S934" s="22"/>
      <c r="T934" s="20"/>
      <c r="U934" s="20"/>
      <c r="V934" s="20"/>
      <c r="W934" s="19"/>
      <c r="X934" s="19"/>
      <c r="Y934" s="19"/>
      <c r="Z934" s="23"/>
    </row>
    <row r="935" spans="1:26" ht="15.75" customHeight="1" x14ac:dyDescent="0.2">
      <c r="A935" s="34"/>
      <c r="B935" s="34"/>
      <c r="C935" s="34"/>
      <c r="D935" s="34"/>
      <c r="E935" s="19"/>
      <c r="F935" s="19"/>
      <c r="G935" s="19"/>
      <c r="H935" s="19"/>
      <c r="I935" s="19"/>
      <c r="J935" s="19"/>
      <c r="K935" s="19"/>
      <c r="L935" s="19"/>
      <c r="M935" s="19"/>
      <c r="N935" s="19"/>
      <c r="O935" s="19"/>
      <c r="P935" s="20"/>
      <c r="Q935" s="20"/>
      <c r="R935" s="22"/>
      <c r="S935" s="22"/>
      <c r="T935" s="20"/>
      <c r="U935" s="20"/>
      <c r="V935" s="20"/>
      <c r="W935" s="19"/>
      <c r="X935" s="19"/>
      <c r="Y935" s="19"/>
      <c r="Z935" s="23"/>
    </row>
    <row r="936" spans="1:26" ht="15.75" customHeight="1" x14ac:dyDescent="0.2">
      <c r="A936" s="34"/>
      <c r="B936" s="34"/>
      <c r="C936" s="34"/>
      <c r="D936" s="34"/>
      <c r="E936" s="19"/>
      <c r="F936" s="19"/>
      <c r="G936" s="19"/>
      <c r="H936" s="19"/>
      <c r="I936" s="19"/>
      <c r="J936" s="19"/>
      <c r="K936" s="19"/>
      <c r="L936" s="19"/>
      <c r="M936" s="19"/>
      <c r="N936" s="19"/>
      <c r="O936" s="19"/>
      <c r="P936" s="20"/>
      <c r="Q936" s="20"/>
      <c r="R936" s="22"/>
      <c r="S936" s="22"/>
      <c r="T936" s="20"/>
      <c r="U936" s="20"/>
      <c r="V936" s="20"/>
      <c r="W936" s="19"/>
      <c r="X936" s="19"/>
      <c r="Y936" s="19"/>
      <c r="Z936" s="23"/>
    </row>
    <row r="937" spans="1:26" ht="15.75" customHeight="1" x14ac:dyDescent="0.2">
      <c r="A937" s="34"/>
      <c r="B937" s="34"/>
      <c r="C937" s="34"/>
      <c r="D937" s="34"/>
      <c r="E937" s="19"/>
      <c r="F937" s="19"/>
      <c r="G937" s="19"/>
      <c r="H937" s="19"/>
      <c r="I937" s="19"/>
      <c r="J937" s="19"/>
      <c r="K937" s="19"/>
      <c r="L937" s="19"/>
      <c r="M937" s="19"/>
      <c r="N937" s="19"/>
      <c r="O937" s="19"/>
      <c r="P937" s="20"/>
      <c r="Q937" s="20"/>
      <c r="R937" s="22"/>
      <c r="S937" s="22"/>
      <c r="T937" s="20"/>
      <c r="U937" s="20"/>
      <c r="V937" s="20"/>
      <c r="W937" s="19"/>
      <c r="X937" s="19"/>
      <c r="Y937" s="19"/>
      <c r="Z937" s="23"/>
    </row>
    <row r="938" spans="1:26" ht="15.75" customHeight="1" x14ac:dyDescent="0.2">
      <c r="A938" s="34"/>
      <c r="B938" s="34"/>
      <c r="C938" s="34"/>
      <c r="D938" s="34"/>
      <c r="E938" s="19"/>
      <c r="F938" s="19"/>
      <c r="G938" s="19"/>
      <c r="H938" s="19"/>
      <c r="I938" s="19"/>
      <c r="J938" s="19"/>
      <c r="K938" s="19"/>
      <c r="L938" s="19"/>
      <c r="M938" s="19"/>
      <c r="N938" s="19"/>
      <c r="O938" s="19"/>
      <c r="P938" s="20"/>
      <c r="Q938" s="20"/>
      <c r="R938" s="22"/>
      <c r="S938" s="22"/>
      <c r="T938" s="20"/>
      <c r="U938" s="20"/>
      <c r="V938" s="20"/>
      <c r="W938" s="19"/>
      <c r="X938" s="19"/>
      <c r="Y938" s="19"/>
      <c r="Z938" s="23"/>
    </row>
    <row r="939" spans="1:26" ht="15.75" customHeight="1" x14ac:dyDescent="0.2">
      <c r="A939" s="34"/>
      <c r="B939" s="34"/>
      <c r="C939" s="34"/>
      <c r="D939" s="34"/>
      <c r="E939" s="19"/>
      <c r="F939" s="19"/>
      <c r="G939" s="19"/>
      <c r="H939" s="19"/>
      <c r="I939" s="19"/>
      <c r="J939" s="19"/>
      <c r="K939" s="19"/>
      <c r="L939" s="19"/>
      <c r="M939" s="19"/>
      <c r="N939" s="19"/>
      <c r="O939" s="19"/>
      <c r="P939" s="20"/>
      <c r="Q939" s="20"/>
      <c r="R939" s="22"/>
      <c r="S939" s="22"/>
      <c r="T939" s="20"/>
      <c r="U939" s="20"/>
      <c r="V939" s="20"/>
      <c r="W939" s="19"/>
      <c r="X939" s="19"/>
      <c r="Y939" s="19"/>
      <c r="Z939" s="23"/>
    </row>
    <row r="940" spans="1:26" ht="15.75" customHeight="1" x14ac:dyDescent="0.2">
      <c r="A940" s="34"/>
      <c r="B940" s="34"/>
      <c r="C940" s="34"/>
      <c r="D940" s="34"/>
      <c r="E940" s="19"/>
      <c r="F940" s="19"/>
      <c r="G940" s="19"/>
      <c r="H940" s="19"/>
      <c r="I940" s="19"/>
      <c r="J940" s="19"/>
      <c r="K940" s="19"/>
      <c r="L940" s="19"/>
      <c r="M940" s="19"/>
      <c r="N940" s="19"/>
      <c r="O940" s="19"/>
      <c r="P940" s="20"/>
      <c r="Q940" s="20"/>
      <c r="R940" s="22"/>
      <c r="S940" s="22"/>
      <c r="T940" s="20"/>
      <c r="U940" s="20"/>
      <c r="V940" s="20"/>
      <c r="W940" s="19"/>
      <c r="X940" s="19"/>
      <c r="Y940" s="19"/>
      <c r="Z940" s="23"/>
    </row>
    <row r="941" spans="1:26" ht="15.75" customHeight="1" x14ac:dyDescent="0.2">
      <c r="A941" s="34"/>
      <c r="B941" s="34"/>
      <c r="C941" s="34"/>
      <c r="D941" s="34"/>
      <c r="E941" s="19"/>
      <c r="F941" s="19"/>
      <c r="G941" s="19"/>
      <c r="H941" s="19"/>
      <c r="I941" s="19"/>
      <c r="J941" s="19"/>
      <c r="K941" s="19"/>
      <c r="L941" s="19"/>
      <c r="M941" s="19"/>
      <c r="N941" s="19"/>
      <c r="O941" s="19"/>
      <c r="P941" s="20"/>
      <c r="Q941" s="20"/>
      <c r="R941" s="22"/>
      <c r="S941" s="22"/>
      <c r="T941" s="20"/>
      <c r="U941" s="20"/>
      <c r="V941" s="20"/>
      <c r="W941" s="19"/>
      <c r="X941" s="19"/>
      <c r="Y941" s="19"/>
      <c r="Z941" s="23"/>
    </row>
    <row r="942" spans="1:26" ht="15.75" customHeight="1" x14ac:dyDescent="0.2">
      <c r="A942" s="34"/>
      <c r="B942" s="34"/>
      <c r="C942" s="34"/>
      <c r="D942" s="34"/>
      <c r="E942" s="19"/>
      <c r="F942" s="19"/>
      <c r="G942" s="19"/>
      <c r="H942" s="19"/>
      <c r="I942" s="19"/>
      <c r="J942" s="19"/>
      <c r="K942" s="19"/>
      <c r="L942" s="19"/>
      <c r="M942" s="19"/>
      <c r="N942" s="19"/>
      <c r="O942" s="19"/>
      <c r="P942" s="20"/>
      <c r="Q942" s="20"/>
      <c r="R942" s="22"/>
      <c r="S942" s="22"/>
      <c r="T942" s="20"/>
      <c r="U942" s="20"/>
      <c r="V942" s="20"/>
      <c r="W942" s="19"/>
      <c r="X942" s="19"/>
      <c r="Y942" s="19"/>
      <c r="Z942" s="23"/>
    </row>
    <row r="943" spans="1:26" ht="15.75" customHeight="1" x14ac:dyDescent="0.2">
      <c r="A943" s="34"/>
      <c r="B943" s="34"/>
      <c r="C943" s="34"/>
      <c r="D943" s="34"/>
      <c r="E943" s="19"/>
      <c r="F943" s="19"/>
      <c r="G943" s="19"/>
      <c r="H943" s="19"/>
      <c r="I943" s="19"/>
      <c r="J943" s="19"/>
      <c r="K943" s="19"/>
      <c r="L943" s="19"/>
      <c r="M943" s="19"/>
      <c r="N943" s="19"/>
      <c r="O943" s="19"/>
      <c r="P943" s="20"/>
      <c r="Q943" s="20"/>
      <c r="R943" s="22"/>
      <c r="S943" s="22"/>
      <c r="T943" s="20"/>
      <c r="U943" s="20"/>
      <c r="V943" s="20"/>
      <c r="W943" s="19"/>
      <c r="X943" s="19"/>
      <c r="Y943" s="19"/>
      <c r="Z943" s="23"/>
    </row>
    <row r="944" spans="1:26" ht="15.75" customHeight="1" x14ac:dyDescent="0.2">
      <c r="A944" s="34"/>
      <c r="B944" s="34"/>
      <c r="C944" s="34"/>
      <c r="D944" s="34"/>
      <c r="E944" s="19"/>
      <c r="F944" s="19"/>
      <c r="G944" s="19"/>
      <c r="H944" s="19"/>
      <c r="I944" s="19"/>
      <c r="J944" s="19"/>
      <c r="K944" s="19"/>
      <c r="L944" s="19"/>
      <c r="M944" s="19"/>
      <c r="N944" s="19"/>
      <c r="O944" s="19"/>
      <c r="P944" s="20"/>
      <c r="Q944" s="20"/>
      <c r="R944" s="22"/>
      <c r="S944" s="22"/>
      <c r="T944" s="20"/>
      <c r="U944" s="20"/>
      <c r="V944" s="20"/>
      <c r="W944" s="19"/>
      <c r="X944" s="19"/>
      <c r="Y944" s="19"/>
      <c r="Z944" s="23"/>
    </row>
    <row r="945" spans="1:26" ht="15.75" customHeight="1" x14ac:dyDescent="0.2">
      <c r="A945" s="34"/>
      <c r="B945" s="34"/>
      <c r="C945" s="34"/>
      <c r="D945" s="34"/>
      <c r="E945" s="19"/>
      <c r="F945" s="19"/>
      <c r="G945" s="19"/>
      <c r="H945" s="19"/>
      <c r="I945" s="19"/>
      <c r="J945" s="19"/>
      <c r="K945" s="19"/>
      <c r="L945" s="19"/>
      <c r="M945" s="19"/>
      <c r="N945" s="19"/>
      <c r="O945" s="19"/>
      <c r="P945" s="20"/>
      <c r="Q945" s="20"/>
      <c r="R945" s="22"/>
      <c r="S945" s="22"/>
      <c r="T945" s="20"/>
      <c r="U945" s="20"/>
      <c r="V945" s="20"/>
      <c r="W945" s="19"/>
      <c r="X945" s="19"/>
      <c r="Y945" s="19"/>
      <c r="Z945" s="23"/>
    </row>
    <row r="946" spans="1:26" ht="15.75" customHeight="1" x14ac:dyDescent="0.2">
      <c r="A946" s="34"/>
      <c r="B946" s="34"/>
      <c r="C946" s="34"/>
      <c r="D946" s="34"/>
      <c r="E946" s="19"/>
      <c r="F946" s="19"/>
      <c r="G946" s="19"/>
      <c r="H946" s="19"/>
      <c r="I946" s="19"/>
      <c r="J946" s="19"/>
      <c r="K946" s="19"/>
      <c r="L946" s="19"/>
      <c r="M946" s="19"/>
      <c r="N946" s="19"/>
      <c r="O946" s="19"/>
      <c r="P946" s="20"/>
      <c r="Q946" s="20"/>
      <c r="R946" s="22"/>
      <c r="S946" s="22"/>
      <c r="T946" s="20"/>
      <c r="U946" s="20"/>
      <c r="V946" s="20"/>
      <c r="W946" s="19"/>
      <c r="X946" s="19"/>
      <c r="Y946" s="19"/>
      <c r="Z946" s="23"/>
    </row>
    <row r="947" spans="1:26" ht="15.75" customHeight="1" x14ac:dyDescent="0.2">
      <c r="A947" s="34"/>
      <c r="B947" s="34"/>
      <c r="C947" s="34"/>
      <c r="D947" s="34"/>
      <c r="E947" s="19"/>
      <c r="F947" s="19"/>
      <c r="G947" s="19"/>
      <c r="H947" s="19"/>
      <c r="I947" s="19"/>
      <c r="J947" s="19"/>
      <c r="K947" s="19"/>
      <c r="L947" s="19"/>
      <c r="M947" s="19"/>
      <c r="N947" s="19"/>
      <c r="O947" s="19"/>
      <c r="P947" s="20"/>
      <c r="Q947" s="20"/>
      <c r="R947" s="22"/>
      <c r="S947" s="22"/>
      <c r="T947" s="20"/>
      <c r="U947" s="20"/>
      <c r="V947" s="20"/>
      <c r="W947" s="19"/>
      <c r="X947" s="19"/>
      <c r="Y947" s="19"/>
      <c r="Z947" s="23"/>
    </row>
    <row r="948" spans="1:26" ht="15.75" customHeight="1" x14ac:dyDescent="0.2">
      <c r="A948" s="34"/>
      <c r="B948" s="34"/>
      <c r="C948" s="34"/>
      <c r="D948" s="34"/>
      <c r="E948" s="19"/>
      <c r="F948" s="19"/>
      <c r="G948" s="19"/>
      <c r="H948" s="19"/>
      <c r="I948" s="19"/>
      <c r="J948" s="19"/>
      <c r="K948" s="19"/>
      <c r="L948" s="19"/>
      <c r="M948" s="19"/>
      <c r="N948" s="19"/>
      <c r="O948" s="19"/>
      <c r="P948" s="20"/>
      <c r="Q948" s="20"/>
      <c r="R948" s="22"/>
      <c r="S948" s="22"/>
      <c r="T948" s="20"/>
      <c r="U948" s="20"/>
      <c r="V948" s="20"/>
      <c r="W948" s="19"/>
      <c r="X948" s="19"/>
      <c r="Y948" s="19"/>
      <c r="Z948" s="23"/>
    </row>
    <row r="949" spans="1:26" ht="15.75" customHeight="1" x14ac:dyDescent="0.2">
      <c r="A949" s="34"/>
      <c r="B949" s="34"/>
      <c r="C949" s="34"/>
      <c r="D949" s="34"/>
      <c r="E949" s="19"/>
      <c r="F949" s="19"/>
      <c r="G949" s="19"/>
      <c r="H949" s="19"/>
      <c r="I949" s="19"/>
      <c r="J949" s="19"/>
      <c r="K949" s="19"/>
      <c r="L949" s="19"/>
      <c r="M949" s="19"/>
      <c r="N949" s="19"/>
      <c r="O949" s="19"/>
      <c r="P949" s="20"/>
      <c r="Q949" s="20"/>
      <c r="R949" s="22"/>
      <c r="S949" s="22"/>
      <c r="T949" s="20"/>
      <c r="U949" s="20"/>
      <c r="V949" s="20"/>
      <c r="W949" s="19"/>
      <c r="X949" s="19"/>
      <c r="Y949" s="19"/>
      <c r="Z949" s="23"/>
    </row>
    <row r="950" spans="1:26" ht="15.75" customHeight="1" x14ac:dyDescent="0.2">
      <c r="A950" s="34"/>
      <c r="B950" s="34"/>
      <c r="C950" s="34"/>
      <c r="D950" s="34"/>
      <c r="E950" s="19"/>
      <c r="F950" s="19"/>
      <c r="G950" s="19"/>
      <c r="H950" s="19"/>
      <c r="I950" s="19"/>
      <c r="J950" s="19"/>
      <c r="K950" s="19"/>
      <c r="L950" s="19"/>
      <c r="M950" s="19"/>
      <c r="N950" s="19"/>
      <c r="O950" s="19"/>
      <c r="P950" s="20"/>
      <c r="Q950" s="20"/>
      <c r="R950" s="22"/>
      <c r="S950" s="22"/>
      <c r="T950" s="20"/>
      <c r="U950" s="20"/>
      <c r="V950" s="20"/>
      <c r="W950" s="19"/>
      <c r="X950" s="19"/>
      <c r="Y950" s="19"/>
      <c r="Z950" s="23"/>
    </row>
    <row r="951" spans="1:26" ht="15.75" customHeight="1" x14ac:dyDescent="0.2">
      <c r="A951" s="34"/>
      <c r="B951" s="34"/>
      <c r="C951" s="34"/>
      <c r="D951" s="34"/>
      <c r="E951" s="19"/>
      <c r="F951" s="19"/>
      <c r="G951" s="19"/>
      <c r="H951" s="19"/>
      <c r="I951" s="19"/>
      <c r="J951" s="19"/>
      <c r="K951" s="19"/>
      <c r="L951" s="19"/>
      <c r="M951" s="19"/>
      <c r="N951" s="19"/>
      <c r="O951" s="19"/>
      <c r="P951" s="20"/>
      <c r="Q951" s="20"/>
      <c r="R951" s="22"/>
      <c r="S951" s="22"/>
      <c r="T951" s="20"/>
      <c r="U951" s="20"/>
      <c r="V951" s="20"/>
      <c r="W951" s="19"/>
      <c r="X951" s="19"/>
      <c r="Y951" s="19"/>
      <c r="Z951" s="23"/>
    </row>
    <row r="952" spans="1:26" ht="15.75" customHeight="1" x14ac:dyDescent="0.2">
      <c r="A952" s="34"/>
      <c r="B952" s="34"/>
      <c r="C952" s="34"/>
      <c r="D952" s="34"/>
      <c r="E952" s="19"/>
      <c r="F952" s="19"/>
      <c r="G952" s="19"/>
      <c r="H952" s="19"/>
      <c r="I952" s="19"/>
      <c r="J952" s="19"/>
      <c r="K952" s="19"/>
      <c r="L952" s="19"/>
      <c r="M952" s="19"/>
      <c r="N952" s="19"/>
      <c r="O952" s="19"/>
      <c r="P952" s="20"/>
      <c r="Q952" s="20"/>
      <c r="R952" s="22"/>
      <c r="S952" s="22"/>
      <c r="T952" s="20"/>
      <c r="U952" s="20"/>
      <c r="V952" s="20"/>
      <c r="W952" s="19"/>
      <c r="X952" s="19"/>
      <c r="Y952" s="19"/>
      <c r="Z952" s="23"/>
    </row>
    <row r="953" spans="1:26" ht="15.75" customHeight="1" x14ac:dyDescent="0.2">
      <c r="A953" s="34"/>
      <c r="B953" s="34"/>
      <c r="C953" s="34"/>
      <c r="D953" s="34"/>
      <c r="E953" s="19"/>
      <c r="F953" s="19"/>
      <c r="G953" s="19"/>
      <c r="H953" s="19"/>
      <c r="I953" s="19"/>
      <c r="J953" s="19"/>
      <c r="K953" s="19"/>
      <c r="L953" s="19"/>
      <c r="M953" s="19"/>
      <c r="N953" s="19"/>
      <c r="O953" s="19"/>
      <c r="P953" s="20"/>
      <c r="Q953" s="20"/>
      <c r="R953" s="22"/>
      <c r="S953" s="22"/>
      <c r="T953" s="20"/>
      <c r="U953" s="20"/>
      <c r="V953" s="20"/>
      <c r="W953" s="19"/>
      <c r="X953" s="19"/>
      <c r="Y953" s="19"/>
      <c r="Z953" s="23"/>
    </row>
    <row r="954" spans="1:26" ht="15.75" customHeight="1" x14ac:dyDescent="0.2">
      <c r="A954" s="34"/>
      <c r="B954" s="34"/>
      <c r="C954" s="34"/>
      <c r="D954" s="34"/>
      <c r="E954" s="19"/>
      <c r="F954" s="19"/>
      <c r="G954" s="19"/>
      <c r="H954" s="19"/>
      <c r="I954" s="19"/>
      <c r="J954" s="19"/>
      <c r="K954" s="19"/>
      <c r="L954" s="19"/>
      <c r="M954" s="19"/>
      <c r="N954" s="19"/>
      <c r="O954" s="19"/>
      <c r="P954" s="20"/>
      <c r="Q954" s="20"/>
      <c r="R954" s="22"/>
      <c r="S954" s="22"/>
      <c r="T954" s="20"/>
      <c r="U954" s="20"/>
      <c r="V954" s="20"/>
      <c r="W954" s="19"/>
      <c r="X954" s="19"/>
      <c r="Y954" s="19"/>
      <c r="Z954" s="23"/>
    </row>
    <row r="955" spans="1:26" ht="15.75" customHeight="1" x14ac:dyDescent="0.2">
      <c r="A955" s="34"/>
      <c r="B955" s="34"/>
      <c r="C955" s="34"/>
      <c r="D955" s="34"/>
      <c r="E955" s="19"/>
      <c r="F955" s="19"/>
      <c r="G955" s="19"/>
      <c r="H955" s="19"/>
      <c r="I955" s="19"/>
      <c r="J955" s="19"/>
      <c r="K955" s="19"/>
      <c r="L955" s="19"/>
      <c r="M955" s="19"/>
      <c r="N955" s="19"/>
      <c r="O955" s="19"/>
      <c r="P955" s="20"/>
      <c r="Q955" s="20"/>
      <c r="R955" s="22"/>
      <c r="S955" s="22"/>
      <c r="T955" s="20"/>
      <c r="U955" s="20"/>
      <c r="V955" s="20"/>
      <c r="W955" s="19"/>
      <c r="X955" s="19"/>
      <c r="Y955" s="19"/>
      <c r="Z955" s="23"/>
    </row>
    <row r="956" spans="1:26" ht="15.75" customHeight="1" x14ac:dyDescent="0.2">
      <c r="A956" s="34"/>
      <c r="B956" s="34"/>
      <c r="C956" s="34"/>
      <c r="D956" s="34"/>
      <c r="E956" s="19"/>
      <c r="F956" s="19"/>
      <c r="G956" s="19"/>
      <c r="H956" s="19"/>
      <c r="I956" s="19"/>
      <c r="J956" s="19"/>
      <c r="K956" s="19"/>
      <c r="L956" s="19"/>
      <c r="M956" s="19"/>
      <c r="N956" s="19"/>
      <c r="O956" s="19"/>
      <c r="P956" s="20"/>
      <c r="Q956" s="20"/>
      <c r="R956" s="22"/>
      <c r="S956" s="22"/>
      <c r="T956" s="20"/>
      <c r="U956" s="20"/>
      <c r="V956" s="20"/>
      <c r="W956" s="19"/>
      <c r="X956" s="19"/>
      <c r="Y956" s="19"/>
      <c r="Z956" s="23"/>
    </row>
    <row r="957" spans="1:26" ht="15.75" customHeight="1" x14ac:dyDescent="0.2">
      <c r="A957" s="34"/>
      <c r="B957" s="34"/>
      <c r="C957" s="34"/>
      <c r="D957" s="34"/>
      <c r="E957" s="19"/>
      <c r="F957" s="19"/>
      <c r="G957" s="19"/>
      <c r="H957" s="19"/>
      <c r="I957" s="19"/>
      <c r="J957" s="19"/>
      <c r="K957" s="19"/>
      <c r="L957" s="19"/>
      <c r="M957" s="19"/>
      <c r="N957" s="19"/>
      <c r="O957" s="19"/>
      <c r="P957" s="20"/>
      <c r="Q957" s="20"/>
      <c r="R957" s="22"/>
      <c r="S957" s="22"/>
      <c r="T957" s="20"/>
      <c r="U957" s="20"/>
      <c r="V957" s="20"/>
      <c r="W957" s="19"/>
      <c r="X957" s="19"/>
      <c r="Y957" s="19"/>
      <c r="Z957" s="23"/>
    </row>
    <row r="958" spans="1:26" ht="15.75" customHeight="1" x14ac:dyDescent="0.2">
      <c r="A958" s="34"/>
      <c r="B958" s="34"/>
      <c r="C958" s="34"/>
      <c r="D958" s="34"/>
      <c r="E958" s="19"/>
      <c r="F958" s="19"/>
      <c r="G958" s="19"/>
      <c r="H958" s="19"/>
      <c r="I958" s="19"/>
      <c r="J958" s="19"/>
      <c r="K958" s="19"/>
      <c r="L958" s="19"/>
      <c r="M958" s="19"/>
      <c r="N958" s="19"/>
      <c r="O958" s="19"/>
      <c r="P958" s="20"/>
      <c r="Q958" s="20"/>
      <c r="R958" s="22"/>
      <c r="S958" s="22"/>
      <c r="T958" s="20"/>
      <c r="U958" s="20"/>
      <c r="V958" s="20"/>
      <c r="W958" s="19"/>
      <c r="X958" s="19"/>
      <c r="Y958" s="19"/>
      <c r="Z958" s="23"/>
    </row>
    <row r="959" spans="1:26" ht="15.75" customHeight="1" x14ac:dyDescent="0.2">
      <c r="A959" s="34"/>
      <c r="B959" s="34"/>
      <c r="C959" s="34"/>
      <c r="D959" s="34"/>
      <c r="E959" s="19"/>
      <c r="F959" s="19"/>
      <c r="G959" s="19"/>
      <c r="H959" s="19"/>
      <c r="I959" s="19"/>
      <c r="J959" s="19"/>
      <c r="K959" s="19"/>
      <c r="L959" s="19"/>
      <c r="M959" s="19"/>
      <c r="N959" s="19"/>
      <c r="O959" s="19"/>
      <c r="P959" s="20"/>
      <c r="Q959" s="20"/>
      <c r="R959" s="22"/>
      <c r="S959" s="22"/>
      <c r="T959" s="20"/>
      <c r="U959" s="20"/>
      <c r="V959" s="20"/>
      <c r="W959" s="19"/>
      <c r="X959" s="19"/>
      <c r="Y959" s="19"/>
      <c r="Z959" s="23"/>
    </row>
    <row r="960" spans="1:26" ht="15.75" customHeight="1" x14ac:dyDescent="0.2">
      <c r="A960" s="34"/>
      <c r="B960" s="34"/>
      <c r="C960" s="34"/>
      <c r="D960" s="34"/>
      <c r="E960" s="19"/>
      <c r="F960" s="19"/>
      <c r="G960" s="19"/>
      <c r="H960" s="19"/>
      <c r="I960" s="19"/>
      <c r="J960" s="19"/>
      <c r="K960" s="19"/>
      <c r="L960" s="19"/>
      <c r="M960" s="19"/>
      <c r="N960" s="19"/>
      <c r="O960" s="19"/>
      <c r="P960" s="20"/>
      <c r="Q960" s="20"/>
      <c r="R960" s="22"/>
      <c r="S960" s="22"/>
      <c r="T960" s="20"/>
      <c r="U960" s="20"/>
      <c r="V960" s="20"/>
      <c r="W960" s="19"/>
      <c r="X960" s="19"/>
      <c r="Y960" s="19"/>
      <c r="Z960" s="23"/>
    </row>
    <row r="961" spans="1:26" ht="15.75" customHeight="1" x14ac:dyDescent="0.2">
      <c r="A961" s="34"/>
      <c r="B961" s="34"/>
      <c r="C961" s="34"/>
      <c r="D961" s="34"/>
      <c r="E961" s="19"/>
      <c r="F961" s="19"/>
      <c r="G961" s="19"/>
      <c r="H961" s="19"/>
      <c r="I961" s="19"/>
      <c r="J961" s="19"/>
      <c r="K961" s="19"/>
      <c r="L961" s="19"/>
      <c r="M961" s="19"/>
      <c r="N961" s="19"/>
      <c r="O961" s="19"/>
      <c r="P961" s="20"/>
      <c r="Q961" s="20"/>
      <c r="R961" s="22"/>
      <c r="S961" s="22"/>
      <c r="T961" s="20"/>
      <c r="U961" s="20"/>
      <c r="V961" s="20"/>
      <c r="W961" s="19"/>
      <c r="X961" s="19"/>
      <c r="Y961" s="19"/>
      <c r="Z961" s="23"/>
    </row>
    <row r="962" spans="1:26" ht="15.75" customHeight="1" x14ac:dyDescent="0.2">
      <c r="A962" s="34"/>
      <c r="B962" s="34"/>
      <c r="C962" s="34"/>
      <c r="D962" s="34"/>
      <c r="E962" s="19"/>
      <c r="F962" s="19"/>
      <c r="G962" s="19"/>
      <c r="H962" s="19"/>
      <c r="I962" s="19"/>
      <c r="J962" s="19"/>
      <c r="K962" s="19"/>
      <c r="L962" s="19"/>
      <c r="M962" s="19"/>
      <c r="N962" s="19"/>
      <c r="O962" s="19"/>
      <c r="P962" s="20"/>
      <c r="Q962" s="20"/>
      <c r="R962" s="22"/>
      <c r="S962" s="22"/>
      <c r="T962" s="20"/>
      <c r="U962" s="20"/>
      <c r="V962" s="20"/>
      <c r="W962" s="19"/>
      <c r="X962" s="19"/>
      <c r="Y962" s="19"/>
      <c r="Z962" s="23"/>
    </row>
    <row r="963" spans="1:26" ht="15.75" customHeight="1" x14ac:dyDescent="0.2">
      <c r="A963" s="34"/>
      <c r="B963" s="34"/>
      <c r="C963" s="34"/>
      <c r="D963" s="34"/>
      <c r="E963" s="19"/>
      <c r="F963" s="19"/>
      <c r="G963" s="19"/>
      <c r="H963" s="19"/>
      <c r="I963" s="19"/>
      <c r="J963" s="19"/>
      <c r="K963" s="19"/>
      <c r="L963" s="19"/>
      <c r="M963" s="19"/>
      <c r="N963" s="19"/>
      <c r="O963" s="19"/>
      <c r="P963" s="20"/>
      <c r="Q963" s="20"/>
      <c r="R963" s="22"/>
      <c r="S963" s="22"/>
      <c r="T963" s="20"/>
      <c r="U963" s="20"/>
      <c r="V963" s="20"/>
      <c r="W963" s="19"/>
      <c r="X963" s="19"/>
      <c r="Y963" s="19"/>
      <c r="Z963" s="23"/>
    </row>
    <row r="964" spans="1:26" ht="15.75" customHeight="1" x14ac:dyDescent="0.2">
      <c r="A964" s="34"/>
      <c r="B964" s="34"/>
      <c r="C964" s="34"/>
      <c r="D964" s="34"/>
      <c r="E964" s="19"/>
      <c r="F964" s="19"/>
      <c r="G964" s="19"/>
      <c r="H964" s="19"/>
      <c r="I964" s="19"/>
      <c r="J964" s="19"/>
      <c r="K964" s="19"/>
      <c r="L964" s="19"/>
      <c r="M964" s="19"/>
      <c r="N964" s="19"/>
      <c r="O964" s="19"/>
      <c r="P964" s="20"/>
      <c r="Q964" s="20"/>
      <c r="R964" s="22"/>
      <c r="S964" s="22"/>
      <c r="T964" s="20"/>
      <c r="U964" s="20"/>
      <c r="V964" s="20"/>
      <c r="W964" s="19"/>
      <c r="X964" s="19"/>
      <c r="Y964" s="19"/>
      <c r="Z964" s="23"/>
    </row>
    <row r="965" spans="1:26" ht="15.75" customHeight="1" x14ac:dyDescent="0.2">
      <c r="A965" s="34"/>
      <c r="B965" s="34"/>
      <c r="C965" s="34"/>
      <c r="D965" s="34"/>
      <c r="E965" s="19"/>
      <c r="F965" s="19"/>
      <c r="G965" s="19"/>
      <c r="H965" s="19"/>
      <c r="I965" s="19"/>
      <c r="J965" s="19"/>
      <c r="K965" s="19"/>
      <c r="L965" s="19"/>
      <c r="M965" s="19"/>
      <c r="N965" s="19"/>
      <c r="O965" s="19"/>
      <c r="P965" s="20"/>
      <c r="Q965" s="20"/>
      <c r="R965" s="22"/>
      <c r="S965" s="22"/>
      <c r="T965" s="20"/>
      <c r="U965" s="20"/>
      <c r="V965" s="20"/>
      <c r="W965" s="19"/>
      <c r="X965" s="19"/>
      <c r="Y965" s="19"/>
      <c r="Z965" s="23"/>
    </row>
    <row r="966" spans="1:26" ht="15.75" customHeight="1" x14ac:dyDescent="0.2">
      <c r="A966" s="34"/>
      <c r="B966" s="34"/>
      <c r="C966" s="34"/>
      <c r="D966" s="34"/>
      <c r="E966" s="19"/>
      <c r="F966" s="19"/>
      <c r="G966" s="19"/>
      <c r="H966" s="19"/>
      <c r="I966" s="19"/>
      <c r="J966" s="19"/>
      <c r="K966" s="19"/>
      <c r="L966" s="19"/>
      <c r="M966" s="19"/>
      <c r="N966" s="19"/>
      <c r="O966" s="19"/>
      <c r="P966" s="20"/>
      <c r="Q966" s="20"/>
      <c r="R966" s="22"/>
      <c r="S966" s="22"/>
      <c r="T966" s="20"/>
      <c r="U966" s="20"/>
      <c r="V966" s="20"/>
      <c r="W966" s="19"/>
      <c r="X966" s="19"/>
      <c r="Y966" s="19"/>
      <c r="Z966" s="23"/>
    </row>
    <row r="967" spans="1:26" ht="15.75" customHeight="1" x14ac:dyDescent="0.2">
      <c r="A967" s="34"/>
      <c r="B967" s="34"/>
      <c r="C967" s="34"/>
      <c r="D967" s="34"/>
      <c r="E967" s="19"/>
      <c r="F967" s="19"/>
      <c r="G967" s="19"/>
      <c r="H967" s="19"/>
      <c r="I967" s="19"/>
      <c r="J967" s="19"/>
      <c r="K967" s="19"/>
      <c r="L967" s="19"/>
      <c r="M967" s="19"/>
      <c r="N967" s="19"/>
      <c r="O967" s="19"/>
      <c r="P967" s="20"/>
      <c r="Q967" s="20"/>
      <c r="R967" s="22"/>
      <c r="S967" s="22"/>
      <c r="T967" s="20"/>
      <c r="U967" s="20"/>
      <c r="V967" s="20"/>
      <c r="W967" s="19"/>
      <c r="X967" s="19"/>
      <c r="Y967" s="19"/>
      <c r="Z967" s="23"/>
    </row>
    <row r="968" spans="1:26" ht="15.75" customHeight="1" x14ac:dyDescent="0.2">
      <c r="A968" s="34"/>
      <c r="B968" s="34"/>
      <c r="C968" s="34"/>
      <c r="D968" s="34"/>
      <c r="E968" s="19"/>
      <c r="F968" s="19"/>
      <c r="G968" s="19"/>
      <c r="H968" s="19"/>
      <c r="I968" s="19"/>
      <c r="J968" s="19"/>
      <c r="K968" s="19"/>
      <c r="L968" s="19"/>
      <c r="M968" s="19"/>
      <c r="N968" s="19"/>
      <c r="O968" s="19"/>
      <c r="P968" s="20"/>
      <c r="Q968" s="20"/>
      <c r="R968" s="22"/>
      <c r="S968" s="22"/>
      <c r="T968" s="20"/>
      <c r="U968" s="20"/>
      <c r="V968" s="20"/>
      <c r="W968" s="19"/>
      <c r="X968" s="19"/>
      <c r="Y968" s="19"/>
      <c r="Z968" s="23"/>
    </row>
    <row r="969" spans="1:26" ht="15.75" customHeight="1" x14ac:dyDescent="0.2">
      <c r="A969" s="34"/>
      <c r="B969" s="34"/>
      <c r="C969" s="34"/>
      <c r="D969" s="34"/>
      <c r="E969" s="19"/>
      <c r="F969" s="19"/>
      <c r="G969" s="19"/>
      <c r="H969" s="19"/>
      <c r="I969" s="19"/>
      <c r="J969" s="19"/>
      <c r="K969" s="19"/>
      <c r="L969" s="19"/>
      <c r="M969" s="19"/>
      <c r="N969" s="19"/>
      <c r="O969" s="19"/>
      <c r="P969" s="20"/>
      <c r="Q969" s="20"/>
      <c r="R969" s="22"/>
      <c r="S969" s="22"/>
      <c r="T969" s="20"/>
      <c r="U969" s="20"/>
      <c r="V969" s="20"/>
      <c r="W969" s="19"/>
      <c r="X969" s="19"/>
      <c r="Y969" s="19"/>
      <c r="Z969" s="23"/>
    </row>
    <row r="970" spans="1:26" ht="15.75" customHeight="1" x14ac:dyDescent="0.2">
      <c r="A970" s="34"/>
      <c r="B970" s="34"/>
      <c r="C970" s="34"/>
      <c r="D970" s="34"/>
      <c r="E970" s="19"/>
      <c r="F970" s="19"/>
      <c r="G970" s="19"/>
      <c r="H970" s="19"/>
      <c r="I970" s="19"/>
      <c r="J970" s="19"/>
      <c r="K970" s="19"/>
      <c r="L970" s="19"/>
      <c r="M970" s="19"/>
      <c r="N970" s="19"/>
      <c r="O970" s="19"/>
      <c r="P970" s="20"/>
      <c r="Q970" s="20"/>
      <c r="R970" s="22"/>
      <c r="S970" s="22"/>
      <c r="T970" s="20"/>
      <c r="U970" s="20"/>
      <c r="V970" s="20"/>
      <c r="W970" s="19"/>
      <c r="X970" s="19"/>
      <c r="Y970" s="19"/>
      <c r="Z970" s="23"/>
    </row>
    <row r="971" spans="1:26" ht="15.75" customHeight="1" x14ac:dyDescent="0.2">
      <c r="A971" s="34"/>
      <c r="B971" s="34"/>
      <c r="C971" s="34"/>
      <c r="D971" s="34"/>
      <c r="E971" s="19"/>
      <c r="F971" s="19"/>
      <c r="G971" s="19"/>
      <c r="H971" s="19"/>
      <c r="I971" s="19"/>
      <c r="J971" s="19"/>
      <c r="K971" s="19"/>
      <c r="L971" s="19"/>
      <c r="M971" s="19"/>
      <c r="N971" s="19"/>
      <c r="O971" s="19"/>
      <c r="P971" s="20"/>
      <c r="Q971" s="20"/>
      <c r="R971" s="22"/>
      <c r="S971" s="22"/>
      <c r="T971" s="20"/>
      <c r="U971" s="20"/>
      <c r="V971" s="20"/>
      <c r="W971" s="19"/>
      <c r="X971" s="19"/>
      <c r="Y971" s="19"/>
      <c r="Z971" s="23"/>
    </row>
    <row r="972" spans="1:26" ht="15.75" customHeight="1" x14ac:dyDescent="0.2">
      <c r="A972" s="34"/>
      <c r="B972" s="34"/>
      <c r="C972" s="34"/>
      <c r="D972" s="34"/>
      <c r="E972" s="19"/>
      <c r="F972" s="19"/>
      <c r="G972" s="19"/>
      <c r="H972" s="19"/>
      <c r="I972" s="19"/>
      <c r="J972" s="19"/>
      <c r="K972" s="19"/>
      <c r="L972" s="19"/>
      <c r="M972" s="19"/>
      <c r="N972" s="19"/>
      <c r="O972" s="19"/>
      <c r="P972" s="20"/>
      <c r="Q972" s="20"/>
      <c r="R972" s="22"/>
      <c r="S972" s="22"/>
      <c r="T972" s="20"/>
      <c r="U972" s="20"/>
      <c r="V972" s="20"/>
      <c r="W972" s="19"/>
      <c r="X972" s="19"/>
      <c r="Y972" s="19"/>
      <c r="Z972" s="23"/>
    </row>
    <row r="973" spans="1:26" ht="15.75" customHeight="1" x14ac:dyDescent="0.2">
      <c r="A973" s="34"/>
      <c r="B973" s="34"/>
      <c r="C973" s="34"/>
      <c r="D973" s="34"/>
      <c r="E973" s="19"/>
      <c r="F973" s="19"/>
      <c r="G973" s="19"/>
      <c r="H973" s="19"/>
      <c r="I973" s="19"/>
      <c r="J973" s="19"/>
      <c r="K973" s="19"/>
      <c r="L973" s="19"/>
      <c r="M973" s="19"/>
      <c r="N973" s="19"/>
      <c r="O973" s="19"/>
      <c r="P973" s="20"/>
      <c r="Q973" s="20"/>
      <c r="R973" s="22"/>
      <c r="S973" s="22"/>
      <c r="T973" s="20"/>
      <c r="U973" s="20"/>
      <c r="V973" s="20"/>
      <c r="W973" s="19"/>
      <c r="X973" s="19"/>
      <c r="Y973" s="19"/>
      <c r="Z973" s="23"/>
    </row>
    <row r="974" spans="1:26" ht="15.75" customHeight="1" x14ac:dyDescent="0.2">
      <c r="A974" s="34"/>
      <c r="B974" s="34"/>
      <c r="C974" s="34"/>
      <c r="D974" s="34"/>
      <c r="E974" s="19"/>
      <c r="F974" s="19"/>
      <c r="G974" s="19"/>
      <c r="H974" s="19"/>
      <c r="I974" s="19"/>
      <c r="J974" s="19"/>
      <c r="K974" s="19"/>
      <c r="L974" s="19"/>
      <c r="M974" s="19"/>
      <c r="N974" s="19"/>
      <c r="O974" s="19"/>
      <c r="P974" s="20"/>
      <c r="Q974" s="20"/>
      <c r="R974" s="22"/>
      <c r="S974" s="22"/>
      <c r="T974" s="20"/>
      <c r="U974" s="20"/>
      <c r="V974" s="20"/>
      <c r="W974" s="19"/>
      <c r="X974" s="19"/>
      <c r="Y974" s="19"/>
      <c r="Z974" s="23"/>
    </row>
    <row r="975" spans="1:26" ht="15.75" customHeight="1" x14ac:dyDescent="0.2">
      <c r="A975" s="34"/>
      <c r="B975" s="34"/>
      <c r="C975" s="34"/>
      <c r="D975" s="34"/>
      <c r="E975" s="19"/>
      <c r="F975" s="19"/>
      <c r="G975" s="19"/>
      <c r="H975" s="19"/>
      <c r="I975" s="19"/>
      <c r="J975" s="19"/>
      <c r="K975" s="19"/>
      <c r="L975" s="19"/>
      <c r="M975" s="19"/>
      <c r="N975" s="19"/>
      <c r="O975" s="19"/>
      <c r="P975" s="20"/>
      <c r="Q975" s="20"/>
      <c r="R975" s="22"/>
      <c r="S975" s="22"/>
      <c r="T975" s="20"/>
      <c r="U975" s="20"/>
      <c r="V975" s="20"/>
      <c r="W975" s="19"/>
      <c r="X975" s="19"/>
      <c r="Y975" s="19"/>
      <c r="Z975" s="23"/>
    </row>
    <row r="976" spans="1:26" ht="15.75" customHeight="1" x14ac:dyDescent="0.2">
      <c r="A976" s="34"/>
      <c r="B976" s="34"/>
      <c r="C976" s="34"/>
      <c r="D976" s="34"/>
      <c r="E976" s="19"/>
      <c r="F976" s="19"/>
      <c r="G976" s="19"/>
      <c r="H976" s="19"/>
      <c r="I976" s="19"/>
      <c r="J976" s="19"/>
      <c r="K976" s="19"/>
      <c r="L976" s="19"/>
      <c r="M976" s="19"/>
      <c r="N976" s="19"/>
      <c r="O976" s="19"/>
      <c r="P976" s="20"/>
      <c r="Q976" s="20"/>
      <c r="R976" s="22"/>
      <c r="S976" s="22"/>
      <c r="T976" s="20"/>
      <c r="U976" s="20"/>
      <c r="V976" s="20"/>
      <c r="W976" s="19"/>
      <c r="X976" s="19"/>
      <c r="Y976" s="19"/>
      <c r="Z976" s="23"/>
    </row>
    <row r="977" spans="1:26" ht="15.75" customHeight="1" x14ac:dyDescent="0.2">
      <c r="A977" s="34"/>
      <c r="B977" s="34"/>
      <c r="C977" s="34"/>
      <c r="D977" s="34"/>
      <c r="E977" s="19"/>
      <c r="F977" s="19"/>
      <c r="G977" s="19"/>
      <c r="H977" s="19"/>
      <c r="I977" s="19"/>
      <c r="J977" s="19"/>
      <c r="K977" s="19"/>
      <c r="L977" s="19"/>
      <c r="M977" s="19"/>
      <c r="N977" s="19"/>
      <c r="O977" s="19"/>
      <c r="P977" s="20"/>
      <c r="Q977" s="20"/>
      <c r="R977" s="22"/>
      <c r="S977" s="22"/>
      <c r="T977" s="20"/>
      <c r="U977" s="20"/>
      <c r="V977" s="20"/>
      <c r="W977" s="19"/>
      <c r="X977" s="19"/>
      <c r="Y977" s="19"/>
      <c r="Z977" s="23"/>
    </row>
    <row r="978" spans="1:26" ht="15.75" customHeight="1" x14ac:dyDescent="0.2">
      <c r="A978" s="34"/>
      <c r="B978" s="34"/>
      <c r="C978" s="34"/>
      <c r="D978" s="34"/>
      <c r="E978" s="19"/>
      <c r="F978" s="19"/>
      <c r="G978" s="19"/>
      <c r="H978" s="19"/>
      <c r="I978" s="19"/>
      <c r="J978" s="19"/>
      <c r="K978" s="19"/>
      <c r="L978" s="19"/>
      <c r="M978" s="19"/>
      <c r="N978" s="19"/>
      <c r="O978" s="19"/>
      <c r="P978" s="20"/>
      <c r="Q978" s="20"/>
      <c r="R978" s="22"/>
      <c r="S978" s="22"/>
      <c r="T978" s="20"/>
      <c r="U978" s="20"/>
      <c r="V978" s="20"/>
      <c r="W978" s="19"/>
      <c r="X978" s="19"/>
      <c r="Y978" s="19"/>
      <c r="Z978" s="23"/>
    </row>
    <row r="979" spans="1:26" ht="15.75" customHeight="1" x14ac:dyDescent="0.2">
      <c r="A979" s="34"/>
      <c r="B979" s="34"/>
      <c r="C979" s="34"/>
      <c r="D979" s="34"/>
      <c r="E979" s="19"/>
      <c r="F979" s="19"/>
      <c r="G979" s="19"/>
      <c r="H979" s="19"/>
      <c r="I979" s="19"/>
      <c r="J979" s="19"/>
      <c r="K979" s="19"/>
      <c r="L979" s="19"/>
      <c r="M979" s="19"/>
      <c r="N979" s="19"/>
      <c r="O979" s="19"/>
      <c r="P979" s="20"/>
      <c r="Q979" s="20"/>
      <c r="R979" s="22"/>
      <c r="S979" s="22"/>
      <c r="T979" s="20"/>
      <c r="U979" s="20"/>
      <c r="V979" s="20"/>
      <c r="W979" s="19"/>
      <c r="X979" s="19"/>
      <c r="Y979" s="19"/>
      <c r="Z979" s="23"/>
    </row>
    <row r="980" spans="1:26" ht="15.75" customHeight="1" x14ac:dyDescent="0.2">
      <c r="A980" s="34"/>
      <c r="B980" s="34"/>
      <c r="C980" s="34"/>
      <c r="D980" s="34"/>
      <c r="E980" s="19"/>
      <c r="F980" s="19"/>
      <c r="G980" s="19"/>
      <c r="H980" s="19"/>
      <c r="I980" s="19"/>
      <c r="J980" s="19"/>
      <c r="K980" s="19"/>
      <c r="L980" s="19"/>
      <c r="M980" s="19"/>
      <c r="N980" s="19"/>
      <c r="O980" s="19"/>
      <c r="P980" s="20"/>
      <c r="Q980" s="20"/>
      <c r="R980" s="22"/>
      <c r="S980" s="22"/>
      <c r="T980" s="20"/>
      <c r="U980" s="20"/>
      <c r="V980" s="20"/>
      <c r="W980" s="19"/>
      <c r="X980" s="19"/>
      <c r="Y980" s="19"/>
      <c r="Z980" s="23"/>
    </row>
    <row r="981" spans="1:26" ht="15.75" customHeight="1" x14ac:dyDescent="0.2">
      <c r="A981" s="34"/>
      <c r="B981" s="34"/>
      <c r="C981" s="34"/>
      <c r="D981" s="34"/>
      <c r="E981" s="19"/>
      <c r="F981" s="19"/>
      <c r="G981" s="19"/>
      <c r="H981" s="19"/>
      <c r="I981" s="19"/>
      <c r="J981" s="19"/>
      <c r="K981" s="19"/>
      <c r="L981" s="19"/>
      <c r="M981" s="19"/>
      <c r="N981" s="19"/>
      <c r="O981" s="19"/>
      <c r="P981" s="20"/>
      <c r="Q981" s="20"/>
      <c r="R981" s="22"/>
      <c r="S981" s="22"/>
      <c r="T981" s="20"/>
      <c r="U981" s="20"/>
      <c r="V981" s="20"/>
      <c r="W981" s="19"/>
      <c r="X981" s="19"/>
      <c r="Y981" s="19"/>
      <c r="Z981" s="23"/>
    </row>
    <row r="982" spans="1:26" ht="15.75" customHeight="1" x14ac:dyDescent="0.2">
      <c r="A982" s="34"/>
      <c r="B982" s="34"/>
      <c r="C982" s="34"/>
      <c r="D982" s="34"/>
      <c r="E982" s="19"/>
      <c r="F982" s="19"/>
      <c r="G982" s="19"/>
      <c r="H982" s="19"/>
      <c r="I982" s="19"/>
      <c r="J982" s="19"/>
      <c r="K982" s="19"/>
      <c r="L982" s="19"/>
      <c r="M982" s="19"/>
      <c r="N982" s="19"/>
      <c r="O982" s="19"/>
      <c r="P982" s="20"/>
      <c r="Q982" s="20"/>
      <c r="R982" s="22"/>
      <c r="S982" s="22"/>
      <c r="T982" s="20"/>
      <c r="U982" s="20"/>
      <c r="V982" s="20"/>
      <c r="W982" s="19"/>
      <c r="X982" s="19"/>
      <c r="Y982" s="19"/>
      <c r="Z982" s="23"/>
    </row>
    <row r="983" spans="1:26" ht="15.75" customHeight="1" x14ac:dyDescent="0.2">
      <c r="A983" s="34"/>
      <c r="B983" s="34"/>
      <c r="C983" s="34"/>
      <c r="D983" s="34"/>
      <c r="E983" s="19"/>
      <c r="F983" s="19"/>
      <c r="G983" s="19"/>
      <c r="H983" s="19"/>
      <c r="I983" s="19"/>
      <c r="J983" s="19"/>
      <c r="K983" s="19"/>
      <c r="L983" s="19"/>
      <c r="M983" s="19"/>
      <c r="N983" s="19"/>
      <c r="O983" s="19"/>
      <c r="P983" s="20"/>
      <c r="Q983" s="20"/>
      <c r="R983" s="22"/>
      <c r="S983" s="22"/>
      <c r="T983" s="20"/>
      <c r="U983" s="20"/>
      <c r="V983" s="20"/>
      <c r="W983" s="19"/>
      <c r="X983" s="19"/>
      <c r="Y983" s="19"/>
      <c r="Z983" s="23"/>
    </row>
    <row r="984" spans="1:26" ht="15.75" customHeight="1" x14ac:dyDescent="0.2">
      <c r="A984" s="34"/>
      <c r="B984" s="34"/>
      <c r="C984" s="34"/>
      <c r="D984" s="34"/>
      <c r="E984" s="19"/>
      <c r="F984" s="19"/>
      <c r="G984" s="19"/>
      <c r="H984" s="19"/>
      <c r="I984" s="19"/>
      <c r="J984" s="19"/>
      <c r="K984" s="19"/>
      <c r="L984" s="19"/>
      <c r="M984" s="19"/>
      <c r="N984" s="19"/>
      <c r="O984" s="19"/>
      <c r="P984" s="20"/>
      <c r="Q984" s="20"/>
      <c r="R984" s="22"/>
      <c r="S984" s="22"/>
      <c r="T984" s="20"/>
      <c r="U984" s="20"/>
      <c r="V984" s="20"/>
      <c r="W984" s="19"/>
      <c r="X984" s="19"/>
      <c r="Y984" s="19"/>
      <c r="Z984" s="23"/>
    </row>
    <row r="985" spans="1:26" ht="15.75" customHeight="1" x14ac:dyDescent="0.2">
      <c r="A985" s="34"/>
      <c r="B985" s="34"/>
      <c r="C985" s="34"/>
      <c r="D985" s="34"/>
      <c r="E985" s="19"/>
      <c r="F985" s="19"/>
      <c r="G985" s="19"/>
      <c r="H985" s="19"/>
      <c r="I985" s="19"/>
      <c r="J985" s="19"/>
      <c r="K985" s="19"/>
      <c r="L985" s="19"/>
      <c r="M985" s="19"/>
      <c r="N985" s="19"/>
      <c r="O985" s="19"/>
      <c r="P985" s="20"/>
      <c r="Q985" s="20"/>
      <c r="R985" s="22"/>
      <c r="S985" s="22"/>
      <c r="T985" s="20"/>
      <c r="U985" s="20"/>
      <c r="V985" s="20"/>
      <c r="W985" s="19"/>
      <c r="X985" s="19"/>
      <c r="Y985" s="19"/>
      <c r="Z985" s="23"/>
    </row>
    <row r="986" spans="1:26" ht="15.75" customHeight="1" x14ac:dyDescent="0.2">
      <c r="A986" s="34"/>
      <c r="B986" s="34"/>
      <c r="C986" s="34"/>
      <c r="D986" s="34"/>
      <c r="E986" s="19"/>
      <c r="F986" s="19"/>
      <c r="G986" s="19"/>
      <c r="H986" s="19"/>
      <c r="I986" s="19"/>
      <c r="J986" s="19"/>
      <c r="K986" s="19"/>
      <c r="L986" s="19"/>
      <c r="M986" s="19"/>
      <c r="N986" s="19"/>
      <c r="O986" s="19"/>
      <c r="P986" s="20"/>
      <c r="Q986" s="20"/>
      <c r="R986" s="22"/>
      <c r="S986" s="22"/>
      <c r="T986" s="20"/>
      <c r="U986" s="20"/>
      <c r="V986" s="20"/>
      <c r="W986" s="19"/>
      <c r="X986" s="19"/>
      <c r="Y986" s="19"/>
      <c r="Z986" s="23"/>
    </row>
    <row r="987" spans="1:26" ht="15.75" customHeight="1" x14ac:dyDescent="0.2">
      <c r="A987" s="34"/>
      <c r="B987" s="34"/>
      <c r="C987" s="34"/>
      <c r="D987" s="34"/>
      <c r="E987" s="19"/>
      <c r="F987" s="19"/>
      <c r="G987" s="19"/>
      <c r="H987" s="19"/>
      <c r="I987" s="19"/>
      <c r="J987" s="19"/>
      <c r="K987" s="19"/>
      <c r="L987" s="19"/>
      <c r="M987" s="19"/>
      <c r="N987" s="19"/>
      <c r="O987" s="19"/>
      <c r="P987" s="20"/>
      <c r="Q987" s="20"/>
      <c r="R987" s="22"/>
      <c r="S987" s="22"/>
      <c r="T987" s="20"/>
      <c r="U987" s="20"/>
      <c r="V987" s="20"/>
      <c r="W987" s="19"/>
      <c r="X987" s="19"/>
      <c r="Y987" s="19"/>
      <c r="Z987" s="23"/>
    </row>
    <row r="988" spans="1:26" ht="15.75" customHeight="1" x14ac:dyDescent="0.2">
      <c r="A988" s="34"/>
      <c r="B988" s="34"/>
      <c r="C988" s="34"/>
      <c r="D988" s="34"/>
      <c r="E988" s="19"/>
      <c r="F988" s="19"/>
      <c r="G988" s="19"/>
      <c r="H988" s="19"/>
      <c r="I988" s="19"/>
      <c r="J988" s="19"/>
      <c r="K988" s="19"/>
      <c r="L988" s="19"/>
      <c r="M988" s="19"/>
      <c r="N988" s="19"/>
      <c r="O988" s="19"/>
      <c r="P988" s="20"/>
      <c r="Q988" s="20"/>
      <c r="R988" s="22"/>
      <c r="S988" s="22"/>
      <c r="T988" s="20"/>
      <c r="U988" s="20"/>
      <c r="V988" s="20"/>
      <c r="W988" s="19"/>
      <c r="X988" s="19"/>
      <c r="Y988" s="19"/>
      <c r="Z988" s="23"/>
    </row>
    <row r="989" spans="1:26" ht="15.75" customHeight="1" x14ac:dyDescent="0.2">
      <c r="A989" s="34"/>
      <c r="B989" s="34"/>
      <c r="C989" s="34"/>
      <c r="D989" s="34"/>
      <c r="E989" s="19"/>
      <c r="F989" s="19"/>
      <c r="G989" s="19"/>
      <c r="H989" s="19"/>
      <c r="I989" s="19"/>
      <c r="J989" s="19"/>
      <c r="K989" s="19"/>
      <c r="L989" s="19"/>
      <c r="M989" s="19"/>
      <c r="N989" s="19"/>
      <c r="O989" s="19"/>
      <c r="P989" s="20"/>
      <c r="Q989" s="20"/>
      <c r="R989" s="22"/>
      <c r="S989" s="22"/>
      <c r="T989" s="20"/>
      <c r="U989" s="20"/>
      <c r="V989" s="20"/>
      <c r="W989" s="19"/>
      <c r="X989" s="19"/>
      <c r="Y989" s="19"/>
      <c r="Z989" s="23"/>
    </row>
    <row r="990" spans="1:26" ht="15.75" customHeight="1" x14ac:dyDescent="0.2">
      <c r="A990" s="34"/>
      <c r="B990" s="34"/>
      <c r="C990" s="34"/>
      <c r="D990" s="34"/>
      <c r="E990" s="19"/>
      <c r="F990" s="19"/>
      <c r="G990" s="19"/>
      <c r="H990" s="19"/>
      <c r="I990" s="19"/>
      <c r="J990" s="19"/>
      <c r="K990" s="19"/>
      <c r="L990" s="19"/>
      <c r="M990" s="19"/>
      <c r="N990" s="19"/>
      <c r="O990" s="19"/>
      <c r="P990" s="20"/>
      <c r="Q990" s="20"/>
      <c r="R990" s="22"/>
      <c r="S990" s="22"/>
      <c r="T990" s="20"/>
      <c r="U990" s="20"/>
      <c r="V990" s="20"/>
      <c r="W990" s="19"/>
      <c r="X990" s="19"/>
      <c r="Y990" s="19"/>
      <c r="Z990" s="23"/>
    </row>
    <row r="991" spans="1:26" ht="15.75" customHeight="1" x14ac:dyDescent="0.2">
      <c r="A991" s="34"/>
      <c r="B991" s="34"/>
      <c r="C991" s="34"/>
      <c r="D991" s="34"/>
      <c r="E991" s="19"/>
      <c r="F991" s="19"/>
      <c r="G991" s="19"/>
      <c r="H991" s="19"/>
      <c r="I991" s="19"/>
      <c r="J991" s="19"/>
      <c r="K991" s="19"/>
      <c r="L991" s="19"/>
      <c r="M991" s="19"/>
      <c r="N991" s="19"/>
      <c r="O991" s="19"/>
      <c r="P991" s="20"/>
      <c r="Q991" s="20"/>
      <c r="R991" s="22"/>
      <c r="S991" s="22"/>
      <c r="T991" s="20"/>
      <c r="U991" s="20"/>
      <c r="V991" s="20"/>
      <c r="W991" s="19"/>
      <c r="X991" s="19"/>
      <c r="Y991" s="19"/>
      <c r="Z991" s="23"/>
    </row>
    <row r="992" spans="1:26" ht="15.75" customHeight="1" x14ac:dyDescent="0.2">
      <c r="A992" s="34"/>
      <c r="B992" s="34"/>
      <c r="C992" s="34"/>
      <c r="D992" s="34"/>
      <c r="E992" s="19"/>
      <c r="F992" s="19"/>
      <c r="G992" s="19"/>
      <c r="H992" s="19"/>
      <c r="I992" s="19"/>
      <c r="J992" s="19"/>
      <c r="K992" s="19"/>
      <c r="L992" s="19"/>
      <c r="M992" s="19"/>
      <c r="N992" s="19"/>
      <c r="O992" s="19"/>
      <c r="P992" s="20"/>
      <c r="Q992" s="20"/>
      <c r="R992" s="22"/>
      <c r="S992" s="22"/>
      <c r="T992" s="20"/>
      <c r="U992" s="20"/>
      <c r="V992" s="20"/>
      <c r="W992" s="19"/>
      <c r="X992" s="19"/>
      <c r="Y992" s="19"/>
      <c r="Z992" s="23"/>
    </row>
    <row r="993" spans="1:26" ht="15.75" customHeight="1" x14ac:dyDescent="0.2">
      <c r="A993" s="34"/>
      <c r="B993" s="34"/>
      <c r="C993" s="34"/>
      <c r="D993" s="34"/>
      <c r="E993" s="19"/>
      <c r="F993" s="19"/>
      <c r="G993" s="19"/>
      <c r="H993" s="19"/>
      <c r="I993" s="19"/>
      <c r="J993" s="19"/>
      <c r="K993" s="19"/>
      <c r="L993" s="19"/>
      <c r="M993" s="19"/>
      <c r="N993" s="19"/>
      <c r="O993" s="19"/>
      <c r="P993" s="20"/>
      <c r="Q993" s="20"/>
      <c r="R993" s="22"/>
      <c r="S993" s="22"/>
      <c r="T993" s="20"/>
      <c r="U993" s="20"/>
      <c r="V993" s="20"/>
      <c r="W993" s="19"/>
      <c r="X993" s="19"/>
      <c r="Y993" s="19"/>
      <c r="Z993" s="23"/>
    </row>
    <row r="994" spans="1:26" ht="15.75" customHeight="1" x14ac:dyDescent="0.2">
      <c r="A994" s="34"/>
      <c r="B994" s="34"/>
      <c r="C994" s="34"/>
      <c r="D994" s="34"/>
      <c r="E994" s="19"/>
      <c r="F994" s="19"/>
      <c r="G994" s="19"/>
      <c r="H994" s="19"/>
      <c r="I994" s="19"/>
      <c r="J994" s="19"/>
      <c r="K994" s="19"/>
      <c r="L994" s="19"/>
      <c r="M994" s="19"/>
      <c r="N994" s="19"/>
      <c r="O994" s="19"/>
      <c r="P994" s="20"/>
      <c r="Q994" s="20"/>
      <c r="R994" s="22"/>
      <c r="S994" s="22"/>
      <c r="T994" s="20"/>
      <c r="U994" s="20"/>
      <c r="V994" s="20"/>
      <c r="W994" s="19"/>
      <c r="X994" s="19"/>
      <c r="Y994" s="19"/>
      <c r="Z994" s="23"/>
    </row>
    <row r="995" spans="1:26" ht="15.75" customHeight="1" x14ac:dyDescent="0.2">
      <c r="A995" s="34"/>
      <c r="B995" s="34"/>
      <c r="C995" s="34"/>
      <c r="D995" s="34"/>
      <c r="E995" s="19"/>
      <c r="F995" s="19"/>
      <c r="G995" s="19"/>
      <c r="H995" s="19"/>
      <c r="I995" s="19"/>
      <c r="J995" s="19"/>
      <c r="K995" s="19"/>
      <c r="L995" s="19"/>
      <c r="M995" s="19"/>
      <c r="N995" s="19"/>
      <c r="O995" s="19"/>
      <c r="P995" s="20"/>
      <c r="Q995" s="20"/>
      <c r="R995" s="22"/>
      <c r="S995" s="22"/>
      <c r="T995" s="20"/>
      <c r="U995" s="20"/>
      <c r="V995" s="20"/>
      <c r="W995" s="19"/>
      <c r="X995" s="19"/>
      <c r="Y995" s="19"/>
      <c r="Z995" s="23"/>
    </row>
    <row r="996" spans="1:26" ht="15.75" customHeight="1" x14ac:dyDescent="0.2">
      <c r="A996" s="34"/>
      <c r="B996" s="34"/>
      <c r="C996" s="34"/>
      <c r="D996" s="34"/>
      <c r="E996" s="19"/>
      <c r="F996" s="19"/>
      <c r="G996" s="19"/>
      <c r="H996" s="19"/>
      <c r="I996" s="19"/>
      <c r="J996" s="19"/>
      <c r="K996" s="19"/>
      <c r="L996" s="19"/>
      <c r="M996" s="19"/>
      <c r="N996" s="19"/>
      <c r="O996" s="19"/>
      <c r="P996" s="20"/>
      <c r="Q996" s="20"/>
      <c r="R996" s="22"/>
      <c r="S996" s="22"/>
      <c r="T996" s="20"/>
      <c r="U996" s="20"/>
      <c r="V996" s="20"/>
      <c r="W996" s="19"/>
      <c r="X996" s="19"/>
      <c r="Y996" s="19"/>
      <c r="Z996" s="23"/>
    </row>
    <row r="997" spans="1:26" ht="15.75" customHeight="1" x14ac:dyDescent="0.2">
      <c r="A997" s="34"/>
      <c r="B997" s="34"/>
      <c r="C997" s="34"/>
      <c r="D997" s="34"/>
      <c r="E997" s="19"/>
      <c r="F997" s="19"/>
      <c r="G997" s="19"/>
      <c r="H997" s="19"/>
      <c r="I997" s="19"/>
      <c r="J997" s="19"/>
      <c r="K997" s="19"/>
      <c r="L997" s="19"/>
      <c r="M997" s="19"/>
      <c r="N997" s="19"/>
      <c r="O997" s="19"/>
      <c r="P997" s="20"/>
      <c r="Q997" s="20"/>
      <c r="R997" s="22"/>
      <c r="S997" s="22"/>
      <c r="T997" s="20"/>
      <c r="U997" s="20"/>
      <c r="V997" s="20"/>
      <c r="W997" s="19"/>
      <c r="X997" s="19"/>
      <c r="Y997" s="19"/>
      <c r="Z997" s="23"/>
    </row>
    <row r="998" spans="1:26" ht="15.75" customHeight="1" x14ac:dyDescent="0.2">
      <c r="A998" s="34"/>
      <c r="B998" s="34"/>
      <c r="C998" s="34"/>
      <c r="D998" s="34"/>
      <c r="E998" s="19"/>
      <c r="F998" s="19"/>
      <c r="G998" s="19"/>
      <c r="H998" s="19"/>
      <c r="I998" s="19"/>
      <c r="J998" s="19"/>
      <c r="K998" s="19"/>
      <c r="L998" s="19"/>
      <c r="M998" s="19"/>
      <c r="N998" s="19"/>
      <c r="O998" s="19"/>
      <c r="P998" s="20"/>
      <c r="Q998" s="20"/>
      <c r="R998" s="22"/>
      <c r="S998" s="22"/>
      <c r="T998" s="20"/>
      <c r="U998" s="20"/>
      <c r="V998" s="20"/>
      <c r="W998" s="19"/>
      <c r="X998" s="19"/>
      <c r="Y998" s="19"/>
      <c r="Z998" s="23"/>
    </row>
    <row r="999" spans="1:26" ht="15.75" customHeight="1" x14ac:dyDescent="0.2">
      <c r="A999" s="34"/>
      <c r="B999" s="34"/>
      <c r="C999" s="34"/>
      <c r="D999" s="34"/>
      <c r="E999" s="19"/>
      <c r="F999" s="19"/>
      <c r="G999" s="19"/>
      <c r="H999" s="19"/>
      <c r="I999" s="19"/>
      <c r="J999" s="19"/>
      <c r="K999" s="19"/>
      <c r="L999" s="19"/>
      <c r="M999" s="19"/>
      <c r="N999" s="19"/>
      <c r="O999" s="19"/>
      <c r="P999" s="20"/>
      <c r="Q999" s="20"/>
      <c r="R999" s="22"/>
      <c r="S999" s="22"/>
      <c r="T999" s="20"/>
      <c r="U999" s="20"/>
      <c r="V999" s="20"/>
      <c r="W999" s="19"/>
      <c r="X999" s="19"/>
      <c r="Y999" s="19"/>
      <c r="Z999" s="23"/>
    </row>
    <row r="1000" spans="1:26" ht="15.75" customHeight="1" x14ac:dyDescent="0.2">
      <c r="A1000" s="34"/>
      <c r="B1000" s="34"/>
      <c r="C1000" s="34"/>
      <c r="D1000" s="34"/>
      <c r="E1000" s="19"/>
      <c r="F1000" s="19"/>
      <c r="G1000" s="19"/>
      <c r="H1000" s="19"/>
      <c r="I1000" s="19"/>
      <c r="J1000" s="19"/>
      <c r="K1000" s="19"/>
      <c r="L1000" s="19"/>
      <c r="M1000" s="19"/>
      <c r="N1000" s="19"/>
      <c r="O1000" s="19"/>
      <c r="P1000" s="20"/>
      <c r="Q1000" s="20"/>
      <c r="R1000" s="22"/>
      <c r="S1000" s="22"/>
      <c r="T1000" s="20"/>
      <c r="U1000" s="20"/>
      <c r="V1000" s="20"/>
      <c r="W1000" s="19"/>
      <c r="X1000" s="19"/>
      <c r="Y1000" s="19"/>
      <c r="Z1000" s="23"/>
    </row>
  </sheetData>
  <autoFilter ref="A2:Z2" xr:uid="{00000000-0009-0000-0000-000005000000}"/>
  <mergeCells count="4">
    <mergeCell ref="E1:F1"/>
    <mergeCell ref="G1:I1"/>
    <mergeCell ref="J1:O1"/>
    <mergeCell ref="P1:V1"/>
  </mergeCell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0" width="16.6640625" customWidth="1"/>
    <col min="11" max="16" width="12.1640625" customWidth="1"/>
    <col min="17" max="17" width="12.83203125" customWidth="1"/>
    <col min="18" max="18" width="17.5" customWidth="1"/>
    <col min="19" max="20" width="16.83203125" customWidth="1"/>
    <col min="21" max="21" width="14.33203125" customWidth="1"/>
    <col min="22" max="22" width="17.5" customWidth="1"/>
    <col min="23" max="24" width="10.6640625" customWidth="1"/>
    <col min="25" max="25" width="9.33203125" customWidth="1"/>
    <col min="26" max="26" width="13" customWidth="1"/>
    <col min="27" max="27" width="9.5" customWidth="1"/>
  </cols>
  <sheetData>
    <row r="1" spans="1:27" x14ac:dyDescent="0.2">
      <c r="A1" s="1" t="s">
        <v>611</v>
      </c>
      <c r="B1" s="3"/>
      <c r="C1" s="3"/>
      <c r="D1" s="3"/>
      <c r="E1" s="63" t="s">
        <v>1</v>
      </c>
      <c r="F1" s="64"/>
      <c r="G1" s="65" t="s">
        <v>2</v>
      </c>
      <c r="H1" s="66"/>
      <c r="I1" s="66"/>
      <c r="J1" s="64"/>
      <c r="K1" s="67" t="s">
        <v>3</v>
      </c>
      <c r="L1" s="66"/>
      <c r="M1" s="66"/>
      <c r="N1" s="66"/>
      <c r="O1" s="66"/>
      <c r="P1" s="64"/>
      <c r="Q1" s="68" t="s">
        <v>4</v>
      </c>
      <c r="R1" s="66"/>
      <c r="S1" s="66"/>
      <c r="T1" s="66"/>
      <c r="U1" s="66"/>
      <c r="V1" s="66"/>
      <c r="W1" s="64"/>
      <c r="X1" s="3"/>
      <c r="Y1" s="4"/>
      <c r="Z1" s="3"/>
      <c r="AA1" s="3"/>
    </row>
    <row r="2" spans="1:27" ht="55.5" customHeight="1" x14ac:dyDescent="0.15">
      <c r="A2" s="5" t="s">
        <v>5</v>
      </c>
      <c r="B2" s="5" t="s">
        <v>6</v>
      </c>
      <c r="C2" s="5" t="s">
        <v>7</v>
      </c>
      <c r="D2" s="5" t="s">
        <v>8</v>
      </c>
      <c r="E2" s="6" t="s">
        <v>9</v>
      </c>
      <c r="F2" s="6" t="s">
        <v>10</v>
      </c>
      <c r="G2" s="7" t="s">
        <v>11</v>
      </c>
      <c r="H2" s="7" t="s">
        <v>12</v>
      </c>
      <c r="I2" s="7" t="s">
        <v>13</v>
      </c>
      <c r="J2" s="7" t="s">
        <v>615</v>
      </c>
      <c r="K2" s="8" t="s">
        <v>14</v>
      </c>
      <c r="L2" s="8" t="s">
        <v>15</v>
      </c>
      <c r="M2" s="8" t="s">
        <v>16</v>
      </c>
      <c r="N2" s="8" t="s">
        <v>17</v>
      </c>
      <c r="O2" s="8" t="s">
        <v>18</v>
      </c>
      <c r="P2" s="8" t="s">
        <v>19</v>
      </c>
      <c r="Q2" s="9" t="s">
        <v>20</v>
      </c>
      <c r="R2" s="9" t="s">
        <v>21</v>
      </c>
      <c r="S2" s="9" t="s">
        <v>22</v>
      </c>
      <c r="T2" s="9" t="s">
        <v>23</v>
      </c>
      <c r="U2" s="9" t="s">
        <v>24</v>
      </c>
      <c r="V2" s="12" t="s">
        <v>25</v>
      </c>
      <c r="W2" s="13" t="s">
        <v>26</v>
      </c>
      <c r="X2" s="14" t="s">
        <v>27</v>
      </c>
      <c r="Y2" s="15" t="s">
        <v>29</v>
      </c>
      <c r="Z2" s="15" t="s">
        <v>30</v>
      </c>
      <c r="AA2" s="16" t="s">
        <v>31</v>
      </c>
    </row>
    <row r="3" spans="1:27" x14ac:dyDescent="0.2">
      <c r="A3" s="17" t="str">
        <f>HYPERLINK("https://www.albertus.edu", "Albertus Magnus College")</f>
        <v>Albertus Magnus College</v>
      </c>
      <c r="B3" s="18" t="s">
        <v>32</v>
      </c>
      <c r="C3" s="18" t="s">
        <v>94</v>
      </c>
      <c r="D3" s="18" t="s">
        <v>187</v>
      </c>
      <c r="E3" s="18">
        <v>930</v>
      </c>
      <c r="F3" s="18" t="s">
        <v>35</v>
      </c>
      <c r="J3" s="2"/>
      <c r="K3" s="19">
        <v>0.61329999999999996</v>
      </c>
      <c r="L3" s="19">
        <v>0.571428571</v>
      </c>
      <c r="M3" s="19">
        <v>0.68669999999999998</v>
      </c>
      <c r="N3" s="19">
        <v>0.55000000000000004</v>
      </c>
      <c r="O3" s="19">
        <v>0.5</v>
      </c>
      <c r="P3" s="19">
        <v>1</v>
      </c>
      <c r="Q3" s="20">
        <v>51350</v>
      </c>
      <c r="R3" s="21" t="str">
        <f>HYPERLINK("https://www.albertus.edu/admission-aid/financial-aid/net-price-calculator.php", "$23495")</f>
        <v>$23495</v>
      </c>
      <c r="S3" s="22">
        <v>24778</v>
      </c>
      <c r="T3" s="22">
        <v>25490</v>
      </c>
      <c r="U3" s="20">
        <v>7210</v>
      </c>
      <c r="V3" s="20">
        <v>16285</v>
      </c>
      <c r="X3" s="19">
        <v>0.52949999999999997</v>
      </c>
      <c r="Y3" s="19">
        <v>0.67200000000000004</v>
      </c>
      <c r="AA3" s="23">
        <v>1122</v>
      </c>
    </row>
    <row r="4" spans="1:27" x14ac:dyDescent="0.2">
      <c r="A4" s="17" t="str">
        <f>HYPERLINK("https://www.aic.edu", "American International College")</f>
        <v>American International College</v>
      </c>
      <c r="B4" s="18" t="s">
        <v>32</v>
      </c>
      <c r="C4" s="18" t="s">
        <v>33</v>
      </c>
      <c r="D4" s="18" t="s">
        <v>349</v>
      </c>
      <c r="E4" s="18">
        <v>997</v>
      </c>
      <c r="F4" s="18" t="s">
        <v>115</v>
      </c>
      <c r="J4" s="2"/>
      <c r="K4" s="19">
        <v>0.41410000000000002</v>
      </c>
      <c r="L4" s="19">
        <v>0.47107438000000001</v>
      </c>
      <c r="M4" s="19">
        <v>0.49519999999999997</v>
      </c>
      <c r="N4" s="19">
        <v>0.3659</v>
      </c>
      <c r="O4" s="19">
        <v>0.33329999999999999</v>
      </c>
      <c r="P4" s="19">
        <v>0.75</v>
      </c>
      <c r="Q4" s="20">
        <v>50820</v>
      </c>
      <c r="R4" s="21" t="str">
        <f>HYPERLINK("https://www.aic.edu/admissions/tuition-and-financial-aid/net-price-calculator/", "$20373")</f>
        <v>$20373</v>
      </c>
      <c r="S4" s="22">
        <v>22376</v>
      </c>
      <c r="T4" s="22">
        <v>24170</v>
      </c>
      <c r="U4" s="20">
        <v>2800</v>
      </c>
      <c r="V4" s="20">
        <v>17573</v>
      </c>
      <c r="X4" s="19">
        <v>0.48089999999999999</v>
      </c>
      <c r="Y4" s="19">
        <v>0.625</v>
      </c>
      <c r="AA4" s="23">
        <v>1336</v>
      </c>
    </row>
    <row r="5" spans="1:27" x14ac:dyDescent="0.2">
      <c r="A5" s="17" t="str">
        <f>HYPERLINK("https://www.angelo.edu", "Angelo State University")</f>
        <v>Angelo State University</v>
      </c>
      <c r="B5" s="18" t="s">
        <v>49</v>
      </c>
      <c r="C5" s="18" t="s">
        <v>146</v>
      </c>
      <c r="D5" s="18" t="s">
        <v>620</v>
      </c>
      <c r="E5" s="18">
        <v>1003</v>
      </c>
      <c r="F5" s="18" t="s">
        <v>35</v>
      </c>
      <c r="J5" s="2"/>
      <c r="K5" s="19">
        <v>0.36580000000000001</v>
      </c>
      <c r="L5" s="19">
        <v>0.33521923599999998</v>
      </c>
      <c r="M5" s="19">
        <v>0.42249999999999999</v>
      </c>
      <c r="N5" s="19">
        <v>0.24809999999999999</v>
      </c>
      <c r="O5" s="19">
        <v>0.30370000000000003</v>
      </c>
      <c r="P5" s="19">
        <v>0.36359999999999998</v>
      </c>
      <c r="Q5" s="20">
        <v>29507</v>
      </c>
      <c r="R5" s="21" t="str">
        <f>HYPERLINK("https://www.collegeforalltexans.com/apps/CollegeMoney/", "$20793")</f>
        <v>$20793</v>
      </c>
      <c r="S5" s="22">
        <v>25241</v>
      </c>
      <c r="T5" s="22">
        <v>28256</v>
      </c>
      <c r="U5" s="20">
        <v>4680</v>
      </c>
      <c r="V5" s="20">
        <v>16113.57724957555</v>
      </c>
      <c r="X5" s="19">
        <v>0.30759999999999998</v>
      </c>
      <c r="Y5" s="19">
        <v>0.5101</v>
      </c>
      <c r="AA5" s="23">
        <v>5726</v>
      </c>
    </row>
    <row r="6" spans="1:27" x14ac:dyDescent="0.2">
      <c r="A6" s="17" t="str">
        <f>HYPERLINK("https://www.annamaria.edu", "Anna Maria College")</f>
        <v>Anna Maria College</v>
      </c>
      <c r="B6" s="18" t="s">
        <v>32</v>
      </c>
      <c r="C6" s="18" t="s">
        <v>33</v>
      </c>
      <c r="D6" s="18" t="s">
        <v>622</v>
      </c>
      <c r="E6" s="18" t="s">
        <v>36</v>
      </c>
      <c r="F6" s="18" t="s">
        <v>45</v>
      </c>
      <c r="J6" s="2"/>
      <c r="K6" s="19">
        <v>0.41260000000000002</v>
      </c>
      <c r="L6" s="19">
        <v>0.27007299299999998</v>
      </c>
      <c r="M6" s="19">
        <v>0.46539999999999998</v>
      </c>
      <c r="N6" s="19">
        <v>0.1154</v>
      </c>
      <c r="O6" s="19">
        <v>0.47370000000000001</v>
      </c>
      <c r="P6" s="19">
        <v>0.33329999999999999</v>
      </c>
      <c r="Q6" s="20">
        <v>53020</v>
      </c>
      <c r="R6" s="21" t="str">
        <f>HYPERLINK("https://annamaria.studentaidcalculator.com/survey.aspx", "$20869")</f>
        <v>$20869</v>
      </c>
      <c r="S6" s="22">
        <v>24034</v>
      </c>
      <c r="T6" s="22">
        <v>25852</v>
      </c>
      <c r="U6" s="20">
        <v>2000</v>
      </c>
      <c r="V6" s="20">
        <v>18869</v>
      </c>
      <c r="X6" s="19">
        <v>0.35</v>
      </c>
      <c r="Y6" s="19">
        <v>0.35870000000000002</v>
      </c>
      <c r="AA6" s="23">
        <v>1118</v>
      </c>
    </row>
    <row r="7" spans="1:27" x14ac:dyDescent="0.2">
      <c r="A7" s="17" t="str">
        <f>HYPERLINK("https://www.baker.edu", "Baker College of Allen Park")</f>
        <v>Baker College of Allen Park</v>
      </c>
      <c r="B7" s="18" t="s">
        <v>32</v>
      </c>
      <c r="C7" s="18" t="s">
        <v>226</v>
      </c>
      <c r="D7" s="18" t="s">
        <v>624</v>
      </c>
      <c r="E7" s="18" t="s">
        <v>36</v>
      </c>
      <c r="F7" s="18" t="s">
        <v>36</v>
      </c>
      <c r="J7" s="2"/>
      <c r="K7" s="19" t="s">
        <v>36</v>
      </c>
      <c r="L7" s="19">
        <v>0.173313783</v>
      </c>
      <c r="M7" s="19" t="s">
        <v>36</v>
      </c>
      <c r="N7" s="19" t="s">
        <v>36</v>
      </c>
      <c r="O7" s="19" t="s">
        <v>36</v>
      </c>
      <c r="P7" s="19" t="s">
        <v>36</v>
      </c>
      <c r="Q7" s="20" t="s">
        <v>36</v>
      </c>
      <c r="R7" s="35" t="s">
        <v>36</v>
      </c>
      <c r="S7" s="22" t="s">
        <v>36</v>
      </c>
      <c r="T7" s="22" t="s">
        <v>36</v>
      </c>
      <c r="U7" s="20" t="s">
        <v>36</v>
      </c>
      <c r="V7" s="20" t="s">
        <v>36</v>
      </c>
      <c r="X7" s="19" t="s">
        <v>36</v>
      </c>
      <c r="Y7" s="19" t="s">
        <v>36</v>
      </c>
      <c r="AA7" s="23" t="s">
        <v>36</v>
      </c>
    </row>
    <row r="8" spans="1:27" x14ac:dyDescent="0.2">
      <c r="A8" s="17" t="str">
        <f>HYPERLINK("https://www.baker.edu", "Baker College of Auburn Hills")</f>
        <v>Baker College of Auburn Hills</v>
      </c>
      <c r="B8" s="18" t="s">
        <v>32</v>
      </c>
      <c r="C8" s="18" t="s">
        <v>226</v>
      </c>
      <c r="D8" s="18" t="s">
        <v>627</v>
      </c>
      <c r="E8" s="18" t="s">
        <v>36</v>
      </c>
      <c r="F8" s="18" t="s">
        <v>36</v>
      </c>
      <c r="J8" s="2"/>
      <c r="K8" s="19" t="s">
        <v>36</v>
      </c>
      <c r="L8" s="19">
        <v>0.173313783</v>
      </c>
      <c r="M8" s="19" t="s">
        <v>36</v>
      </c>
      <c r="N8" s="19" t="s">
        <v>36</v>
      </c>
      <c r="O8" s="19" t="s">
        <v>36</v>
      </c>
      <c r="P8" s="19" t="s">
        <v>36</v>
      </c>
      <c r="Q8" s="20" t="s">
        <v>36</v>
      </c>
      <c r="R8" s="35" t="s">
        <v>36</v>
      </c>
      <c r="S8" s="22" t="s">
        <v>36</v>
      </c>
      <c r="T8" s="22" t="s">
        <v>36</v>
      </c>
      <c r="U8" s="20" t="s">
        <v>36</v>
      </c>
      <c r="V8" s="20" t="s">
        <v>36</v>
      </c>
      <c r="X8" s="19" t="s">
        <v>36</v>
      </c>
      <c r="Y8" s="19" t="s">
        <v>36</v>
      </c>
      <c r="AA8" s="23" t="s">
        <v>36</v>
      </c>
    </row>
    <row r="9" spans="1:27" x14ac:dyDescent="0.2">
      <c r="A9" s="17" t="str">
        <f>HYPERLINK("https://www.baker.edu", "Baker College of Cadillac")</f>
        <v>Baker College of Cadillac</v>
      </c>
      <c r="B9" s="18" t="s">
        <v>32</v>
      </c>
      <c r="C9" s="18" t="s">
        <v>226</v>
      </c>
      <c r="D9" s="18" t="s">
        <v>628</v>
      </c>
      <c r="E9" s="18" t="s">
        <v>36</v>
      </c>
      <c r="F9" s="18" t="s">
        <v>36</v>
      </c>
      <c r="J9" s="2"/>
      <c r="K9" s="19" t="s">
        <v>36</v>
      </c>
      <c r="L9" s="19">
        <v>0.173313783</v>
      </c>
      <c r="M9" s="19" t="s">
        <v>36</v>
      </c>
      <c r="N9" s="19" t="s">
        <v>36</v>
      </c>
      <c r="O9" s="19" t="s">
        <v>36</v>
      </c>
      <c r="P9" s="19" t="s">
        <v>36</v>
      </c>
      <c r="Q9" s="20" t="s">
        <v>36</v>
      </c>
      <c r="R9" s="35" t="s">
        <v>36</v>
      </c>
      <c r="S9" s="22" t="s">
        <v>36</v>
      </c>
      <c r="T9" s="22" t="s">
        <v>36</v>
      </c>
      <c r="U9" s="20" t="s">
        <v>36</v>
      </c>
      <c r="V9" s="20" t="s">
        <v>36</v>
      </c>
      <c r="X9" s="19" t="s">
        <v>36</v>
      </c>
      <c r="Y9" s="19" t="s">
        <v>36</v>
      </c>
      <c r="AA9" s="23" t="s">
        <v>36</v>
      </c>
    </row>
    <row r="10" spans="1:27" x14ac:dyDescent="0.2">
      <c r="A10" s="17" t="str">
        <f>HYPERLINK("https://www.baker.edu", "Baker College of Clinton Township")</f>
        <v>Baker College of Clinton Township</v>
      </c>
      <c r="B10" s="18" t="s">
        <v>32</v>
      </c>
      <c r="C10" s="18" t="s">
        <v>226</v>
      </c>
      <c r="D10" s="18" t="s">
        <v>632</v>
      </c>
      <c r="E10" s="18" t="s">
        <v>36</v>
      </c>
      <c r="F10" s="18" t="s">
        <v>36</v>
      </c>
      <c r="J10" s="2"/>
      <c r="K10" s="19" t="s">
        <v>36</v>
      </c>
      <c r="L10" s="19">
        <v>0.173313783</v>
      </c>
      <c r="M10" s="19" t="s">
        <v>36</v>
      </c>
      <c r="N10" s="19" t="s">
        <v>36</v>
      </c>
      <c r="O10" s="19" t="s">
        <v>36</v>
      </c>
      <c r="P10" s="19" t="s">
        <v>36</v>
      </c>
      <c r="Q10" s="20" t="s">
        <v>36</v>
      </c>
      <c r="R10" s="35" t="s">
        <v>36</v>
      </c>
      <c r="S10" s="22" t="s">
        <v>36</v>
      </c>
      <c r="T10" s="22" t="s">
        <v>36</v>
      </c>
      <c r="U10" s="20" t="s">
        <v>36</v>
      </c>
      <c r="V10" s="20" t="s">
        <v>36</v>
      </c>
      <c r="X10" s="19" t="s">
        <v>36</v>
      </c>
      <c r="Y10" s="19" t="s">
        <v>36</v>
      </c>
      <c r="AA10" s="23" t="s">
        <v>36</v>
      </c>
    </row>
    <row r="11" spans="1:27" x14ac:dyDescent="0.2">
      <c r="A11" s="17" t="str">
        <f>HYPERLINK("https://www.baker.edu", "Baker College of Jackson")</f>
        <v>Baker College of Jackson</v>
      </c>
      <c r="B11" s="18" t="s">
        <v>32</v>
      </c>
      <c r="C11" s="18" t="s">
        <v>226</v>
      </c>
      <c r="D11" s="18" t="s">
        <v>419</v>
      </c>
      <c r="E11" s="18" t="s">
        <v>36</v>
      </c>
      <c r="F11" s="18" t="s">
        <v>36</v>
      </c>
      <c r="J11" s="2"/>
      <c r="K11" s="19" t="s">
        <v>36</v>
      </c>
      <c r="L11" s="19">
        <v>0.173313783</v>
      </c>
      <c r="M11" s="19" t="s">
        <v>36</v>
      </c>
      <c r="N11" s="19" t="s">
        <v>36</v>
      </c>
      <c r="O11" s="19" t="s">
        <v>36</v>
      </c>
      <c r="P11" s="19" t="s">
        <v>36</v>
      </c>
      <c r="Q11" s="20" t="s">
        <v>36</v>
      </c>
      <c r="R11" s="35" t="s">
        <v>36</v>
      </c>
      <c r="S11" s="22" t="s">
        <v>36</v>
      </c>
      <c r="T11" s="22" t="s">
        <v>36</v>
      </c>
      <c r="U11" s="20" t="s">
        <v>36</v>
      </c>
      <c r="V11" s="20" t="s">
        <v>36</v>
      </c>
      <c r="X11" s="19" t="s">
        <v>36</v>
      </c>
      <c r="Y11" s="19" t="s">
        <v>36</v>
      </c>
      <c r="AA11" s="23" t="s">
        <v>36</v>
      </c>
    </row>
    <row r="12" spans="1:27" x14ac:dyDescent="0.2">
      <c r="A12" s="17" t="str">
        <f>HYPERLINK("https://www.baker.edu", "Baker College of Muskegon")</f>
        <v>Baker College of Muskegon</v>
      </c>
      <c r="B12" s="18" t="s">
        <v>32</v>
      </c>
      <c r="C12" s="18" t="s">
        <v>226</v>
      </c>
      <c r="D12" s="18" t="s">
        <v>634</v>
      </c>
      <c r="E12" s="18" t="s">
        <v>36</v>
      </c>
      <c r="F12" s="18" t="s">
        <v>36</v>
      </c>
      <c r="J12" s="2"/>
      <c r="K12" s="19" t="s">
        <v>36</v>
      </c>
      <c r="L12" s="19">
        <v>0.173313783</v>
      </c>
      <c r="M12" s="19" t="s">
        <v>36</v>
      </c>
      <c r="N12" s="19" t="s">
        <v>36</v>
      </c>
      <c r="O12" s="19" t="s">
        <v>36</v>
      </c>
      <c r="P12" s="19" t="s">
        <v>36</v>
      </c>
      <c r="Q12" s="20" t="s">
        <v>36</v>
      </c>
      <c r="R12" s="35" t="s">
        <v>36</v>
      </c>
      <c r="S12" s="22" t="s">
        <v>36</v>
      </c>
      <c r="T12" s="22" t="s">
        <v>36</v>
      </c>
      <c r="U12" s="20" t="s">
        <v>36</v>
      </c>
      <c r="V12" s="20" t="s">
        <v>36</v>
      </c>
      <c r="X12" s="19" t="s">
        <v>36</v>
      </c>
      <c r="Y12" s="19" t="s">
        <v>36</v>
      </c>
      <c r="AA12" s="23" t="s">
        <v>36</v>
      </c>
    </row>
    <row r="13" spans="1:27" x14ac:dyDescent="0.2">
      <c r="A13" s="17" t="str">
        <f>HYPERLINK("https://www.baker.edu", "Baker College of Owosso")</f>
        <v>Baker College of Owosso</v>
      </c>
      <c r="B13" s="18" t="s">
        <v>32</v>
      </c>
      <c r="C13" s="18" t="s">
        <v>226</v>
      </c>
      <c r="D13" s="18" t="s">
        <v>636</v>
      </c>
      <c r="E13" s="18" t="s">
        <v>36</v>
      </c>
      <c r="F13" s="18" t="s">
        <v>36</v>
      </c>
      <c r="J13" s="2"/>
      <c r="K13" s="19" t="s">
        <v>36</v>
      </c>
      <c r="L13" s="19">
        <v>0.173313783</v>
      </c>
      <c r="M13" s="19" t="s">
        <v>36</v>
      </c>
      <c r="N13" s="19" t="s">
        <v>36</v>
      </c>
      <c r="O13" s="19" t="s">
        <v>36</v>
      </c>
      <c r="P13" s="19" t="s">
        <v>36</v>
      </c>
      <c r="Q13" s="20" t="s">
        <v>36</v>
      </c>
      <c r="R13" s="35" t="s">
        <v>36</v>
      </c>
      <c r="S13" s="22" t="s">
        <v>36</v>
      </c>
      <c r="T13" s="22" t="s">
        <v>36</v>
      </c>
      <c r="U13" s="20" t="s">
        <v>36</v>
      </c>
      <c r="V13" s="20" t="s">
        <v>36</v>
      </c>
      <c r="X13" s="19" t="s">
        <v>36</v>
      </c>
      <c r="Y13" s="19" t="s">
        <v>36</v>
      </c>
      <c r="AA13" s="23" t="s">
        <v>36</v>
      </c>
    </row>
    <row r="14" spans="1:27" x14ac:dyDescent="0.2">
      <c r="A14" s="17" t="str">
        <f>HYPERLINK("https://www.baker.edu/", "Baker College of Port Huron")</f>
        <v>Baker College of Port Huron</v>
      </c>
      <c r="B14" s="18" t="s">
        <v>32</v>
      </c>
      <c r="C14" s="18" t="s">
        <v>226</v>
      </c>
      <c r="D14" s="18" t="s">
        <v>637</v>
      </c>
      <c r="E14" s="18" t="s">
        <v>36</v>
      </c>
      <c r="F14" s="18" t="s">
        <v>36</v>
      </c>
      <c r="J14" s="2"/>
      <c r="K14" s="19" t="s">
        <v>36</v>
      </c>
      <c r="L14" s="19">
        <v>0.173313783</v>
      </c>
      <c r="M14" s="19" t="s">
        <v>36</v>
      </c>
      <c r="N14" s="19" t="s">
        <v>36</v>
      </c>
      <c r="O14" s="19" t="s">
        <v>36</v>
      </c>
      <c r="P14" s="19" t="s">
        <v>36</v>
      </c>
      <c r="Q14" s="20" t="s">
        <v>36</v>
      </c>
      <c r="R14" s="35" t="s">
        <v>36</v>
      </c>
      <c r="S14" s="22" t="s">
        <v>36</v>
      </c>
      <c r="T14" s="22" t="s">
        <v>36</v>
      </c>
      <c r="U14" s="20" t="s">
        <v>36</v>
      </c>
      <c r="V14" s="20" t="s">
        <v>36</v>
      </c>
      <c r="X14" s="19" t="s">
        <v>36</v>
      </c>
      <c r="Y14" s="19" t="s">
        <v>36</v>
      </c>
      <c r="AA14" s="23" t="s">
        <v>36</v>
      </c>
    </row>
    <row r="15" spans="1:27" x14ac:dyDescent="0.2">
      <c r="A15" s="17" t="str">
        <f>HYPERLINK("https://www.becker.edu", "Becker College")</f>
        <v>Becker College</v>
      </c>
      <c r="B15" s="18" t="s">
        <v>32</v>
      </c>
      <c r="C15" s="18" t="s">
        <v>33</v>
      </c>
      <c r="D15" s="18" t="s">
        <v>86</v>
      </c>
      <c r="E15" s="18">
        <v>1078</v>
      </c>
      <c r="F15" s="18" t="s">
        <v>35</v>
      </c>
      <c r="J15" s="2"/>
      <c r="K15" s="19">
        <v>0.3846</v>
      </c>
      <c r="L15" s="19">
        <v>0.15068493199999999</v>
      </c>
      <c r="M15" s="19">
        <v>0.42470000000000002</v>
      </c>
      <c r="N15" s="19">
        <v>0.21820000000000001</v>
      </c>
      <c r="O15" s="19">
        <v>0.3</v>
      </c>
      <c r="P15" s="19">
        <v>0.5</v>
      </c>
      <c r="Q15" s="20">
        <v>55710</v>
      </c>
      <c r="R15" s="21" t="str">
        <f>HYPERLINK("https://www.becker.edu/net-price-calculator/", "$29078")</f>
        <v>$29078</v>
      </c>
      <c r="S15" s="22">
        <v>31467</v>
      </c>
      <c r="T15" s="22">
        <v>34191</v>
      </c>
      <c r="U15" s="20">
        <v>4160</v>
      </c>
      <c r="V15" s="20">
        <v>24918</v>
      </c>
      <c r="X15" s="19">
        <v>0.32969999999999999</v>
      </c>
      <c r="Y15" s="19">
        <v>0.28889999999999999</v>
      </c>
      <c r="AA15" s="23">
        <v>1800</v>
      </c>
    </row>
    <row r="16" spans="1:27" x14ac:dyDescent="0.2">
      <c r="A16" s="17" t="str">
        <f>HYPERLINK("https://www.bellevue.edu", "Bellevue University")</f>
        <v>Bellevue University</v>
      </c>
      <c r="B16" s="18" t="s">
        <v>32</v>
      </c>
      <c r="C16" s="18" t="s">
        <v>341</v>
      </c>
      <c r="D16" s="18" t="s">
        <v>640</v>
      </c>
      <c r="E16" s="18" t="s">
        <v>36</v>
      </c>
      <c r="F16" s="18" t="s">
        <v>36</v>
      </c>
      <c r="J16" s="2"/>
      <c r="K16" s="19">
        <v>0.16669999999999999</v>
      </c>
      <c r="L16" s="19">
        <v>0.375</v>
      </c>
      <c r="M16" s="19">
        <v>0.25</v>
      </c>
      <c r="N16" s="19" t="s">
        <v>36</v>
      </c>
      <c r="O16" s="19" t="s">
        <v>36</v>
      </c>
      <c r="P16" s="19" t="s">
        <v>36</v>
      </c>
      <c r="Q16" s="20">
        <v>20334</v>
      </c>
      <c r="R16" s="21" t="str">
        <f>HYPERLINK("https://www.bellevue.edu/admissions-tuition/financing-options/net-price-calculator/npcalc.htm", "$10576")</f>
        <v>$10576</v>
      </c>
      <c r="S16" s="22">
        <v>13898</v>
      </c>
      <c r="T16" s="22" t="s">
        <v>36</v>
      </c>
      <c r="U16" s="20">
        <v>4050</v>
      </c>
      <c r="V16" s="20">
        <v>6526</v>
      </c>
      <c r="X16" s="19">
        <v>0.29170000000000001</v>
      </c>
      <c r="Y16" s="19">
        <v>0.51580000000000004</v>
      </c>
      <c r="AA16" s="23">
        <v>5665</v>
      </c>
    </row>
    <row r="17" spans="1:27" x14ac:dyDescent="0.2">
      <c r="A17" s="17" t="str">
        <f>HYPERLINK("https://www.benedict.edu", "Benedict College")</f>
        <v>Benedict College</v>
      </c>
      <c r="B17" s="18" t="s">
        <v>32</v>
      </c>
      <c r="C17" s="18" t="s">
        <v>208</v>
      </c>
      <c r="D17" s="18" t="s">
        <v>165</v>
      </c>
      <c r="E17" s="18" t="s">
        <v>36</v>
      </c>
      <c r="F17" s="18" t="s">
        <v>36</v>
      </c>
      <c r="J17" s="2"/>
      <c r="K17" s="19">
        <v>0.26500000000000001</v>
      </c>
      <c r="L17" s="19">
        <v>0.24753694600000001</v>
      </c>
      <c r="M17" s="19">
        <v>0.375</v>
      </c>
      <c r="N17" s="19">
        <v>0.26379999999999998</v>
      </c>
      <c r="O17" s="19">
        <v>0.25</v>
      </c>
      <c r="P17" s="19">
        <v>0</v>
      </c>
      <c r="Q17" s="20">
        <v>32982</v>
      </c>
      <c r="R17" s="21" t="str">
        <f>HYPERLINK("https://www.benedict.edu/cms/?q=financial_aid", "$18526")</f>
        <v>$18526</v>
      </c>
      <c r="S17" s="22">
        <v>22458</v>
      </c>
      <c r="T17" s="22">
        <v>23429</v>
      </c>
      <c r="U17" s="20">
        <v>4100</v>
      </c>
      <c r="V17" s="20">
        <v>14426</v>
      </c>
      <c r="X17" s="19">
        <v>0.81459999999999999</v>
      </c>
      <c r="Y17" s="19">
        <v>0.97940000000000005</v>
      </c>
      <c r="AA17" s="23">
        <v>2090</v>
      </c>
    </row>
    <row r="18" spans="1:27" x14ac:dyDescent="0.2">
      <c r="A18" s="17" t="str">
        <f>HYPERLINK("https://www.bennett.edu/", "Bennett College")</f>
        <v>Bennett College</v>
      </c>
      <c r="B18" s="18" t="s">
        <v>32</v>
      </c>
      <c r="C18" s="18" t="s">
        <v>103</v>
      </c>
      <c r="D18" s="18" t="s">
        <v>643</v>
      </c>
      <c r="E18" s="18">
        <v>851</v>
      </c>
      <c r="F18" s="18" t="s">
        <v>35</v>
      </c>
      <c r="J18" s="2"/>
      <c r="K18" s="19">
        <v>0.36709999999999998</v>
      </c>
      <c r="L18" s="19">
        <v>0.35251798600000001</v>
      </c>
      <c r="M18" s="19" t="s">
        <v>36</v>
      </c>
      <c r="N18" s="19">
        <v>0.35809999999999997</v>
      </c>
      <c r="O18" s="19">
        <v>0.75</v>
      </c>
      <c r="P18" s="19">
        <v>0</v>
      </c>
      <c r="Q18" s="20">
        <v>32817</v>
      </c>
      <c r="R18" s="21" t="str">
        <f>HYPERLINK("https://www.bennett.edu/_bennettedu/netpricecalculator/npcalc.htm", "$21822")</f>
        <v>$21822</v>
      </c>
      <c r="S18" s="22">
        <v>23615</v>
      </c>
      <c r="T18" s="22">
        <v>28429</v>
      </c>
      <c r="U18" s="20">
        <v>6190</v>
      </c>
      <c r="V18" s="20">
        <v>15632</v>
      </c>
      <c r="X18" s="19">
        <v>0.67510000000000003</v>
      </c>
      <c r="Y18" s="19">
        <v>1</v>
      </c>
      <c r="AA18" s="23">
        <v>409</v>
      </c>
    </row>
    <row r="19" spans="1:27" x14ac:dyDescent="0.2">
      <c r="A19" s="17" t="str">
        <f>HYPERLINK("https://www.BerkeleyCollege.edu", "Berkeley College - Westchester Campus")</f>
        <v>Berkeley College - Westchester Campus</v>
      </c>
      <c r="B19" s="18" t="s">
        <v>368</v>
      </c>
      <c r="C19" s="18" t="s">
        <v>38</v>
      </c>
      <c r="D19" s="18" t="s">
        <v>644</v>
      </c>
      <c r="E19" s="18" t="s">
        <v>36</v>
      </c>
      <c r="F19" s="18" t="s">
        <v>36</v>
      </c>
      <c r="J19" s="2"/>
      <c r="K19" s="19" t="s">
        <v>36</v>
      </c>
      <c r="L19" s="19">
        <v>0.31971153899999999</v>
      </c>
      <c r="M19" s="19" t="s">
        <v>36</v>
      </c>
      <c r="N19" s="19" t="s">
        <v>36</v>
      </c>
      <c r="O19" s="19" t="s">
        <v>36</v>
      </c>
      <c r="P19" s="19" t="s">
        <v>36</v>
      </c>
      <c r="Q19" s="20" t="s">
        <v>36</v>
      </c>
      <c r="R19" s="35" t="s">
        <v>36</v>
      </c>
      <c r="S19" s="22" t="s">
        <v>36</v>
      </c>
      <c r="T19" s="22" t="s">
        <v>36</v>
      </c>
      <c r="U19" s="20" t="s">
        <v>36</v>
      </c>
      <c r="V19" s="20" t="s">
        <v>36</v>
      </c>
      <c r="X19" s="19" t="s">
        <v>36</v>
      </c>
      <c r="Y19" s="19" t="s">
        <v>36</v>
      </c>
      <c r="AA19" s="23" t="s">
        <v>36</v>
      </c>
    </row>
    <row r="20" spans="1:27" x14ac:dyDescent="0.2">
      <c r="A20" s="17" t="str">
        <f>HYPERLINK("https://www.BerkeleyCollege.edu", "Berkeley College-New York")</f>
        <v>Berkeley College-New York</v>
      </c>
      <c r="B20" s="18" t="s">
        <v>368</v>
      </c>
      <c r="C20" s="18" t="s">
        <v>38</v>
      </c>
      <c r="D20" s="18" t="s">
        <v>39</v>
      </c>
      <c r="E20" s="18" t="s">
        <v>36</v>
      </c>
      <c r="F20" s="18" t="s">
        <v>36</v>
      </c>
      <c r="J20" s="2"/>
      <c r="K20" s="19">
        <v>0.38179999999999997</v>
      </c>
      <c r="L20" s="19">
        <v>0.31971153899999999</v>
      </c>
      <c r="M20" s="19">
        <v>0.47760000000000002</v>
      </c>
      <c r="N20" s="19">
        <v>0.28420000000000001</v>
      </c>
      <c r="O20" s="19">
        <v>0.3589</v>
      </c>
      <c r="P20" s="19">
        <v>0.6774</v>
      </c>
      <c r="Q20" s="20">
        <v>30916</v>
      </c>
      <c r="R20" s="21" t="str">
        <f>HYPERLINK("https://berkeleycollege.studentaidcalculator.com/welcome.aspx", "$21644")</f>
        <v>$21644</v>
      </c>
      <c r="S20" s="22">
        <v>24239</v>
      </c>
      <c r="T20" s="22" t="s">
        <v>36</v>
      </c>
      <c r="U20" s="20">
        <v>5616</v>
      </c>
      <c r="V20" s="20">
        <v>16028</v>
      </c>
      <c r="X20" s="19">
        <v>0.62929999999999997</v>
      </c>
      <c r="Y20" s="19">
        <v>0.93459999999999999</v>
      </c>
      <c r="AA20" s="23">
        <v>3608</v>
      </c>
    </row>
    <row r="21" spans="1:27" ht="15.75" customHeight="1" x14ac:dyDescent="0.2">
      <c r="A21" s="17" t="str">
        <f>HYPERLINK("https://www.BerkeleyCollege.edu", "Berkeley College-Woodland Park")</f>
        <v>Berkeley College-Woodland Park</v>
      </c>
      <c r="B21" s="18" t="s">
        <v>368</v>
      </c>
      <c r="C21" s="18" t="s">
        <v>141</v>
      </c>
      <c r="D21" s="18" t="s">
        <v>645</v>
      </c>
      <c r="E21" s="18" t="s">
        <v>36</v>
      </c>
      <c r="F21" s="18" t="s">
        <v>36</v>
      </c>
      <c r="J21" s="2"/>
      <c r="K21" s="19">
        <v>0.33019999999999999</v>
      </c>
      <c r="L21" s="19">
        <v>0.297211155</v>
      </c>
      <c r="M21" s="19">
        <v>0.53910000000000002</v>
      </c>
      <c r="N21" s="19">
        <v>0.20810000000000001</v>
      </c>
      <c r="O21" s="19">
        <v>0.32969999999999999</v>
      </c>
      <c r="P21" s="19">
        <v>0.33329999999999999</v>
      </c>
      <c r="Q21" s="20">
        <v>41894</v>
      </c>
      <c r="R21" s="21" t="str">
        <f>HYPERLINK("https://berkeleycollege.studentaidcalculator.com/welcome.aspx", "$18749")</f>
        <v>$18749</v>
      </c>
      <c r="S21" s="22">
        <v>26701</v>
      </c>
      <c r="T21" s="22">
        <v>22554</v>
      </c>
      <c r="U21" s="20">
        <v>5616</v>
      </c>
      <c r="V21" s="20">
        <v>13133</v>
      </c>
      <c r="X21" s="19">
        <v>0.68389999999999995</v>
      </c>
      <c r="Y21" s="19">
        <v>0.87670000000000003</v>
      </c>
      <c r="AA21" s="23">
        <v>3342</v>
      </c>
    </row>
    <row r="22" spans="1:27" ht="15.75" customHeight="1" x14ac:dyDescent="0.2">
      <c r="A22" s="17" t="str">
        <f>HYPERLINK("https://www.bethanylb.edu", "Bethany College")</f>
        <v>Bethany College</v>
      </c>
      <c r="B22" s="18" t="s">
        <v>32</v>
      </c>
      <c r="C22" s="18" t="s">
        <v>307</v>
      </c>
      <c r="D22" s="18" t="s">
        <v>646</v>
      </c>
      <c r="E22" s="18">
        <v>1027</v>
      </c>
      <c r="F22" s="18" t="s">
        <v>35</v>
      </c>
      <c r="J22" s="2"/>
      <c r="K22" s="19">
        <v>0.4733</v>
      </c>
      <c r="L22" s="19">
        <v>0.265625</v>
      </c>
      <c r="M22" s="19">
        <v>0.5</v>
      </c>
      <c r="N22" s="19">
        <v>0.2</v>
      </c>
      <c r="O22" s="19">
        <v>0.45450000000000002</v>
      </c>
      <c r="P22" s="19" t="s">
        <v>36</v>
      </c>
      <c r="Q22" s="20">
        <v>42963</v>
      </c>
      <c r="R22" s="21" t="str">
        <f>HYPERLINK("https://www.bethanylb.edu/future/financial-aid/calculator/", "$21443")</f>
        <v>$21443</v>
      </c>
      <c r="S22" s="22">
        <v>22624</v>
      </c>
      <c r="T22" s="22">
        <v>25332</v>
      </c>
      <c r="U22" s="20">
        <v>5966</v>
      </c>
      <c r="V22" s="20">
        <v>15477</v>
      </c>
      <c r="X22" s="19">
        <v>0.38390000000000002</v>
      </c>
      <c r="Y22" s="19">
        <v>0.45350000000000001</v>
      </c>
      <c r="AA22" s="23">
        <v>710</v>
      </c>
    </row>
    <row r="23" spans="1:27" ht="15.75" customHeight="1" x14ac:dyDescent="0.2">
      <c r="A23" s="17" t="str">
        <f>HYPERLINK("https://www.bhsu.edu", "Black Hills State University")</f>
        <v>Black Hills State University</v>
      </c>
      <c r="B23" s="18" t="s">
        <v>49</v>
      </c>
      <c r="C23" s="18" t="s">
        <v>302</v>
      </c>
      <c r="D23" s="18" t="s">
        <v>648</v>
      </c>
      <c r="E23" s="18">
        <v>1065</v>
      </c>
      <c r="F23" s="18" t="s">
        <v>35</v>
      </c>
      <c r="J23" s="2"/>
      <c r="K23" s="19">
        <v>0.35320000000000001</v>
      </c>
      <c r="L23" s="19">
        <v>0.25164113799999999</v>
      </c>
      <c r="M23" s="19">
        <v>0.36840000000000001</v>
      </c>
      <c r="N23" s="19">
        <v>0.33329999999999999</v>
      </c>
      <c r="O23" s="19">
        <v>0.36359999999999998</v>
      </c>
      <c r="P23" s="19" t="s">
        <v>36</v>
      </c>
      <c r="Q23" s="20">
        <v>23922</v>
      </c>
      <c r="R23" s="21" t="str">
        <f>HYPERLINK("https://www.bhsu.edu/desktopmodules/npc/npcalc.htm", "$18043")</f>
        <v>$18043</v>
      </c>
      <c r="S23" s="22">
        <v>21315</v>
      </c>
      <c r="T23" s="22">
        <v>22457</v>
      </c>
      <c r="U23" s="20">
        <v>5500</v>
      </c>
      <c r="V23" s="20">
        <v>12543.22857142857</v>
      </c>
      <c r="X23" s="19">
        <v>0.2802</v>
      </c>
      <c r="Y23" s="19">
        <v>0.19009999999999999</v>
      </c>
      <c r="AA23" s="23">
        <v>2736</v>
      </c>
    </row>
    <row r="24" spans="1:27" ht="15.75" customHeight="1" x14ac:dyDescent="0.2">
      <c r="A24" s="17" t="str">
        <f>HYPERLINK("https://www.bloomu.edu", "Bloomsburg University of Pennsylvania")</f>
        <v>Bloomsburg University of Pennsylvania</v>
      </c>
      <c r="B24" s="18" t="s">
        <v>49</v>
      </c>
      <c r="C24" s="18" t="s">
        <v>65</v>
      </c>
      <c r="D24" s="18" t="s">
        <v>649</v>
      </c>
      <c r="E24" s="18">
        <v>1063</v>
      </c>
      <c r="F24" s="18" t="s">
        <v>35</v>
      </c>
      <c r="J24" s="2"/>
      <c r="K24" s="19">
        <v>0.58040000000000003</v>
      </c>
      <c r="L24" s="19">
        <v>0.47909407700000001</v>
      </c>
      <c r="M24" s="19">
        <v>0.61860000000000004</v>
      </c>
      <c r="N24" s="19">
        <v>0.35580000000000001</v>
      </c>
      <c r="O24" s="19">
        <v>0.2969</v>
      </c>
      <c r="P24" s="19">
        <v>0.35289999999999999</v>
      </c>
      <c r="Q24" s="20">
        <v>35750</v>
      </c>
      <c r="R24" s="21" t="str">
        <f>HYPERLINK("https://www.passhe.edu/answers/Calculator/BL/npcalc-211158.htm", "$28103")</f>
        <v>$28103</v>
      </c>
      <c r="S24" s="22">
        <v>31583</v>
      </c>
      <c r="T24" s="22">
        <v>34584</v>
      </c>
      <c r="U24" s="20">
        <v>4340</v>
      </c>
      <c r="V24" s="20">
        <v>23763.582809224321</v>
      </c>
      <c r="X24" s="19">
        <v>0.32329999999999998</v>
      </c>
      <c r="Y24" s="19">
        <v>0.2167</v>
      </c>
      <c r="AA24" s="23">
        <v>8276</v>
      </c>
    </row>
    <row r="25" spans="1:27" ht="15.75" customHeight="1" x14ac:dyDescent="0.2">
      <c r="A25" s="17" t="str">
        <f>HYPERLINK("https://www.bluefieldstate.edu", "Bluefield State College")</f>
        <v>Bluefield State College</v>
      </c>
      <c r="B25" s="18" t="s">
        <v>49</v>
      </c>
      <c r="C25" s="18" t="s">
        <v>574</v>
      </c>
      <c r="D25" s="18" t="s">
        <v>581</v>
      </c>
      <c r="E25" s="18">
        <v>994</v>
      </c>
      <c r="F25" s="18" t="s">
        <v>35</v>
      </c>
      <c r="J25" s="2"/>
      <c r="K25" s="19">
        <v>0.2069</v>
      </c>
      <c r="L25" s="19">
        <v>0.13123359600000001</v>
      </c>
      <c r="M25" s="19">
        <v>0.21460000000000001</v>
      </c>
      <c r="N25" s="19">
        <v>0.1053</v>
      </c>
      <c r="O25" s="19">
        <v>0</v>
      </c>
      <c r="P25" s="19" t="s">
        <v>36</v>
      </c>
      <c r="Q25" s="20">
        <v>29332</v>
      </c>
      <c r="R25" s="21" t="str">
        <f>HYPERLINK("https://bluefieldstate.edu/tuition/net-price-calculator", "$21400")</f>
        <v>$21400</v>
      </c>
      <c r="S25" s="22">
        <v>24786</v>
      </c>
      <c r="T25" s="22">
        <v>26763</v>
      </c>
      <c r="U25" s="20">
        <v>6000</v>
      </c>
      <c r="V25" s="20">
        <v>15400.346534653459</v>
      </c>
      <c r="X25" s="19">
        <v>0.56979999999999997</v>
      </c>
      <c r="Y25" s="19">
        <v>0.15110000000000001</v>
      </c>
      <c r="AA25" s="23">
        <v>1363</v>
      </c>
    </row>
    <row r="26" spans="1:27" ht="15.75" customHeight="1" x14ac:dyDescent="0.2">
      <c r="A26" s="17" t="str">
        <f>HYPERLINK("https://www.bpc.edu", "Brewton-Parker College")</f>
        <v>Brewton-Parker College</v>
      </c>
      <c r="B26" s="18" t="s">
        <v>32</v>
      </c>
      <c r="C26" s="18" t="s">
        <v>107</v>
      </c>
      <c r="D26" s="18" t="s">
        <v>212</v>
      </c>
      <c r="E26" s="18">
        <v>922</v>
      </c>
      <c r="F26" s="18" t="s">
        <v>115</v>
      </c>
      <c r="J26" s="2"/>
      <c r="K26" s="19">
        <v>0.2397</v>
      </c>
      <c r="L26" s="19">
        <v>0.17647058800000001</v>
      </c>
      <c r="M26" s="19">
        <v>0.28789999999999999</v>
      </c>
      <c r="N26" s="19">
        <v>0.2286</v>
      </c>
      <c r="O26" s="19">
        <v>0.16669999999999999</v>
      </c>
      <c r="P26" s="19">
        <v>0</v>
      </c>
      <c r="Q26" s="20">
        <v>33059</v>
      </c>
      <c r="R26" s="21" t="str">
        <f>HYPERLINK("https://www.bpc.edu/admissions-aid/financial-aid/npc", "$15903")</f>
        <v>$15903</v>
      </c>
      <c r="S26" s="22">
        <v>20150</v>
      </c>
      <c r="T26" s="22">
        <v>20172</v>
      </c>
      <c r="U26" s="20">
        <v>6939</v>
      </c>
      <c r="V26" s="20">
        <v>8964</v>
      </c>
      <c r="X26" s="19">
        <v>0.35410000000000003</v>
      </c>
      <c r="Y26" s="19">
        <v>0.63229999999999997</v>
      </c>
      <c r="AA26" s="23">
        <v>465</v>
      </c>
    </row>
    <row r="27" spans="1:27" ht="15.75" customHeight="1" x14ac:dyDescent="0.2">
      <c r="A27" s="17" t="str">
        <f>HYPERLINK("https://www.jjay.cuny.edu", "CUNY John Jay College of Criminal Justice")</f>
        <v>CUNY John Jay College of Criminal Justice</v>
      </c>
      <c r="B27" s="18" t="s">
        <v>49</v>
      </c>
      <c r="C27" s="18" t="s">
        <v>38</v>
      </c>
      <c r="D27" s="18" t="s">
        <v>39</v>
      </c>
      <c r="E27" s="18">
        <v>1055</v>
      </c>
      <c r="F27" s="18" t="s">
        <v>35</v>
      </c>
      <c r="G27" s="18" t="s">
        <v>651</v>
      </c>
      <c r="H27" s="18" t="s">
        <v>652</v>
      </c>
      <c r="I27" s="18" t="s">
        <v>653</v>
      </c>
      <c r="J27" s="2"/>
      <c r="K27" s="19">
        <v>0.47449999999999998</v>
      </c>
      <c r="L27" s="19">
        <v>0.37727910199999998</v>
      </c>
      <c r="M27" s="19">
        <v>0.46589999999999998</v>
      </c>
      <c r="N27" s="19">
        <v>0.4526</v>
      </c>
      <c r="O27" s="19">
        <v>0.48430000000000001</v>
      </c>
      <c r="P27" s="19">
        <v>0.47439999999999999</v>
      </c>
      <c r="Q27" s="20">
        <v>12542</v>
      </c>
      <c r="R27" s="21" t="str">
        <f>HYPERLINK("https://portal0.uapc.cuny.edu/uapc/public/fin_aid/financial_aid_estimator/FinAidEstimator.jsp", "$2198")</f>
        <v>$2198</v>
      </c>
      <c r="S27" s="22">
        <v>9191</v>
      </c>
      <c r="T27" s="22">
        <v>12401</v>
      </c>
      <c r="U27" s="20">
        <v>5472</v>
      </c>
      <c r="V27" s="20">
        <v>-3274</v>
      </c>
      <c r="X27" s="19">
        <v>0.53010000000000002</v>
      </c>
      <c r="Y27" s="19">
        <v>0.83979999999999999</v>
      </c>
      <c r="AA27" s="23">
        <v>12426</v>
      </c>
    </row>
    <row r="28" spans="1:27" ht="15.75" customHeight="1" x14ac:dyDescent="0.2">
      <c r="A28" s="17" t="str">
        <f>HYPERLINK("https://www.lehman.cuny.edu", "CUNY Lehman College")</f>
        <v>CUNY Lehman College</v>
      </c>
      <c r="B28" s="18" t="s">
        <v>49</v>
      </c>
      <c r="C28" s="18" t="s">
        <v>38</v>
      </c>
      <c r="D28" s="18" t="s">
        <v>217</v>
      </c>
      <c r="E28" s="18">
        <v>1035</v>
      </c>
      <c r="F28" s="18" t="s">
        <v>35</v>
      </c>
      <c r="G28" s="18" t="s">
        <v>201</v>
      </c>
      <c r="H28" s="18" t="s">
        <v>652</v>
      </c>
      <c r="I28" s="18" t="s">
        <v>654</v>
      </c>
      <c r="J28" s="2"/>
      <c r="K28" s="19">
        <v>0.4556</v>
      </c>
      <c r="L28" s="19">
        <v>0.395363409</v>
      </c>
      <c r="M28" s="19">
        <v>0.52380000000000004</v>
      </c>
      <c r="N28" s="19">
        <v>0.4662</v>
      </c>
      <c r="O28" s="19">
        <v>0.4345</v>
      </c>
      <c r="P28" s="19">
        <v>0.5</v>
      </c>
      <c r="Q28" s="20">
        <v>12482</v>
      </c>
      <c r="R28" s="21" t="str">
        <f>HYPERLINK("https://portal0.uapc.cuny.edu/uapc/public/fin_aid/financial_aid_estimator/FinAidEstimator.jsp", "$811")</f>
        <v>$811</v>
      </c>
      <c r="S28" s="22">
        <v>8626</v>
      </c>
      <c r="T28" s="22">
        <v>11396</v>
      </c>
      <c r="U28" s="20">
        <v>5472</v>
      </c>
      <c r="V28" s="20">
        <v>-4661</v>
      </c>
      <c r="X28" s="19">
        <v>0.52749999999999997</v>
      </c>
      <c r="Y28" s="19">
        <v>0.94510000000000005</v>
      </c>
      <c r="AA28" s="23">
        <v>10949</v>
      </c>
    </row>
    <row r="29" spans="1:27" ht="15.75" customHeight="1" x14ac:dyDescent="0.2">
      <c r="A29" s="17" t="str">
        <f>HYPERLINK("https://www.mec.cuny.edu", "CUNY Medgar Evers College")</f>
        <v>CUNY Medgar Evers College</v>
      </c>
      <c r="B29" s="18" t="s">
        <v>49</v>
      </c>
      <c r="C29" s="18" t="s">
        <v>38</v>
      </c>
      <c r="D29" s="18" t="s">
        <v>593</v>
      </c>
      <c r="E29" s="18" t="s">
        <v>36</v>
      </c>
      <c r="F29" s="18" t="s">
        <v>36</v>
      </c>
      <c r="G29" s="18" t="s">
        <v>655</v>
      </c>
      <c r="H29" s="18" t="s">
        <v>656</v>
      </c>
      <c r="I29" s="18" t="s">
        <v>657</v>
      </c>
      <c r="J29" s="2" t="s">
        <v>658</v>
      </c>
      <c r="K29" s="19">
        <v>0.1181</v>
      </c>
      <c r="L29" s="19">
        <v>0.190167477</v>
      </c>
      <c r="M29" s="19">
        <v>7.6899999999999996E-2</v>
      </c>
      <c r="N29" s="19">
        <v>0.1263</v>
      </c>
      <c r="O29" s="19">
        <v>6.6000000000000003E-2</v>
      </c>
      <c r="P29" s="19">
        <v>7.4099999999999999E-2</v>
      </c>
      <c r="Q29" s="20">
        <v>12424</v>
      </c>
      <c r="R29" s="21" t="str">
        <f>HYPERLINK("https://portal0.uapc.cuny.edu/uapc/public/fin_aid/financial_aid_estimator/FinAidEstimator.jsp", "$5079")</f>
        <v>$5079</v>
      </c>
      <c r="S29" s="22">
        <v>10902</v>
      </c>
      <c r="T29" s="22">
        <v>13429</v>
      </c>
      <c r="U29" s="20">
        <v>5472</v>
      </c>
      <c r="V29" s="20">
        <v>-393</v>
      </c>
      <c r="X29" s="19">
        <v>0.60350000000000004</v>
      </c>
      <c r="Y29" s="19">
        <v>0.98209999999999997</v>
      </c>
      <c r="AA29" s="23">
        <v>6204</v>
      </c>
    </row>
    <row r="30" spans="1:27" ht="15.75" customHeight="1" x14ac:dyDescent="0.2">
      <c r="A30" s="17" t="str">
        <f>HYPERLINK("https://www.citytech.cuny.edu", "CUNY New York City College of Technology")</f>
        <v>CUNY New York City College of Technology</v>
      </c>
      <c r="B30" s="18" t="s">
        <v>49</v>
      </c>
      <c r="C30" s="18" t="s">
        <v>38</v>
      </c>
      <c r="D30" s="18" t="s">
        <v>593</v>
      </c>
      <c r="E30" s="18" t="s">
        <v>36</v>
      </c>
      <c r="F30" s="18" t="s">
        <v>90</v>
      </c>
      <c r="G30" s="18" t="s">
        <v>655</v>
      </c>
      <c r="H30" s="18" t="s">
        <v>660</v>
      </c>
      <c r="I30" s="18" t="s">
        <v>661</v>
      </c>
      <c r="J30" s="2" t="s">
        <v>662</v>
      </c>
      <c r="K30" s="19">
        <v>0.18260000000000001</v>
      </c>
      <c r="L30" s="19">
        <v>0.21870882699999999</v>
      </c>
      <c r="M30" s="19">
        <v>0.21929999999999999</v>
      </c>
      <c r="N30" s="19">
        <v>0.1346</v>
      </c>
      <c r="O30" s="19">
        <v>0.18360000000000001</v>
      </c>
      <c r="P30" s="19">
        <v>0.2356</v>
      </c>
      <c r="Q30" s="20">
        <v>12392</v>
      </c>
      <c r="R30" s="21" t="str">
        <f>HYPERLINK("https://portal0.uapc.cuny.edu/uapc/public/fin_aid/financial_aid_estimator/FinAidEstimator.jsp", "$3820")</f>
        <v>$3820</v>
      </c>
      <c r="S30" s="22">
        <v>9380</v>
      </c>
      <c r="T30" s="22">
        <v>12781</v>
      </c>
      <c r="U30" s="20">
        <v>5472</v>
      </c>
      <c r="V30" s="20">
        <v>-1652</v>
      </c>
      <c r="X30" s="19">
        <v>0.51519999999999999</v>
      </c>
      <c r="Y30" s="19">
        <v>0.89369999999999994</v>
      </c>
      <c r="AA30" s="23">
        <v>16214</v>
      </c>
    </row>
    <row r="31" spans="1:27" ht="15.75" customHeight="1" x14ac:dyDescent="0.2">
      <c r="A31" s="17" t="str">
        <f>HYPERLINK("https://www.york.cuny.edu", "CUNY York College")</f>
        <v>CUNY York College</v>
      </c>
      <c r="B31" s="18" t="s">
        <v>49</v>
      </c>
      <c r="C31" s="18" t="s">
        <v>38</v>
      </c>
      <c r="D31" s="18" t="s">
        <v>663</v>
      </c>
      <c r="E31" s="18">
        <v>960</v>
      </c>
      <c r="F31" s="18" t="s">
        <v>35</v>
      </c>
      <c r="G31" s="18" t="s">
        <v>201</v>
      </c>
      <c r="H31" s="18" t="s">
        <v>660</v>
      </c>
      <c r="I31" s="18" t="s">
        <v>664</v>
      </c>
      <c r="J31" s="2" t="s">
        <v>665</v>
      </c>
      <c r="K31" s="19">
        <v>0.29289999999999999</v>
      </c>
      <c r="L31" s="19">
        <v>0.32649842299999998</v>
      </c>
      <c r="M31" s="19">
        <v>0.17649999999999999</v>
      </c>
      <c r="N31" s="19">
        <v>0.2969</v>
      </c>
      <c r="O31" s="19">
        <v>0.27100000000000002</v>
      </c>
      <c r="P31" s="19">
        <v>0.33879999999999999</v>
      </c>
      <c r="Q31" s="20">
        <v>12430</v>
      </c>
      <c r="R31" s="21" t="str">
        <f>HYPERLINK("https://portal0.uapc.cuny.edu/uapc/public/fin_aid/financial_aid_estimator/FinAidEstimator.jsp", "$2829")</f>
        <v>$2829</v>
      </c>
      <c r="S31" s="22">
        <v>9143</v>
      </c>
      <c r="T31" s="22">
        <v>12306</v>
      </c>
      <c r="U31" s="20">
        <v>5472</v>
      </c>
      <c r="V31" s="20">
        <v>-2643</v>
      </c>
      <c r="X31" s="19">
        <v>0.47720000000000001</v>
      </c>
      <c r="Y31" s="19">
        <v>0.9496</v>
      </c>
      <c r="AA31" s="23">
        <v>7058</v>
      </c>
    </row>
    <row r="32" spans="1:27" ht="15.75" customHeight="1" x14ac:dyDescent="0.2">
      <c r="A32" s="17" t="str">
        <f>HYPERLINK("https://www.cabrini.edu", "Cabrini University")</f>
        <v>Cabrini University</v>
      </c>
      <c r="B32" s="18" t="s">
        <v>32</v>
      </c>
      <c r="C32" s="18" t="s">
        <v>65</v>
      </c>
      <c r="D32" s="18" t="s">
        <v>667</v>
      </c>
      <c r="E32" s="18">
        <v>1073</v>
      </c>
      <c r="F32" s="18" t="s">
        <v>115</v>
      </c>
      <c r="J32" s="2"/>
      <c r="K32" s="19">
        <v>0.57540000000000002</v>
      </c>
      <c r="L32" s="19">
        <v>0.5</v>
      </c>
      <c r="M32" s="19">
        <v>0.61880000000000002</v>
      </c>
      <c r="N32" s="19">
        <v>0.45450000000000002</v>
      </c>
      <c r="O32" s="19">
        <v>0.56520000000000004</v>
      </c>
      <c r="P32" s="19">
        <v>0.66669999999999996</v>
      </c>
      <c r="Q32" s="20">
        <v>46750</v>
      </c>
      <c r="R32" s="21" t="str">
        <f>HYPERLINK("https://www.cabrini.edu/calculator", "$20739")</f>
        <v>$20739</v>
      </c>
      <c r="S32" s="22">
        <v>23319</v>
      </c>
      <c r="T32" s="22">
        <v>26108</v>
      </c>
      <c r="U32" s="20">
        <v>2900</v>
      </c>
      <c r="V32" s="20">
        <v>17839</v>
      </c>
      <c r="X32" s="19">
        <v>0.38479999999999998</v>
      </c>
      <c r="Y32" s="19">
        <v>0.43359999999999999</v>
      </c>
      <c r="AA32" s="23">
        <v>1536</v>
      </c>
    </row>
    <row r="33" spans="1:27" ht="15.75" customHeight="1" x14ac:dyDescent="0.2">
      <c r="A33" s="17" t="str">
        <f>HYPERLINK("https://www.caldwell.edu", "Caldwell University")</f>
        <v>Caldwell University</v>
      </c>
      <c r="B33" s="18" t="s">
        <v>32</v>
      </c>
      <c r="C33" s="18" t="s">
        <v>141</v>
      </c>
      <c r="D33" s="18" t="s">
        <v>487</v>
      </c>
      <c r="E33" s="18">
        <v>1035</v>
      </c>
      <c r="F33" s="18" t="s">
        <v>35</v>
      </c>
      <c r="J33" s="2"/>
      <c r="K33" s="19">
        <v>0.66010000000000002</v>
      </c>
      <c r="L33" s="19">
        <v>0.40223463700000001</v>
      </c>
      <c r="M33" s="19">
        <v>0.77049999999999996</v>
      </c>
      <c r="N33" s="19">
        <v>0.4103</v>
      </c>
      <c r="O33" s="19">
        <v>0.72729999999999995</v>
      </c>
      <c r="P33" s="19">
        <v>1</v>
      </c>
      <c r="Q33" s="20">
        <v>50150</v>
      </c>
      <c r="R33" s="21" t="str">
        <f>HYPERLINK("https://www.caldwell.edu/financial-aid/netprice", "$16843")</f>
        <v>$16843</v>
      </c>
      <c r="S33" s="22">
        <v>22229</v>
      </c>
      <c r="T33" s="22">
        <v>30026</v>
      </c>
      <c r="U33" s="20">
        <v>3900</v>
      </c>
      <c r="V33" s="20">
        <v>12943</v>
      </c>
      <c r="X33" s="19">
        <v>0.42699999999999999</v>
      </c>
      <c r="Y33" s="19">
        <v>0.64159999999999995</v>
      </c>
      <c r="AA33" s="23">
        <v>1596</v>
      </c>
    </row>
    <row r="34" spans="1:27" ht="15.75" customHeight="1" x14ac:dyDescent="0.2">
      <c r="A34" s="17" t="str">
        <f>HYPERLINK("https://www.csub.edu", "California State University-Bakersfield")</f>
        <v>California State University-Bakersfield</v>
      </c>
      <c r="B34" s="18" t="s">
        <v>49</v>
      </c>
      <c r="C34" s="18" t="s">
        <v>68</v>
      </c>
      <c r="D34" s="18" t="s">
        <v>669</v>
      </c>
      <c r="E34" s="18" t="s">
        <v>36</v>
      </c>
      <c r="F34" s="18" t="s">
        <v>90</v>
      </c>
      <c r="J34" s="2"/>
      <c r="K34" s="19">
        <v>0.40860000000000002</v>
      </c>
      <c r="L34" s="19">
        <v>0.35545851499999997</v>
      </c>
      <c r="M34" s="19">
        <v>0.45029999999999998</v>
      </c>
      <c r="N34" s="19">
        <v>0.26369999999999999</v>
      </c>
      <c r="O34" s="19">
        <v>0.41639999999999999</v>
      </c>
      <c r="P34" s="19">
        <v>0.51139999999999997</v>
      </c>
      <c r="Q34" s="20">
        <v>37846</v>
      </c>
      <c r="R34" s="21" t="str">
        <f>HYPERLINK("https://www2.calstate.edu/attend/paying-for-college/Pages/csu-costs.aspx", "$25578")</f>
        <v>$25578</v>
      </c>
      <c r="S34" s="22">
        <v>29037</v>
      </c>
      <c r="T34" s="22">
        <v>33844</v>
      </c>
      <c r="U34" s="20">
        <v>4851</v>
      </c>
      <c r="V34" s="20">
        <v>20727.453055141581</v>
      </c>
      <c r="X34" s="19">
        <v>0.61129999999999995</v>
      </c>
      <c r="Y34" s="19">
        <v>0.82189999999999996</v>
      </c>
      <c r="AA34" s="23">
        <v>8705</v>
      </c>
    </row>
    <row r="35" spans="1:27" ht="15.75" customHeight="1" x14ac:dyDescent="0.2">
      <c r="A35" s="17" t="str">
        <f>HYPERLINK("https://www.csudh.edu", "California State University-Dominguez Hills")</f>
        <v>California State University-Dominguez Hills</v>
      </c>
      <c r="B35" s="18" t="s">
        <v>49</v>
      </c>
      <c r="C35" s="18" t="s">
        <v>68</v>
      </c>
      <c r="D35" s="18" t="s">
        <v>670</v>
      </c>
      <c r="E35" s="18" t="s">
        <v>36</v>
      </c>
      <c r="F35" s="18" t="s">
        <v>90</v>
      </c>
      <c r="J35" s="2"/>
      <c r="K35" s="19">
        <v>0.42909999999999998</v>
      </c>
      <c r="L35" s="19">
        <v>0.43488943499999999</v>
      </c>
      <c r="M35" s="19">
        <v>0.45450000000000002</v>
      </c>
      <c r="N35" s="19">
        <v>0.39729999999999999</v>
      </c>
      <c r="O35" s="19">
        <v>0.43669999999999998</v>
      </c>
      <c r="P35" s="19">
        <v>0.47689999999999999</v>
      </c>
      <c r="Q35" s="20">
        <v>34271</v>
      </c>
      <c r="R35" s="21" t="str">
        <f>HYPERLINK("https://www2.calstate.edu/attend/paying-for-college/Pages/csu-costs.aspx", "$22538")</f>
        <v>$22538</v>
      </c>
      <c r="S35" s="22">
        <v>27481</v>
      </c>
      <c r="T35" s="22">
        <v>31277</v>
      </c>
      <c r="U35" s="20">
        <v>4150</v>
      </c>
      <c r="V35" s="20">
        <v>18388.65815602837</v>
      </c>
      <c r="X35" s="19">
        <v>0.61939999999999995</v>
      </c>
      <c r="Y35" s="19">
        <v>0.93710000000000004</v>
      </c>
      <c r="AA35" s="23">
        <v>13258</v>
      </c>
    </row>
    <row r="36" spans="1:27" ht="15.75" customHeight="1" x14ac:dyDescent="0.2">
      <c r="A36" s="17" t="str">
        <f>HYPERLINK("https://www.fresnostate.edu/", "California State University-Fresno")</f>
        <v>California State University-Fresno</v>
      </c>
      <c r="B36" s="18" t="s">
        <v>49</v>
      </c>
      <c r="C36" s="18" t="s">
        <v>68</v>
      </c>
      <c r="D36" s="18" t="s">
        <v>673</v>
      </c>
      <c r="E36" s="18">
        <v>1004</v>
      </c>
      <c r="F36" s="18" t="s">
        <v>35</v>
      </c>
      <c r="J36" s="2"/>
      <c r="K36" s="19">
        <v>0.55600000000000005</v>
      </c>
      <c r="L36" s="19">
        <v>0.53522665200000008</v>
      </c>
      <c r="M36" s="19">
        <v>0.65949999999999998</v>
      </c>
      <c r="N36" s="19">
        <v>0.50780000000000003</v>
      </c>
      <c r="O36" s="19">
        <v>0.52839999999999998</v>
      </c>
      <c r="P36" s="19">
        <v>0.46970000000000001</v>
      </c>
      <c r="Q36" s="20">
        <v>32311</v>
      </c>
      <c r="R36" s="21" t="str">
        <f>HYPERLINK("https://fresnostate.edu/studentaffairs/financialaid/netprice/index.html", "$20018")</f>
        <v>$20018</v>
      </c>
      <c r="S36" s="22">
        <v>24042</v>
      </c>
      <c r="T36" s="22">
        <v>29031</v>
      </c>
      <c r="U36" s="20">
        <v>4142</v>
      </c>
      <c r="V36" s="20">
        <v>15876.279857397511</v>
      </c>
      <c r="X36" s="19">
        <v>0.57399999999999995</v>
      </c>
      <c r="Y36" s="19">
        <v>0.81859999999999999</v>
      </c>
      <c r="AA36" s="23">
        <v>21877</v>
      </c>
    </row>
    <row r="37" spans="1:27" ht="15.75" customHeight="1" x14ac:dyDescent="0.2">
      <c r="A37" s="17" t="str">
        <f>HYPERLINK("https://www.csumb.edu", "California State University-Monterey Bay")</f>
        <v>California State University-Monterey Bay</v>
      </c>
      <c r="B37" s="18" t="s">
        <v>49</v>
      </c>
      <c r="C37" s="18" t="s">
        <v>68</v>
      </c>
      <c r="D37" s="18" t="s">
        <v>675</v>
      </c>
      <c r="E37" s="18">
        <v>1068</v>
      </c>
      <c r="F37" s="18" t="s">
        <v>35</v>
      </c>
      <c r="J37" s="2"/>
      <c r="K37" s="19">
        <v>0.60160000000000002</v>
      </c>
      <c r="L37" s="19">
        <v>0.458498024</v>
      </c>
      <c r="M37" s="19">
        <v>0.62260000000000004</v>
      </c>
      <c r="N37" s="19">
        <v>0.52700000000000002</v>
      </c>
      <c r="O37" s="19">
        <v>0.60060000000000002</v>
      </c>
      <c r="P37" s="19">
        <v>0.68569999999999998</v>
      </c>
      <c r="Q37" s="20">
        <v>35243</v>
      </c>
      <c r="R37" s="21" t="str">
        <f>HYPERLINK("https://www2.calstate.edu/attend/paying-for-college/Pages/csu-costs.aspx", "$22409")</f>
        <v>$22409</v>
      </c>
      <c r="S37" s="22">
        <v>27366</v>
      </c>
      <c r="T37" s="22">
        <v>31453</v>
      </c>
      <c r="U37" s="20">
        <v>3924</v>
      </c>
      <c r="V37" s="20">
        <v>18485.45454545454</v>
      </c>
      <c r="X37" s="19">
        <v>0.49390000000000001</v>
      </c>
      <c r="Y37" s="19">
        <v>0.74259999999999993</v>
      </c>
      <c r="AA37" s="23">
        <v>6557</v>
      </c>
    </row>
    <row r="38" spans="1:27" ht="15.75" customHeight="1" x14ac:dyDescent="0.2">
      <c r="A38" s="17" t="str">
        <f>HYPERLINK("https://www.csun.edu", "California State University-Northridge")</f>
        <v>California State University-Northridge</v>
      </c>
      <c r="B38" s="18" t="s">
        <v>49</v>
      </c>
      <c r="C38" s="18" t="s">
        <v>68</v>
      </c>
      <c r="D38" s="18" t="s">
        <v>676</v>
      </c>
      <c r="E38" s="18">
        <v>1014</v>
      </c>
      <c r="F38" s="18" t="s">
        <v>35</v>
      </c>
      <c r="J38" s="2"/>
      <c r="K38" s="19">
        <v>0.51270000000000004</v>
      </c>
      <c r="L38" s="19">
        <v>0.53406067099999999</v>
      </c>
      <c r="M38" s="19">
        <v>0.65190000000000003</v>
      </c>
      <c r="N38" s="19">
        <v>0.39450000000000002</v>
      </c>
      <c r="O38" s="19">
        <v>0.46700000000000003</v>
      </c>
      <c r="P38" s="19">
        <v>0.61629999999999996</v>
      </c>
      <c r="Q38" s="20">
        <v>34007</v>
      </c>
      <c r="R38" s="21" t="str">
        <f>HYPERLINK("https://www2.calstate.edu/attend/paying-for-college/Pages/csu-costs.aspx", "$21590")</f>
        <v>$21590</v>
      </c>
      <c r="S38" s="22">
        <v>26912</v>
      </c>
      <c r="T38" s="22">
        <v>31272</v>
      </c>
      <c r="U38" s="20">
        <v>4850</v>
      </c>
      <c r="V38" s="20">
        <v>16740.165296408479</v>
      </c>
      <c r="X38" s="19">
        <v>0.54279999999999995</v>
      </c>
      <c r="Y38" s="19">
        <v>0.78949999999999998</v>
      </c>
      <c r="AA38" s="23">
        <v>35620</v>
      </c>
    </row>
    <row r="39" spans="1:27" ht="15.75" customHeight="1" x14ac:dyDescent="0.2">
      <c r="A39" s="17" t="str">
        <f>HYPERLINK("https://www.cameron.edu", "Cameron University")</f>
        <v>Cameron University</v>
      </c>
      <c r="B39" s="18" t="s">
        <v>49</v>
      </c>
      <c r="C39" s="18" t="s">
        <v>290</v>
      </c>
      <c r="D39" s="18" t="s">
        <v>677</v>
      </c>
      <c r="E39" s="18" t="s">
        <v>36</v>
      </c>
      <c r="F39" s="18" t="s">
        <v>36</v>
      </c>
      <c r="J39" s="2"/>
      <c r="K39" s="19">
        <v>0.17949999999999999</v>
      </c>
      <c r="L39" s="19">
        <v>0.16666666699999999</v>
      </c>
      <c r="M39" s="19">
        <v>0.18</v>
      </c>
      <c r="N39" s="19">
        <v>0.11559999999999999</v>
      </c>
      <c r="O39" s="19">
        <v>0.21099999999999999</v>
      </c>
      <c r="P39" s="19">
        <v>0.3</v>
      </c>
      <c r="Q39" s="20">
        <v>25221</v>
      </c>
      <c r="R39" s="21" t="str">
        <f>HYPERLINK("https://www.cameron.edu/costcalculator", "$17347")</f>
        <v>$17347</v>
      </c>
      <c r="S39" s="22">
        <v>22036</v>
      </c>
      <c r="T39" s="22">
        <v>23477</v>
      </c>
      <c r="U39" s="20">
        <v>4259</v>
      </c>
      <c r="V39" s="20">
        <v>13088.59701492537</v>
      </c>
      <c r="X39" s="19">
        <v>0.44850000000000001</v>
      </c>
      <c r="Y39" s="19">
        <v>0.49509999999999998</v>
      </c>
      <c r="AA39" s="23">
        <v>3793</v>
      </c>
    </row>
    <row r="40" spans="1:27" ht="15.75" customHeight="1" x14ac:dyDescent="0.2">
      <c r="A40" s="17" t="str">
        <f>HYPERLINK("https://www.centenaryuniversity.edu", "Centenary College")</f>
        <v>Centenary College</v>
      </c>
      <c r="B40" s="18" t="s">
        <v>32</v>
      </c>
      <c r="C40" s="18" t="s">
        <v>141</v>
      </c>
      <c r="D40" s="18" t="s">
        <v>678</v>
      </c>
      <c r="E40" s="18">
        <v>1014</v>
      </c>
      <c r="F40" s="18" t="s">
        <v>35</v>
      </c>
      <c r="J40" s="2"/>
      <c r="K40" s="19">
        <v>0.60640000000000005</v>
      </c>
      <c r="L40" s="19">
        <v>0.537878788</v>
      </c>
      <c r="M40" s="19">
        <v>0.63639999999999997</v>
      </c>
      <c r="N40" s="19">
        <v>0.45</v>
      </c>
      <c r="O40" s="19">
        <v>0.7419</v>
      </c>
      <c r="P40" s="19">
        <v>0.5</v>
      </c>
      <c r="Q40" s="20">
        <v>48306</v>
      </c>
      <c r="R40" s="21" t="str">
        <f>HYPERLINK("https://npc.collegeboard.org/student/app/centenarycollege", "$12707")</f>
        <v>$12707</v>
      </c>
      <c r="S40" s="22">
        <v>19509</v>
      </c>
      <c r="T40" s="22">
        <v>26868</v>
      </c>
      <c r="U40" s="20">
        <v>4616</v>
      </c>
      <c r="V40" s="20">
        <v>8091</v>
      </c>
      <c r="X40" s="19">
        <v>0.33789999999999998</v>
      </c>
      <c r="Y40" s="19">
        <v>0.43149999999999999</v>
      </c>
      <c r="AA40" s="23">
        <v>1351</v>
      </c>
    </row>
    <row r="41" spans="1:27" ht="15.75" customHeight="1" x14ac:dyDescent="0.2">
      <c r="A41" s="17" t="str">
        <f>HYPERLINK("https://www.centralpenn.edu", "Central Penn College")</f>
        <v>Central Penn College</v>
      </c>
      <c r="B41" s="18" t="s">
        <v>368</v>
      </c>
      <c r="C41" s="18" t="s">
        <v>65</v>
      </c>
      <c r="D41" s="18" t="s">
        <v>680</v>
      </c>
      <c r="E41" s="18" t="s">
        <v>36</v>
      </c>
      <c r="F41" s="18" t="s">
        <v>35</v>
      </c>
      <c r="J41" s="2"/>
      <c r="K41" s="19">
        <v>0.44740000000000002</v>
      </c>
      <c r="L41" s="19">
        <v>0.18226601000000001</v>
      </c>
      <c r="M41" s="19">
        <v>0.53849999999999998</v>
      </c>
      <c r="N41" s="19">
        <v>0.41460000000000002</v>
      </c>
      <c r="O41" s="19">
        <v>0.33329999999999999</v>
      </c>
      <c r="P41" s="19" t="s">
        <v>36</v>
      </c>
      <c r="Q41" s="20">
        <v>27672</v>
      </c>
      <c r="R41" s="21" t="str">
        <f>HYPERLINK("https://www.centralpenn.edu/college-services/financial-aid/net-price-calculator/", "$16674")</f>
        <v>$16674</v>
      </c>
      <c r="S41" s="22">
        <v>20594</v>
      </c>
      <c r="T41" s="22">
        <v>22882</v>
      </c>
      <c r="U41" s="20">
        <v>2700</v>
      </c>
      <c r="V41" s="20">
        <v>13974</v>
      </c>
      <c r="X41" s="19">
        <v>0.55169999999999997</v>
      </c>
      <c r="Y41" s="19">
        <v>0.38640000000000002</v>
      </c>
      <c r="AA41" s="23">
        <v>1188</v>
      </c>
    </row>
    <row r="42" spans="1:27" ht="15.75" customHeight="1" x14ac:dyDescent="0.2">
      <c r="A42" s="17" t="str">
        <f>HYPERLINK("https://www.csc.edu", "Chadron State College")</f>
        <v>Chadron State College</v>
      </c>
      <c r="B42" s="18" t="s">
        <v>49</v>
      </c>
      <c r="C42" s="18" t="s">
        <v>341</v>
      </c>
      <c r="D42" s="18" t="s">
        <v>682</v>
      </c>
      <c r="E42" s="18" t="s">
        <v>36</v>
      </c>
      <c r="F42" s="18" t="s">
        <v>36</v>
      </c>
      <c r="J42" s="2"/>
      <c r="K42" s="19">
        <v>0.41839999999999999</v>
      </c>
      <c r="L42" s="19">
        <v>0.42916666700000011</v>
      </c>
      <c r="M42" s="19">
        <v>0.42309999999999998</v>
      </c>
      <c r="N42" s="19">
        <v>0.47060000000000002</v>
      </c>
      <c r="O42" s="19">
        <v>0.39129999999999998</v>
      </c>
      <c r="P42" s="19">
        <v>0</v>
      </c>
      <c r="Q42" s="20">
        <v>20698</v>
      </c>
      <c r="R42" s="21" t="str">
        <f>HYPERLINK("https://www.csc.edu/NetPrice/npcalc.htm", "$13083")</f>
        <v>$13083</v>
      </c>
      <c r="S42" s="22">
        <v>15064</v>
      </c>
      <c r="T42" s="22">
        <v>18352</v>
      </c>
      <c r="U42" s="20">
        <v>6474</v>
      </c>
      <c r="V42" s="20">
        <v>6609.1296296296296</v>
      </c>
      <c r="X42" s="19">
        <v>0.3518</v>
      </c>
      <c r="Y42" s="19">
        <v>0.2390000000000001</v>
      </c>
      <c r="AA42" s="23">
        <v>1916</v>
      </c>
    </row>
    <row r="43" spans="1:27" ht="15.75" customHeight="1" x14ac:dyDescent="0.2">
      <c r="A43" s="17" t="str">
        <f>HYPERLINK("https://www.chc.edu", "Chestnut Hill College")</f>
        <v>Chestnut Hill College</v>
      </c>
      <c r="B43" s="18" t="s">
        <v>32</v>
      </c>
      <c r="C43" s="18" t="s">
        <v>65</v>
      </c>
      <c r="D43" s="18" t="s">
        <v>168</v>
      </c>
      <c r="E43" s="18">
        <v>1060</v>
      </c>
      <c r="F43" s="18" t="s">
        <v>35</v>
      </c>
      <c r="J43" s="2"/>
      <c r="K43" s="19">
        <v>0.55000000000000004</v>
      </c>
      <c r="L43" s="19">
        <v>0.56896551699999998</v>
      </c>
      <c r="M43" s="19">
        <v>0.62360000000000004</v>
      </c>
      <c r="N43" s="19">
        <v>0.16669999999999999</v>
      </c>
      <c r="O43" s="19">
        <v>0.56520000000000004</v>
      </c>
      <c r="P43" s="19">
        <v>0.5</v>
      </c>
      <c r="Q43" s="20">
        <v>52256</v>
      </c>
      <c r="R43" s="21" t="str">
        <f>HYPERLINK("https://www.chc.edu/financial-services/undergraduate/net-payment-calculator-first-year-students", "$20533")</f>
        <v>$20533</v>
      </c>
      <c r="S43" s="22">
        <v>22251</v>
      </c>
      <c r="T43" s="22">
        <v>25808</v>
      </c>
      <c r="U43" s="20">
        <v>6476</v>
      </c>
      <c r="V43" s="20">
        <v>14057</v>
      </c>
      <c r="X43" s="19">
        <v>0.48039999999999999</v>
      </c>
      <c r="Y43" s="19">
        <v>0.60139999999999993</v>
      </c>
      <c r="AA43" s="23">
        <v>1317</v>
      </c>
    </row>
    <row r="44" spans="1:27" ht="15.75" customHeight="1" x14ac:dyDescent="0.2">
      <c r="A44" s="17" t="str">
        <f>HYPERLINK("https://www.cheyney.edu", "Cheyney University of Pennsylvania")</f>
        <v>Cheyney University of Pennsylvania</v>
      </c>
      <c r="B44" s="18" t="s">
        <v>49</v>
      </c>
      <c r="C44" s="18" t="s">
        <v>65</v>
      </c>
      <c r="D44" s="18" t="s">
        <v>684</v>
      </c>
      <c r="E44" s="18" t="s">
        <v>36</v>
      </c>
      <c r="F44" s="18" t="s">
        <v>36</v>
      </c>
      <c r="J44" s="2"/>
      <c r="K44" s="19">
        <v>0.25619999999999998</v>
      </c>
      <c r="L44" s="19">
        <v>0.162420382</v>
      </c>
      <c r="M44" s="19">
        <v>1</v>
      </c>
      <c r="N44" s="19">
        <v>0.23499999999999999</v>
      </c>
      <c r="O44" s="19">
        <v>0.66669999999999996</v>
      </c>
      <c r="P44" s="19" t="s">
        <v>36</v>
      </c>
      <c r="Q44" s="20">
        <v>33938</v>
      </c>
      <c r="R44" s="21" t="str">
        <f>HYPERLINK("https://www.passhe.edu/answers/Calculator/CH/npcalc-211608.htm", "$24567")</f>
        <v>$24567</v>
      </c>
      <c r="S44" s="22">
        <v>28580</v>
      </c>
      <c r="T44" s="22">
        <v>30196</v>
      </c>
      <c r="U44" s="20">
        <v>4786</v>
      </c>
      <c r="V44" s="20">
        <v>19781.84615384616</v>
      </c>
      <c r="X44" s="19">
        <v>0.73770000000000002</v>
      </c>
      <c r="Y44" s="19">
        <v>0.98060000000000003</v>
      </c>
      <c r="AA44" s="23">
        <v>722</v>
      </c>
    </row>
    <row r="45" spans="1:27" ht="15.75" customHeight="1" x14ac:dyDescent="0.2">
      <c r="A45" s="17" t="str">
        <f>HYPERLINK("https://www.msubillings.edu/citycollege/", "City College Montana State University Billings")</f>
        <v>City College Montana State University Billings</v>
      </c>
      <c r="B45" s="18" t="s">
        <v>49</v>
      </c>
      <c r="C45" s="18" t="s">
        <v>421</v>
      </c>
      <c r="D45" s="18" t="s">
        <v>685</v>
      </c>
      <c r="E45" s="18" t="s">
        <v>36</v>
      </c>
      <c r="F45" s="18" t="s">
        <v>36</v>
      </c>
      <c r="J45" s="2"/>
      <c r="K45" s="19" t="s">
        <v>36</v>
      </c>
      <c r="L45" s="19">
        <v>0.15279672599999999</v>
      </c>
      <c r="M45" s="19" t="s">
        <v>36</v>
      </c>
      <c r="N45" s="19" t="s">
        <v>36</v>
      </c>
      <c r="O45" s="19" t="s">
        <v>36</v>
      </c>
      <c r="P45" s="19" t="s">
        <v>36</v>
      </c>
      <c r="Q45" s="20" t="s">
        <v>36</v>
      </c>
      <c r="R45" s="35" t="s">
        <v>36</v>
      </c>
      <c r="S45" s="22" t="s">
        <v>36</v>
      </c>
      <c r="T45" s="22" t="s">
        <v>36</v>
      </c>
      <c r="U45" s="20" t="s">
        <v>36</v>
      </c>
      <c r="V45" s="20" t="s">
        <v>36</v>
      </c>
      <c r="X45" s="19" t="s">
        <v>36</v>
      </c>
      <c r="Y45" s="19" t="s">
        <v>36</v>
      </c>
      <c r="AA45" s="23" t="s">
        <v>36</v>
      </c>
    </row>
    <row r="46" spans="1:27" ht="15.75" customHeight="1" x14ac:dyDescent="0.2">
      <c r="A46" s="17" t="str">
        <f>HYPERLINK("https://www.clayton.edu", "Clayton  State University")</f>
        <v>Clayton  State University</v>
      </c>
      <c r="B46" s="18" t="s">
        <v>49</v>
      </c>
      <c r="C46" s="18" t="s">
        <v>107</v>
      </c>
      <c r="D46" s="18" t="s">
        <v>686</v>
      </c>
      <c r="E46" s="18" t="s">
        <v>36</v>
      </c>
      <c r="F46" s="18" t="s">
        <v>90</v>
      </c>
      <c r="J46" s="2"/>
      <c r="K46" s="19">
        <v>0.30180000000000001</v>
      </c>
      <c r="L46" s="19">
        <v>0.36137071700000001</v>
      </c>
      <c r="M46" s="19">
        <v>0.27779999999999999</v>
      </c>
      <c r="N46" s="19">
        <v>0.30580000000000002</v>
      </c>
      <c r="O46" s="19">
        <v>0.25</v>
      </c>
      <c r="P46" s="19">
        <v>0.46150000000000002</v>
      </c>
      <c r="Q46" s="20">
        <v>30092</v>
      </c>
      <c r="R46" s="21" t="str">
        <f>HYPERLINK("https://www.clayton.edu/Portals/20/netpricecalculator20122013/npcalc.htm", "$22824")</f>
        <v>$22824</v>
      </c>
      <c r="S46" s="22">
        <v>25865</v>
      </c>
      <c r="T46" s="22">
        <v>27972</v>
      </c>
      <c r="U46" s="20">
        <v>3722</v>
      </c>
      <c r="V46" s="20">
        <v>19102.72183098592</v>
      </c>
      <c r="X46" s="19">
        <v>0.52780000000000005</v>
      </c>
      <c r="Y46" s="19">
        <v>0.83820000000000006</v>
      </c>
      <c r="AA46" s="23">
        <v>5754</v>
      </c>
    </row>
    <row r="47" spans="1:27" ht="15.75" customHeight="1" x14ac:dyDescent="0.2">
      <c r="A47" s="17" t="str">
        <f>HYPERLINK("https://www.cse.edu", "College of Saint Elizabeth")</f>
        <v>College of Saint Elizabeth</v>
      </c>
      <c r="B47" s="18" t="s">
        <v>32</v>
      </c>
      <c r="C47" s="18" t="s">
        <v>141</v>
      </c>
      <c r="D47" s="18" t="s">
        <v>688</v>
      </c>
      <c r="E47" s="18">
        <v>885</v>
      </c>
      <c r="F47" s="18" t="s">
        <v>35</v>
      </c>
      <c r="J47" s="2"/>
      <c r="K47" s="19">
        <v>0.41010000000000002</v>
      </c>
      <c r="L47" s="19">
        <v>0.52941176499999998</v>
      </c>
      <c r="M47" s="19">
        <v>0.39579999999999999</v>
      </c>
      <c r="N47" s="19">
        <v>0.46589999999999998</v>
      </c>
      <c r="O47" s="19">
        <v>0.25929999999999997</v>
      </c>
      <c r="P47" s="19">
        <v>0.5</v>
      </c>
      <c r="Q47" s="20">
        <v>52074</v>
      </c>
      <c r="R47" s="21" t="str">
        <f>HYPERLINK("https://cse.studentaidcalculator.com/survey.aspx", "$14340")</f>
        <v>$14340</v>
      </c>
      <c r="S47" s="22">
        <v>26366</v>
      </c>
      <c r="T47" s="22">
        <v>30240</v>
      </c>
      <c r="U47" s="20">
        <v>6199</v>
      </c>
      <c r="V47" s="20">
        <v>8141</v>
      </c>
      <c r="X47" s="19">
        <v>0.49930000000000002</v>
      </c>
      <c r="Y47" s="19">
        <v>0.75170000000000003</v>
      </c>
      <c r="AA47" s="23">
        <v>749</v>
      </c>
    </row>
    <row r="48" spans="1:27" ht="15.75" customHeight="1" x14ac:dyDescent="0.2">
      <c r="A48" s="17" t="str">
        <f>HYPERLINK("https://www.csj.edu", "College of St Joseph")</f>
        <v>College of St Joseph</v>
      </c>
      <c r="B48" s="18" t="s">
        <v>32</v>
      </c>
      <c r="C48" s="18" t="s">
        <v>47</v>
      </c>
      <c r="D48" s="18" t="s">
        <v>692</v>
      </c>
      <c r="E48" s="18">
        <v>1003</v>
      </c>
      <c r="F48" s="18" t="s">
        <v>115</v>
      </c>
      <c r="J48" s="2"/>
      <c r="K48" s="19">
        <v>0.31709999999999999</v>
      </c>
      <c r="L48" s="19">
        <v>0.26190476200000001</v>
      </c>
      <c r="M48" s="19">
        <v>0.26669999999999999</v>
      </c>
      <c r="N48" s="19">
        <v>0.5</v>
      </c>
      <c r="O48" s="19">
        <v>0</v>
      </c>
      <c r="P48" s="19" t="s">
        <v>36</v>
      </c>
      <c r="Q48" s="20">
        <v>39200</v>
      </c>
      <c r="R48" s="21" t="str">
        <f>HYPERLINK("https://www.csj.edu/admissions/tuition-and-costs/cost-calculator/", "$17429")</f>
        <v>$17429</v>
      </c>
      <c r="S48" s="22">
        <v>19698</v>
      </c>
      <c r="T48" s="22">
        <v>18395</v>
      </c>
      <c r="U48" s="20">
        <v>3300</v>
      </c>
      <c r="V48" s="20">
        <v>14129</v>
      </c>
      <c r="X48" s="19">
        <v>0.63480000000000003</v>
      </c>
      <c r="Y48" s="19">
        <v>0.47270000000000001</v>
      </c>
      <c r="AA48" s="23">
        <v>220</v>
      </c>
    </row>
    <row r="49" spans="1:27" ht="15.75" customHeight="1" x14ac:dyDescent="0.2">
      <c r="A49" s="17" t="str">
        <f>HYPERLINK("https://www.csi.cuny.edu", "CUNY College of Staten Island")</f>
        <v>CUNY College of Staten Island</v>
      </c>
      <c r="B49" s="18" t="s">
        <v>49</v>
      </c>
      <c r="C49" s="18" t="s">
        <v>38</v>
      </c>
      <c r="D49" s="18" t="s">
        <v>533</v>
      </c>
      <c r="E49" s="18" t="s">
        <v>36</v>
      </c>
      <c r="F49" s="18" t="s">
        <v>36</v>
      </c>
      <c r="G49" s="18" t="s">
        <v>655</v>
      </c>
      <c r="H49" s="18" t="s">
        <v>695</v>
      </c>
      <c r="I49" s="18" t="s">
        <v>696</v>
      </c>
      <c r="J49" s="2" t="s">
        <v>697</v>
      </c>
      <c r="K49" s="19">
        <v>0.30180000000000001</v>
      </c>
      <c r="L49" s="19">
        <v>0.23773364499999999</v>
      </c>
      <c r="M49" s="19">
        <v>0.34660000000000002</v>
      </c>
      <c r="N49" s="19">
        <v>0.1852</v>
      </c>
      <c r="O49" s="19">
        <v>0.23719999999999999</v>
      </c>
      <c r="P49" s="19">
        <v>0.29909999999999998</v>
      </c>
      <c r="Q49" s="20">
        <v>12562</v>
      </c>
      <c r="R49" s="21" t="str">
        <f>HYPERLINK("https://portal0.uapc.cuny.edu/uapc/public/fin_aid/financial_aid_estimator/FinAidEstimator.jsp", "$4219")</f>
        <v>$4219</v>
      </c>
      <c r="S49" s="22">
        <v>9527</v>
      </c>
      <c r="T49" s="22">
        <v>13036</v>
      </c>
      <c r="U49" s="20">
        <v>5472</v>
      </c>
      <c r="V49" s="20">
        <v>-1253</v>
      </c>
      <c r="X49" s="19">
        <v>0.4577</v>
      </c>
      <c r="Y49" s="19">
        <v>0.57540000000000002</v>
      </c>
      <c r="AA49" s="23">
        <v>12118</v>
      </c>
    </row>
    <row r="50" spans="1:27" ht="15.75" customHeight="1" x14ac:dyDescent="0.2">
      <c r="A50" s="17" t="str">
        <f>HYPERLINK("https://www.coloradotech.edu/Colorado-Springs", "Colorado Technical University-Colorado Springs")</f>
        <v>Colorado Technical University-Colorado Springs</v>
      </c>
      <c r="B50" s="18" t="s">
        <v>368</v>
      </c>
      <c r="C50" s="18" t="s">
        <v>87</v>
      </c>
      <c r="D50" s="18" t="s">
        <v>88</v>
      </c>
      <c r="E50" s="18" t="s">
        <v>36</v>
      </c>
      <c r="F50" s="18" t="s">
        <v>36</v>
      </c>
      <c r="J50" s="2"/>
      <c r="K50" s="19">
        <v>0.25530000000000003</v>
      </c>
      <c r="L50" s="19">
        <v>0.21737795500000001</v>
      </c>
      <c r="M50" s="19">
        <v>0.28720000000000001</v>
      </c>
      <c r="N50" s="19">
        <v>0.21</v>
      </c>
      <c r="O50" s="19">
        <v>0.28910000000000002</v>
      </c>
      <c r="P50" s="19">
        <v>0.55000000000000004</v>
      </c>
      <c r="Q50" s="20">
        <v>21855</v>
      </c>
      <c r="R50" s="21" t="str">
        <f>HYPERLINK("https://coloradotech.studentaidcalculator.com", "$18298")</f>
        <v>$18298</v>
      </c>
      <c r="S50" s="22">
        <v>19941</v>
      </c>
      <c r="T50" s="22">
        <v>22228</v>
      </c>
      <c r="U50" s="20">
        <v>2925</v>
      </c>
      <c r="V50" s="20">
        <v>15373</v>
      </c>
      <c r="X50" s="19">
        <v>0.60399999999999998</v>
      </c>
      <c r="Y50" s="19">
        <v>0.61880000000000002</v>
      </c>
      <c r="AA50" s="23">
        <v>22129</v>
      </c>
    </row>
    <row r="51" spans="1:27" ht="15.75" customHeight="1" x14ac:dyDescent="0.2">
      <c r="A51" s="17" t="str">
        <f>HYPERLINK("https://www.coloradotech.edu/Denver", "Colorado Technical University-Greenwood Village")</f>
        <v>Colorado Technical University-Greenwood Village</v>
      </c>
      <c r="B51" s="18" t="s">
        <v>368</v>
      </c>
      <c r="C51" s="18" t="s">
        <v>87</v>
      </c>
      <c r="D51" s="18" t="s">
        <v>537</v>
      </c>
      <c r="E51" s="18" t="s">
        <v>36</v>
      </c>
      <c r="F51" s="18" t="s">
        <v>36</v>
      </c>
      <c r="J51" s="2"/>
      <c r="K51" s="19" t="s">
        <v>36</v>
      </c>
      <c r="L51" s="19" t="s">
        <v>36</v>
      </c>
      <c r="M51" s="19" t="s">
        <v>36</v>
      </c>
      <c r="N51" s="19" t="s">
        <v>36</v>
      </c>
      <c r="O51" s="19" t="s">
        <v>36</v>
      </c>
      <c r="P51" s="19" t="s">
        <v>36</v>
      </c>
      <c r="Q51" s="20" t="s">
        <v>36</v>
      </c>
      <c r="R51" s="35" t="s">
        <v>36</v>
      </c>
      <c r="S51" s="22" t="s">
        <v>36</v>
      </c>
      <c r="T51" s="22" t="s">
        <v>36</v>
      </c>
      <c r="U51" s="20" t="s">
        <v>36</v>
      </c>
      <c r="V51" s="20" t="s">
        <v>36</v>
      </c>
      <c r="X51" s="19" t="s">
        <v>36</v>
      </c>
      <c r="Y51" s="19" t="s">
        <v>36</v>
      </c>
      <c r="AA51" s="23" t="s">
        <v>36</v>
      </c>
    </row>
    <row r="52" spans="1:27" ht="15.75" customHeight="1" x14ac:dyDescent="0.2">
      <c r="A52" s="17" t="str">
        <f>HYPERLINK("https://www.colum.edu", "Columbia College-Chicago")</f>
        <v>Columbia College-Chicago</v>
      </c>
      <c r="B52" s="18" t="s">
        <v>32</v>
      </c>
      <c r="C52" s="18" t="s">
        <v>137</v>
      </c>
      <c r="D52" s="18" t="s">
        <v>161</v>
      </c>
      <c r="E52" s="18" t="s">
        <v>36</v>
      </c>
      <c r="F52" s="18" t="s">
        <v>90</v>
      </c>
      <c r="J52" s="2"/>
      <c r="K52" s="19">
        <v>0.43969999999999998</v>
      </c>
      <c r="L52" s="19">
        <v>0.39105613700000003</v>
      </c>
      <c r="M52" s="19">
        <v>0.50560000000000005</v>
      </c>
      <c r="N52" s="19">
        <v>0.27229999999999999</v>
      </c>
      <c r="O52" s="19">
        <v>0.43490000000000001</v>
      </c>
      <c r="P52" s="19">
        <v>0.55259999999999998</v>
      </c>
      <c r="Q52" s="20">
        <v>43707</v>
      </c>
      <c r="R52" s="21" t="str">
        <f>HYPERLINK("https://colum.studentaidcalculator.com/survey.aspx", "$28910")</f>
        <v>$28910</v>
      </c>
      <c r="S52" s="22">
        <v>31319</v>
      </c>
      <c r="T52" s="22">
        <v>33988</v>
      </c>
      <c r="U52" s="20">
        <v>3603</v>
      </c>
      <c r="V52" s="20">
        <v>25307</v>
      </c>
      <c r="X52" s="19">
        <v>0.35370000000000001</v>
      </c>
      <c r="Y52" s="19">
        <v>0.45240000000000002</v>
      </c>
      <c r="AA52" s="23">
        <v>6934</v>
      </c>
    </row>
    <row r="53" spans="1:27" ht="15.75" customHeight="1" x14ac:dyDescent="0.2">
      <c r="A53" s="17" t="str">
        <f>HYPERLINK("https://www.concord.edu", "Concord University")</f>
        <v>Concord University</v>
      </c>
      <c r="B53" s="18" t="s">
        <v>49</v>
      </c>
      <c r="C53" s="18" t="s">
        <v>574</v>
      </c>
      <c r="D53" s="18" t="s">
        <v>278</v>
      </c>
      <c r="E53" s="18">
        <v>1038</v>
      </c>
      <c r="F53" s="18" t="s">
        <v>35</v>
      </c>
      <c r="J53" s="2"/>
      <c r="K53" s="19">
        <v>0.34599999999999997</v>
      </c>
      <c r="L53" s="19">
        <v>0.32247556999999999</v>
      </c>
      <c r="M53" s="19">
        <v>0.35799999999999998</v>
      </c>
      <c r="N53" s="19">
        <v>0.22919999999999999</v>
      </c>
      <c r="O53" s="19">
        <v>0.16669999999999999</v>
      </c>
      <c r="P53" s="19">
        <v>0.66669999999999996</v>
      </c>
      <c r="Q53" s="20">
        <v>29498</v>
      </c>
      <c r="R53" s="21" t="str">
        <f>HYPERLINK("https://concord.studentaidcalculator.com/survey.aspx", "$20841")</f>
        <v>$20841</v>
      </c>
      <c r="S53" s="22">
        <v>23373</v>
      </c>
      <c r="T53" s="22">
        <v>27552</v>
      </c>
      <c r="U53" s="20">
        <v>4044</v>
      </c>
      <c r="V53" s="20">
        <v>16797.93548387097</v>
      </c>
      <c r="X53" s="19">
        <v>0.48670000000000002</v>
      </c>
      <c r="Y53" s="19">
        <v>0.17050000000000001</v>
      </c>
      <c r="AA53" s="23">
        <v>1830</v>
      </c>
    </row>
    <row r="54" spans="1:27" ht="15.75" customHeight="1" x14ac:dyDescent="0.2">
      <c r="A54" s="17" t="str">
        <f>HYPERLINK("https://www.davenport.edu", "Davenport University")</f>
        <v>Davenport University</v>
      </c>
      <c r="B54" s="18" t="s">
        <v>32</v>
      </c>
      <c r="C54" s="18" t="s">
        <v>226</v>
      </c>
      <c r="D54" s="18" t="s">
        <v>321</v>
      </c>
      <c r="E54" s="18" t="s">
        <v>36</v>
      </c>
      <c r="F54" s="18" t="s">
        <v>90</v>
      </c>
      <c r="J54" s="2"/>
      <c r="K54" s="19">
        <v>0.44369999999999998</v>
      </c>
      <c r="L54" s="19">
        <v>0.17059748399999999</v>
      </c>
      <c r="M54" s="19">
        <v>0.49830000000000002</v>
      </c>
      <c r="N54" s="19">
        <v>0.13639999999999999</v>
      </c>
      <c r="O54" s="19">
        <v>0.5</v>
      </c>
      <c r="P54" s="19">
        <v>0.42859999999999998</v>
      </c>
      <c r="Q54" s="20">
        <v>30682</v>
      </c>
      <c r="R54" s="21" t="str">
        <f>HYPERLINK("https://davenport.studentaidcalculator.com/survey.aspx", "$16837")</f>
        <v>$16837</v>
      </c>
      <c r="S54" s="22">
        <v>22142</v>
      </c>
      <c r="T54" s="22">
        <v>22036</v>
      </c>
      <c r="U54" s="20">
        <v>3222</v>
      </c>
      <c r="V54" s="20">
        <v>13615</v>
      </c>
      <c r="X54" s="19">
        <v>0.40329999999999999</v>
      </c>
      <c r="Y54" s="19">
        <v>0.30830000000000002</v>
      </c>
      <c r="AA54" s="23">
        <v>5030</v>
      </c>
    </row>
    <row r="55" spans="1:27" ht="15.75" customHeight="1" x14ac:dyDescent="0.2">
      <c r="A55" s="17" t="str">
        <f>HYPERLINK("Not reported", "Davenport University - Treasury Site Dimondale")</f>
        <v>Davenport University - Treasury Site Dimondale</v>
      </c>
      <c r="B55" s="18" t="s">
        <v>32</v>
      </c>
      <c r="C55" s="18" t="s">
        <v>226</v>
      </c>
      <c r="D55" s="18" t="s">
        <v>703</v>
      </c>
      <c r="E55" s="18" t="s">
        <v>36</v>
      </c>
      <c r="F55" s="18" t="s">
        <v>36</v>
      </c>
      <c r="J55" s="2"/>
      <c r="K55" s="19" t="s">
        <v>36</v>
      </c>
      <c r="L55" s="19">
        <v>0.17059748399999999</v>
      </c>
      <c r="M55" s="19" t="s">
        <v>36</v>
      </c>
      <c r="N55" s="19" t="s">
        <v>36</v>
      </c>
      <c r="O55" s="19" t="s">
        <v>36</v>
      </c>
      <c r="P55" s="19" t="s">
        <v>36</v>
      </c>
      <c r="Q55" s="20" t="s">
        <v>36</v>
      </c>
      <c r="R55" s="35" t="s">
        <v>36</v>
      </c>
      <c r="S55" s="22" t="s">
        <v>36</v>
      </c>
      <c r="T55" s="22" t="s">
        <v>36</v>
      </c>
      <c r="U55" s="20" t="s">
        <v>36</v>
      </c>
      <c r="V55" s="20" t="s">
        <v>36</v>
      </c>
      <c r="X55" s="19" t="s">
        <v>36</v>
      </c>
      <c r="Y55" s="19" t="s">
        <v>36</v>
      </c>
      <c r="AA55" s="23" t="s">
        <v>36</v>
      </c>
    </row>
    <row r="56" spans="1:27" ht="15.75" customHeight="1" x14ac:dyDescent="0.2">
      <c r="A56" s="17" t="str">
        <f>HYPERLINK("https://www.davenport.edu", "Davenport University-Flint Location")</f>
        <v>Davenport University-Flint Location</v>
      </c>
      <c r="B56" s="18" t="s">
        <v>32</v>
      </c>
      <c r="C56" s="18" t="s">
        <v>226</v>
      </c>
      <c r="D56" s="18" t="s">
        <v>704</v>
      </c>
      <c r="E56" s="18" t="s">
        <v>36</v>
      </c>
      <c r="F56" s="18" t="s">
        <v>36</v>
      </c>
      <c r="J56" s="2"/>
      <c r="K56" s="19" t="s">
        <v>36</v>
      </c>
      <c r="L56" s="19">
        <v>0.17059748399999999</v>
      </c>
      <c r="M56" s="19" t="s">
        <v>36</v>
      </c>
      <c r="N56" s="19" t="s">
        <v>36</v>
      </c>
      <c r="O56" s="19" t="s">
        <v>36</v>
      </c>
      <c r="P56" s="19" t="s">
        <v>36</v>
      </c>
      <c r="Q56" s="20" t="s">
        <v>36</v>
      </c>
      <c r="R56" s="35" t="s">
        <v>36</v>
      </c>
      <c r="S56" s="22" t="s">
        <v>36</v>
      </c>
      <c r="T56" s="22" t="s">
        <v>36</v>
      </c>
      <c r="U56" s="20" t="s">
        <v>36</v>
      </c>
      <c r="V56" s="20" t="s">
        <v>36</v>
      </c>
      <c r="X56" s="19" t="s">
        <v>36</v>
      </c>
      <c r="Y56" s="19" t="s">
        <v>36</v>
      </c>
      <c r="AA56" s="23" t="s">
        <v>36</v>
      </c>
    </row>
    <row r="57" spans="1:27" ht="15.75" customHeight="1" x14ac:dyDescent="0.2">
      <c r="A57" s="17" t="str">
        <f>HYPERLINK("https://davenport.edu", "Davenport University-Grand Rapids Downtown")</f>
        <v>Davenport University-Grand Rapids Downtown</v>
      </c>
      <c r="B57" s="18" t="s">
        <v>32</v>
      </c>
      <c r="C57" s="18" t="s">
        <v>226</v>
      </c>
      <c r="D57" s="18" t="s">
        <v>321</v>
      </c>
      <c r="E57" s="18" t="s">
        <v>36</v>
      </c>
      <c r="F57" s="18" t="s">
        <v>36</v>
      </c>
      <c r="J57" s="2"/>
      <c r="K57" s="19" t="s">
        <v>36</v>
      </c>
      <c r="L57" s="19">
        <v>0.17059748399999999</v>
      </c>
      <c r="M57" s="19" t="s">
        <v>36</v>
      </c>
      <c r="N57" s="19" t="s">
        <v>36</v>
      </c>
      <c r="O57" s="19" t="s">
        <v>36</v>
      </c>
      <c r="P57" s="19" t="s">
        <v>36</v>
      </c>
      <c r="Q57" s="20" t="s">
        <v>36</v>
      </c>
      <c r="R57" s="35" t="s">
        <v>36</v>
      </c>
      <c r="S57" s="22" t="s">
        <v>36</v>
      </c>
      <c r="T57" s="22" t="s">
        <v>36</v>
      </c>
      <c r="U57" s="20" t="s">
        <v>36</v>
      </c>
      <c r="V57" s="20" t="s">
        <v>36</v>
      </c>
      <c r="X57" s="19" t="s">
        <v>36</v>
      </c>
      <c r="Y57" s="19" t="s">
        <v>36</v>
      </c>
      <c r="AA57" s="23" t="s">
        <v>36</v>
      </c>
    </row>
    <row r="58" spans="1:27" ht="15.75" customHeight="1" x14ac:dyDescent="0.2">
      <c r="A58" s="17" t="str">
        <f>HYPERLINK("https://www.davenport.edu", "Davenport University-Holland Location")</f>
        <v>Davenport University-Holland Location</v>
      </c>
      <c r="B58" s="18" t="s">
        <v>32</v>
      </c>
      <c r="C58" s="18" t="s">
        <v>226</v>
      </c>
      <c r="D58" s="18" t="s">
        <v>380</v>
      </c>
      <c r="E58" s="18" t="s">
        <v>36</v>
      </c>
      <c r="F58" s="18" t="s">
        <v>36</v>
      </c>
      <c r="J58" s="2"/>
      <c r="K58" s="19" t="s">
        <v>36</v>
      </c>
      <c r="L58" s="19">
        <v>0.17059748399999999</v>
      </c>
      <c r="M58" s="19" t="s">
        <v>36</v>
      </c>
      <c r="N58" s="19" t="s">
        <v>36</v>
      </c>
      <c r="O58" s="19" t="s">
        <v>36</v>
      </c>
      <c r="P58" s="19" t="s">
        <v>36</v>
      </c>
      <c r="Q58" s="20" t="s">
        <v>36</v>
      </c>
      <c r="R58" s="35" t="s">
        <v>36</v>
      </c>
      <c r="S58" s="22" t="s">
        <v>36</v>
      </c>
      <c r="T58" s="22" t="s">
        <v>36</v>
      </c>
      <c r="U58" s="20" t="s">
        <v>36</v>
      </c>
      <c r="V58" s="20" t="s">
        <v>36</v>
      </c>
      <c r="X58" s="19" t="s">
        <v>36</v>
      </c>
      <c r="Y58" s="19" t="s">
        <v>36</v>
      </c>
      <c r="AA58" s="23" t="s">
        <v>36</v>
      </c>
    </row>
    <row r="59" spans="1:27" ht="15.75" customHeight="1" x14ac:dyDescent="0.2">
      <c r="A59" s="17" t="str">
        <f>HYPERLINK("https://www.davenport.edu", "Davenport University-Kalamazoo Location")</f>
        <v>Davenport University-Kalamazoo Location</v>
      </c>
      <c r="B59" s="18" t="s">
        <v>32</v>
      </c>
      <c r="C59" s="18" t="s">
        <v>226</v>
      </c>
      <c r="D59" s="18" t="s">
        <v>227</v>
      </c>
      <c r="E59" s="18" t="s">
        <v>36</v>
      </c>
      <c r="F59" s="18" t="s">
        <v>36</v>
      </c>
      <c r="J59" s="2"/>
      <c r="K59" s="19" t="s">
        <v>36</v>
      </c>
      <c r="L59" s="19">
        <v>0.17059748399999999</v>
      </c>
      <c r="M59" s="19" t="s">
        <v>36</v>
      </c>
      <c r="N59" s="19" t="s">
        <v>36</v>
      </c>
      <c r="O59" s="19" t="s">
        <v>36</v>
      </c>
      <c r="P59" s="19" t="s">
        <v>36</v>
      </c>
      <c r="Q59" s="20" t="s">
        <v>36</v>
      </c>
      <c r="R59" s="35" t="s">
        <v>36</v>
      </c>
      <c r="S59" s="22" t="s">
        <v>36</v>
      </c>
      <c r="T59" s="22" t="s">
        <v>36</v>
      </c>
      <c r="U59" s="20" t="s">
        <v>36</v>
      </c>
      <c r="V59" s="20" t="s">
        <v>36</v>
      </c>
      <c r="X59" s="19" t="s">
        <v>36</v>
      </c>
      <c r="Y59" s="19" t="s">
        <v>36</v>
      </c>
      <c r="AA59" s="23" t="s">
        <v>36</v>
      </c>
    </row>
    <row r="60" spans="1:27" ht="15.75" customHeight="1" x14ac:dyDescent="0.2">
      <c r="A60" s="17" t="str">
        <f>HYPERLINK("https://www.davenport.edu", "Davenport University-Lansing Location")</f>
        <v>Davenport University-Lansing Location</v>
      </c>
      <c r="B60" s="18" t="s">
        <v>32</v>
      </c>
      <c r="C60" s="18" t="s">
        <v>226</v>
      </c>
      <c r="D60" s="18" t="s">
        <v>708</v>
      </c>
      <c r="E60" s="18" t="s">
        <v>36</v>
      </c>
      <c r="F60" s="18" t="s">
        <v>36</v>
      </c>
      <c r="J60" s="2"/>
      <c r="K60" s="19" t="s">
        <v>36</v>
      </c>
      <c r="L60" s="19">
        <v>0.17059748399999999</v>
      </c>
      <c r="M60" s="19" t="s">
        <v>36</v>
      </c>
      <c r="N60" s="19" t="s">
        <v>36</v>
      </c>
      <c r="O60" s="19" t="s">
        <v>36</v>
      </c>
      <c r="P60" s="19" t="s">
        <v>36</v>
      </c>
      <c r="Q60" s="20" t="s">
        <v>36</v>
      </c>
      <c r="R60" s="35" t="s">
        <v>36</v>
      </c>
      <c r="S60" s="22" t="s">
        <v>36</v>
      </c>
      <c r="T60" s="22" t="s">
        <v>36</v>
      </c>
      <c r="U60" s="20" t="s">
        <v>36</v>
      </c>
      <c r="V60" s="20" t="s">
        <v>36</v>
      </c>
      <c r="X60" s="19" t="s">
        <v>36</v>
      </c>
      <c r="Y60" s="19" t="s">
        <v>36</v>
      </c>
      <c r="AA60" s="23" t="s">
        <v>36</v>
      </c>
    </row>
    <row r="61" spans="1:27" ht="15.75" customHeight="1" x14ac:dyDescent="0.2">
      <c r="A61" s="17" t="str">
        <f>HYPERLINK("https://www.davenport.edu", "Davenport University-Livonia Location")</f>
        <v>Davenport University-Livonia Location</v>
      </c>
      <c r="B61" s="18" t="s">
        <v>32</v>
      </c>
      <c r="C61" s="18" t="s">
        <v>226</v>
      </c>
      <c r="D61" s="18" t="s">
        <v>401</v>
      </c>
      <c r="E61" s="18" t="s">
        <v>36</v>
      </c>
      <c r="F61" s="18" t="s">
        <v>36</v>
      </c>
      <c r="J61" s="2"/>
      <c r="K61" s="19" t="s">
        <v>36</v>
      </c>
      <c r="L61" s="19">
        <v>0.17059748399999999</v>
      </c>
      <c r="M61" s="19" t="s">
        <v>36</v>
      </c>
      <c r="N61" s="19" t="s">
        <v>36</v>
      </c>
      <c r="O61" s="19" t="s">
        <v>36</v>
      </c>
      <c r="P61" s="19" t="s">
        <v>36</v>
      </c>
      <c r="Q61" s="20" t="s">
        <v>36</v>
      </c>
      <c r="R61" s="35" t="s">
        <v>36</v>
      </c>
      <c r="S61" s="22" t="s">
        <v>36</v>
      </c>
      <c r="T61" s="22" t="s">
        <v>36</v>
      </c>
      <c r="U61" s="20" t="s">
        <v>36</v>
      </c>
      <c r="V61" s="20" t="s">
        <v>36</v>
      </c>
      <c r="X61" s="19" t="s">
        <v>36</v>
      </c>
      <c r="Y61" s="19" t="s">
        <v>36</v>
      </c>
      <c r="AA61" s="23" t="s">
        <v>36</v>
      </c>
    </row>
    <row r="62" spans="1:27" ht="15.75" customHeight="1" x14ac:dyDescent="0.2">
      <c r="A62" s="17" t="str">
        <f>HYPERLINK("https://www.davenport.edu", "Davenport University-Midland Location")</f>
        <v>Davenport University-Midland Location</v>
      </c>
      <c r="B62" s="18" t="s">
        <v>32</v>
      </c>
      <c r="C62" s="18" t="s">
        <v>226</v>
      </c>
      <c r="D62" s="18" t="s">
        <v>710</v>
      </c>
      <c r="E62" s="18" t="s">
        <v>36</v>
      </c>
      <c r="F62" s="18" t="s">
        <v>36</v>
      </c>
      <c r="J62" s="2"/>
      <c r="K62" s="19" t="s">
        <v>36</v>
      </c>
      <c r="L62" s="19">
        <v>0.17059748399999999</v>
      </c>
      <c r="M62" s="19" t="s">
        <v>36</v>
      </c>
      <c r="N62" s="19" t="s">
        <v>36</v>
      </c>
      <c r="O62" s="19" t="s">
        <v>36</v>
      </c>
      <c r="P62" s="19" t="s">
        <v>36</v>
      </c>
      <c r="Q62" s="20" t="s">
        <v>36</v>
      </c>
      <c r="R62" s="35" t="s">
        <v>36</v>
      </c>
      <c r="S62" s="22" t="s">
        <v>36</v>
      </c>
      <c r="T62" s="22" t="s">
        <v>36</v>
      </c>
      <c r="U62" s="20" t="s">
        <v>36</v>
      </c>
      <c r="V62" s="20" t="s">
        <v>36</v>
      </c>
      <c r="X62" s="19" t="s">
        <v>36</v>
      </c>
      <c r="Y62" s="19" t="s">
        <v>36</v>
      </c>
      <c r="AA62" s="23" t="s">
        <v>36</v>
      </c>
    </row>
    <row r="63" spans="1:27" ht="15.75" customHeight="1" x14ac:dyDescent="0.2">
      <c r="A63" s="17" t="str">
        <f>HYPERLINK("https://www.davenport.edu", "Davenport University-Traverse City Location")</f>
        <v>Davenport University-Traverse City Location</v>
      </c>
      <c r="B63" s="18" t="s">
        <v>32</v>
      </c>
      <c r="C63" s="18" t="s">
        <v>226</v>
      </c>
      <c r="D63" s="18" t="s">
        <v>711</v>
      </c>
      <c r="E63" s="18" t="s">
        <v>36</v>
      </c>
      <c r="F63" s="18" t="s">
        <v>36</v>
      </c>
      <c r="J63" s="2"/>
      <c r="K63" s="19" t="s">
        <v>36</v>
      </c>
      <c r="L63" s="19">
        <v>0.17059748399999999</v>
      </c>
      <c r="M63" s="19" t="s">
        <v>36</v>
      </c>
      <c r="N63" s="19" t="s">
        <v>36</v>
      </c>
      <c r="O63" s="19" t="s">
        <v>36</v>
      </c>
      <c r="P63" s="19" t="s">
        <v>36</v>
      </c>
      <c r="Q63" s="20" t="s">
        <v>36</v>
      </c>
      <c r="R63" s="35" t="s">
        <v>36</v>
      </c>
      <c r="S63" s="22" t="s">
        <v>36</v>
      </c>
      <c r="T63" s="22" t="s">
        <v>36</v>
      </c>
      <c r="U63" s="20" t="s">
        <v>36</v>
      </c>
      <c r="V63" s="20" t="s">
        <v>36</v>
      </c>
      <c r="X63" s="19" t="s">
        <v>36</v>
      </c>
      <c r="Y63" s="19" t="s">
        <v>36</v>
      </c>
      <c r="AA63" s="23" t="s">
        <v>36</v>
      </c>
    </row>
    <row r="64" spans="1:27" ht="15.75" customHeight="1" x14ac:dyDescent="0.2">
      <c r="A64" s="17" t="str">
        <f>HYPERLINK("https://www.davenport.edu", "Davenport University-Warren Location")</f>
        <v>Davenport University-Warren Location</v>
      </c>
      <c r="B64" s="18" t="s">
        <v>32</v>
      </c>
      <c r="C64" s="18" t="s">
        <v>226</v>
      </c>
      <c r="D64" s="18" t="s">
        <v>713</v>
      </c>
      <c r="E64" s="18" t="s">
        <v>36</v>
      </c>
      <c r="F64" s="18" t="s">
        <v>36</v>
      </c>
      <c r="J64" s="2"/>
      <c r="K64" s="19" t="s">
        <v>36</v>
      </c>
      <c r="L64" s="19">
        <v>0.17059748399999999</v>
      </c>
      <c r="M64" s="19" t="s">
        <v>36</v>
      </c>
      <c r="N64" s="19" t="s">
        <v>36</v>
      </c>
      <c r="O64" s="19" t="s">
        <v>36</v>
      </c>
      <c r="P64" s="19" t="s">
        <v>36</v>
      </c>
      <c r="Q64" s="20" t="s">
        <v>36</v>
      </c>
      <c r="R64" s="35" t="s">
        <v>36</v>
      </c>
      <c r="S64" s="22" t="s">
        <v>36</v>
      </c>
      <c r="T64" s="22" t="s">
        <v>36</v>
      </c>
      <c r="U64" s="20" t="s">
        <v>36</v>
      </c>
      <c r="V64" s="20" t="s">
        <v>36</v>
      </c>
      <c r="X64" s="19" t="s">
        <v>36</v>
      </c>
      <c r="Y64" s="19" t="s">
        <v>36</v>
      </c>
      <c r="AA64" s="23" t="s">
        <v>36</v>
      </c>
    </row>
    <row r="65" spans="1:27" ht="15.75" customHeight="1" x14ac:dyDescent="0.2">
      <c r="A65" s="17" t="str">
        <f>HYPERLINK("https://www.devry.edu", "DeVry College of New York")</f>
        <v>DeVry College of New York</v>
      </c>
      <c r="B65" s="18" t="s">
        <v>368</v>
      </c>
      <c r="C65" s="18" t="s">
        <v>38</v>
      </c>
      <c r="D65" s="18" t="s">
        <v>39</v>
      </c>
      <c r="E65" s="18" t="s">
        <v>36</v>
      </c>
      <c r="F65" s="18" t="s">
        <v>90</v>
      </c>
      <c r="J65" s="2"/>
      <c r="K65" s="19">
        <v>0.25640000000000002</v>
      </c>
      <c r="L65" s="19">
        <v>0.13060224100000001</v>
      </c>
      <c r="M65" s="19">
        <v>0.71430000000000005</v>
      </c>
      <c r="N65" s="19">
        <v>0.27779999999999999</v>
      </c>
      <c r="O65" s="19">
        <v>0.2727</v>
      </c>
      <c r="P65" s="19">
        <v>0.4</v>
      </c>
      <c r="Q65" s="20">
        <v>24940</v>
      </c>
      <c r="R65" s="21" t="str">
        <f>HYPERLINK("https://my.devry.edu/npc", "$29970")</f>
        <v>$29970</v>
      </c>
      <c r="S65" s="22" t="s">
        <v>36</v>
      </c>
      <c r="T65" s="22">
        <v>35979</v>
      </c>
      <c r="U65" s="20">
        <v>6920</v>
      </c>
      <c r="V65" s="20">
        <v>23050</v>
      </c>
      <c r="X65" s="19">
        <v>0.60629999999999995</v>
      </c>
      <c r="Y65" s="19">
        <v>0.81169999999999998</v>
      </c>
      <c r="AA65" s="23">
        <v>940</v>
      </c>
    </row>
    <row r="66" spans="1:27" ht="15.75" customHeight="1" x14ac:dyDescent="0.2">
      <c r="A66" s="17" t="str">
        <f>HYPERLINK("https://www.devry.edu", "DeVry University-Arizona")</f>
        <v>DeVry University-Arizona</v>
      </c>
      <c r="B66" s="18" t="s">
        <v>368</v>
      </c>
      <c r="C66" s="18" t="s">
        <v>354</v>
      </c>
      <c r="D66" s="18" t="s">
        <v>369</v>
      </c>
      <c r="E66" s="18" t="s">
        <v>36</v>
      </c>
      <c r="F66" s="18" t="s">
        <v>90</v>
      </c>
      <c r="J66" s="2"/>
      <c r="K66" s="19">
        <v>0.25209999999999999</v>
      </c>
      <c r="L66" s="19">
        <v>0.13060224100000001</v>
      </c>
      <c r="M66" s="19">
        <v>0.28210000000000002</v>
      </c>
      <c r="N66" s="19">
        <v>0.25</v>
      </c>
      <c r="O66" s="19">
        <v>0.25419999999999998</v>
      </c>
      <c r="P66" s="19" t="s">
        <v>36</v>
      </c>
      <c r="Q66" s="20">
        <v>37048</v>
      </c>
      <c r="R66" s="21" t="str">
        <f>HYPERLINK("https://my.devry.edu/npc", "$26980")</f>
        <v>$26980</v>
      </c>
      <c r="S66" s="22">
        <v>30900</v>
      </c>
      <c r="T66" s="22">
        <v>30639</v>
      </c>
      <c r="U66" s="20">
        <v>6920</v>
      </c>
      <c r="V66" s="20">
        <v>20060</v>
      </c>
      <c r="X66" s="19">
        <v>0.53180000000000005</v>
      </c>
      <c r="Y66" s="19">
        <v>0.56509999999999994</v>
      </c>
      <c r="AA66" s="23">
        <v>499</v>
      </c>
    </row>
    <row r="67" spans="1:27" ht="15.75" customHeight="1" x14ac:dyDescent="0.2">
      <c r="A67" s="17" t="str">
        <f>HYPERLINK("https://www.devry.edu", "DeVry University-California")</f>
        <v>DeVry University-California</v>
      </c>
      <c r="B67" s="18" t="s">
        <v>368</v>
      </c>
      <c r="C67" s="18" t="s">
        <v>68</v>
      </c>
      <c r="D67" s="18" t="s">
        <v>602</v>
      </c>
      <c r="E67" s="18" t="s">
        <v>36</v>
      </c>
      <c r="F67" s="18" t="s">
        <v>90</v>
      </c>
      <c r="J67" s="2"/>
      <c r="K67" s="19">
        <v>0.32029999999999997</v>
      </c>
      <c r="L67" s="19">
        <v>0.13060224100000001</v>
      </c>
      <c r="M67" s="19">
        <v>0.42270000000000002</v>
      </c>
      <c r="N67" s="19">
        <v>0.38100000000000001</v>
      </c>
      <c r="O67" s="19">
        <v>0.31</v>
      </c>
      <c r="P67" s="19">
        <v>0.46150000000000002</v>
      </c>
      <c r="Q67" s="20">
        <v>37560</v>
      </c>
      <c r="R67" s="21" t="str">
        <f>HYPERLINK("https://my.devry.edu/npc", "$25767")</f>
        <v>$25767</v>
      </c>
      <c r="S67" s="22">
        <v>26458</v>
      </c>
      <c r="T67" s="22">
        <v>28635</v>
      </c>
      <c r="U67" s="20">
        <v>6920</v>
      </c>
      <c r="V67" s="20">
        <v>18847</v>
      </c>
      <c r="X67" s="19">
        <v>0.58650000000000002</v>
      </c>
      <c r="Y67" s="19">
        <v>0.75009999999999999</v>
      </c>
      <c r="AA67" s="23">
        <v>2301</v>
      </c>
    </row>
    <row r="68" spans="1:27" ht="15.75" customHeight="1" x14ac:dyDescent="0.2">
      <c r="A68" s="17" t="str">
        <f>HYPERLINK("https://www.devry.edu", "DeVry University-Colorado")</f>
        <v>DeVry University-Colorado</v>
      </c>
      <c r="B68" s="18" t="s">
        <v>368</v>
      </c>
      <c r="C68" s="18" t="s">
        <v>87</v>
      </c>
      <c r="D68" s="18" t="s">
        <v>414</v>
      </c>
      <c r="E68" s="18" t="s">
        <v>36</v>
      </c>
      <c r="F68" s="18" t="s">
        <v>90</v>
      </c>
      <c r="J68" s="2"/>
      <c r="K68" s="19">
        <v>0.42309999999999998</v>
      </c>
      <c r="L68" s="19">
        <v>0.13060224100000001</v>
      </c>
      <c r="M68" s="19">
        <v>0.35709999999999997</v>
      </c>
      <c r="N68" s="19">
        <v>0.66669999999999996</v>
      </c>
      <c r="O68" s="19">
        <v>0.33329999999999999</v>
      </c>
      <c r="P68" s="19">
        <v>0.33329999999999999</v>
      </c>
      <c r="Q68" s="20">
        <v>37240</v>
      </c>
      <c r="R68" s="21" t="str">
        <f>HYPERLINK("https://my.devry.edu/npc", "$30165")</f>
        <v>$30165</v>
      </c>
      <c r="S68" s="22">
        <v>28685</v>
      </c>
      <c r="T68" s="22" t="s">
        <v>36</v>
      </c>
      <c r="U68" s="20">
        <v>6920</v>
      </c>
      <c r="V68" s="20">
        <v>23245</v>
      </c>
      <c r="X68" s="19">
        <v>0.51900000000000002</v>
      </c>
      <c r="Y68" s="19">
        <v>0.32469999999999999</v>
      </c>
      <c r="AA68" s="23">
        <v>194</v>
      </c>
    </row>
    <row r="69" spans="1:27" ht="15.75" customHeight="1" x14ac:dyDescent="0.2">
      <c r="A69" s="17" t="str">
        <f>HYPERLINK("https://www.devry.edu", "DeVry University-Florida")</f>
        <v>DeVry University-Florida</v>
      </c>
      <c r="B69" s="18" t="s">
        <v>368</v>
      </c>
      <c r="C69" s="18" t="s">
        <v>162</v>
      </c>
      <c r="D69" s="18" t="s">
        <v>715</v>
      </c>
      <c r="E69" s="18" t="s">
        <v>36</v>
      </c>
      <c r="F69" s="18" t="s">
        <v>90</v>
      </c>
      <c r="J69" s="2"/>
      <c r="K69" s="19">
        <v>0.33329999999999999</v>
      </c>
      <c r="L69" s="19">
        <v>0.13060224100000001</v>
      </c>
      <c r="M69" s="19">
        <v>0.37930000000000003</v>
      </c>
      <c r="N69" s="19">
        <v>0.44440000000000002</v>
      </c>
      <c r="O69" s="19">
        <v>0.37840000000000001</v>
      </c>
      <c r="P69" s="19">
        <v>0</v>
      </c>
      <c r="Q69" s="20">
        <v>35884</v>
      </c>
      <c r="R69" s="21" t="str">
        <f>HYPERLINK("https://my.devry.edu/npc", "$25131")</f>
        <v>$25131</v>
      </c>
      <c r="S69" s="22">
        <v>27733</v>
      </c>
      <c r="T69" s="22" t="s">
        <v>36</v>
      </c>
      <c r="U69" s="20">
        <v>6920</v>
      </c>
      <c r="V69" s="20">
        <v>18211</v>
      </c>
      <c r="X69" s="19">
        <v>0.56220000000000003</v>
      </c>
      <c r="Y69" s="19">
        <v>0.67320000000000002</v>
      </c>
      <c r="AA69" s="23">
        <v>661</v>
      </c>
    </row>
    <row r="70" spans="1:27" ht="15.75" customHeight="1" x14ac:dyDescent="0.2">
      <c r="A70" s="17" t="str">
        <f>HYPERLINK("https://www.devry.edu", "DeVry University-Georgia")</f>
        <v>DeVry University-Georgia</v>
      </c>
      <c r="B70" s="18" t="s">
        <v>368</v>
      </c>
      <c r="C70" s="18" t="s">
        <v>107</v>
      </c>
      <c r="D70" s="18" t="s">
        <v>189</v>
      </c>
      <c r="E70" s="18" t="s">
        <v>36</v>
      </c>
      <c r="F70" s="18" t="s">
        <v>90</v>
      </c>
      <c r="J70" s="2"/>
      <c r="K70" s="19">
        <v>0.2331</v>
      </c>
      <c r="L70" s="19">
        <v>0.13060224100000001</v>
      </c>
      <c r="M70" s="19">
        <v>0.36359999999999998</v>
      </c>
      <c r="N70" s="19">
        <v>0.2195</v>
      </c>
      <c r="O70" s="19">
        <v>0.22220000000000001</v>
      </c>
      <c r="P70" s="19">
        <v>0.33329999999999999</v>
      </c>
      <c r="Q70" s="20">
        <v>35788</v>
      </c>
      <c r="R70" s="21" t="str">
        <f>HYPERLINK("https://my.devry.edu/npc", "$26311")</f>
        <v>$26311</v>
      </c>
      <c r="S70" s="22">
        <v>31071</v>
      </c>
      <c r="T70" s="22" t="s">
        <v>36</v>
      </c>
      <c r="U70" s="20">
        <v>6920</v>
      </c>
      <c r="V70" s="20">
        <v>19391</v>
      </c>
      <c r="X70" s="19">
        <v>0.61639999999999995</v>
      </c>
      <c r="Y70" s="19">
        <v>0.77949999999999997</v>
      </c>
      <c r="AA70" s="23">
        <v>889</v>
      </c>
    </row>
    <row r="71" spans="1:27" ht="15.75" customHeight="1" x14ac:dyDescent="0.2">
      <c r="A71" s="17" t="str">
        <f>HYPERLINK("https://www.devry.edu", "DeVry University-Illinois")</f>
        <v>DeVry University-Illinois</v>
      </c>
      <c r="B71" s="18" t="s">
        <v>368</v>
      </c>
      <c r="C71" s="18" t="s">
        <v>137</v>
      </c>
      <c r="D71" s="18" t="s">
        <v>161</v>
      </c>
      <c r="E71" s="18" t="s">
        <v>36</v>
      </c>
      <c r="F71" s="18" t="s">
        <v>90</v>
      </c>
      <c r="J71" s="2"/>
      <c r="K71" s="19">
        <v>0.20619999999999999</v>
      </c>
      <c r="L71" s="19">
        <v>0.13060224100000001</v>
      </c>
      <c r="M71" s="19">
        <v>0.2097</v>
      </c>
      <c r="N71" s="19">
        <v>0.21429999999999999</v>
      </c>
      <c r="O71" s="19">
        <v>0.24299999999999999</v>
      </c>
      <c r="P71" s="19">
        <v>0.66669999999999996</v>
      </c>
      <c r="Q71" s="20">
        <v>35468</v>
      </c>
      <c r="R71" s="21" t="str">
        <f>HYPERLINK("https://my.devry.edu/npc", "$30010")</f>
        <v>$30010</v>
      </c>
      <c r="S71" s="22">
        <v>31139</v>
      </c>
      <c r="T71" s="22">
        <v>33869</v>
      </c>
      <c r="U71" s="20">
        <v>6920</v>
      </c>
      <c r="V71" s="20">
        <v>23090</v>
      </c>
      <c r="X71" s="19">
        <v>0.59240000000000004</v>
      </c>
      <c r="Y71" s="19">
        <v>0.5333</v>
      </c>
      <c r="AA71" s="23">
        <v>12146</v>
      </c>
    </row>
    <row r="72" spans="1:27" ht="15.75" customHeight="1" x14ac:dyDescent="0.2">
      <c r="A72" s="17" t="str">
        <f>HYPERLINK("https://www.devry.edu", "DeVry University-Missouri")</f>
        <v>DeVry University-Missouri</v>
      </c>
      <c r="B72" s="18" t="s">
        <v>368</v>
      </c>
      <c r="C72" s="18" t="s">
        <v>164</v>
      </c>
      <c r="D72" s="18" t="s">
        <v>515</v>
      </c>
      <c r="E72" s="18" t="s">
        <v>36</v>
      </c>
      <c r="F72" s="18" t="s">
        <v>90</v>
      </c>
      <c r="J72" s="2"/>
      <c r="K72" s="19">
        <v>0.26390000000000002</v>
      </c>
      <c r="L72" s="19">
        <v>0.13060224100000001</v>
      </c>
      <c r="M72" s="19">
        <v>0.31369999999999998</v>
      </c>
      <c r="N72" s="19">
        <v>0.125</v>
      </c>
      <c r="O72" s="19">
        <v>0</v>
      </c>
      <c r="P72" s="19">
        <v>0</v>
      </c>
      <c r="Q72" s="20">
        <v>35404</v>
      </c>
      <c r="R72" s="21" t="str">
        <f>HYPERLINK("https://my.devry.edu/npc", "$26484")</f>
        <v>$26484</v>
      </c>
      <c r="S72" s="22">
        <v>28290</v>
      </c>
      <c r="T72" s="22" t="s">
        <v>36</v>
      </c>
      <c r="U72" s="20">
        <v>6920</v>
      </c>
      <c r="V72" s="20">
        <v>19564</v>
      </c>
      <c r="X72" s="19">
        <v>0.54110000000000003</v>
      </c>
      <c r="Y72" s="19">
        <v>0.35659999999999997</v>
      </c>
      <c r="AA72" s="23">
        <v>143</v>
      </c>
    </row>
    <row r="73" spans="1:27" ht="15.75" customHeight="1" x14ac:dyDescent="0.2">
      <c r="A73" s="17" t="str">
        <f>HYPERLINK("https://www.devry.edu", "DeVry University-Nevada")</f>
        <v>DeVry University-Nevada</v>
      </c>
      <c r="B73" s="18" t="s">
        <v>368</v>
      </c>
      <c r="C73" s="18" t="s">
        <v>476</v>
      </c>
      <c r="D73" s="18" t="s">
        <v>363</v>
      </c>
      <c r="E73" s="18" t="s">
        <v>36</v>
      </c>
      <c r="F73" s="18" t="s">
        <v>90</v>
      </c>
      <c r="J73" s="2"/>
      <c r="K73" s="19">
        <v>0.21429999999999999</v>
      </c>
      <c r="L73" s="19">
        <v>0.13060224100000001</v>
      </c>
      <c r="M73" s="19">
        <v>0.3</v>
      </c>
      <c r="N73" s="19">
        <v>0</v>
      </c>
      <c r="O73" s="19">
        <v>0.25</v>
      </c>
      <c r="P73" s="19">
        <v>0</v>
      </c>
      <c r="Q73" s="20">
        <v>37432</v>
      </c>
      <c r="R73" s="21" t="str">
        <f>HYPERLINK("https://my.devry.edu/npc", "$31241")</f>
        <v>$31241</v>
      </c>
      <c r="S73" s="22" t="s">
        <v>36</v>
      </c>
      <c r="T73" s="22" t="s">
        <v>36</v>
      </c>
      <c r="U73" s="20">
        <v>6920</v>
      </c>
      <c r="V73" s="20">
        <v>24321</v>
      </c>
      <c r="X73" s="19">
        <v>0.56169999999999998</v>
      </c>
      <c r="Y73" s="19">
        <v>0.64040000000000008</v>
      </c>
      <c r="AA73" s="23">
        <v>114</v>
      </c>
    </row>
    <row r="74" spans="1:27" ht="15.75" customHeight="1" x14ac:dyDescent="0.2">
      <c r="A74" s="17" t="str">
        <f>HYPERLINK("https://www.devry.edu", "DeVry University-New Jersey")</f>
        <v>DeVry University-New Jersey</v>
      </c>
      <c r="B74" s="18" t="s">
        <v>368</v>
      </c>
      <c r="C74" s="18" t="s">
        <v>141</v>
      </c>
      <c r="D74" s="18" t="s">
        <v>721</v>
      </c>
      <c r="E74" s="18" t="s">
        <v>36</v>
      </c>
      <c r="F74" s="18" t="s">
        <v>90</v>
      </c>
      <c r="J74" s="2"/>
      <c r="K74" s="19">
        <v>0.38</v>
      </c>
      <c r="L74" s="19">
        <v>0.13060224100000001</v>
      </c>
      <c r="M74" s="19">
        <v>0.53490000000000004</v>
      </c>
      <c r="N74" s="19">
        <v>0.36</v>
      </c>
      <c r="O74" s="19">
        <v>0.36359999999999998</v>
      </c>
      <c r="P74" s="19">
        <v>0.8</v>
      </c>
      <c r="Q74" s="20">
        <v>37208</v>
      </c>
      <c r="R74" s="21" t="str">
        <f>HYPERLINK("https://my.devry.edu/npc", "$19345")</f>
        <v>$19345</v>
      </c>
      <c r="S74" s="22">
        <v>25724</v>
      </c>
      <c r="T74" s="22">
        <v>27736</v>
      </c>
      <c r="U74" s="20">
        <v>6920</v>
      </c>
      <c r="V74" s="20">
        <v>12425</v>
      </c>
      <c r="X74" s="19">
        <v>0.45600000000000002</v>
      </c>
      <c r="Y74" s="19">
        <v>0.63619999999999999</v>
      </c>
      <c r="AA74" s="23">
        <v>492</v>
      </c>
    </row>
    <row r="75" spans="1:27" ht="15.75" customHeight="1" x14ac:dyDescent="0.2">
      <c r="A75" s="17" t="str">
        <f>HYPERLINK("https://www.devry.edu", "DeVry University-North Carolina")</f>
        <v>DeVry University-North Carolina</v>
      </c>
      <c r="B75" s="18" t="s">
        <v>368</v>
      </c>
      <c r="C75" s="18" t="s">
        <v>103</v>
      </c>
      <c r="D75" s="18" t="s">
        <v>447</v>
      </c>
      <c r="E75" s="18" t="s">
        <v>36</v>
      </c>
      <c r="F75" s="18" t="s">
        <v>90</v>
      </c>
      <c r="J75" s="2"/>
      <c r="K75" s="19">
        <v>0.16669999999999999</v>
      </c>
      <c r="L75" s="19">
        <v>0.13060224100000001</v>
      </c>
      <c r="M75" s="19">
        <v>0.41670000000000001</v>
      </c>
      <c r="N75" s="19">
        <v>0.05</v>
      </c>
      <c r="O75" s="19">
        <v>0.5</v>
      </c>
      <c r="P75" s="19">
        <v>0</v>
      </c>
      <c r="Q75" s="20">
        <v>36204</v>
      </c>
      <c r="R75" s="21" t="str">
        <f>HYPERLINK("https://my.devry.edu/npc", "$25813")</f>
        <v>$25813</v>
      </c>
      <c r="S75" s="22" t="s">
        <v>36</v>
      </c>
      <c r="T75" s="22" t="s">
        <v>36</v>
      </c>
      <c r="U75" s="20">
        <v>6920</v>
      </c>
      <c r="V75" s="20">
        <v>18893</v>
      </c>
      <c r="X75" s="19">
        <v>0.59609999999999996</v>
      </c>
      <c r="Y75" s="19">
        <v>0.73730000000000007</v>
      </c>
      <c r="AA75" s="23">
        <v>118</v>
      </c>
    </row>
    <row r="76" spans="1:27" ht="15.75" customHeight="1" x14ac:dyDescent="0.2">
      <c r="A76" s="17" t="str">
        <f>HYPERLINK("https://www.devry.edu", "DeVry University-Ohio")</f>
        <v>DeVry University-Ohio</v>
      </c>
      <c r="B76" s="18" t="s">
        <v>368</v>
      </c>
      <c r="C76" s="18" t="s">
        <v>75</v>
      </c>
      <c r="D76" s="18" t="s">
        <v>237</v>
      </c>
      <c r="E76" s="18" t="s">
        <v>36</v>
      </c>
      <c r="F76" s="18" t="s">
        <v>90</v>
      </c>
      <c r="J76" s="2"/>
      <c r="K76" s="19">
        <v>0.27079999999999999</v>
      </c>
      <c r="L76" s="19">
        <v>0.13060224100000001</v>
      </c>
      <c r="M76" s="19">
        <v>0.34039999999999998</v>
      </c>
      <c r="N76" s="19">
        <v>0.15</v>
      </c>
      <c r="O76" s="19">
        <v>0.1429</v>
      </c>
      <c r="P76" s="19">
        <v>0</v>
      </c>
      <c r="Q76" s="20">
        <v>35628</v>
      </c>
      <c r="R76" s="21" t="str">
        <f>HYPERLINK("https://my.devry.edu/npc", "$27419")</f>
        <v>$27419</v>
      </c>
      <c r="S76" s="22">
        <v>26347</v>
      </c>
      <c r="T76" s="22">
        <v>28506</v>
      </c>
      <c r="U76" s="20">
        <v>6920</v>
      </c>
      <c r="V76" s="20">
        <v>20499</v>
      </c>
      <c r="X76" s="19">
        <v>0.53600000000000003</v>
      </c>
      <c r="Y76" s="19">
        <v>0.32410000000000011</v>
      </c>
      <c r="AA76" s="23">
        <v>870</v>
      </c>
    </row>
    <row r="77" spans="1:27" ht="15.75" customHeight="1" x14ac:dyDescent="0.2">
      <c r="A77" s="17" t="str">
        <f>HYPERLINK("https://www.devry.edu", "DeVry University-Oklahoma")</f>
        <v>DeVry University-Oklahoma</v>
      </c>
      <c r="B77" s="18" t="s">
        <v>368</v>
      </c>
      <c r="C77" s="18" t="s">
        <v>290</v>
      </c>
      <c r="D77" s="18" t="s">
        <v>438</v>
      </c>
      <c r="E77" s="18" t="s">
        <v>36</v>
      </c>
      <c r="F77" s="18" t="s">
        <v>90</v>
      </c>
      <c r="J77" s="2"/>
      <c r="K77" s="19">
        <v>0.25</v>
      </c>
      <c r="L77" s="19">
        <v>0.13060224100000001</v>
      </c>
      <c r="M77" s="19">
        <v>0.1429</v>
      </c>
      <c r="N77" s="19">
        <v>1</v>
      </c>
      <c r="O77" s="19" t="s">
        <v>36</v>
      </c>
      <c r="P77" s="19" t="s">
        <v>36</v>
      </c>
      <c r="Q77" s="20">
        <v>35884</v>
      </c>
      <c r="R77" s="21" t="str">
        <f>HYPERLINK("https://www.devry.edu/financial-aid/net-price-calculator.html", "Not reported")</f>
        <v>Not reported</v>
      </c>
      <c r="S77" s="22" t="s">
        <v>36</v>
      </c>
      <c r="T77" s="22" t="s">
        <v>36</v>
      </c>
      <c r="U77" s="20">
        <v>6920</v>
      </c>
      <c r="V77" s="20" t="s">
        <v>36</v>
      </c>
      <c r="X77" s="19">
        <v>0.64200000000000002</v>
      </c>
      <c r="Y77" s="19">
        <v>0.5</v>
      </c>
      <c r="AA77" s="23">
        <v>4</v>
      </c>
    </row>
    <row r="78" spans="1:27" ht="15.75" customHeight="1" x14ac:dyDescent="0.2">
      <c r="A78" s="17" t="str">
        <f>HYPERLINK("https://www.devry.edu", "DeVry University-Pennsylvania")</f>
        <v>DeVry University-Pennsylvania</v>
      </c>
      <c r="B78" s="18" t="s">
        <v>368</v>
      </c>
      <c r="C78" s="18" t="s">
        <v>65</v>
      </c>
      <c r="D78" s="18" t="s">
        <v>724</v>
      </c>
      <c r="E78" s="18" t="s">
        <v>36</v>
      </c>
      <c r="F78" s="18" t="s">
        <v>90</v>
      </c>
      <c r="J78" s="2"/>
      <c r="K78" s="19">
        <v>0.1111</v>
      </c>
      <c r="L78" s="19">
        <v>0.13060224100000001</v>
      </c>
      <c r="M78" s="19">
        <v>0.2903</v>
      </c>
      <c r="N78" s="19">
        <v>0</v>
      </c>
      <c r="O78" s="19">
        <v>0</v>
      </c>
      <c r="P78" s="19">
        <v>1</v>
      </c>
      <c r="Q78" s="20">
        <v>37432</v>
      </c>
      <c r="R78" s="21" t="str">
        <f>HYPERLINK("https://my.devry.edu/npc", "$28321")</f>
        <v>$28321</v>
      </c>
      <c r="S78" s="22">
        <v>27799</v>
      </c>
      <c r="T78" s="22" t="s">
        <v>36</v>
      </c>
      <c r="U78" s="20">
        <v>6920</v>
      </c>
      <c r="V78" s="20">
        <v>21401</v>
      </c>
      <c r="X78" s="19">
        <v>0.55220000000000002</v>
      </c>
      <c r="Y78" s="19">
        <v>0.72189999999999999</v>
      </c>
      <c r="AA78" s="23">
        <v>338</v>
      </c>
    </row>
    <row r="79" spans="1:27" ht="15.75" customHeight="1" x14ac:dyDescent="0.2">
      <c r="A79" s="17" t="str">
        <f>HYPERLINK("https://www.devry.edu", "DeVry University-Texas")</f>
        <v>DeVry University-Texas</v>
      </c>
      <c r="B79" s="18" t="s">
        <v>368</v>
      </c>
      <c r="C79" s="18" t="s">
        <v>146</v>
      </c>
      <c r="D79" s="18" t="s">
        <v>505</v>
      </c>
      <c r="E79" s="18" t="s">
        <v>36</v>
      </c>
      <c r="F79" s="18" t="s">
        <v>90</v>
      </c>
      <c r="J79" s="2"/>
      <c r="K79" s="19">
        <v>0.22770000000000001</v>
      </c>
      <c r="L79" s="19">
        <v>0.13060224100000001</v>
      </c>
      <c r="M79" s="19">
        <v>0.2051</v>
      </c>
      <c r="N79" s="19">
        <v>8.5699999999999998E-2</v>
      </c>
      <c r="O79" s="19">
        <v>0.30230000000000001</v>
      </c>
      <c r="P79" s="19">
        <v>0</v>
      </c>
      <c r="Q79" s="20">
        <v>35692</v>
      </c>
      <c r="R79" s="21" t="str">
        <f>HYPERLINK("https://my.devry.edu/npc", "$31439")</f>
        <v>$31439</v>
      </c>
      <c r="S79" s="22">
        <v>32836</v>
      </c>
      <c r="T79" s="22" t="s">
        <v>36</v>
      </c>
      <c r="U79" s="20">
        <v>6920</v>
      </c>
      <c r="V79" s="20">
        <v>24519</v>
      </c>
      <c r="X79" s="19">
        <v>0.52110000000000001</v>
      </c>
      <c r="Y79" s="19">
        <v>0.63829999999999998</v>
      </c>
      <c r="AA79" s="23">
        <v>564</v>
      </c>
    </row>
    <row r="80" spans="1:27" ht="15.75" customHeight="1" x14ac:dyDescent="0.2">
      <c r="A80" s="17" t="str">
        <f>HYPERLINK("https://www.devry.edu", "DeVry University-Virginia")</f>
        <v>DeVry University-Virginia</v>
      </c>
      <c r="B80" s="18" t="s">
        <v>368</v>
      </c>
      <c r="C80" s="18" t="s">
        <v>83</v>
      </c>
      <c r="D80" s="18" t="s">
        <v>727</v>
      </c>
      <c r="E80" s="18" t="s">
        <v>36</v>
      </c>
      <c r="F80" s="18" t="s">
        <v>90</v>
      </c>
      <c r="J80" s="2"/>
      <c r="K80" s="19">
        <v>0.40910000000000002</v>
      </c>
      <c r="L80" s="19">
        <v>0.13060224100000001</v>
      </c>
      <c r="M80" s="19">
        <v>0.75</v>
      </c>
      <c r="N80" s="19">
        <v>0.35</v>
      </c>
      <c r="O80" s="19">
        <v>0.3</v>
      </c>
      <c r="P80" s="19">
        <v>0.5</v>
      </c>
      <c r="Q80" s="20">
        <v>37432</v>
      </c>
      <c r="R80" s="21" t="str">
        <f>HYPERLINK("https://my.devry.edu/npc", "$33227")</f>
        <v>$33227</v>
      </c>
      <c r="S80" s="22" t="s">
        <v>36</v>
      </c>
      <c r="T80" s="22" t="s">
        <v>36</v>
      </c>
      <c r="U80" s="20">
        <v>6920</v>
      </c>
      <c r="V80" s="20">
        <v>26307</v>
      </c>
      <c r="X80" s="19">
        <v>0.45950000000000002</v>
      </c>
      <c r="Y80" s="19">
        <v>0.74890000000000001</v>
      </c>
      <c r="AA80" s="23">
        <v>227</v>
      </c>
    </row>
    <row r="81" spans="1:27" ht="15.75" customHeight="1" x14ac:dyDescent="0.2">
      <c r="A81" s="17" t="str">
        <f>HYPERLINK("https://www.desu.edu", "Delaware State University")</f>
        <v>Delaware State University</v>
      </c>
      <c r="B81" s="18" t="s">
        <v>49</v>
      </c>
      <c r="C81" s="18" t="s">
        <v>507</v>
      </c>
      <c r="D81" s="18" t="s">
        <v>728</v>
      </c>
      <c r="E81" s="18">
        <v>918</v>
      </c>
      <c r="F81" s="18" t="s">
        <v>35</v>
      </c>
      <c r="J81" s="2"/>
      <c r="K81" s="19">
        <v>0.36720000000000003</v>
      </c>
      <c r="L81" s="19">
        <v>0.32425742600000002</v>
      </c>
      <c r="M81" s="19">
        <v>0.40539999999999998</v>
      </c>
      <c r="N81" s="19">
        <v>0.36520000000000002</v>
      </c>
      <c r="O81" s="19">
        <v>0.28570000000000001</v>
      </c>
      <c r="P81" s="19">
        <v>0.63639999999999997</v>
      </c>
      <c r="Q81" s="20">
        <v>32456</v>
      </c>
      <c r="R81" s="21" t="str">
        <f>HYPERLINK("https://www.desu.edu/npc", "$22359")</f>
        <v>$22359</v>
      </c>
      <c r="S81" s="22">
        <v>25702</v>
      </c>
      <c r="T81" s="22">
        <v>26784</v>
      </c>
      <c r="U81" s="20">
        <v>4119</v>
      </c>
      <c r="V81" s="20">
        <v>18240.77245508982</v>
      </c>
      <c r="X81" s="19">
        <v>0.49309999999999998</v>
      </c>
      <c r="Y81" s="19">
        <v>0.90920000000000001</v>
      </c>
      <c r="AA81" s="23">
        <v>3678</v>
      </c>
    </row>
    <row r="82" spans="1:27" ht="15.75" customHeight="1" x14ac:dyDescent="0.2">
      <c r="A82" s="17" t="str">
        <f>HYPERLINK("https://www.dickinsonstate.edu", "Dickinson State University")</f>
        <v>Dickinson State University</v>
      </c>
      <c r="B82" s="18" t="s">
        <v>49</v>
      </c>
      <c r="C82" s="18" t="s">
        <v>730</v>
      </c>
      <c r="D82" s="18" t="s">
        <v>731</v>
      </c>
      <c r="E82" s="18">
        <v>1042</v>
      </c>
      <c r="F82" s="18" t="s">
        <v>35</v>
      </c>
      <c r="J82" s="2"/>
      <c r="K82" s="19">
        <v>0.31559999999999999</v>
      </c>
      <c r="L82" s="19">
        <v>0.30645161300000001</v>
      </c>
      <c r="M82" s="19">
        <v>0.37709999999999999</v>
      </c>
      <c r="N82" s="19">
        <v>0.1429</v>
      </c>
      <c r="O82" s="19">
        <v>0.125</v>
      </c>
      <c r="P82" s="19">
        <v>0</v>
      </c>
      <c r="Q82" s="20">
        <v>20650</v>
      </c>
      <c r="R82" s="21" t="str">
        <f>HYPERLINK("https://www.dickinsonstate.edu/Assets/uploads/files/financial-aid/netpricecalculator/npcalc.htm", "$13973")</f>
        <v>$13973</v>
      </c>
      <c r="S82" s="22">
        <v>16818</v>
      </c>
      <c r="T82" s="22">
        <v>17875</v>
      </c>
      <c r="U82" s="20">
        <v>4700</v>
      </c>
      <c r="V82" s="20">
        <v>9273</v>
      </c>
      <c r="X82" s="19">
        <v>0.223</v>
      </c>
      <c r="Y82" s="19">
        <v>0.23330000000000001</v>
      </c>
      <c r="AA82" s="23">
        <v>1153</v>
      </c>
    </row>
    <row r="83" spans="1:27" ht="15.75" customHeight="1" x14ac:dyDescent="0.2">
      <c r="A83" s="17" t="str">
        <f>HYPERLINK("https://www.edinboro.edu/", "Edinboro University of Pennsylvania")</f>
        <v>Edinboro University of Pennsylvania</v>
      </c>
      <c r="B83" s="18" t="s">
        <v>49</v>
      </c>
      <c r="C83" s="18" t="s">
        <v>65</v>
      </c>
      <c r="D83" s="18" t="s">
        <v>732</v>
      </c>
      <c r="E83" s="18">
        <v>1029</v>
      </c>
      <c r="F83" s="18" t="s">
        <v>35</v>
      </c>
      <c r="J83" s="2"/>
      <c r="K83" s="19">
        <v>0.42980000000000002</v>
      </c>
      <c r="L83" s="19">
        <v>0.39528023600000001</v>
      </c>
      <c r="M83" s="19">
        <v>0.4597</v>
      </c>
      <c r="N83" s="19">
        <v>0.25409999999999999</v>
      </c>
      <c r="O83" s="19">
        <v>0.26190000000000002</v>
      </c>
      <c r="P83" s="19">
        <v>0.42859999999999998</v>
      </c>
      <c r="Q83" s="20">
        <v>29737</v>
      </c>
      <c r="R83" s="21" t="str">
        <f>HYPERLINK("https://www.passhe.edu/answers/Calculator/ED/npcalc-212160.htm", "$20619")</f>
        <v>$20619</v>
      </c>
      <c r="S83" s="22">
        <v>24422</v>
      </c>
      <c r="T83" s="22">
        <v>27491</v>
      </c>
      <c r="U83" s="20">
        <v>3850</v>
      </c>
      <c r="V83" s="20">
        <v>16769.488524590161</v>
      </c>
      <c r="X83" s="19">
        <v>0.44069999999999998</v>
      </c>
      <c r="Y83" s="19">
        <v>0.19040000000000001</v>
      </c>
      <c r="AA83" s="23">
        <v>4229</v>
      </c>
    </row>
    <row r="84" spans="1:27" ht="15.75" customHeight="1" x14ac:dyDescent="0.2">
      <c r="A84" s="17" t="str">
        <f>HYPERLINK("https://www.ewc.edu", "Edward Waters College")</f>
        <v>Edward Waters College</v>
      </c>
      <c r="B84" s="18" t="s">
        <v>32</v>
      </c>
      <c r="C84" s="18" t="s">
        <v>162</v>
      </c>
      <c r="D84" s="18" t="s">
        <v>382</v>
      </c>
      <c r="E84" s="18">
        <v>885</v>
      </c>
      <c r="F84" s="18" t="s">
        <v>35</v>
      </c>
      <c r="J84" s="2"/>
      <c r="K84" s="19">
        <v>0.31909999999999999</v>
      </c>
      <c r="L84" s="19">
        <v>0.13899613899999999</v>
      </c>
      <c r="M84" s="19">
        <v>0</v>
      </c>
      <c r="N84" s="19">
        <v>0.32840000000000003</v>
      </c>
      <c r="O84" s="19">
        <v>1</v>
      </c>
      <c r="P84" s="19" t="s">
        <v>36</v>
      </c>
      <c r="Q84" s="20">
        <v>25083</v>
      </c>
      <c r="R84" s="21" t="str">
        <f>HYPERLINK("https://www.ewc.edu/NetPrice/npcalc.htm", "$13326")</f>
        <v>$13326</v>
      </c>
      <c r="S84" s="22">
        <v>15303</v>
      </c>
      <c r="T84" s="22">
        <v>14490</v>
      </c>
      <c r="U84" s="20">
        <v>4276</v>
      </c>
      <c r="V84" s="20">
        <v>9050</v>
      </c>
      <c r="X84" s="19">
        <v>0.24229999999999999</v>
      </c>
      <c r="Y84" s="19">
        <v>0.9556</v>
      </c>
      <c r="AA84" s="23">
        <v>946</v>
      </c>
    </row>
    <row r="85" spans="1:27" ht="15.75" customHeight="1" x14ac:dyDescent="0.2">
      <c r="A85" s="17" t="str">
        <f>HYPERLINK("https://www.fairmontstate.edu/", "Fairmont State University")</f>
        <v>Fairmont State University</v>
      </c>
      <c r="B85" s="18" t="s">
        <v>49</v>
      </c>
      <c r="C85" s="18" t="s">
        <v>574</v>
      </c>
      <c r="D85" s="18" t="s">
        <v>734</v>
      </c>
      <c r="E85" s="18">
        <v>1044</v>
      </c>
      <c r="F85" s="18" t="s">
        <v>35</v>
      </c>
      <c r="J85" s="19"/>
      <c r="K85" s="19">
        <v>0.36599999999999999</v>
      </c>
      <c r="L85" s="19">
        <v>0.26760563399999998</v>
      </c>
      <c r="M85" s="19">
        <v>0.3846</v>
      </c>
      <c r="N85" s="19">
        <v>0.2</v>
      </c>
      <c r="O85" s="19">
        <v>0.1905</v>
      </c>
      <c r="P85" s="19">
        <v>1</v>
      </c>
      <c r="Q85" s="20">
        <v>27322</v>
      </c>
      <c r="R85" s="33" t="str">
        <f>HYPERLINK("https://fairmontstate.studentaidcalculator.com/survey.aspx", "$19018")</f>
        <v>$19018</v>
      </c>
      <c r="S85" s="22">
        <v>21791</v>
      </c>
      <c r="T85" s="22">
        <v>25429</v>
      </c>
      <c r="U85" s="20">
        <v>3000</v>
      </c>
      <c r="V85" s="20">
        <v>16018.94160583942</v>
      </c>
      <c r="X85" s="19">
        <v>0.41930000000000001</v>
      </c>
      <c r="Y85" s="19">
        <v>0.14910000000000001</v>
      </c>
      <c r="AA85" s="18">
        <v>3488</v>
      </c>
    </row>
    <row r="86" spans="1:27" ht="15.75" customHeight="1" x14ac:dyDescent="0.2">
      <c r="A86" s="17" t="str">
        <f>HYPERLINK("https://www.ferrum.edu", "Ferrum College")</f>
        <v>Ferrum College</v>
      </c>
      <c r="B86" s="18" t="s">
        <v>32</v>
      </c>
      <c r="C86" s="18" t="s">
        <v>83</v>
      </c>
      <c r="D86" s="18" t="s">
        <v>735</v>
      </c>
      <c r="E86" s="18">
        <v>962</v>
      </c>
      <c r="F86" s="18" t="s">
        <v>35</v>
      </c>
      <c r="J86" s="19"/>
      <c r="K86" s="19">
        <v>0.34620000000000001</v>
      </c>
      <c r="L86" s="19">
        <v>0.23766816099999999</v>
      </c>
      <c r="M86" s="19">
        <v>0.4647</v>
      </c>
      <c r="N86" s="19">
        <v>0.2467</v>
      </c>
      <c r="O86" s="19">
        <v>0.33329999999999999</v>
      </c>
      <c r="P86" s="19">
        <v>0</v>
      </c>
      <c r="Q86" s="20">
        <v>46985</v>
      </c>
      <c r="R86" s="33" t="str">
        <f>HYPERLINK("https://www.ferrum.edu/financial-aid/tuition-net-price-calculator/", "$22643")</f>
        <v>$22643</v>
      </c>
      <c r="S86" s="22">
        <v>23575</v>
      </c>
      <c r="T86" s="22">
        <v>26200</v>
      </c>
      <c r="U86" s="20">
        <v>2480</v>
      </c>
      <c r="V86" s="20">
        <v>20163</v>
      </c>
      <c r="X86" s="19">
        <v>0.56720000000000004</v>
      </c>
      <c r="Y86" s="19">
        <v>0.50449999999999995</v>
      </c>
      <c r="AA86" s="18">
        <v>1122</v>
      </c>
    </row>
    <row r="87" spans="1:27" ht="15.75" customHeight="1" x14ac:dyDescent="0.2">
      <c r="A87" s="17" t="str">
        <f>HYPERLINK("https://www.fmuniv.edu", "Florida Memorial University")</f>
        <v>Florida Memorial University</v>
      </c>
      <c r="B87" s="18" t="s">
        <v>32</v>
      </c>
      <c r="C87" s="18" t="s">
        <v>162</v>
      </c>
      <c r="D87" s="18" t="s">
        <v>737</v>
      </c>
      <c r="E87" s="18" t="s">
        <v>36</v>
      </c>
      <c r="F87" s="18" t="s">
        <v>90</v>
      </c>
      <c r="J87" s="19"/>
      <c r="K87" s="19">
        <v>0.376</v>
      </c>
      <c r="L87" s="19">
        <v>0.16985138</v>
      </c>
      <c r="M87" s="19">
        <v>0</v>
      </c>
      <c r="N87" s="19">
        <v>0.33110000000000001</v>
      </c>
      <c r="O87" s="19">
        <v>0.54549999999999998</v>
      </c>
      <c r="P87" s="19">
        <v>1</v>
      </c>
      <c r="Q87" s="20">
        <v>28370</v>
      </c>
      <c r="R87" s="33" t="str">
        <f>HYPERLINK("https://www.fmuniv.edu/netpricecalc/npcalc.htm", "$16576")</f>
        <v>$16576</v>
      </c>
      <c r="S87" s="22">
        <v>18686</v>
      </c>
      <c r="T87" s="22">
        <v>20686</v>
      </c>
      <c r="U87" s="20">
        <v>6100</v>
      </c>
      <c r="V87" s="20">
        <v>10476</v>
      </c>
      <c r="X87" s="19">
        <v>0.72970000000000002</v>
      </c>
      <c r="Y87" s="19">
        <v>0.99060000000000004</v>
      </c>
      <c r="AA87" s="18">
        <v>1173</v>
      </c>
    </row>
    <row r="88" spans="1:27" ht="15.75" customHeight="1" x14ac:dyDescent="0.2">
      <c r="A88" s="17" t="str">
        <f>HYPERLINK("https://georgian.edu/", "Georgian Court University")</f>
        <v>Georgian Court University</v>
      </c>
      <c r="B88" s="18" t="s">
        <v>32</v>
      </c>
      <c r="C88" s="18" t="s">
        <v>141</v>
      </c>
      <c r="D88" s="18" t="s">
        <v>338</v>
      </c>
      <c r="E88" s="18">
        <v>1015</v>
      </c>
      <c r="F88" s="18" t="s">
        <v>35</v>
      </c>
      <c r="J88" s="19"/>
      <c r="K88" s="19">
        <v>0.47739999999999999</v>
      </c>
      <c r="L88" s="19">
        <v>0.50289017299999994</v>
      </c>
      <c r="M88" s="19">
        <v>0.62609999999999999</v>
      </c>
      <c r="N88" s="19">
        <v>0.3281</v>
      </c>
      <c r="O88" s="19">
        <v>0.3947</v>
      </c>
      <c r="P88" s="19">
        <v>0.33329999999999999</v>
      </c>
      <c r="Q88" s="20">
        <v>51018</v>
      </c>
      <c r="R88" s="33" t="str">
        <f>HYPERLINK("https://georgian.studentaidcalculator.com/survey.aspx", "$19210")</f>
        <v>$19210</v>
      </c>
      <c r="S88" s="22">
        <v>21839</v>
      </c>
      <c r="T88" s="22">
        <v>27730</v>
      </c>
      <c r="U88" s="20">
        <v>7950</v>
      </c>
      <c r="V88" s="20">
        <v>11260</v>
      </c>
      <c r="X88" s="19">
        <v>0.38590000000000002</v>
      </c>
      <c r="Y88" s="19">
        <v>0.39529999999999998</v>
      </c>
      <c r="AA88" s="18">
        <v>1447</v>
      </c>
    </row>
    <row r="89" spans="1:27" ht="15.75" customHeight="1" x14ac:dyDescent="0.2">
      <c r="A89" s="17" t="str">
        <f>HYPERLINK("https://www.glenville.edu", "Glenville State College")</f>
        <v>Glenville State College</v>
      </c>
      <c r="B89" s="18" t="s">
        <v>49</v>
      </c>
      <c r="C89" s="18" t="s">
        <v>574</v>
      </c>
      <c r="D89" s="18" t="s">
        <v>740</v>
      </c>
      <c r="E89" s="18" t="s">
        <v>36</v>
      </c>
      <c r="F89" s="18" t="s">
        <v>36</v>
      </c>
      <c r="J89" s="19"/>
      <c r="K89" s="19">
        <v>0.2979</v>
      </c>
      <c r="L89" s="19">
        <v>0.170833333</v>
      </c>
      <c r="M89" s="19">
        <v>0.35049999999999998</v>
      </c>
      <c r="N89" s="19">
        <v>5.5599999999999997E-2</v>
      </c>
      <c r="O89" s="19">
        <v>0.2</v>
      </c>
      <c r="P89" s="19">
        <v>1</v>
      </c>
      <c r="Q89" s="20">
        <v>32400</v>
      </c>
      <c r="R89" s="33" t="str">
        <f>HYPERLINK("https://glenville.studentaidcalculator.com/survey.aspx", "$27558")</f>
        <v>$27558</v>
      </c>
      <c r="S89" s="22">
        <v>28288</v>
      </c>
      <c r="T89" s="22">
        <v>31584</v>
      </c>
      <c r="U89" s="20">
        <v>5898</v>
      </c>
      <c r="V89" s="20">
        <v>21660.056338028171</v>
      </c>
      <c r="X89" s="19">
        <v>0.48449999999999999</v>
      </c>
      <c r="Y89" s="19">
        <v>0.221</v>
      </c>
      <c r="AA89" s="18">
        <v>1326</v>
      </c>
    </row>
    <row r="90" spans="1:27" ht="15.75" customHeight="1" x14ac:dyDescent="0.2">
      <c r="A90" s="17" t="str">
        <f>HYPERLINK("https://www.gram.edu", "Grambling State University")</f>
        <v>Grambling State University</v>
      </c>
      <c r="B90" s="18" t="s">
        <v>49</v>
      </c>
      <c r="C90" s="18" t="s">
        <v>158</v>
      </c>
      <c r="D90" s="18" t="s">
        <v>741</v>
      </c>
      <c r="E90" s="18" t="s">
        <v>36</v>
      </c>
      <c r="F90" s="18" t="s">
        <v>115</v>
      </c>
      <c r="J90" s="19"/>
      <c r="K90" s="19">
        <v>0.3513</v>
      </c>
      <c r="L90" s="19">
        <v>0.37813620100000001</v>
      </c>
      <c r="M90" s="19">
        <v>0.66669999999999996</v>
      </c>
      <c r="N90" s="19">
        <v>0.3614</v>
      </c>
      <c r="O90" s="19">
        <v>0.125</v>
      </c>
      <c r="P90" s="19">
        <v>0.5</v>
      </c>
      <c r="Q90" s="20">
        <v>35389</v>
      </c>
      <c r="R90" s="33" t="str">
        <f>HYPERLINK("https://www.gram.edu/finaid/NetPrice/", "$27981")</f>
        <v>$27981</v>
      </c>
      <c r="S90" s="22">
        <v>31764</v>
      </c>
      <c r="T90" s="22">
        <v>32808</v>
      </c>
      <c r="U90" s="20">
        <v>8025</v>
      </c>
      <c r="V90" s="20">
        <v>19956.152317880791</v>
      </c>
      <c r="X90" s="19">
        <v>0.78080000000000005</v>
      </c>
      <c r="Y90" s="19">
        <v>0.98719999999999997</v>
      </c>
      <c r="AA90" s="18">
        <v>4072</v>
      </c>
    </row>
    <row r="91" spans="1:27" ht="15.75" customHeight="1" x14ac:dyDescent="0.2">
      <c r="A91" s="17" t="str">
        <f>HYPERLINK("https://www.greenmtn.edu", "Green Mountain College")</f>
        <v>Green Mountain College</v>
      </c>
      <c r="B91" s="18" t="s">
        <v>32</v>
      </c>
      <c r="C91" s="18" t="s">
        <v>47</v>
      </c>
      <c r="D91" s="18" t="s">
        <v>743</v>
      </c>
      <c r="E91" s="18" t="s">
        <v>36</v>
      </c>
      <c r="F91" s="18" t="s">
        <v>90</v>
      </c>
      <c r="J91" s="19"/>
      <c r="K91" s="19">
        <v>0.5071</v>
      </c>
      <c r="L91" s="19">
        <v>0.33823529400000002</v>
      </c>
      <c r="M91" s="19">
        <v>0.53849999999999998</v>
      </c>
      <c r="N91" s="19">
        <v>0.1111</v>
      </c>
      <c r="O91" s="19" t="s">
        <v>36</v>
      </c>
      <c r="P91" s="19">
        <v>1</v>
      </c>
      <c r="Q91" s="20">
        <v>49274</v>
      </c>
      <c r="R91" s="33" t="str">
        <f>HYPERLINK("https://greenmtn.studentaidcalculator.com/welcome.aspx", "$15159")</f>
        <v>$15159</v>
      </c>
      <c r="S91" s="22">
        <v>18067</v>
      </c>
      <c r="T91" s="22">
        <v>25445</v>
      </c>
      <c r="U91" s="20" t="s">
        <v>36</v>
      </c>
      <c r="V91" s="20" t="s">
        <v>36</v>
      </c>
      <c r="X91" s="19">
        <v>0.39729999999999999</v>
      </c>
      <c r="Y91" s="19">
        <v>0.34789999999999999</v>
      </c>
      <c r="AA91" s="18">
        <v>457</v>
      </c>
    </row>
    <row r="92" spans="1:27" ht="15.75" customHeight="1" x14ac:dyDescent="0.2">
      <c r="A92" s="17" t="str">
        <f>HYPERLINK("https://www.greensboro.edu", "Greensboro College")</f>
        <v>Greensboro College</v>
      </c>
      <c r="B92" s="18" t="s">
        <v>32</v>
      </c>
      <c r="C92" s="18" t="s">
        <v>103</v>
      </c>
      <c r="D92" s="18" t="s">
        <v>643</v>
      </c>
      <c r="E92" s="18">
        <v>1023</v>
      </c>
      <c r="F92" s="18" t="s">
        <v>35</v>
      </c>
      <c r="J92" s="19"/>
      <c r="K92" s="19">
        <v>0.1636</v>
      </c>
      <c r="L92" s="19">
        <v>0.29801324499999998</v>
      </c>
      <c r="M92" s="19">
        <v>0.20180000000000001</v>
      </c>
      <c r="N92" s="19">
        <v>0.1111</v>
      </c>
      <c r="O92" s="19">
        <v>0</v>
      </c>
      <c r="P92" s="19">
        <v>0.33329999999999999</v>
      </c>
      <c r="Q92" s="20">
        <v>42420</v>
      </c>
      <c r="R92" s="33" t="str">
        <f>HYPERLINK("https://greensboro.studentaidcalculator.com/welcome.aspx", "$29168")</f>
        <v>$29168</v>
      </c>
      <c r="S92" s="22">
        <v>31368</v>
      </c>
      <c r="T92" s="22">
        <v>36313</v>
      </c>
      <c r="U92" s="20">
        <v>2600</v>
      </c>
      <c r="V92" s="20">
        <v>26568</v>
      </c>
      <c r="X92" s="19">
        <v>0.45979999999999999</v>
      </c>
      <c r="Y92" s="19">
        <v>0.45550000000000002</v>
      </c>
      <c r="AA92" s="18">
        <v>821</v>
      </c>
    </row>
    <row r="93" spans="1:27" ht="15.75" customHeight="1" x14ac:dyDescent="0.2">
      <c r="A93" s="17" t="str">
        <f>HYPERLINK("https://www.hodges.edu", "Hodges University")</f>
        <v>Hodges University</v>
      </c>
      <c r="B93" s="18" t="s">
        <v>32</v>
      </c>
      <c r="C93" s="18" t="s">
        <v>162</v>
      </c>
      <c r="D93" s="18" t="s">
        <v>744</v>
      </c>
      <c r="E93" s="18" t="s">
        <v>36</v>
      </c>
      <c r="F93" s="18" t="s">
        <v>90</v>
      </c>
      <c r="J93" s="19"/>
      <c r="K93" s="19">
        <v>0.2707</v>
      </c>
      <c r="L93" s="19">
        <v>0.21648044699999999</v>
      </c>
      <c r="M93" s="19">
        <v>0.23400000000000001</v>
      </c>
      <c r="N93" s="19">
        <v>0.26669999999999999</v>
      </c>
      <c r="O93" s="19">
        <v>0.2969</v>
      </c>
      <c r="P93" s="19" t="s">
        <v>36</v>
      </c>
      <c r="Q93" s="20">
        <v>30789</v>
      </c>
      <c r="R93" s="33" t="str">
        <f>HYPERLINK("https://webadvisor.hodges.edu/CALCULATOR/npcalc.htm", "$19524")</f>
        <v>$19524</v>
      </c>
      <c r="S93" s="22">
        <v>22060</v>
      </c>
      <c r="T93" s="22">
        <v>23852</v>
      </c>
      <c r="U93" s="20">
        <v>5401</v>
      </c>
      <c r="V93" s="20">
        <v>14123</v>
      </c>
      <c r="X93" s="19">
        <v>0.5151</v>
      </c>
      <c r="Y93" s="19">
        <v>0.55659999999999998</v>
      </c>
      <c r="AA93" s="18">
        <v>1069</v>
      </c>
    </row>
    <row r="94" spans="1:27" ht="15.75" customHeight="1" x14ac:dyDescent="0.2">
      <c r="A94" s="17" t="str">
        <f>HYPERLINK("https://www.holyfamily.edu", "Holy Family University")</f>
        <v>Holy Family University</v>
      </c>
      <c r="B94" s="18" t="s">
        <v>32</v>
      </c>
      <c r="C94" s="18" t="s">
        <v>65</v>
      </c>
      <c r="D94" s="18" t="s">
        <v>168</v>
      </c>
      <c r="E94" s="18">
        <v>1005</v>
      </c>
      <c r="F94" s="18" t="s">
        <v>35</v>
      </c>
      <c r="J94" s="19"/>
      <c r="K94" s="19">
        <v>0.55210000000000004</v>
      </c>
      <c r="L94" s="19">
        <v>0.49197860999999998</v>
      </c>
      <c r="M94" s="19">
        <v>0.58850000000000002</v>
      </c>
      <c r="N94" s="19">
        <v>0.1053</v>
      </c>
      <c r="O94" s="19">
        <v>0.52170000000000005</v>
      </c>
      <c r="P94" s="19">
        <v>0.6</v>
      </c>
      <c r="Q94" s="20">
        <v>46850</v>
      </c>
      <c r="R94" s="33" t="str">
        <f>HYPERLINK("https://www.holyfamily.edu/about-holy-family-u/resources/business-office/tuition-fees/net-price-calculator", "$11808")</f>
        <v>$11808</v>
      </c>
      <c r="S94" s="22">
        <v>14648</v>
      </c>
      <c r="T94" s="22">
        <v>16885</v>
      </c>
      <c r="U94" s="20">
        <v>2004</v>
      </c>
      <c r="V94" s="20">
        <v>9804</v>
      </c>
      <c r="X94" s="19">
        <v>0.34</v>
      </c>
      <c r="Y94" s="19">
        <v>0.37290000000000001</v>
      </c>
      <c r="AA94" s="18">
        <v>1904</v>
      </c>
    </row>
    <row r="95" spans="1:27" ht="15.75" customHeight="1" x14ac:dyDescent="0.2">
      <c r="A95" s="17" t="str">
        <f>HYPERLINK("https://humphreys.edu", "Humphreys College-Modesto")</f>
        <v>Humphreys College-Modesto</v>
      </c>
      <c r="B95" s="18" t="s">
        <v>32</v>
      </c>
      <c r="C95" s="18" t="s">
        <v>68</v>
      </c>
      <c r="D95" s="18" t="s">
        <v>745</v>
      </c>
      <c r="E95" s="18" t="s">
        <v>36</v>
      </c>
      <c r="F95" s="18" t="s">
        <v>36</v>
      </c>
      <c r="J95" s="19"/>
      <c r="K95" s="19" t="s">
        <v>36</v>
      </c>
      <c r="L95" s="19">
        <v>0.24418604699999999</v>
      </c>
      <c r="M95" s="19" t="s">
        <v>36</v>
      </c>
      <c r="N95" s="19" t="s">
        <v>36</v>
      </c>
      <c r="O95" s="19" t="s">
        <v>36</v>
      </c>
      <c r="P95" s="19" t="s">
        <v>36</v>
      </c>
      <c r="Q95" s="20" t="s">
        <v>36</v>
      </c>
      <c r="R95" s="38" t="s">
        <v>36</v>
      </c>
      <c r="S95" s="22" t="s">
        <v>36</v>
      </c>
      <c r="T95" s="22" t="s">
        <v>36</v>
      </c>
      <c r="U95" s="20" t="s">
        <v>36</v>
      </c>
      <c r="V95" s="20" t="s">
        <v>36</v>
      </c>
      <c r="X95" s="19" t="s">
        <v>36</v>
      </c>
      <c r="Y95" s="19" t="s">
        <v>36</v>
      </c>
      <c r="AA95" s="18" t="s">
        <v>36</v>
      </c>
    </row>
    <row r="96" spans="1:27" ht="15.75" customHeight="1" x14ac:dyDescent="0.2">
      <c r="A96" s="17" t="str">
        <f>HYPERLINK("https://www.humphreys.edu", "Humphreys College-Stockton and Modesto Campuses")</f>
        <v>Humphreys College-Stockton and Modesto Campuses</v>
      </c>
      <c r="B96" s="18" t="s">
        <v>32</v>
      </c>
      <c r="C96" s="18" t="s">
        <v>68</v>
      </c>
      <c r="D96" s="18" t="s">
        <v>528</v>
      </c>
      <c r="E96" s="18" t="s">
        <v>36</v>
      </c>
      <c r="F96" s="18" t="s">
        <v>36</v>
      </c>
      <c r="J96" s="19"/>
      <c r="K96" s="19">
        <v>0.4098</v>
      </c>
      <c r="L96" s="19">
        <v>0.24418604699999999</v>
      </c>
      <c r="M96" s="19">
        <v>0.2727</v>
      </c>
      <c r="N96" s="19">
        <v>0.42859999999999998</v>
      </c>
      <c r="O96" s="19">
        <v>0.42859999999999998</v>
      </c>
      <c r="P96" s="19">
        <v>0.57140000000000002</v>
      </c>
      <c r="Q96" s="20">
        <v>33390</v>
      </c>
      <c r="R96" s="33" t="str">
        <f>HYPERLINK("https://www.humphreys.edu", "$18484")</f>
        <v>$18484</v>
      </c>
      <c r="S96" s="22" t="s">
        <v>36</v>
      </c>
      <c r="T96" s="22">
        <v>25489</v>
      </c>
      <c r="U96" s="20">
        <v>6093</v>
      </c>
      <c r="V96" s="20">
        <v>12391</v>
      </c>
      <c r="X96" s="19">
        <v>0.65820000000000001</v>
      </c>
      <c r="Y96" s="19">
        <v>0.79310000000000003</v>
      </c>
      <c r="AA96" s="18">
        <v>319</v>
      </c>
    </row>
    <row r="97" spans="1:27" ht="15.75" customHeight="1" x14ac:dyDescent="0.2">
      <c r="A97" s="36" t="str">
        <f>HYPERLINK("https://www.husson.edu", "Husson University")</f>
        <v>Husson University</v>
      </c>
      <c r="B97" s="18" t="s">
        <v>32</v>
      </c>
      <c r="C97" s="18" t="s">
        <v>43</v>
      </c>
      <c r="D97" s="18" t="s">
        <v>750</v>
      </c>
      <c r="E97" s="18">
        <v>1048</v>
      </c>
      <c r="F97" s="18" t="s">
        <v>35</v>
      </c>
      <c r="J97" s="19"/>
      <c r="K97" s="19">
        <v>0.54549999999999998</v>
      </c>
      <c r="L97" s="19">
        <v>0.369649805</v>
      </c>
      <c r="M97" s="19">
        <v>0.57110000000000005</v>
      </c>
      <c r="N97" s="19">
        <v>0.18179999999999999</v>
      </c>
      <c r="O97" s="19">
        <v>0.6</v>
      </c>
      <c r="P97" s="19">
        <v>0.5</v>
      </c>
      <c r="Q97" s="20">
        <v>30209</v>
      </c>
      <c r="R97" s="21" t="str">
        <f>HYPERLINK("https://npc.collegeboard.org/student/app/husson", "$15087")</f>
        <v>$15087</v>
      </c>
      <c r="S97" s="20">
        <v>17809</v>
      </c>
      <c r="T97" s="20">
        <v>22135</v>
      </c>
      <c r="U97" s="20">
        <v>3150</v>
      </c>
      <c r="V97" s="20">
        <v>11937</v>
      </c>
      <c r="X97" s="19">
        <v>0.4289</v>
      </c>
      <c r="Y97" s="19">
        <v>0.14970000000000011</v>
      </c>
      <c r="AA97" s="18">
        <v>2652</v>
      </c>
    </row>
    <row r="98" spans="1:27" ht="15.75" customHeight="1" x14ac:dyDescent="0.2">
      <c r="A98" s="36" t="str">
        <f>HYPERLINK("https://www.iup.edu", "Indiana University of Pennsylvania-Main Campus")</f>
        <v>Indiana University of Pennsylvania-Main Campus</v>
      </c>
      <c r="B98" s="18" t="s">
        <v>49</v>
      </c>
      <c r="C98" s="18" t="s">
        <v>65</v>
      </c>
      <c r="D98" s="18" t="s">
        <v>751</v>
      </c>
      <c r="E98" s="18">
        <v>1016</v>
      </c>
      <c r="F98" s="18" t="s">
        <v>35</v>
      </c>
      <c r="J98" s="19"/>
      <c r="K98" s="19">
        <v>0.5585</v>
      </c>
      <c r="L98" s="19">
        <v>0.38009950299999989</v>
      </c>
      <c r="M98" s="19">
        <v>0.59219999999999995</v>
      </c>
      <c r="N98" s="19">
        <v>0.43140000000000001</v>
      </c>
      <c r="O98" s="19">
        <v>0.38829999999999998</v>
      </c>
      <c r="P98" s="19">
        <v>0.53849999999999998</v>
      </c>
      <c r="Q98" s="20">
        <v>32461</v>
      </c>
      <c r="R98" s="21" t="str">
        <f>HYPERLINK("https://www.passhe.edu/answers/Calculator/IN/npcalc-213020.htm", "$22954")</f>
        <v>$22954</v>
      </c>
      <c r="S98" s="20">
        <v>27505</v>
      </c>
      <c r="T98" s="20">
        <v>30652</v>
      </c>
      <c r="U98" s="20">
        <v>2862</v>
      </c>
      <c r="V98" s="20">
        <v>20092.431192660551</v>
      </c>
      <c r="X98" s="19">
        <v>0.3669</v>
      </c>
      <c r="Y98" s="19">
        <v>0.26219999999999999</v>
      </c>
      <c r="AA98" s="18">
        <v>9965</v>
      </c>
    </row>
    <row r="99" spans="1:27" ht="15.75" customHeight="1" x14ac:dyDescent="0.2">
      <c r="A99" s="36" t="str">
        <f>HYPERLINK("https://www.iue.edu/", "Indiana University-East")</f>
        <v>Indiana University-East</v>
      </c>
      <c r="B99" s="18" t="s">
        <v>49</v>
      </c>
      <c r="C99" s="18" t="s">
        <v>148</v>
      </c>
      <c r="D99" s="18" t="s">
        <v>350</v>
      </c>
      <c r="E99" s="18">
        <v>1035</v>
      </c>
      <c r="F99" s="18" t="s">
        <v>35</v>
      </c>
      <c r="J99" s="19"/>
      <c r="K99" s="19">
        <v>0.35709999999999997</v>
      </c>
      <c r="L99" s="19">
        <v>0.23560209400000001</v>
      </c>
      <c r="M99" s="19">
        <v>0.37019999999999997</v>
      </c>
      <c r="N99" s="19">
        <v>0</v>
      </c>
      <c r="O99" s="19">
        <v>0.16669999999999999</v>
      </c>
      <c r="P99" s="19">
        <v>0</v>
      </c>
      <c r="Q99" s="20">
        <v>31212</v>
      </c>
      <c r="R99" s="21" t="str">
        <f>HYPERLINK("https://uirr.iu.edu/doc/compliance/regional-net-price-calculators/index_IU_East_NetPrice_Calculator.html", "$20865")</f>
        <v>$20865</v>
      </c>
      <c r="S99" s="20">
        <v>25996</v>
      </c>
      <c r="T99" s="20">
        <v>29635</v>
      </c>
      <c r="U99" s="20">
        <v>4890</v>
      </c>
      <c r="V99" s="20">
        <v>15975.589147286821</v>
      </c>
      <c r="X99" s="19">
        <v>0.3</v>
      </c>
      <c r="Y99" s="19">
        <v>0.15429999999999999</v>
      </c>
      <c r="AA99" s="18">
        <v>2969</v>
      </c>
    </row>
    <row r="100" spans="1:27" ht="15.75" customHeight="1" x14ac:dyDescent="0.2">
      <c r="A100" s="36" t="str">
        <f>HYPERLINK("https://www.iun.edu", "Indiana University-Northwest")</f>
        <v>Indiana University-Northwest</v>
      </c>
      <c r="B100" s="18" t="s">
        <v>49</v>
      </c>
      <c r="C100" s="18" t="s">
        <v>148</v>
      </c>
      <c r="D100" s="18" t="s">
        <v>753</v>
      </c>
      <c r="E100" s="18">
        <v>998</v>
      </c>
      <c r="F100" s="18" t="s">
        <v>35</v>
      </c>
      <c r="J100" s="19"/>
      <c r="K100" s="19">
        <v>0.27979999999999999</v>
      </c>
      <c r="L100" s="19">
        <v>0.16533637400000001</v>
      </c>
      <c r="M100" s="19">
        <v>0.34770000000000001</v>
      </c>
      <c r="N100" s="19">
        <v>0.1152</v>
      </c>
      <c r="O100" s="19">
        <v>0.2697</v>
      </c>
      <c r="P100" s="19">
        <v>0.55559999999999998</v>
      </c>
      <c r="Q100" s="20">
        <v>31424</v>
      </c>
      <c r="R100" s="21" t="str">
        <f>HYPERLINK("https://uirr.iu.edu/doc/compliance/regional-net-price-calculators/index_IU_Northwest_NetPrice_Calculator.html", "$21650")</f>
        <v>$21650</v>
      </c>
      <c r="S100" s="20">
        <v>27570</v>
      </c>
      <c r="T100" s="20">
        <v>30145</v>
      </c>
      <c r="U100" s="20">
        <v>5102</v>
      </c>
      <c r="V100" s="20">
        <v>16548.548571428571</v>
      </c>
      <c r="X100" s="19">
        <v>0.2984</v>
      </c>
      <c r="Y100" s="19">
        <v>0.46719999999999989</v>
      </c>
      <c r="AA100" s="18">
        <v>3549</v>
      </c>
    </row>
    <row r="101" spans="1:27" ht="15.75" customHeight="1" x14ac:dyDescent="0.2">
      <c r="A101" s="36" t="str">
        <f>HYPERLINK("https://iusb.edu/", "Indiana University-South Bend")</f>
        <v>Indiana University-South Bend</v>
      </c>
      <c r="B101" s="18" t="s">
        <v>49</v>
      </c>
      <c r="C101" s="18" t="s">
        <v>148</v>
      </c>
      <c r="D101" s="18" t="s">
        <v>755</v>
      </c>
      <c r="E101" s="18">
        <v>1035</v>
      </c>
      <c r="F101" s="18" t="s">
        <v>35</v>
      </c>
      <c r="J101" s="19"/>
      <c r="K101" s="19">
        <v>0.29239999999999999</v>
      </c>
      <c r="L101" s="19">
        <v>0.19</v>
      </c>
      <c r="M101" s="19">
        <v>0.31709999999999999</v>
      </c>
      <c r="N101" s="19">
        <v>0.1053</v>
      </c>
      <c r="O101" s="19">
        <v>0.23330000000000001</v>
      </c>
      <c r="P101" s="19">
        <v>0.4</v>
      </c>
      <c r="Q101" s="20">
        <v>31486</v>
      </c>
      <c r="R101" s="21" t="str">
        <f>HYPERLINK("https://uirr.iu.edu/doc/compliance/regional-net-price-calculators/index_IU_SouthBend_NetPrice_Calculator.html", "$21633")</f>
        <v>$21633</v>
      </c>
      <c r="S101" s="20">
        <v>25821</v>
      </c>
      <c r="T101" s="20">
        <v>29746</v>
      </c>
      <c r="U101" s="20">
        <v>3598</v>
      </c>
      <c r="V101" s="20">
        <v>18035.074468085109</v>
      </c>
      <c r="X101" s="19">
        <v>0.32569999999999999</v>
      </c>
      <c r="Y101" s="19">
        <v>0.29020000000000001</v>
      </c>
      <c r="AA101" s="18">
        <v>4790</v>
      </c>
    </row>
    <row r="102" spans="1:27" ht="15.75" customHeight="1" x14ac:dyDescent="0.2">
      <c r="A102" s="36" t="str">
        <f>HYPERLINK("https://ius.edu/", "Indiana University-Southeast")</f>
        <v>Indiana University-Southeast</v>
      </c>
      <c r="B102" s="18" t="s">
        <v>49</v>
      </c>
      <c r="C102" s="18" t="s">
        <v>148</v>
      </c>
      <c r="D102" s="18" t="s">
        <v>756</v>
      </c>
      <c r="E102" s="18">
        <v>1021</v>
      </c>
      <c r="F102" s="18" t="s">
        <v>35</v>
      </c>
      <c r="J102" s="19"/>
      <c r="K102" s="19">
        <v>0.31909999999999999</v>
      </c>
      <c r="L102" s="19">
        <v>0.21964529299999999</v>
      </c>
      <c r="M102" s="19">
        <v>0.33839999999999998</v>
      </c>
      <c r="N102" s="19">
        <v>0.12770000000000001</v>
      </c>
      <c r="O102" s="19">
        <v>0.29409999999999997</v>
      </c>
      <c r="P102" s="19">
        <v>0.66669999999999996</v>
      </c>
      <c r="Q102" s="20">
        <v>32360</v>
      </c>
      <c r="R102" s="21" t="str">
        <f>HYPERLINK("https://uirr.iu.edu/doc/compliance/regional-net-price-calculators/index_IU_Southeast_NetPrice_Calculator.html", "$22847")</f>
        <v>$22847</v>
      </c>
      <c r="S102" s="20">
        <v>27361</v>
      </c>
      <c r="T102" s="20">
        <v>31147</v>
      </c>
      <c r="U102" s="20">
        <v>3598</v>
      </c>
      <c r="V102" s="20">
        <v>19249.10921501707</v>
      </c>
      <c r="X102" s="19">
        <v>0.35270000000000001</v>
      </c>
      <c r="Y102" s="19">
        <v>0.16769999999999999</v>
      </c>
      <c r="AA102" s="18">
        <v>4722</v>
      </c>
    </row>
    <row r="103" spans="1:27" ht="15.75" customHeight="1" x14ac:dyDescent="0.2">
      <c r="A103" s="36" t="str">
        <f>HYPERLINK("https://www.iw.edu", "Iowa Wesleyan University")</f>
        <v>Iowa Wesleyan University</v>
      </c>
      <c r="B103" s="18" t="s">
        <v>32</v>
      </c>
      <c r="C103" s="18" t="s">
        <v>211</v>
      </c>
      <c r="D103" s="18" t="s">
        <v>639</v>
      </c>
      <c r="E103" s="18">
        <v>995</v>
      </c>
      <c r="F103" s="18" t="s">
        <v>35</v>
      </c>
      <c r="J103" s="19"/>
      <c r="K103" s="19">
        <v>0.26550000000000001</v>
      </c>
      <c r="L103" s="19">
        <v>0.21641790999999999</v>
      </c>
      <c r="M103" s="19">
        <v>0.30359999999999998</v>
      </c>
      <c r="N103" s="19">
        <v>0.1429</v>
      </c>
      <c r="O103" s="19">
        <v>0.18179999999999999</v>
      </c>
      <c r="P103" s="19" t="s">
        <v>36</v>
      </c>
      <c r="Q103" s="20">
        <v>46073</v>
      </c>
      <c r="R103" s="21" t="str">
        <f>HYPERLINK("https://www.iw.edu/scholarship-calculator/", "$24466")</f>
        <v>$24466</v>
      </c>
      <c r="S103" s="20">
        <v>34755</v>
      </c>
      <c r="T103" s="20" t="s">
        <v>36</v>
      </c>
      <c r="U103" s="20">
        <v>4613</v>
      </c>
      <c r="V103" s="20">
        <v>19853</v>
      </c>
      <c r="X103" s="19">
        <v>0.49230000000000002</v>
      </c>
      <c r="Y103" s="19">
        <v>0.59970000000000001</v>
      </c>
      <c r="AA103" s="18">
        <v>602</v>
      </c>
    </row>
    <row r="104" spans="1:27" ht="15.75" customHeight="1" x14ac:dyDescent="0.2">
      <c r="A104" s="36" t="str">
        <f>HYPERLINK("https://www.jsu.edu/", "Jacksonville State University")</f>
        <v>Jacksonville State University</v>
      </c>
      <c r="B104" s="18" t="s">
        <v>49</v>
      </c>
      <c r="C104" s="18" t="s">
        <v>300</v>
      </c>
      <c r="D104" s="18" t="s">
        <v>382</v>
      </c>
      <c r="E104" s="18">
        <v>1121</v>
      </c>
      <c r="F104" s="18" t="s">
        <v>35</v>
      </c>
      <c r="J104" s="19"/>
      <c r="K104" s="19">
        <v>0.37209999999999999</v>
      </c>
      <c r="L104" s="19">
        <v>0.32840236699999997</v>
      </c>
      <c r="M104" s="19">
        <v>0.43219999999999997</v>
      </c>
      <c r="N104" s="19">
        <v>0.2482</v>
      </c>
      <c r="O104" s="19">
        <v>0.25</v>
      </c>
      <c r="P104" s="19">
        <v>0.5</v>
      </c>
      <c r="Q104" s="20">
        <v>27976</v>
      </c>
      <c r="R104" s="21" t="str">
        <f>HYPERLINK("https://www.jsu.edu/finaid/", "$23034")</f>
        <v>$23034</v>
      </c>
      <c r="S104" s="20">
        <v>26655</v>
      </c>
      <c r="T104" s="20">
        <v>27833</v>
      </c>
      <c r="U104" s="20">
        <v>4496</v>
      </c>
      <c r="V104" s="20">
        <v>18538.44164759725</v>
      </c>
      <c r="X104" s="19">
        <v>0.3785</v>
      </c>
      <c r="Y104" s="19">
        <v>0.28060000000000002</v>
      </c>
      <c r="AA104" s="18">
        <v>6622</v>
      </c>
    </row>
    <row r="105" spans="1:27" ht="15.75" customHeight="1" x14ac:dyDescent="0.2">
      <c r="A105" s="36" t="str">
        <f>HYPERLINK("https://www.jarvis.edu", "Jarvis Christian College")</f>
        <v>Jarvis Christian College</v>
      </c>
      <c r="B105" s="18" t="s">
        <v>32</v>
      </c>
      <c r="C105" s="18" t="s">
        <v>146</v>
      </c>
      <c r="D105" s="18" t="s">
        <v>759</v>
      </c>
      <c r="E105" s="18" t="s">
        <v>36</v>
      </c>
      <c r="F105" s="18" t="s">
        <v>36</v>
      </c>
      <c r="J105" s="19"/>
      <c r="K105" s="19">
        <v>0.2069</v>
      </c>
      <c r="L105" s="19">
        <v>0.23076923099999999</v>
      </c>
      <c r="M105" s="19">
        <v>0</v>
      </c>
      <c r="N105" s="19">
        <v>0.22500000000000001</v>
      </c>
      <c r="O105" s="19">
        <v>0</v>
      </c>
      <c r="P105" s="19" t="s">
        <v>36</v>
      </c>
      <c r="Q105" s="20">
        <v>23840</v>
      </c>
      <c r="R105" s="21" t="str">
        <f>HYPERLINK("https://www.collegeforalltexans.com/apps/CollegeMoney/", "$14663")</f>
        <v>$14663</v>
      </c>
      <c r="S105" s="20">
        <v>12081</v>
      </c>
      <c r="T105" s="20">
        <v>14147</v>
      </c>
      <c r="U105" s="20">
        <v>3680</v>
      </c>
      <c r="V105" s="20">
        <v>10983</v>
      </c>
      <c r="X105" s="19">
        <v>0.9758</v>
      </c>
      <c r="Y105" s="19">
        <v>0.9617</v>
      </c>
      <c r="AA105" s="18">
        <v>861</v>
      </c>
    </row>
    <row r="106" spans="1:27" ht="15.75" customHeight="1" x14ac:dyDescent="0.2">
      <c r="A106" s="36" t="str">
        <f>HYPERLINK("https://www.nl.edu", "Kendall College")</f>
        <v>Kendall College</v>
      </c>
      <c r="B106" s="18" t="s">
        <v>368</v>
      </c>
      <c r="C106" s="18" t="s">
        <v>137</v>
      </c>
      <c r="D106" s="18" t="s">
        <v>161</v>
      </c>
      <c r="E106" s="18" t="s">
        <v>36</v>
      </c>
      <c r="F106" s="18" t="s">
        <v>90</v>
      </c>
      <c r="J106" s="19"/>
      <c r="K106" s="19">
        <v>0.3826</v>
      </c>
      <c r="L106" s="19">
        <v>0.21955403100000001</v>
      </c>
      <c r="M106" s="19">
        <v>0.49120000000000003</v>
      </c>
      <c r="N106" s="19">
        <v>0.1176</v>
      </c>
      <c r="O106" s="19">
        <v>0.18179999999999999</v>
      </c>
      <c r="P106" s="19">
        <v>1</v>
      </c>
      <c r="Q106" s="20">
        <v>40213</v>
      </c>
      <c r="R106" s="21" t="str">
        <f>HYPERLINK("https://www.nl.edu/financialaid/netpricecalculator/", "$28485")</f>
        <v>$28485</v>
      </c>
      <c r="S106" s="20">
        <v>34349</v>
      </c>
      <c r="T106" s="20">
        <v>31195</v>
      </c>
      <c r="U106" s="20">
        <v>9300</v>
      </c>
      <c r="V106" s="20">
        <v>19185</v>
      </c>
      <c r="X106" s="19">
        <v>0.375</v>
      </c>
      <c r="Y106" s="19">
        <v>0.59260000000000002</v>
      </c>
      <c r="AA106" s="18">
        <v>977</v>
      </c>
    </row>
    <row r="107" spans="1:27" ht="15.75" customHeight="1" x14ac:dyDescent="0.2">
      <c r="A107" s="36" t="str">
        <f>HYPERLINK("https://www.kysu.edu", "Kentucky State University")</f>
        <v>Kentucky State University</v>
      </c>
      <c r="B107" s="18" t="s">
        <v>49</v>
      </c>
      <c r="C107" s="18" t="s">
        <v>205</v>
      </c>
      <c r="D107" s="18" t="s">
        <v>761</v>
      </c>
      <c r="E107" s="18">
        <v>982</v>
      </c>
      <c r="F107" s="18" t="s">
        <v>35</v>
      </c>
      <c r="J107" s="19"/>
      <c r="K107" s="19">
        <v>0.20419999999999999</v>
      </c>
      <c r="L107" s="19">
        <v>0.19444444399999999</v>
      </c>
      <c r="M107" s="19">
        <v>0.42220000000000002</v>
      </c>
      <c r="N107" s="19">
        <v>0.20130000000000001</v>
      </c>
      <c r="O107" s="19">
        <v>0.33329999999999999</v>
      </c>
      <c r="P107" s="19" t="s">
        <v>36</v>
      </c>
      <c r="Q107" s="20">
        <v>30621</v>
      </c>
      <c r="R107" s="21" t="str">
        <f>HYPERLINK("https://kysu.studentaidcalculator.com/survey.aspx", "$20699")</f>
        <v>$20699</v>
      </c>
      <c r="S107" s="20">
        <v>21764</v>
      </c>
      <c r="T107" s="20">
        <v>21724</v>
      </c>
      <c r="U107" s="20">
        <v>4293</v>
      </c>
      <c r="V107" s="20">
        <v>16406.627118644072</v>
      </c>
      <c r="X107" s="19">
        <v>0.52490000000000003</v>
      </c>
      <c r="Y107" s="19">
        <v>0.76280000000000003</v>
      </c>
      <c r="AA107" s="18">
        <v>1349</v>
      </c>
    </row>
    <row r="108" spans="1:27" ht="15.75" customHeight="1" x14ac:dyDescent="0.2">
      <c r="A108" s="36" t="str">
        <f>HYPERLINK("https://www.keystone.edu", "Keystone College")</f>
        <v>Keystone College</v>
      </c>
      <c r="B108" s="18" t="s">
        <v>32</v>
      </c>
      <c r="C108" s="18" t="s">
        <v>65</v>
      </c>
      <c r="D108" s="18" t="s">
        <v>763</v>
      </c>
      <c r="E108" s="18" t="s">
        <v>36</v>
      </c>
      <c r="F108" s="18" t="s">
        <v>115</v>
      </c>
      <c r="J108" s="19"/>
      <c r="K108" s="19">
        <v>0.38840000000000002</v>
      </c>
      <c r="L108" s="19">
        <v>0.27572016500000002</v>
      </c>
      <c r="M108" s="19">
        <v>0.4652</v>
      </c>
      <c r="N108" s="19">
        <v>0.1071</v>
      </c>
      <c r="O108" s="19">
        <v>0.3125</v>
      </c>
      <c r="P108" s="19">
        <v>0.5</v>
      </c>
      <c r="Q108" s="20">
        <v>42120</v>
      </c>
      <c r="R108" s="21" t="str">
        <f>HYPERLINK("https://www.keystone.edu/admissions/tuition-aid/calculator/", "$14726")</f>
        <v>$14726</v>
      </c>
      <c r="S108" s="20">
        <v>20626</v>
      </c>
      <c r="T108" s="20">
        <v>23279</v>
      </c>
      <c r="U108" s="20">
        <v>4750</v>
      </c>
      <c r="V108" s="20">
        <v>9976</v>
      </c>
      <c r="X108" s="19">
        <v>0.45960000000000001</v>
      </c>
      <c r="Y108" s="19">
        <v>0.28649999999999998</v>
      </c>
      <c r="AA108" s="18">
        <v>1274</v>
      </c>
    </row>
    <row r="109" spans="1:27" ht="15.75" customHeight="1" x14ac:dyDescent="0.2">
      <c r="A109" s="36" t="str">
        <f>HYPERLINK("https://www.kutztown.edu/", "Kutztown University of Pennsylvania")</f>
        <v>Kutztown University of Pennsylvania</v>
      </c>
      <c r="B109" s="18" t="s">
        <v>49</v>
      </c>
      <c r="C109" s="18" t="s">
        <v>65</v>
      </c>
      <c r="D109" s="18" t="s">
        <v>765</v>
      </c>
      <c r="E109" s="18">
        <v>1056</v>
      </c>
      <c r="F109" s="18" t="s">
        <v>35</v>
      </c>
      <c r="J109" s="19"/>
      <c r="K109" s="19">
        <v>0.53049999999999997</v>
      </c>
      <c r="L109" s="19">
        <v>0.47079037800000001</v>
      </c>
      <c r="M109" s="19">
        <v>0.56920000000000004</v>
      </c>
      <c r="N109" s="19">
        <v>0.30209999999999998</v>
      </c>
      <c r="O109" s="19">
        <v>0.41860000000000003</v>
      </c>
      <c r="P109" s="19">
        <v>0.30769999999999997</v>
      </c>
      <c r="Q109" s="20">
        <v>31019</v>
      </c>
      <c r="R109" s="21" t="str">
        <f>HYPERLINK("https://www.passhe.edu/answers/Calculator/KU/npcalc-213349.htm", "$22091")</f>
        <v>$22091</v>
      </c>
      <c r="S109" s="20">
        <v>25527</v>
      </c>
      <c r="T109" s="20">
        <v>29085</v>
      </c>
      <c r="U109" s="20">
        <v>5734</v>
      </c>
      <c r="V109" s="20">
        <v>16357.020833333339</v>
      </c>
      <c r="X109" s="19">
        <v>0.33660000000000001</v>
      </c>
      <c r="Y109" s="19">
        <v>0.23630000000000001</v>
      </c>
      <c r="AA109" s="18">
        <v>7443</v>
      </c>
    </row>
    <row r="110" spans="1:27" ht="15.75" customHeight="1" x14ac:dyDescent="0.2">
      <c r="A110" s="36" t="str">
        <f>HYPERLINK("https://www.limcollege.edu", "LIM College")</f>
        <v>LIM College</v>
      </c>
      <c r="B110" s="18" t="s">
        <v>368</v>
      </c>
      <c r="C110" s="18" t="s">
        <v>38</v>
      </c>
      <c r="D110" s="18" t="s">
        <v>39</v>
      </c>
      <c r="E110" s="18">
        <v>1032</v>
      </c>
      <c r="F110" s="18" t="s">
        <v>115</v>
      </c>
      <c r="J110" s="19"/>
      <c r="K110" s="19">
        <v>0.47239999999999999</v>
      </c>
      <c r="L110" s="19">
        <v>0.3984375</v>
      </c>
      <c r="M110" s="19">
        <v>0.52580000000000005</v>
      </c>
      <c r="N110" s="19">
        <v>0.3538</v>
      </c>
      <c r="O110" s="19">
        <v>0.43180000000000002</v>
      </c>
      <c r="P110" s="19">
        <v>0.41670000000000001</v>
      </c>
      <c r="Q110" s="20">
        <v>50345</v>
      </c>
      <c r="R110" s="21" t="str">
        <f>HYPERLINK("https://npc.collegeboard.org/student/app/limcollege", "$32505")</f>
        <v>$32505</v>
      </c>
      <c r="S110" s="20">
        <v>35994</v>
      </c>
      <c r="T110" s="20">
        <v>40080</v>
      </c>
      <c r="U110" s="20">
        <v>3600</v>
      </c>
      <c r="V110" s="20">
        <v>28905</v>
      </c>
      <c r="X110" s="19">
        <v>0.31490000000000001</v>
      </c>
      <c r="Y110" s="19">
        <v>0.47860000000000003</v>
      </c>
      <c r="AA110" s="18">
        <v>1427</v>
      </c>
    </row>
    <row r="111" spans="1:27" ht="15.75" customHeight="1" x14ac:dyDescent="0.2">
      <c r="A111" s="36" t="str">
        <f>HYPERLINK("https://www.laroche.edu", "La Roche College")</f>
        <v>La Roche College</v>
      </c>
      <c r="B111" s="18" t="s">
        <v>32</v>
      </c>
      <c r="C111" s="18" t="s">
        <v>65</v>
      </c>
      <c r="D111" s="18" t="s">
        <v>74</v>
      </c>
      <c r="E111" s="18">
        <v>1045</v>
      </c>
      <c r="F111" s="18" t="s">
        <v>35</v>
      </c>
      <c r="J111" s="19"/>
      <c r="K111" s="19">
        <v>0.50380000000000003</v>
      </c>
      <c r="L111" s="19">
        <v>0.5390625</v>
      </c>
      <c r="M111" s="19">
        <v>0.57630000000000003</v>
      </c>
      <c r="N111" s="19">
        <v>0.23680000000000001</v>
      </c>
      <c r="O111" s="19">
        <v>0.2</v>
      </c>
      <c r="P111" s="19">
        <v>0.33329999999999999</v>
      </c>
      <c r="Q111" s="20">
        <v>42570</v>
      </c>
      <c r="R111" s="21" t="str">
        <f>HYPERLINK("https://www.laroche.edu/Financial_Aid/Net_Price_Calculator/", "$16595")</f>
        <v>$16595</v>
      </c>
      <c r="S111" s="20">
        <v>19431</v>
      </c>
      <c r="T111" s="20">
        <v>25061</v>
      </c>
      <c r="U111" s="20">
        <v>3630</v>
      </c>
      <c r="V111" s="20">
        <v>12965</v>
      </c>
      <c r="X111" s="19">
        <v>0.3236</v>
      </c>
      <c r="Y111" s="19">
        <v>0.36890000000000001</v>
      </c>
      <c r="AA111" s="18">
        <v>1312</v>
      </c>
    </row>
    <row r="112" spans="1:27" ht="15.75" customHeight="1" x14ac:dyDescent="0.2">
      <c r="A112" s="36" t="str">
        <f>HYPERLINK("https://www.lamar.edu", "Lamar University")</f>
        <v>Lamar University</v>
      </c>
      <c r="B112" s="18" t="s">
        <v>49</v>
      </c>
      <c r="C112" s="18" t="s">
        <v>146</v>
      </c>
      <c r="D112" s="18" t="s">
        <v>768</v>
      </c>
      <c r="E112" s="18">
        <v>1045</v>
      </c>
      <c r="F112" s="18" t="s">
        <v>35</v>
      </c>
      <c r="J112" s="19"/>
      <c r="K112" s="19">
        <v>0.2964</v>
      </c>
      <c r="L112" s="19">
        <v>0.32837055399999998</v>
      </c>
      <c r="M112" s="19">
        <v>0.377</v>
      </c>
      <c r="N112" s="19">
        <v>0.1981</v>
      </c>
      <c r="O112" s="19">
        <v>0.29459999999999997</v>
      </c>
      <c r="P112" s="19">
        <v>0.59570000000000001</v>
      </c>
      <c r="Q112" s="20">
        <v>32362</v>
      </c>
      <c r="R112" s="21" t="str">
        <f>HYPERLINK("https://www.collegeforalltexans.com/apps/CollegeMoney/", "$23412")</f>
        <v>$23412</v>
      </c>
      <c r="S112" s="20">
        <v>27493</v>
      </c>
      <c r="T112" s="20">
        <v>30953</v>
      </c>
      <c r="U112" s="20">
        <v>5348</v>
      </c>
      <c r="V112" s="20">
        <v>18064.724020442929</v>
      </c>
      <c r="X112" s="19">
        <v>0.4032</v>
      </c>
      <c r="Y112" s="19">
        <v>0.54039999999999999</v>
      </c>
      <c r="AA112" s="18">
        <v>8928</v>
      </c>
    </row>
    <row r="113" spans="1:27" ht="15.75" customHeight="1" x14ac:dyDescent="0.2">
      <c r="A113" s="36" t="str">
        <f>HYPERLINK("https://www.langston.edu", "Langston University")</f>
        <v>Langston University</v>
      </c>
      <c r="B113" s="18" t="s">
        <v>49</v>
      </c>
      <c r="C113" s="18" t="s">
        <v>290</v>
      </c>
      <c r="D113" s="18" t="s">
        <v>770</v>
      </c>
      <c r="E113" s="18" t="s">
        <v>36</v>
      </c>
      <c r="F113" s="18" t="s">
        <v>36</v>
      </c>
      <c r="J113" s="19"/>
      <c r="K113" s="19">
        <v>9.0899999999999995E-2</v>
      </c>
      <c r="L113" s="19">
        <v>0.18846153900000001</v>
      </c>
      <c r="M113" s="19">
        <v>0.16669999999999999</v>
      </c>
      <c r="N113" s="19">
        <v>9.0899999999999995E-2</v>
      </c>
      <c r="O113" s="19">
        <v>0</v>
      </c>
      <c r="P113" s="19" t="s">
        <v>36</v>
      </c>
      <c r="Q113" s="20">
        <v>27779</v>
      </c>
      <c r="R113" s="21" t="str">
        <f>HYPERLINK("https://www.langston.edu/NetPriceCalculator/", "$19682")</f>
        <v>$19682</v>
      </c>
      <c r="S113" s="20">
        <v>23507</v>
      </c>
      <c r="T113" s="20">
        <v>25290</v>
      </c>
      <c r="U113" s="20">
        <v>4400</v>
      </c>
      <c r="V113" s="20">
        <v>15282.22159090909</v>
      </c>
      <c r="X113" s="19">
        <v>0.6724</v>
      </c>
      <c r="Y113" s="19">
        <v>0.94579999999999997</v>
      </c>
      <c r="AA113" s="18">
        <v>2012</v>
      </c>
    </row>
    <row r="114" spans="1:27" ht="15.75" customHeight="1" x14ac:dyDescent="0.2">
      <c r="A114" s="36" t="str">
        <f>HYPERLINK("https://www.lincoln.edu", "Lincoln University")</f>
        <v>Lincoln University</v>
      </c>
      <c r="B114" s="18" t="s">
        <v>49</v>
      </c>
      <c r="C114" s="18" t="s">
        <v>65</v>
      </c>
      <c r="D114" s="18" t="s">
        <v>773</v>
      </c>
      <c r="E114" s="18">
        <v>970</v>
      </c>
      <c r="F114" s="18" t="s">
        <v>35</v>
      </c>
      <c r="J114" s="19"/>
      <c r="K114" s="19">
        <v>0.46229999999999999</v>
      </c>
      <c r="L114" s="19">
        <v>0.38541666699999999</v>
      </c>
      <c r="M114" s="19">
        <v>0.6</v>
      </c>
      <c r="N114" s="19">
        <v>0.4239</v>
      </c>
      <c r="O114" s="19">
        <v>0.6</v>
      </c>
      <c r="P114" s="19">
        <v>0.5</v>
      </c>
      <c r="Q114" s="20">
        <v>33127</v>
      </c>
      <c r="R114" s="21" t="str">
        <f>HYPERLINK("https://www.lincoln.edu/departments/financial-aid/net-price-calculator", "$24081")</f>
        <v>$24081</v>
      </c>
      <c r="S114" s="20">
        <v>27155</v>
      </c>
      <c r="T114" s="20">
        <v>30579</v>
      </c>
      <c r="U114" s="20">
        <v>6477</v>
      </c>
      <c r="V114" s="20">
        <v>17604.48201438849</v>
      </c>
      <c r="X114" s="19">
        <v>0.64859999999999995</v>
      </c>
      <c r="Y114" s="19">
        <v>0.98950000000000005</v>
      </c>
      <c r="AA114" s="18">
        <v>1994</v>
      </c>
    </row>
    <row r="115" spans="1:27" ht="15.75" customHeight="1" x14ac:dyDescent="0.2">
      <c r="A115" s="36" t="str">
        <f>HYPERLINK("https://www.lincolnu.edu/", "Lincoln University")</f>
        <v>Lincoln University</v>
      </c>
      <c r="B115" s="18" t="s">
        <v>49</v>
      </c>
      <c r="C115" s="18" t="s">
        <v>164</v>
      </c>
      <c r="D115" s="18" t="s">
        <v>623</v>
      </c>
      <c r="E115" s="18" t="s">
        <v>36</v>
      </c>
      <c r="F115" s="18" t="s">
        <v>36</v>
      </c>
      <c r="J115" s="19"/>
      <c r="K115" s="19">
        <v>0.15840000000000001</v>
      </c>
      <c r="L115" s="19">
        <v>0.164763458</v>
      </c>
      <c r="M115" s="19">
        <v>0.31130000000000002</v>
      </c>
      <c r="N115" s="19">
        <v>0.1002</v>
      </c>
      <c r="O115" s="19">
        <v>0.28570000000000001</v>
      </c>
      <c r="P115" s="19">
        <v>0</v>
      </c>
      <c r="Q115" s="20">
        <v>24994</v>
      </c>
      <c r="R115" s="21" t="str">
        <f>HYPERLINK("https://www.lincolnu.edu/web/net-price-calculator", "$18450")</f>
        <v>$18450</v>
      </c>
      <c r="S115" s="20">
        <v>20359</v>
      </c>
      <c r="T115" s="20">
        <v>21713</v>
      </c>
      <c r="U115" s="20">
        <v>4052</v>
      </c>
      <c r="V115" s="20">
        <v>14398.88043478261</v>
      </c>
      <c r="X115" s="19">
        <v>0.55810000000000004</v>
      </c>
      <c r="Y115" s="19">
        <v>0.71</v>
      </c>
      <c r="AA115" s="18">
        <v>2045</v>
      </c>
    </row>
    <row r="116" spans="1:27" ht="15.75" customHeight="1" x14ac:dyDescent="0.2">
      <c r="A116" s="36" t="str">
        <f>HYPERLINK("https://www.livingstone.edu", "Livingstone College")</f>
        <v>Livingstone College</v>
      </c>
      <c r="B116" s="18" t="s">
        <v>32</v>
      </c>
      <c r="C116" s="18" t="s">
        <v>103</v>
      </c>
      <c r="D116" s="18" t="s">
        <v>469</v>
      </c>
      <c r="E116" s="18">
        <v>822</v>
      </c>
      <c r="F116" s="18" t="s">
        <v>35</v>
      </c>
      <c r="J116" s="19"/>
      <c r="K116" s="19">
        <v>0.26250000000000001</v>
      </c>
      <c r="L116" s="19">
        <v>0.25230769199999997</v>
      </c>
      <c r="M116" s="19">
        <v>0</v>
      </c>
      <c r="N116" s="19">
        <v>0.26500000000000001</v>
      </c>
      <c r="O116" s="19">
        <v>0</v>
      </c>
      <c r="P116" s="19" t="s">
        <v>36</v>
      </c>
      <c r="Q116" s="20">
        <v>27659</v>
      </c>
      <c r="R116" s="21" t="str">
        <f>HYPERLINK("https://www.livingstone.edu/netpricecalculator/", "$16749")</f>
        <v>$16749</v>
      </c>
      <c r="S116" s="20">
        <v>19306</v>
      </c>
      <c r="T116" s="20">
        <v>23903</v>
      </c>
      <c r="U116" s="20">
        <v>3300</v>
      </c>
      <c r="V116" s="20">
        <v>13449</v>
      </c>
      <c r="X116" s="19">
        <v>0.8357</v>
      </c>
      <c r="Y116" s="19">
        <v>0.99039999999999995</v>
      </c>
      <c r="AA116" s="18">
        <v>1143</v>
      </c>
    </row>
    <row r="117" spans="1:27" ht="15.75" customHeight="1" x14ac:dyDescent="0.2">
      <c r="A117" s="36" t="str">
        <f>HYPERLINK("https://www.lockhaven.edu", "Lock Haven University")</f>
        <v>Lock Haven University</v>
      </c>
      <c r="B117" s="18" t="s">
        <v>49</v>
      </c>
      <c r="C117" s="18" t="s">
        <v>65</v>
      </c>
      <c r="D117" s="18" t="s">
        <v>776</v>
      </c>
      <c r="E117" s="18">
        <v>1004</v>
      </c>
      <c r="F117" s="18" t="s">
        <v>35</v>
      </c>
      <c r="J117" s="19"/>
      <c r="K117" s="19">
        <v>0.54720000000000002</v>
      </c>
      <c r="L117" s="19">
        <v>0.41192411899999998</v>
      </c>
      <c r="M117" s="19">
        <v>0.5595</v>
      </c>
      <c r="N117" s="19">
        <v>0.45979999999999999</v>
      </c>
      <c r="O117" s="19">
        <v>0.33329999999999999</v>
      </c>
      <c r="P117" s="19">
        <v>0.625</v>
      </c>
      <c r="Q117" s="20">
        <v>35964</v>
      </c>
      <c r="R117" s="21" t="str">
        <f>HYPERLINK("https://www.passhe.edu/answers/Calculator/LO/npcalc-213613.htm", "$28003")</f>
        <v>$28003</v>
      </c>
      <c r="S117" s="20">
        <v>31571</v>
      </c>
      <c r="T117" s="20">
        <v>34866</v>
      </c>
      <c r="U117" s="20">
        <v>5940</v>
      </c>
      <c r="V117" s="20">
        <v>22063.538461538461</v>
      </c>
      <c r="X117" s="19">
        <v>0.37709999999999999</v>
      </c>
      <c r="Y117" s="19">
        <v>0.19040000000000001</v>
      </c>
      <c r="AA117" s="18">
        <v>3425</v>
      </c>
    </row>
    <row r="118" spans="1:27" ht="15.75" customHeight="1" x14ac:dyDescent="0.2">
      <c r="A118" s="36" t="str">
        <f>HYPERLINK("https://www.mansfield.edu", "Mansfield University of Pennsylvania")</f>
        <v>Mansfield University of Pennsylvania</v>
      </c>
      <c r="B118" s="18" t="s">
        <v>49</v>
      </c>
      <c r="C118" s="18" t="s">
        <v>65</v>
      </c>
      <c r="D118" s="18" t="s">
        <v>777</v>
      </c>
      <c r="E118" s="18">
        <v>1035</v>
      </c>
      <c r="F118" s="18" t="s">
        <v>35</v>
      </c>
      <c r="J118" s="19"/>
      <c r="K118" s="19">
        <v>0.49919999999999998</v>
      </c>
      <c r="L118" s="19">
        <v>0.44750000000000001</v>
      </c>
      <c r="M118" s="19">
        <v>0.53269999999999995</v>
      </c>
      <c r="N118" s="19">
        <v>0.38240000000000002</v>
      </c>
      <c r="O118" s="19">
        <v>0.1875</v>
      </c>
      <c r="P118" s="19">
        <v>0.6</v>
      </c>
      <c r="Q118" s="20">
        <v>38414</v>
      </c>
      <c r="R118" s="21" t="str">
        <f>HYPERLINK("https://www.passhe.edu/answers/Calculator/MA/npcalc-213783.htm", "$29212")</f>
        <v>$29212</v>
      </c>
      <c r="S118" s="20">
        <v>32007</v>
      </c>
      <c r="T118" s="20">
        <v>36326</v>
      </c>
      <c r="U118" s="20">
        <v>4408</v>
      </c>
      <c r="V118" s="20">
        <v>24804.094890510951</v>
      </c>
      <c r="X118" s="19">
        <v>0.43009999999999998</v>
      </c>
      <c r="Y118" s="19">
        <v>0.19489999999999999</v>
      </c>
      <c r="AA118" s="18">
        <v>1770</v>
      </c>
    </row>
    <row r="119" spans="1:27" ht="15.75" customHeight="1" x14ac:dyDescent="0.2">
      <c r="A119" s="36" t="str">
        <f>HYPERLINK("https://www.mhu.edu", "Mars Hill University")</f>
        <v>Mars Hill University</v>
      </c>
      <c r="B119" s="18" t="s">
        <v>32</v>
      </c>
      <c r="C119" s="18" t="s">
        <v>103</v>
      </c>
      <c r="D119" s="18" t="s">
        <v>779</v>
      </c>
      <c r="E119" s="18">
        <v>1010</v>
      </c>
      <c r="F119" s="18" t="s">
        <v>35</v>
      </c>
      <c r="J119" s="19"/>
      <c r="K119" s="19">
        <v>0.31380000000000002</v>
      </c>
      <c r="L119" s="19">
        <v>0.35714285699999998</v>
      </c>
      <c r="M119" s="19">
        <v>0.379</v>
      </c>
      <c r="N119" s="19">
        <v>0.16</v>
      </c>
      <c r="O119" s="19">
        <v>0.5</v>
      </c>
      <c r="P119" s="19">
        <v>0.16669999999999999</v>
      </c>
      <c r="Q119" s="20">
        <v>43704</v>
      </c>
      <c r="R119" s="21" t="str">
        <f>HYPERLINK("https://www.mhu.edu/future-students/traditional-undergraduate/financial-aid/tuition-fees-financial-aid-traditional/", "$14172")</f>
        <v>$14172</v>
      </c>
      <c r="S119" s="20">
        <v>16178</v>
      </c>
      <c r="T119" s="20">
        <v>19502</v>
      </c>
      <c r="U119" s="20" t="s">
        <v>36</v>
      </c>
      <c r="V119" s="20" t="s">
        <v>36</v>
      </c>
      <c r="X119" s="19">
        <v>0.56159999999999999</v>
      </c>
      <c r="Y119" s="19">
        <v>0.37530000000000002</v>
      </c>
      <c r="AA119" s="18">
        <v>1255</v>
      </c>
    </row>
    <row r="120" spans="1:27" ht="15.75" customHeight="1" x14ac:dyDescent="0.2">
      <c r="A120" s="36" t="str">
        <f>HYPERLINK("https://www.mayvillestate.edu", "Mayville State University")</f>
        <v>Mayville State University</v>
      </c>
      <c r="B120" s="18" t="s">
        <v>49</v>
      </c>
      <c r="C120" s="18" t="s">
        <v>730</v>
      </c>
      <c r="D120" s="18" t="s">
        <v>780</v>
      </c>
      <c r="E120" s="18">
        <v>1045</v>
      </c>
      <c r="F120" s="18" t="s">
        <v>35</v>
      </c>
      <c r="J120" s="19"/>
      <c r="K120" s="19">
        <v>0.35139999999999999</v>
      </c>
      <c r="L120" s="19">
        <v>0.25233644900000002</v>
      </c>
      <c r="M120" s="19">
        <v>0.35449999999999998</v>
      </c>
      <c r="N120" s="19">
        <v>0.36359999999999998</v>
      </c>
      <c r="O120" s="19">
        <v>0.36359999999999998</v>
      </c>
      <c r="P120" s="19">
        <v>0</v>
      </c>
      <c r="Q120" s="20">
        <v>19700</v>
      </c>
      <c r="R120" s="21" t="str">
        <f>HYPERLINK("https://www.mayvillestate.edu/paying-school/cost-calculator", "$13815")</f>
        <v>$13815</v>
      </c>
      <c r="S120" s="20">
        <v>11498</v>
      </c>
      <c r="T120" s="20">
        <v>16285</v>
      </c>
      <c r="U120" s="20">
        <v>4100</v>
      </c>
      <c r="V120" s="20">
        <v>9715</v>
      </c>
      <c r="X120" s="19">
        <v>0.29330000000000001</v>
      </c>
      <c r="Y120" s="19">
        <v>0.223</v>
      </c>
      <c r="AA120" s="18">
        <v>825</v>
      </c>
    </row>
    <row r="121" spans="1:27" ht="15.75" customHeight="1" x14ac:dyDescent="0.2">
      <c r="A121" s="36" t="str">
        <f>HYPERLINK("https://www.msudenver.edu/", "Metropolitan State University of Denver")</f>
        <v>Metropolitan State University of Denver</v>
      </c>
      <c r="B121" s="18" t="s">
        <v>49</v>
      </c>
      <c r="C121" s="18" t="s">
        <v>87</v>
      </c>
      <c r="D121" s="18" t="s">
        <v>508</v>
      </c>
      <c r="E121" s="18">
        <v>1010</v>
      </c>
      <c r="F121" s="18" t="s">
        <v>35</v>
      </c>
      <c r="J121" s="19"/>
      <c r="K121" s="19">
        <v>0.28289999999999998</v>
      </c>
      <c r="L121" s="19">
        <v>0.28372694900000001</v>
      </c>
      <c r="M121" s="19">
        <v>0.32700000000000001</v>
      </c>
      <c r="N121" s="19">
        <v>0.19</v>
      </c>
      <c r="O121" s="19">
        <v>0.23699999999999999</v>
      </c>
      <c r="P121" s="19">
        <v>0.32200000000000001</v>
      </c>
      <c r="Q121" s="20">
        <v>37979</v>
      </c>
      <c r="R121" s="21" t="str">
        <f>HYPERLINK("https://www.msudenver.edu/net-price-calculator/", "$30188")</f>
        <v>$30188</v>
      </c>
      <c r="S121" s="20">
        <v>33288</v>
      </c>
      <c r="T121" s="20">
        <v>36734</v>
      </c>
      <c r="U121" s="20">
        <v>7498</v>
      </c>
      <c r="V121" s="20">
        <v>22690.133333333331</v>
      </c>
      <c r="X121" s="19">
        <v>0.3453</v>
      </c>
      <c r="Y121" s="19">
        <v>0.45779999999999998</v>
      </c>
      <c r="AA121" s="18">
        <v>18968</v>
      </c>
    </row>
    <row r="122" spans="1:27" ht="15.75" customHeight="1" x14ac:dyDescent="0.2">
      <c r="A122" s="36" t="str">
        <f>HYPERLINK("https://www.miles.edu", "Miles College")</f>
        <v>Miles College</v>
      </c>
      <c r="B122" s="18" t="s">
        <v>32</v>
      </c>
      <c r="C122" s="18" t="s">
        <v>300</v>
      </c>
      <c r="D122" s="18" t="s">
        <v>356</v>
      </c>
      <c r="E122" s="18" t="s">
        <v>36</v>
      </c>
      <c r="F122" s="18" t="s">
        <v>36</v>
      </c>
      <c r="J122" s="19"/>
      <c r="K122" s="19">
        <v>0.21299999999999999</v>
      </c>
      <c r="L122" s="19">
        <v>0.20042194099999999</v>
      </c>
      <c r="M122" s="19">
        <v>0.33329999999999999</v>
      </c>
      <c r="N122" s="19">
        <v>0.21279999999999999</v>
      </c>
      <c r="O122" s="19">
        <v>0</v>
      </c>
      <c r="P122" s="19" t="s">
        <v>36</v>
      </c>
      <c r="Q122" s="20">
        <v>23080</v>
      </c>
      <c r="R122" s="21" t="str">
        <f>HYPERLINK("https://miles.studentaidcalculator.com/survey.aspx", "$15440")</f>
        <v>$15440</v>
      </c>
      <c r="S122" s="20">
        <v>17610</v>
      </c>
      <c r="T122" s="20">
        <v>19610</v>
      </c>
      <c r="U122" s="20">
        <v>4032</v>
      </c>
      <c r="V122" s="20">
        <v>11408</v>
      </c>
      <c r="X122" s="19">
        <v>0.84840000000000004</v>
      </c>
      <c r="Y122" s="19">
        <v>0.97689999999999999</v>
      </c>
      <c r="AA122" s="18">
        <v>1647</v>
      </c>
    </row>
    <row r="123" spans="1:27" ht="15.75" customHeight="1" x14ac:dyDescent="0.2">
      <c r="A123" s="36" t="str">
        <f>HYPERLINK("https://www.muw.edu", "Mississippi University for Women")</f>
        <v>Mississippi University for Women</v>
      </c>
      <c r="B123" s="18" t="s">
        <v>49</v>
      </c>
      <c r="C123" s="18" t="s">
        <v>59</v>
      </c>
      <c r="D123" s="18" t="s">
        <v>237</v>
      </c>
      <c r="E123" s="18">
        <v>1046</v>
      </c>
      <c r="F123" s="18" t="s">
        <v>35</v>
      </c>
      <c r="J123" s="19"/>
      <c r="K123" s="19">
        <v>0.43819999999999998</v>
      </c>
      <c r="L123" s="19">
        <v>0.42635658900000001</v>
      </c>
      <c r="M123" s="19">
        <v>0.48720000000000002</v>
      </c>
      <c r="N123" s="19">
        <v>0.39329999999999998</v>
      </c>
      <c r="O123" s="19">
        <v>0.5</v>
      </c>
      <c r="P123" s="19">
        <v>0</v>
      </c>
      <c r="Q123" s="20">
        <v>30687</v>
      </c>
      <c r="R123" s="21" t="str">
        <f>HYPERLINK("https://www.muw.edu/finaid/freshmancalculator", "$22373")</f>
        <v>$22373</v>
      </c>
      <c r="S123" s="20">
        <v>23927</v>
      </c>
      <c r="T123" s="20">
        <v>26874</v>
      </c>
      <c r="U123" s="20">
        <v>5500</v>
      </c>
      <c r="V123" s="20">
        <v>16873.505617977531</v>
      </c>
      <c r="X123" s="19">
        <v>0.4128</v>
      </c>
      <c r="Y123" s="19">
        <v>0.43869999999999998</v>
      </c>
      <c r="AA123" s="18">
        <v>2302</v>
      </c>
    </row>
    <row r="124" spans="1:27" ht="15.75" customHeight="1" x14ac:dyDescent="0.2">
      <c r="A124" s="36" t="str">
        <f>HYPERLINK("https://www.mvsu.edu", "Mississippi Valley State University")</f>
        <v>Mississippi Valley State University</v>
      </c>
      <c r="B124" s="18" t="s">
        <v>49</v>
      </c>
      <c r="C124" s="18" t="s">
        <v>59</v>
      </c>
      <c r="D124" s="18" t="s">
        <v>785</v>
      </c>
      <c r="E124" s="18">
        <v>930</v>
      </c>
      <c r="F124" s="18" t="s">
        <v>35</v>
      </c>
      <c r="J124" s="19"/>
      <c r="K124" s="19">
        <v>0.3</v>
      </c>
      <c r="L124" s="19">
        <v>0.23954983899999999</v>
      </c>
      <c r="M124" s="19">
        <v>0</v>
      </c>
      <c r="N124" s="19">
        <v>0.33729999999999999</v>
      </c>
      <c r="O124" s="19">
        <v>0</v>
      </c>
      <c r="P124" s="19" t="s">
        <v>36</v>
      </c>
      <c r="Q124" s="20">
        <v>19986</v>
      </c>
      <c r="R124" s="21" t="str">
        <f>HYPERLINK("https://sutton2.mvsu.edu/npcalc.htm", "$14549")</f>
        <v>$14549</v>
      </c>
      <c r="S124" s="20">
        <v>8141</v>
      </c>
      <c r="T124" s="20">
        <v>16843</v>
      </c>
      <c r="U124" s="20">
        <v>5800</v>
      </c>
      <c r="V124" s="20">
        <v>8749.5042253521133</v>
      </c>
      <c r="X124" s="19">
        <v>0.67830000000000001</v>
      </c>
      <c r="Y124" s="19">
        <v>0.97309999999999997</v>
      </c>
      <c r="AA124" s="18">
        <v>1713</v>
      </c>
    </row>
    <row r="125" spans="1:27" ht="15.75" customHeight="1" x14ac:dyDescent="0.2">
      <c r="A125" s="36" t="str">
        <f>HYPERLINK("https://www.missouriwestern.edu", "Missouri Western State University")</f>
        <v>Missouri Western State University</v>
      </c>
      <c r="B125" s="18" t="s">
        <v>49</v>
      </c>
      <c r="C125" s="18" t="s">
        <v>164</v>
      </c>
      <c r="D125" s="18" t="s">
        <v>336</v>
      </c>
      <c r="E125" s="18" t="s">
        <v>36</v>
      </c>
      <c r="F125" s="18" t="s">
        <v>36</v>
      </c>
      <c r="J125" s="19"/>
      <c r="K125" s="19">
        <v>0.29380000000000001</v>
      </c>
      <c r="L125" s="19">
        <v>0.20463320500000001</v>
      </c>
      <c r="M125" s="19">
        <v>0.30809999999999998</v>
      </c>
      <c r="N125" s="19">
        <v>0.10589999999999999</v>
      </c>
      <c r="O125" s="19">
        <v>0.25</v>
      </c>
      <c r="P125" s="19">
        <v>0.71430000000000005</v>
      </c>
      <c r="Q125" s="20">
        <v>25860</v>
      </c>
      <c r="R125" s="21" t="str">
        <f>HYPERLINK("https://forms.missouriwestern.edu/finaid/npcalc1.htm", "$16883")</f>
        <v>$16883</v>
      </c>
      <c r="S125" s="20">
        <v>19465</v>
      </c>
      <c r="T125" s="20">
        <v>22353</v>
      </c>
      <c r="U125" s="20">
        <v>3665</v>
      </c>
      <c r="V125" s="20">
        <v>13218.162544169611</v>
      </c>
      <c r="X125" s="19">
        <v>0.36330000000000001</v>
      </c>
      <c r="Y125" s="19">
        <v>0.23330000000000001</v>
      </c>
      <c r="AA125" s="18">
        <v>4171</v>
      </c>
    </row>
    <row r="126" spans="1:27" ht="15.75" customHeight="1" x14ac:dyDescent="0.2">
      <c r="A126" s="36" t="str">
        <f>HYPERLINK("https://www.msubillings.edu", "Montana State University-Billings")</f>
        <v>Montana State University-Billings</v>
      </c>
      <c r="B126" s="18" t="s">
        <v>49</v>
      </c>
      <c r="C126" s="18" t="s">
        <v>421</v>
      </c>
      <c r="D126" s="18" t="s">
        <v>685</v>
      </c>
      <c r="E126" s="18" t="s">
        <v>36</v>
      </c>
      <c r="F126" s="18" t="s">
        <v>36</v>
      </c>
      <c r="J126" s="19"/>
      <c r="K126" s="19">
        <v>0.2717</v>
      </c>
      <c r="L126" s="19">
        <v>0.15279672599999999</v>
      </c>
      <c r="M126" s="19">
        <v>0.29680000000000001</v>
      </c>
      <c r="N126" s="19">
        <v>0</v>
      </c>
      <c r="O126" s="19">
        <v>0.1081</v>
      </c>
      <c r="P126" s="19">
        <v>0.1429</v>
      </c>
      <c r="Q126" s="20">
        <v>32473</v>
      </c>
      <c r="R126" s="21" t="str">
        <f>HYPERLINK("https://www.msubillings.edu/geninfo/aboutmsub.htm", "$27981")</f>
        <v>$27981</v>
      </c>
      <c r="S126" s="20">
        <v>30960</v>
      </c>
      <c r="T126" s="20">
        <v>32421</v>
      </c>
      <c r="U126" s="20">
        <v>5930</v>
      </c>
      <c r="V126" s="20">
        <v>22051.76086956522</v>
      </c>
      <c r="X126" s="19">
        <v>0.3155</v>
      </c>
      <c r="Y126" s="19">
        <v>0.19289999999999999</v>
      </c>
      <c r="AA126" s="18">
        <v>3478</v>
      </c>
    </row>
    <row r="127" spans="1:27" ht="15.75" customHeight="1" x14ac:dyDescent="0.2">
      <c r="A127" s="36" t="str">
        <f>HYPERLINK("https://www.morris.edu", "Morris College")</f>
        <v>Morris College</v>
      </c>
      <c r="B127" s="18" t="s">
        <v>32</v>
      </c>
      <c r="C127" s="18" t="s">
        <v>208</v>
      </c>
      <c r="D127" s="18" t="s">
        <v>787</v>
      </c>
      <c r="E127" s="18" t="s">
        <v>36</v>
      </c>
      <c r="F127" s="18" t="s">
        <v>36</v>
      </c>
      <c r="J127" s="19"/>
      <c r="K127" s="19">
        <v>0.2064</v>
      </c>
      <c r="L127" s="19">
        <v>0.33663366300000003</v>
      </c>
      <c r="M127" s="19">
        <v>0</v>
      </c>
      <c r="N127" s="19">
        <v>0.20960000000000001</v>
      </c>
      <c r="O127" s="19">
        <v>0.5</v>
      </c>
      <c r="P127" s="19" t="s">
        <v>36</v>
      </c>
      <c r="Q127" s="20">
        <v>25370</v>
      </c>
      <c r="R127" s="21" t="str">
        <f>HYPERLINK("https://npc.collegeboard.org/student/app/morris", "$16121")</f>
        <v>$16121</v>
      </c>
      <c r="S127" s="20">
        <v>20845</v>
      </c>
      <c r="T127" s="20">
        <v>23344</v>
      </c>
      <c r="U127" s="20">
        <v>6175</v>
      </c>
      <c r="V127" s="20">
        <v>9946</v>
      </c>
      <c r="X127" s="19">
        <v>0.86960000000000004</v>
      </c>
      <c r="Y127" s="19">
        <v>0.99870000000000003</v>
      </c>
      <c r="AA127" s="18">
        <v>743</v>
      </c>
    </row>
    <row r="128" spans="1:27" ht="15.75" customHeight="1" x14ac:dyDescent="0.2">
      <c r="A128" s="36" t="str">
        <f>HYPERLINK("https://www.mtaloy.edu/", "Mount Aloysius College")</f>
        <v>Mount Aloysius College</v>
      </c>
      <c r="B128" s="18" t="s">
        <v>32</v>
      </c>
      <c r="C128" s="18" t="s">
        <v>65</v>
      </c>
      <c r="D128" s="18" t="s">
        <v>789</v>
      </c>
      <c r="E128" s="18">
        <v>1030</v>
      </c>
      <c r="F128" s="18" t="s">
        <v>35</v>
      </c>
      <c r="J128" s="19"/>
      <c r="K128" s="19">
        <v>0.43369999999999997</v>
      </c>
      <c r="L128" s="19">
        <v>0.42259414200000001</v>
      </c>
      <c r="M128" s="19">
        <v>0.4481</v>
      </c>
      <c r="N128" s="19">
        <v>0.1</v>
      </c>
      <c r="O128" s="19">
        <v>0</v>
      </c>
      <c r="P128" s="19" t="s">
        <v>36</v>
      </c>
      <c r="Q128" s="20">
        <v>38268</v>
      </c>
      <c r="R128" s="21" t="str">
        <f>HYPERLINK("https://www.mtaloy.edu/NetPriceCalculator/npcalc.htm", "$20653")</f>
        <v>$20653</v>
      </c>
      <c r="S128" s="20">
        <v>17989</v>
      </c>
      <c r="T128" s="20">
        <v>24881</v>
      </c>
      <c r="U128" s="20">
        <v>5500</v>
      </c>
      <c r="V128" s="20">
        <v>15153</v>
      </c>
      <c r="X128" s="19">
        <v>0.31690000000000002</v>
      </c>
      <c r="Y128" s="19">
        <v>0.22529999999999989</v>
      </c>
      <c r="AA128" s="18">
        <v>1185</v>
      </c>
    </row>
    <row r="129" spans="1:27" ht="15.75" customHeight="1" x14ac:dyDescent="0.2">
      <c r="A129" s="36" t="str">
        <f>HYPERLINK("https://www.mountida.edu", "Mount Ida College")</f>
        <v>Mount Ida College</v>
      </c>
      <c r="B129" s="18" t="s">
        <v>32</v>
      </c>
      <c r="C129" s="18" t="s">
        <v>33</v>
      </c>
      <c r="D129" s="18" t="s">
        <v>791</v>
      </c>
      <c r="E129" s="18" t="s">
        <v>36</v>
      </c>
      <c r="F129" s="18" t="s">
        <v>90</v>
      </c>
      <c r="J129" s="19"/>
      <c r="K129" s="19">
        <v>0.3957</v>
      </c>
      <c r="L129" s="19">
        <v>0.32666666700000002</v>
      </c>
      <c r="M129" s="19">
        <v>0.43240000000000001</v>
      </c>
      <c r="N129" s="19">
        <v>0.1918</v>
      </c>
      <c r="O129" s="19">
        <v>0.42549999999999999</v>
      </c>
      <c r="P129" s="19">
        <v>0.5</v>
      </c>
      <c r="Q129" s="20">
        <v>52472</v>
      </c>
      <c r="R129" s="21" t="str">
        <f>HYPERLINK("https://www.mountida.edu/admissions-aid/tuition-aid/", "$22870")</f>
        <v>$22870</v>
      </c>
      <c r="S129" s="20">
        <v>24767</v>
      </c>
      <c r="T129" s="20">
        <v>28805</v>
      </c>
      <c r="U129" s="20">
        <v>3072</v>
      </c>
      <c r="V129" s="20">
        <v>19798</v>
      </c>
      <c r="W129" s="18" t="s">
        <v>792</v>
      </c>
      <c r="X129" s="19">
        <v>0.36549999999999999</v>
      </c>
      <c r="Y129" s="19">
        <v>0.38030000000000003</v>
      </c>
      <c r="AA129" s="18">
        <v>1520</v>
      </c>
    </row>
    <row r="130" spans="1:27" ht="15.75" customHeight="1" x14ac:dyDescent="0.2">
      <c r="A130" s="36" t="str">
        <f>HYPERLINK("https://www.nl.edu", "National Louis University")</f>
        <v>National Louis University</v>
      </c>
      <c r="B130" s="18" t="s">
        <v>32</v>
      </c>
      <c r="C130" s="18" t="s">
        <v>137</v>
      </c>
      <c r="D130" s="18" t="s">
        <v>161</v>
      </c>
      <c r="E130" s="18" t="s">
        <v>36</v>
      </c>
      <c r="F130" s="18" t="s">
        <v>45</v>
      </c>
      <c r="J130" s="19"/>
      <c r="K130" s="19">
        <v>0.5</v>
      </c>
      <c r="L130" s="19">
        <v>0.418282549</v>
      </c>
      <c r="M130" s="19" t="s">
        <v>36</v>
      </c>
      <c r="N130" s="19">
        <v>0.16669999999999999</v>
      </c>
      <c r="O130" s="19">
        <v>0.58819999999999995</v>
      </c>
      <c r="P130" s="19" t="s">
        <v>36</v>
      </c>
      <c r="Q130" s="20">
        <v>31680</v>
      </c>
      <c r="R130" s="21" t="str">
        <f>HYPERLINK("https://www1.nl.edu/netpricecalculator/calculator.cfm", "$15055")</f>
        <v>$15055</v>
      </c>
      <c r="S130" s="20">
        <v>17250</v>
      </c>
      <c r="T130" s="20">
        <v>18985</v>
      </c>
      <c r="U130" s="20" t="s">
        <v>36</v>
      </c>
      <c r="V130" s="20" t="s">
        <v>36</v>
      </c>
      <c r="X130" s="19">
        <v>0.60319999999999996</v>
      </c>
      <c r="Y130" s="19">
        <v>0.8276</v>
      </c>
      <c r="AA130" s="18">
        <v>1758</v>
      </c>
    </row>
    <row r="131" spans="1:27" ht="15.75" customHeight="1" x14ac:dyDescent="0.2">
      <c r="A131" s="36" t="str">
        <f>HYPERLINK("https://www.neumann.edu", "Neumann University")</f>
        <v>Neumann University</v>
      </c>
      <c r="B131" s="18" t="s">
        <v>32</v>
      </c>
      <c r="C131" s="18" t="s">
        <v>65</v>
      </c>
      <c r="D131" s="18" t="s">
        <v>794</v>
      </c>
      <c r="E131" s="18">
        <v>978</v>
      </c>
      <c r="F131" s="18" t="s">
        <v>35</v>
      </c>
      <c r="J131" s="19"/>
      <c r="K131" s="19">
        <v>0.56640000000000001</v>
      </c>
      <c r="L131" s="19">
        <v>0.340659341</v>
      </c>
      <c r="M131" s="19">
        <v>0.70860000000000001</v>
      </c>
      <c r="N131" s="19">
        <v>0.38579999999999998</v>
      </c>
      <c r="O131" s="19">
        <v>0.41670000000000001</v>
      </c>
      <c r="P131" s="19">
        <v>0</v>
      </c>
      <c r="Q131" s="20">
        <v>46028</v>
      </c>
      <c r="R131" s="21" t="str">
        <f>HYPERLINK("https://neumann-2017-staging.aidcalculator.com/", "$18096")</f>
        <v>$18096</v>
      </c>
      <c r="S131" s="20">
        <v>22455</v>
      </c>
      <c r="T131" s="20">
        <v>24701</v>
      </c>
      <c r="U131" s="20">
        <v>3458</v>
      </c>
      <c r="V131" s="20">
        <v>14638</v>
      </c>
      <c r="X131" s="19">
        <v>0.37930000000000003</v>
      </c>
      <c r="Y131" s="19">
        <v>0.46719999999999989</v>
      </c>
      <c r="AA131" s="18">
        <v>1997</v>
      </c>
    </row>
    <row r="132" spans="1:27" ht="15.75" customHeight="1" x14ac:dyDescent="0.2">
      <c r="A132" s="36" t="str">
        <f>HYPERLINK("https://www.nec.edu/", "New England College")</f>
        <v>New England College</v>
      </c>
      <c r="B132" s="18" t="s">
        <v>32</v>
      </c>
      <c r="C132" s="18" t="s">
        <v>101</v>
      </c>
      <c r="D132" s="18" t="s">
        <v>795</v>
      </c>
      <c r="E132" s="18" t="s">
        <v>36</v>
      </c>
      <c r="F132" s="18" t="s">
        <v>45</v>
      </c>
      <c r="J132" s="19"/>
      <c r="K132" s="19">
        <v>0.42220000000000002</v>
      </c>
      <c r="L132" s="19">
        <v>0.303571429</v>
      </c>
      <c r="M132" s="19">
        <v>0.45689999999999997</v>
      </c>
      <c r="N132" s="19">
        <v>0.16669999999999999</v>
      </c>
      <c r="O132" s="19">
        <v>0.26669999999999999</v>
      </c>
      <c r="P132" s="19">
        <v>0.33329999999999999</v>
      </c>
      <c r="Q132" s="20">
        <v>53828</v>
      </c>
      <c r="R132" s="21" t="str">
        <f>HYPERLINK("https://nec.studentaidcalculator.com/survey.aspx", "$26856")</f>
        <v>$26856</v>
      </c>
      <c r="S132" s="20">
        <v>27408</v>
      </c>
      <c r="T132" s="20">
        <v>25560</v>
      </c>
      <c r="U132" s="20">
        <v>3000</v>
      </c>
      <c r="V132" s="20">
        <v>23856</v>
      </c>
      <c r="X132" s="19">
        <v>0.51959999999999995</v>
      </c>
      <c r="Y132" s="19">
        <v>0.4849</v>
      </c>
      <c r="AA132" s="18">
        <v>1819</v>
      </c>
    </row>
    <row r="133" spans="1:27" ht="15.75" customHeight="1" x14ac:dyDescent="0.2">
      <c r="A133" s="36" t="str">
        <f>HYPERLINK("https://www.nmhu.edu", "New Mexico Highlands University")</f>
        <v>New Mexico Highlands University</v>
      </c>
      <c r="B133" s="18" t="s">
        <v>49</v>
      </c>
      <c r="C133" s="18" t="s">
        <v>234</v>
      </c>
      <c r="D133" s="18" t="s">
        <v>796</v>
      </c>
      <c r="E133" s="18" t="s">
        <v>36</v>
      </c>
      <c r="F133" s="18" t="s">
        <v>36</v>
      </c>
      <c r="J133" s="19"/>
      <c r="K133" s="19">
        <v>0.22220000000000001</v>
      </c>
      <c r="L133" s="19">
        <v>0.314420804</v>
      </c>
      <c r="M133" s="19">
        <v>0.1837</v>
      </c>
      <c r="N133" s="19">
        <v>0.1111</v>
      </c>
      <c r="O133" s="19">
        <v>0.25779999999999997</v>
      </c>
      <c r="P133" s="19" t="s">
        <v>36</v>
      </c>
      <c r="Q133" s="20">
        <v>22054</v>
      </c>
      <c r="R133" s="21" t="str">
        <f>HYPERLINK("https://www.collegeportraits.org/NM/NMHU/estimator", "$18004")</f>
        <v>$18004</v>
      </c>
      <c r="S133" s="20">
        <v>18807</v>
      </c>
      <c r="T133" s="20">
        <v>20150</v>
      </c>
      <c r="U133" s="20">
        <v>5112</v>
      </c>
      <c r="V133" s="20">
        <v>12892.234375</v>
      </c>
      <c r="X133" s="19">
        <v>0.6734</v>
      </c>
      <c r="Y133" s="19">
        <v>0.79710000000000003</v>
      </c>
      <c r="AA133" s="18">
        <v>1858</v>
      </c>
    </row>
    <row r="134" spans="1:27" ht="15.75" customHeight="1" x14ac:dyDescent="0.2">
      <c r="A134" s="36" t="str">
        <f>HYPERLINK("https://www.newberry.edu", "Newberry College")</f>
        <v>Newberry College</v>
      </c>
      <c r="B134" s="18" t="s">
        <v>32</v>
      </c>
      <c r="C134" s="18" t="s">
        <v>208</v>
      </c>
      <c r="D134" s="18" t="s">
        <v>797</v>
      </c>
      <c r="E134" s="18">
        <v>1017</v>
      </c>
      <c r="F134" s="18" t="s">
        <v>35</v>
      </c>
      <c r="J134" s="19"/>
      <c r="K134" s="19">
        <v>0.52129999999999999</v>
      </c>
      <c r="L134" s="19">
        <v>0.36746988000000003</v>
      </c>
      <c r="M134" s="19">
        <v>0.5363</v>
      </c>
      <c r="N134" s="19">
        <v>0.38600000000000001</v>
      </c>
      <c r="O134" s="19">
        <v>0.8125</v>
      </c>
      <c r="P134" s="19">
        <v>0.66669999999999996</v>
      </c>
      <c r="Q134" s="20">
        <v>40254</v>
      </c>
      <c r="R134" s="21" t="str">
        <f>HYPERLINK("https://npc.collegeboard.org/student/app/newberry", "$16611")</f>
        <v>$16611</v>
      </c>
      <c r="S134" s="20">
        <v>20742</v>
      </c>
      <c r="T134" s="20">
        <v>21789</v>
      </c>
      <c r="U134" s="20">
        <v>4212</v>
      </c>
      <c r="V134" s="20">
        <v>12399</v>
      </c>
      <c r="X134" s="19">
        <v>0.45789999999999997</v>
      </c>
      <c r="Y134" s="19">
        <v>0.44500000000000001</v>
      </c>
      <c r="AA134" s="18">
        <v>1173</v>
      </c>
    </row>
    <row r="135" spans="1:27" ht="15.75" customHeight="1" x14ac:dyDescent="0.2">
      <c r="A135" s="36" t="str">
        <f>HYPERLINK("https://www.nichols.edu", "Nichols College")</f>
        <v>Nichols College</v>
      </c>
      <c r="B135" s="18" t="s">
        <v>32</v>
      </c>
      <c r="C135" s="18" t="s">
        <v>33</v>
      </c>
      <c r="D135" s="18" t="s">
        <v>798</v>
      </c>
      <c r="E135" s="18" t="s">
        <v>36</v>
      </c>
      <c r="F135" s="18" t="s">
        <v>90</v>
      </c>
      <c r="J135" s="19"/>
      <c r="K135" s="19">
        <v>0.51439999999999997</v>
      </c>
      <c r="L135" s="19">
        <v>0.31578947400000001</v>
      </c>
      <c r="M135" s="19">
        <v>0.55320000000000003</v>
      </c>
      <c r="N135" s="19">
        <v>0.19570000000000001</v>
      </c>
      <c r="O135" s="19">
        <v>0.62860000000000005</v>
      </c>
      <c r="P135" s="19">
        <v>0.33329999999999999</v>
      </c>
      <c r="Q135" s="20">
        <v>51400</v>
      </c>
      <c r="R135" s="21" t="str">
        <f>HYPERLINK("https://nichols.studentaidcalculator.com/survey.aspx", "$24695")</f>
        <v>$24695</v>
      </c>
      <c r="S135" s="20">
        <v>28829</v>
      </c>
      <c r="T135" s="20">
        <v>30708</v>
      </c>
      <c r="U135" s="20">
        <v>3600</v>
      </c>
      <c r="V135" s="20">
        <v>21095</v>
      </c>
      <c r="X135" s="19">
        <v>0.30020000000000002</v>
      </c>
      <c r="Y135" s="19">
        <v>0.22320000000000001</v>
      </c>
      <c r="AA135" s="18">
        <v>1308</v>
      </c>
    </row>
    <row r="136" spans="1:27" ht="15.75" customHeight="1" x14ac:dyDescent="0.2">
      <c r="A136" s="36" t="str">
        <f>HYPERLINK("https://www.nsu.edu", "Norfolk State University")</f>
        <v>Norfolk State University</v>
      </c>
      <c r="B136" s="18" t="s">
        <v>49</v>
      </c>
      <c r="C136" s="18" t="s">
        <v>83</v>
      </c>
      <c r="D136" s="18" t="s">
        <v>800</v>
      </c>
      <c r="E136" s="18">
        <v>946</v>
      </c>
      <c r="F136" s="18" t="s">
        <v>35</v>
      </c>
      <c r="J136" s="19"/>
      <c r="K136" s="19">
        <v>0.42049999999999998</v>
      </c>
      <c r="L136" s="19">
        <v>0.30753353999999999</v>
      </c>
      <c r="M136" s="19">
        <v>0.4667</v>
      </c>
      <c r="N136" s="19">
        <v>0.41909999999999997</v>
      </c>
      <c r="O136" s="19">
        <v>0</v>
      </c>
      <c r="P136" s="19">
        <v>0</v>
      </c>
      <c r="Q136" s="20">
        <v>37339</v>
      </c>
      <c r="R136" s="21" t="str">
        <f>HYPERLINK("https://webapps.nsu.edu/financialaid/calculator.htm", "$26259")</f>
        <v>$26259</v>
      </c>
      <c r="S136" s="20">
        <v>28929</v>
      </c>
      <c r="T136" s="20">
        <v>35310</v>
      </c>
      <c r="U136" s="20">
        <v>6573</v>
      </c>
      <c r="V136" s="20">
        <v>19686.84329896907</v>
      </c>
      <c r="X136" s="19">
        <v>0.64219999999999999</v>
      </c>
      <c r="Y136" s="19">
        <v>0.96140000000000003</v>
      </c>
      <c r="AA136" s="18">
        <v>4641</v>
      </c>
    </row>
    <row r="137" spans="1:27" ht="15.75" customHeight="1" x14ac:dyDescent="0.2">
      <c r="A137" s="36" t="str">
        <f>HYPERLINK("https://www.ncat.edu", "North Carolina A &amp; T State University")</f>
        <v>North Carolina A &amp; T State University</v>
      </c>
      <c r="B137" s="18" t="s">
        <v>49</v>
      </c>
      <c r="C137" s="18" t="s">
        <v>103</v>
      </c>
      <c r="D137" s="18" t="s">
        <v>643</v>
      </c>
      <c r="E137" s="18">
        <v>1010</v>
      </c>
      <c r="F137" s="18" t="s">
        <v>35</v>
      </c>
      <c r="J137" s="19"/>
      <c r="K137" s="19">
        <v>0.4274</v>
      </c>
      <c r="L137" s="19">
        <v>0.19804618099999999</v>
      </c>
      <c r="M137" s="19">
        <v>0.2162</v>
      </c>
      <c r="N137" s="19">
        <v>0.43569999999999998</v>
      </c>
      <c r="O137" s="19">
        <v>0.42109999999999997</v>
      </c>
      <c r="P137" s="19">
        <v>0.36359999999999998</v>
      </c>
      <c r="Q137" s="20">
        <v>30776</v>
      </c>
      <c r="R137" s="21" t="str">
        <f>HYPERLINK("https://www.ncat.edu/admissions/financial-aid/netprice-calculator/npcalc.htm", "$21490")</f>
        <v>$21490</v>
      </c>
      <c r="S137" s="20">
        <v>25555</v>
      </c>
      <c r="T137" s="20">
        <v>28935</v>
      </c>
      <c r="U137" s="20">
        <v>4100</v>
      </c>
      <c r="V137" s="20">
        <v>17390.43636363636</v>
      </c>
      <c r="X137" s="19">
        <v>0.59670000000000001</v>
      </c>
      <c r="Y137" s="19">
        <v>0.94699999999999995</v>
      </c>
      <c r="AA137" s="18">
        <v>10011</v>
      </c>
    </row>
    <row r="138" spans="1:27" ht="15.75" customHeight="1" x14ac:dyDescent="0.2">
      <c r="A138" s="36" t="str">
        <f>HYPERLINK("https://www.nccu.edu", "North Carolina Central University")</f>
        <v>North Carolina Central University</v>
      </c>
      <c r="B138" s="18" t="s">
        <v>49</v>
      </c>
      <c r="C138" s="18" t="s">
        <v>103</v>
      </c>
      <c r="D138" s="18" t="s">
        <v>106</v>
      </c>
      <c r="E138" s="18">
        <v>967</v>
      </c>
      <c r="F138" s="18" t="s">
        <v>35</v>
      </c>
      <c r="J138" s="19"/>
      <c r="K138" s="19">
        <v>0.43890000000000001</v>
      </c>
      <c r="L138" s="19">
        <v>0.43794326200000011</v>
      </c>
      <c r="M138" s="19">
        <v>0.28570000000000001</v>
      </c>
      <c r="N138" s="19">
        <v>0.44879999999999998</v>
      </c>
      <c r="O138" s="19">
        <v>0.42859999999999998</v>
      </c>
      <c r="P138" s="19">
        <v>0.5</v>
      </c>
      <c r="Q138" s="20">
        <v>34905</v>
      </c>
      <c r="R138" s="21" t="str">
        <f>HYPERLINK("https://www.nccu.edu/admissionsandaid/tuitionandfees/", "$25720")</f>
        <v>$25720</v>
      </c>
      <c r="S138" s="20">
        <v>29494</v>
      </c>
      <c r="T138" s="20">
        <v>32959</v>
      </c>
      <c r="U138" s="20">
        <v>5947</v>
      </c>
      <c r="V138" s="20">
        <v>19773.226006191951</v>
      </c>
      <c r="X138" s="19">
        <v>0.64190000000000003</v>
      </c>
      <c r="Y138" s="19">
        <v>0.93989999999999996</v>
      </c>
      <c r="AA138" s="18">
        <v>5939</v>
      </c>
    </row>
    <row r="139" spans="1:27" ht="15.75" customHeight="1" x14ac:dyDescent="0.2">
      <c r="A139" s="36" t="str">
        <f>HYPERLINK("https://www.nwosu.edu", "Northwestern Oklahoma State University")</f>
        <v>Northwestern Oklahoma State University</v>
      </c>
      <c r="B139" s="18" t="s">
        <v>49</v>
      </c>
      <c r="C139" s="18" t="s">
        <v>290</v>
      </c>
      <c r="D139" s="18" t="s">
        <v>803</v>
      </c>
      <c r="E139" s="18">
        <v>1025</v>
      </c>
      <c r="F139" s="18" t="s">
        <v>35</v>
      </c>
      <c r="J139" s="19"/>
      <c r="K139" s="19">
        <v>0.22950000000000001</v>
      </c>
      <c r="L139" s="19">
        <v>0.22648083599999999</v>
      </c>
      <c r="M139" s="19">
        <v>0.26119999999999999</v>
      </c>
      <c r="N139" s="19">
        <v>0.12</v>
      </c>
      <c r="O139" s="19">
        <v>0.1</v>
      </c>
      <c r="P139" s="19">
        <v>1</v>
      </c>
      <c r="Q139" s="20">
        <v>23463</v>
      </c>
      <c r="R139" s="21" t="str">
        <f>HYPERLINK("https://jicsweb11.nwosu.edu/npc/npcalc.htm", "$14787")</f>
        <v>$14787</v>
      </c>
      <c r="S139" s="20">
        <v>18549</v>
      </c>
      <c r="T139" s="20">
        <v>20273</v>
      </c>
      <c r="U139" s="20">
        <v>4800</v>
      </c>
      <c r="V139" s="20">
        <v>9987.25</v>
      </c>
      <c r="X139" s="19">
        <v>0.3508</v>
      </c>
      <c r="Y139" s="19">
        <v>0.35039999999999999</v>
      </c>
      <c r="AA139" s="18">
        <v>1735</v>
      </c>
    </row>
    <row r="140" spans="1:27" ht="15.75" customHeight="1" x14ac:dyDescent="0.2">
      <c r="A140" s="36" t="str">
        <f>HYPERLINK("https://www.ndnu.edu", "Notre Dame de Namur University")</f>
        <v>Notre Dame de Namur University</v>
      </c>
      <c r="B140" s="18" t="s">
        <v>32</v>
      </c>
      <c r="C140" s="18" t="s">
        <v>68</v>
      </c>
      <c r="D140" s="18" t="s">
        <v>571</v>
      </c>
      <c r="E140" s="18">
        <v>995</v>
      </c>
      <c r="F140" s="18" t="s">
        <v>35</v>
      </c>
      <c r="J140" s="19"/>
      <c r="K140" s="19">
        <v>0.4773</v>
      </c>
      <c r="L140" s="19">
        <v>0.43678160900000002</v>
      </c>
      <c r="M140" s="19">
        <v>0.3846</v>
      </c>
      <c r="N140" s="19">
        <v>0.26669999999999999</v>
      </c>
      <c r="O140" s="19">
        <v>0.48530000000000001</v>
      </c>
      <c r="P140" s="19">
        <v>0.65</v>
      </c>
      <c r="Q140" s="20">
        <v>54354</v>
      </c>
      <c r="R140" s="21" t="str">
        <f>HYPERLINK("https://www.ndnu.edu/financial-aid/net-price-calculator/", "$25489")</f>
        <v>$25489</v>
      </c>
      <c r="S140" s="20">
        <v>25030</v>
      </c>
      <c r="T140" s="20">
        <v>28712</v>
      </c>
      <c r="U140" s="20">
        <v>6502</v>
      </c>
      <c r="V140" s="20">
        <v>18987</v>
      </c>
      <c r="X140" s="19">
        <v>0.42259999999999998</v>
      </c>
      <c r="Y140" s="19">
        <v>0.78029999999999999</v>
      </c>
      <c r="AA140" s="18">
        <v>924</v>
      </c>
    </row>
    <row r="141" spans="1:27" ht="15.75" customHeight="1" x14ac:dyDescent="0.2">
      <c r="A141" s="36" t="str">
        <f>HYPERLINK("https://www.ollusa.edu", "Our Lady of the Lake University")</f>
        <v>Our Lady of the Lake University</v>
      </c>
      <c r="B141" s="18" t="s">
        <v>32</v>
      </c>
      <c r="C141" s="18" t="s">
        <v>146</v>
      </c>
      <c r="D141" s="18" t="s">
        <v>268</v>
      </c>
      <c r="E141" s="18">
        <v>1000</v>
      </c>
      <c r="F141" s="18" t="s">
        <v>35</v>
      </c>
      <c r="J141" s="19"/>
      <c r="K141" s="19">
        <v>0.38269999999999998</v>
      </c>
      <c r="L141" s="19">
        <v>0.40601503799999999</v>
      </c>
      <c r="M141" s="19">
        <v>0.48</v>
      </c>
      <c r="N141" s="19">
        <v>0.3846</v>
      </c>
      <c r="O141" s="19">
        <v>0.40429999999999999</v>
      </c>
      <c r="P141" s="19" t="s">
        <v>36</v>
      </c>
      <c r="Q141" s="20">
        <v>42181</v>
      </c>
      <c r="R141" s="21" t="str">
        <f>HYPERLINK("https://www.ollusa.edu/NetPriceCalculator", "$15662")</f>
        <v>$15662</v>
      </c>
      <c r="S141" s="20">
        <v>20994</v>
      </c>
      <c r="T141" s="20">
        <v>20652</v>
      </c>
      <c r="U141" s="20">
        <v>4500</v>
      </c>
      <c r="V141" s="20">
        <v>11162</v>
      </c>
      <c r="X141" s="19">
        <v>0.58250000000000002</v>
      </c>
      <c r="Y141" s="19">
        <v>0.9</v>
      </c>
      <c r="AA141" s="18">
        <v>1320</v>
      </c>
    </row>
    <row r="142" spans="1:27" ht="15.75" customHeight="1" x14ac:dyDescent="0.2">
      <c r="A142" s="36" t="str">
        <f>HYPERLINK("https://www.paine.edu", "Paine College")</f>
        <v>Paine College</v>
      </c>
      <c r="B142" s="18" t="s">
        <v>32</v>
      </c>
      <c r="C142" s="18" t="s">
        <v>107</v>
      </c>
      <c r="D142" s="18" t="s">
        <v>805</v>
      </c>
      <c r="E142" s="18">
        <v>850</v>
      </c>
      <c r="F142" s="18" t="s">
        <v>35</v>
      </c>
      <c r="J142" s="19"/>
      <c r="K142" s="19">
        <v>0.1585</v>
      </c>
      <c r="L142" s="19">
        <v>0.22978723400000001</v>
      </c>
      <c r="M142" s="19">
        <v>0</v>
      </c>
      <c r="N142" s="19">
        <v>0.16089999999999999</v>
      </c>
      <c r="O142" s="19">
        <v>0.5</v>
      </c>
      <c r="P142" s="19" t="s">
        <v>36</v>
      </c>
      <c r="Q142" s="20">
        <v>24912</v>
      </c>
      <c r="R142" s="21" t="str">
        <f>HYPERLINK("https://npc.collegeboard.org/student/app/paine", "$16538")</f>
        <v>$16538</v>
      </c>
      <c r="S142" s="20">
        <v>17412</v>
      </c>
      <c r="T142" s="20">
        <v>21327</v>
      </c>
      <c r="U142" s="20">
        <v>4024</v>
      </c>
      <c r="V142" s="20">
        <v>12514</v>
      </c>
      <c r="X142" s="19">
        <v>0.39069999999999999</v>
      </c>
      <c r="Y142" s="19">
        <v>0.98319999999999996</v>
      </c>
      <c r="AA142" s="18">
        <v>357</v>
      </c>
    </row>
    <row r="143" spans="1:27" ht="15.75" customHeight="1" x14ac:dyDescent="0.2">
      <c r="A143" s="36" t="str">
        <f>HYPERLINK("https://www.pqc.edu", "Paul Quinn College")</f>
        <v>Paul Quinn College</v>
      </c>
      <c r="B143" s="18" t="s">
        <v>32</v>
      </c>
      <c r="C143" s="18" t="s">
        <v>146</v>
      </c>
      <c r="D143" s="18" t="s">
        <v>152</v>
      </c>
      <c r="E143" s="18">
        <v>843</v>
      </c>
      <c r="F143" s="18" t="s">
        <v>35</v>
      </c>
      <c r="J143" s="19"/>
      <c r="K143" s="19">
        <v>0.1923</v>
      </c>
      <c r="L143" s="19" t="s">
        <v>36</v>
      </c>
      <c r="M143" s="19" t="s">
        <v>36</v>
      </c>
      <c r="N143" s="19">
        <v>0.1905</v>
      </c>
      <c r="O143" s="19">
        <v>0.125</v>
      </c>
      <c r="P143" s="19" t="s">
        <v>36</v>
      </c>
      <c r="Q143" s="20">
        <v>18095</v>
      </c>
      <c r="R143" s="21" t="str">
        <f>HYPERLINK("https://www.pqc.edu/index.php?option=com_content&amp;view=article&amp;id=220&amp;Itemid=239", "$11844")</f>
        <v>$11844</v>
      </c>
      <c r="S143" s="20">
        <v>13284</v>
      </c>
      <c r="T143" s="20" t="s">
        <v>36</v>
      </c>
      <c r="U143" s="20">
        <v>3600</v>
      </c>
      <c r="V143" s="20">
        <v>8244</v>
      </c>
      <c r="X143" s="19">
        <v>0.71789999999999998</v>
      </c>
      <c r="Y143" s="19">
        <v>0.99029999999999996</v>
      </c>
      <c r="AA143" s="18">
        <v>515</v>
      </c>
    </row>
    <row r="144" spans="1:27" ht="15.75" customHeight="1" x14ac:dyDescent="0.2">
      <c r="A144" s="36" t="str">
        <f>HYPERLINK("https://www.peirce.edu", "Peirce College")</f>
        <v>Peirce College</v>
      </c>
      <c r="B144" s="18" t="s">
        <v>32</v>
      </c>
      <c r="C144" s="18" t="s">
        <v>65</v>
      </c>
      <c r="D144" s="18" t="s">
        <v>168</v>
      </c>
      <c r="E144" s="18" t="s">
        <v>36</v>
      </c>
      <c r="F144" s="18" t="s">
        <v>36</v>
      </c>
      <c r="J144" s="19"/>
      <c r="K144" s="19">
        <v>0.20830000000000001</v>
      </c>
      <c r="L144" s="19">
        <v>0.24060150399999999</v>
      </c>
      <c r="M144" s="19">
        <v>0.6</v>
      </c>
      <c r="N144" s="19">
        <v>0.1111</v>
      </c>
      <c r="O144" s="19" t="s">
        <v>36</v>
      </c>
      <c r="P144" s="19" t="s">
        <v>36</v>
      </c>
      <c r="Q144" s="20">
        <v>24636</v>
      </c>
      <c r="R144" s="21" t="str">
        <f>HYPERLINK("https://npc.collegeboard.org/student/app/peirce", "$7980")</f>
        <v>$7980</v>
      </c>
      <c r="S144" s="20">
        <v>7123</v>
      </c>
      <c r="T144" s="20">
        <v>13366</v>
      </c>
      <c r="U144" s="20">
        <v>3200</v>
      </c>
      <c r="V144" s="20">
        <v>4780</v>
      </c>
      <c r="X144" s="19">
        <v>0.60229999999999995</v>
      </c>
      <c r="Y144" s="19">
        <v>0.81899999999999995</v>
      </c>
      <c r="AA144" s="18">
        <v>1381</v>
      </c>
    </row>
    <row r="145" spans="1:27" ht="15.75" customHeight="1" x14ac:dyDescent="0.2">
      <c r="A145" s="36" t="str">
        <f>HYPERLINK("https://www.peru.edu", "Peru State College")</f>
        <v>Peru State College</v>
      </c>
      <c r="B145" s="18" t="s">
        <v>49</v>
      </c>
      <c r="C145" s="18" t="s">
        <v>341</v>
      </c>
      <c r="D145" s="18" t="s">
        <v>809</v>
      </c>
      <c r="E145" s="18" t="s">
        <v>36</v>
      </c>
      <c r="F145" s="18" t="s">
        <v>36</v>
      </c>
      <c r="J145" s="19"/>
      <c r="K145" s="19">
        <v>0.36049999999999999</v>
      </c>
      <c r="L145" s="19">
        <v>0.35675675699999998</v>
      </c>
      <c r="M145" s="19">
        <v>0.38059999999999999</v>
      </c>
      <c r="N145" s="19">
        <v>9.0899999999999995E-2</v>
      </c>
      <c r="O145" s="19">
        <v>0.5</v>
      </c>
      <c r="P145" s="19">
        <v>0.5</v>
      </c>
      <c r="Q145" s="20">
        <v>19052</v>
      </c>
      <c r="R145" s="21" t="str">
        <f>HYPERLINK("https://www.peru.edu/ccc/npcalc.htm", "$12375")</f>
        <v>$12375</v>
      </c>
      <c r="S145" s="20">
        <v>14239</v>
      </c>
      <c r="T145" s="20">
        <v>16497</v>
      </c>
      <c r="U145" s="20">
        <v>3984</v>
      </c>
      <c r="V145" s="20">
        <v>8391.7999999999993</v>
      </c>
      <c r="X145" s="19">
        <v>0.30180000000000001</v>
      </c>
      <c r="Y145" s="19">
        <v>0.23630000000000001</v>
      </c>
      <c r="AA145" s="18">
        <v>1388</v>
      </c>
    </row>
    <row r="146" spans="1:27" ht="15.75" customHeight="1" x14ac:dyDescent="0.2">
      <c r="A146" s="36" t="str">
        <f>HYPERLINK("https://www.philander.edu", "Philander Smith College")</f>
        <v>Philander Smith College</v>
      </c>
      <c r="B146" s="18" t="s">
        <v>32</v>
      </c>
      <c r="C146" s="18" t="s">
        <v>371</v>
      </c>
      <c r="D146" s="18" t="s">
        <v>810</v>
      </c>
      <c r="E146" s="18" t="s">
        <v>36</v>
      </c>
      <c r="F146" s="18" t="s">
        <v>36</v>
      </c>
      <c r="J146" s="19"/>
      <c r="K146" s="19">
        <v>0.30320000000000003</v>
      </c>
      <c r="L146" s="19">
        <v>0.35668789799999989</v>
      </c>
      <c r="M146" s="19" t="s">
        <v>36</v>
      </c>
      <c r="N146" s="19">
        <v>0.28960000000000002</v>
      </c>
      <c r="O146" s="19" t="s">
        <v>36</v>
      </c>
      <c r="P146" s="19" t="s">
        <v>36</v>
      </c>
      <c r="Q146" s="20">
        <v>25390</v>
      </c>
      <c r="R146" s="21" t="str">
        <f>HYPERLINK("https://www.philander.edu/netpricecalculator", "$16433")</f>
        <v>$16433</v>
      </c>
      <c r="S146" s="20">
        <v>16133</v>
      </c>
      <c r="T146" s="20">
        <v>19393</v>
      </c>
      <c r="U146" s="20">
        <v>4426</v>
      </c>
      <c r="V146" s="20">
        <v>12007</v>
      </c>
      <c r="X146" s="19">
        <v>0.81179999999999997</v>
      </c>
      <c r="Y146" s="19">
        <v>0.99439999999999995</v>
      </c>
      <c r="AA146" s="18">
        <v>887</v>
      </c>
    </row>
    <row r="147" spans="1:27" ht="15.75" customHeight="1" x14ac:dyDescent="0.2">
      <c r="A147" s="36" t="str">
        <f>HYPERLINK("https://www.pmc.edu", "Pine Manor College")</f>
        <v>Pine Manor College</v>
      </c>
      <c r="B147" s="18" t="s">
        <v>32</v>
      </c>
      <c r="C147" s="18" t="s">
        <v>33</v>
      </c>
      <c r="D147" s="18" t="s">
        <v>54</v>
      </c>
      <c r="E147" s="18" t="s">
        <v>36</v>
      </c>
      <c r="F147" s="18" t="s">
        <v>45</v>
      </c>
      <c r="J147" s="19"/>
      <c r="K147" s="19">
        <v>0.25369999999999998</v>
      </c>
      <c r="L147" s="19">
        <v>0.25</v>
      </c>
      <c r="M147" s="19">
        <v>0</v>
      </c>
      <c r="N147" s="19">
        <v>0.375</v>
      </c>
      <c r="O147" s="19">
        <v>0.45450000000000002</v>
      </c>
      <c r="P147" s="19">
        <v>0</v>
      </c>
      <c r="Q147" s="20">
        <v>47090</v>
      </c>
      <c r="R147" s="21" t="str">
        <f>HYPERLINK("https://www.pmc.edu/websites/pmc/np/npcalc.htm", "$19940")</f>
        <v>$19940</v>
      </c>
      <c r="S147" s="20">
        <v>21968</v>
      </c>
      <c r="T147" s="20">
        <v>23537</v>
      </c>
      <c r="U147" s="20">
        <v>2800</v>
      </c>
      <c r="V147" s="20">
        <v>17140</v>
      </c>
      <c r="X147" s="19">
        <v>0.48370000000000002</v>
      </c>
      <c r="Y147" s="19">
        <v>0.91369999999999996</v>
      </c>
      <c r="AA147" s="18">
        <v>255</v>
      </c>
    </row>
    <row r="148" spans="1:27" ht="15.75" customHeight="1" x14ac:dyDescent="0.2">
      <c r="A148" s="36" t="str">
        <f>HYPERLINK("https://www.pvamu.edu", "Prairie View A &amp; M University")</f>
        <v>Prairie View A &amp; M University</v>
      </c>
      <c r="B148" s="18" t="s">
        <v>49</v>
      </c>
      <c r="C148" s="18" t="s">
        <v>146</v>
      </c>
      <c r="D148" s="18" t="s">
        <v>812</v>
      </c>
      <c r="E148" s="18">
        <v>956</v>
      </c>
      <c r="F148" s="18" t="s">
        <v>35</v>
      </c>
      <c r="J148" s="19"/>
      <c r="K148" s="19">
        <v>0.34789999999999999</v>
      </c>
      <c r="L148" s="19">
        <v>0.32764811500000002</v>
      </c>
      <c r="M148" s="19">
        <v>0.5</v>
      </c>
      <c r="N148" s="19">
        <v>0.34460000000000002</v>
      </c>
      <c r="O148" s="19">
        <v>0.33329999999999999</v>
      </c>
      <c r="P148" s="19">
        <v>1</v>
      </c>
      <c r="Q148" s="20">
        <v>37279</v>
      </c>
      <c r="R148" s="21" t="str">
        <f>HYPERLINK("https://www.collegeforalltexans.com/apps/CollegeMoney/", "$23687")</f>
        <v>$23687</v>
      </c>
      <c r="S148" s="20">
        <v>28791</v>
      </c>
      <c r="T148" s="20">
        <v>32762</v>
      </c>
      <c r="U148" s="20">
        <v>5389</v>
      </c>
      <c r="V148" s="20">
        <v>18298.316141356259</v>
      </c>
      <c r="X148" s="19">
        <v>0.64690000000000003</v>
      </c>
      <c r="Y148" s="19">
        <v>0.98170000000000002</v>
      </c>
      <c r="AA148" s="18">
        <v>7975</v>
      </c>
    </row>
    <row r="149" spans="1:27" ht="15.75" customHeight="1" x14ac:dyDescent="0.2">
      <c r="A149" s="36" t="str">
        <f>HYPERLINK("https://www.presentation.edu", "Presentation College")</f>
        <v>Presentation College</v>
      </c>
      <c r="B149" s="18" t="s">
        <v>32</v>
      </c>
      <c r="C149" s="18" t="s">
        <v>302</v>
      </c>
      <c r="D149" s="18" t="s">
        <v>814</v>
      </c>
      <c r="E149" s="18">
        <v>1019</v>
      </c>
      <c r="F149" s="18" t="s">
        <v>35</v>
      </c>
      <c r="J149" s="19"/>
      <c r="K149" s="19">
        <v>0.2727</v>
      </c>
      <c r="L149" s="19">
        <v>0.46153846199999998</v>
      </c>
      <c r="M149" s="19">
        <v>0.4</v>
      </c>
      <c r="N149" s="19">
        <v>7.1400000000000005E-2</v>
      </c>
      <c r="O149" s="19">
        <v>0</v>
      </c>
      <c r="P149" s="19">
        <v>0.5</v>
      </c>
      <c r="Q149" s="20">
        <v>32855</v>
      </c>
      <c r="R149" s="21" t="str">
        <f>HYPERLINK("https://www.presentation.edu/tuition-aid/net-price-calculators/", "$16600")</f>
        <v>$16600</v>
      </c>
      <c r="S149" s="20">
        <v>19915</v>
      </c>
      <c r="T149" s="20">
        <v>20659</v>
      </c>
      <c r="U149" s="20">
        <v>3900</v>
      </c>
      <c r="V149" s="20">
        <v>12700</v>
      </c>
      <c r="X149" s="19">
        <v>0.40439999999999998</v>
      </c>
      <c r="Y149" s="19">
        <v>0.31109999999999999</v>
      </c>
      <c r="AA149" s="18">
        <v>749</v>
      </c>
    </row>
    <row r="150" spans="1:27" ht="15.75" customHeight="1" x14ac:dyDescent="0.2">
      <c r="A150" s="36" t="str">
        <f>HYPERLINK("https://www.pfw.edu", "Indiana University-Purdue University-Fort Wayne")</f>
        <v>Indiana University-Purdue University-Fort Wayne</v>
      </c>
      <c r="B150" s="18" t="s">
        <v>49</v>
      </c>
      <c r="C150" s="18" t="s">
        <v>148</v>
      </c>
      <c r="D150" s="18" t="s">
        <v>815</v>
      </c>
      <c r="E150" s="18">
        <v>1074</v>
      </c>
      <c r="F150" s="18" t="s">
        <v>35</v>
      </c>
      <c r="J150" s="19"/>
      <c r="K150" s="19">
        <v>0.31640000000000001</v>
      </c>
      <c r="L150" s="19">
        <v>0.22644067800000001</v>
      </c>
      <c r="M150" s="19">
        <v>0.34179999999999999</v>
      </c>
      <c r="N150" s="19">
        <v>0.11260000000000001</v>
      </c>
      <c r="O150" s="19">
        <v>0.30170000000000002</v>
      </c>
      <c r="P150" s="19">
        <v>0.33329999999999999</v>
      </c>
      <c r="Q150" s="20">
        <v>33476</v>
      </c>
      <c r="R150" s="21" t="str">
        <f>HYPERLINK("https://www.pfw.edu/offices/financial-aid/calculator/", "$24167")</f>
        <v>$24167</v>
      </c>
      <c r="S150" s="20">
        <v>28794</v>
      </c>
      <c r="T150" s="20">
        <v>31468</v>
      </c>
      <c r="U150" s="20">
        <v>4126</v>
      </c>
      <c r="V150" s="20">
        <v>20041.44025157233</v>
      </c>
      <c r="X150" s="19">
        <v>0.28260000000000002</v>
      </c>
      <c r="Y150" s="19">
        <v>0.21160000000000001</v>
      </c>
      <c r="AA150" s="18">
        <v>7708</v>
      </c>
    </row>
    <row r="151" spans="1:27" ht="15.75" customHeight="1" x14ac:dyDescent="0.2">
      <c r="A151" s="36" t="str">
        <f>HYPERLINK("https://www.purdueglobal.edu/campus-locations/augusta-maine/", "Kaplan University-Augusta Campus")</f>
        <v>Kaplan University-Augusta Campus</v>
      </c>
      <c r="B151" s="18" t="s">
        <v>368</v>
      </c>
      <c r="C151" s="18" t="s">
        <v>43</v>
      </c>
      <c r="D151" s="18" t="s">
        <v>805</v>
      </c>
      <c r="E151" s="18" t="s">
        <v>36</v>
      </c>
      <c r="F151" s="18" t="s">
        <v>36</v>
      </c>
      <c r="J151" s="19"/>
      <c r="K151" s="19" t="s">
        <v>36</v>
      </c>
      <c r="L151" s="19">
        <v>0.19588919599999999</v>
      </c>
      <c r="M151" s="19" t="s">
        <v>36</v>
      </c>
      <c r="N151" s="19" t="s">
        <v>36</v>
      </c>
      <c r="O151" s="19" t="s">
        <v>36</v>
      </c>
      <c r="P151" s="19" t="s">
        <v>36</v>
      </c>
      <c r="Q151" s="20">
        <v>20624</v>
      </c>
      <c r="R151" s="21" t="str">
        <f>HYPERLINK("https://www.purdueglobal.edu/tuition-financial-aid/tuition-reduction/net-price-calculator/", "$14686")</f>
        <v>$14686</v>
      </c>
      <c r="S151" s="20" t="s">
        <v>36</v>
      </c>
      <c r="T151" s="20" t="s">
        <v>36</v>
      </c>
      <c r="U151" s="20">
        <v>3189</v>
      </c>
      <c r="V151" s="20">
        <v>11497</v>
      </c>
      <c r="X151" s="19">
        <v>0.62390000000000001</v>
      </c>
      <c r="Y151" s="19">
        <v>0.12180000000000001</v>
      </c>
      <c r="AA151" s="18">
        <v>427</v>
      </c>
    </row>
    <row r="152" spans="1:27" ht="15.75" customHeight="1" x14ac:dyDescent="0.2">
      <c r="A152" s="36" t="str">
        <f>HYPERLINK("https://www.purdueglobal.edu/campus-locations/davenport-iowa/", "Kaplan University-Davenport Campus")</f>
        <v>Kaplan University-Davenport Campus</v>
      </c>
      <c r="B152" s="18" t="s">
        <v>368</v>
      </c>
      <c r="C152" s="18" t="s">
        <v>211</v>
      </c>
      <c r="D152" s="18" t="s">
        <v>818</v>
      </c>
      <c r="E152" s="18" t="s">
        <v>36</v>
      </c>
      <c r="F152" s="18" t="s">
        <v>36</v>
      </c>
      <c r="J152" s="19"/>
      <c r="K152" s="19">
        <v>0.3947</v>
      </c>
      <c r="L152" s="19">
        <v>0.19588919599999999</v>
      </c>
      <c r="M152" s="19">
        <v>0.3871</v>
      </c>
      <c r="N152" s="19">
        <v>0.25</v>
      </c>
      <c r="O152" s="19">
        <v>0.66669999999999996</v>
      </c>
      <c r="P152" s="19" t="s">
        <v>36</v>
      </c>
      <c r="Q152" s="20">
        <v>21413</v>
      </c>
      <c r="R152" s="21" t="str">
        <f>HYPERLINK("https://www.purdueglobal.edu/tuition-financial-aid/tuition-reduction/net-price-calculator/", "$15578")</f>
        <v>$15578</v>
      </c>
      <c r="S152" s="20" t="s">
        <v>36</v>
      </c>
      <c r="T152" s="20" t="s">
        <v>36</v>
      </c>
      <c r="U152" s="20">
        <v>3190</v>
      </c>
      <c r="V152" s="20">
        <v>12388</v>
      </c>
      <c r="X152" s="19">
        <v>0.58279999999999998</v>
      </c>
      <c r="Y152" s="19">
        <v>0.51100000000000001</v>
      </c>
      <c r="AA152" s="18">
        <v>25237</v>
      </c>
    </row>
    <row r="153" spans="1:27" ht="15.75" customHeight="1" x14ac:dyDescent="0.2">
      <c r="A153" s="36" t="str">
        <f>HYPERLINK("https://www.purdueglobal.edu/campus-locations/hagerstown-maryland/", "Kaplan University-Hagerstown Campus")</f>
        <v>Kaplan University-Hagerstown Campus</v>
      </c>
      <c r="B153" s="18" t="s">
        <v>368</v>
      </c>
      <c r="C153" s="18" t="s">
        <v>124</v>
      </c>
      <c r="D153" s="18" t="s">
        <v>820</v>
      </c>
      <c r="E153" s="18" t="s">
        <v>36</v>
      </c>
      <c r="F153" s="18" t="s">
        <v>36</v>
      </c>
      <c r="J153" s="19"/>
      <c r="K153" s="19">
        <v>0</v>
      </c>
      <c r="L153" s="19">
        <v>0.19588919599999999</v>
      </c>
      <c r="M153" s="19">
        <v>0</v>
      </c>
      <c r="N153" s="19" t="s">
        <v>36</v>
      </c>
      <c r="O153" s="19" t="s">
        <v>36</v>
      </c>
      <c r="P153" s="19" t="s">
        <v>36</v>
      </c>
      <c r="Q153" s="20">
        <v>22412</v>
      </c>
      <c r="R153" s="21" t="str">
        <f t="shared" ref="R153:R155" si="0">HYPERLINK("https://www.purdueglobal.edu/tuition-financial-aid/tuition-reduction/net-price-calculator/", "Not reported")</f>
        <v>Not reported</v>
      </c>
      <c r="S153" s="20" t="s">
        <v>36</v>
      </c>
      <c r="T153" s="20" t="s">
        <v>36</v>
      </c>
      <c r="U153" s="20">
        <v>3189</v>
      </c>
      <c r="V153" s="20" t="s">
        <v>36</v>
      </c>
      <c r="X153" s="19">
        <v>0.69110000000000005</v>
      </c>
      <c r="Y153" s="19">
        <v>0.37230000000000002</v>
      </c>
      <c r="AA153" s="18">
        <v>470</v>
      </c>
    </row>
    <row r="154" spans="1:27" ht="15.75" customHeight="1" x14ac:dyDescent="0.2">
      <c r="A154" s="36" t="str">
        <f>HYPERLINK("https://www.purdueglobal.edu/campus-locations/lewiston-maine/", "Kaplan University-Maine Campus")</f>
        <v>Kaplan University-Maine Campus</v>
      </c>
      <c r="B154" s="18" t="s">
        <v>368</v>
      </c>
      <c r="C154" s="18" t="s">
        <v>43</v>
      </c>
      <c r="D154" s="18" t="s">
        <v>44</v>
      </c>
      <c r="E154" s="18" t="s">
        <v>36</v>
      </c>
      <c r="F154" s="18" t="s">
        <v>36</v>
      </c>
      <c r="J154" s="19"/>
      <c r="K154" s="19">
        <v>0.2712</v>
      </c>
      <c r="L154" s="19">
        <v>0.19588919599999999</v>
      </c>
      <c r="M154" s="19">
        <v>0.28070000000000001</v>
      </c>
      <c r="N154" s="19">
        <v>0</v>
      </c>
      <c r="O154" s="19" t="s">
        <v>36</v>
      </c>
      <c r="P154" s="19" t="s">
        <v>36</v>
      </c>
      <c r="Q154" s="20">
        <v>20624</v>
      </c>
      <c r="R154" s="21" t="str">
        <f t="shared" si="0"/>
        <v>Not reported</v>
      </c>
      <c r="S154" s="20" t="s">
        <v>36</v>
      </c>
      <c r="T154" s="20" t="s">
        <v>36</v>
      </c>
      <c r="U154" s="20">
        <v>3189</v>
      </c>
      <c r="V154" s="20" t="s">
        <v>36</v>
      </c>
      <c r="X154" s="19">
        <v>0.59950000000000003</v>
      </c>
      <c r="Y154" s="19">
        <v>0.2382</v>
      </c>
      <c r="AA154" s="18">
        <v>508</v>
      </c>
    </row>
    <row r="155" spans="1:27" ht="15.75" customHeight="1" x14ac:dyDescent="0.2">
      <c r="A155" s="36" t="str">
        <f>HYPERLINK("https://www.purdueglobal.edu/campus-locations/lincoln-nebraska/", "Kaplan University-Lincoln Campus")</f>
        <v>Kaplan University-Lincoln Campus</v>
      </c>
      <c r="B155" s="18" t="s">
        <v>368</v>
      </c>
      <c r="C155" s="18" t="s">
        <v>341</v>
      </c>
      <c r="D155" s="18" t="s">
        <v>516</v>
      </c>
      <c r="E155" s="18" t="s">
        <v>36</v>
      </c>
      <c r="F155" s="18" t="s">
        <v>36</v>
      </c>
      <c r="J155" s="19"/>
      <c r="K155" s="19">
        <v>0.31580000000000003</v>
      </c>
      <c r="L155" s="19">
        <v>0.19588919599999999</v>
      </c>
      <c r="M155" s="19">
        <v>0.35289999999999999</v>
      </c>
      <c r="N155" s="19" t="s">
        <v>36</v>
      </c>
      <c r="O155" s="19" t="s">
        <v>36</v>
      </c>
      <c r="P155" s="19" t="s">
        <v>36</v>
      </c>
      <c r="Q155" s="20">
        <v>23502</v>
      </c>
      <c r="R155" s="21" t="str">
        <f t="shared" si="0"/>
        <v>Not reported</v>
      </c>
      <c r="S155" s="20" t="s">
        <v>36</v>
      </c>
      <c r="T155" s="20" t="s">
        <v>36</v>
      </c>
      <c r="U155" s="20">
        <v>3190</v>
      </c>
      <c r="V155" s="20" t="s">
        <v>36</v>
      </c>
      <c r="X155" s="19">
        <v>0.6532</v>
      </c>
      <c r="Y155" s="19">
        <v>0.31490000000000001</v>
      </c>
      <c r="AA155" s="18">
        <v>235</v>
      </c>
    </row>
    <row r="156" spans="1:27" ht="15.75" customHeight="1" x14ac:dyDescent="0.2">
      <c r="A156" s="36" t="str">
        <f>HYPERLINK("https://www.purdueglobal.edu/campus-locations/omaha-nebraska/", "Kaplan University-Omaha Campus")</f>
        <v>Kaplan University-Omaha Campus</v>
      </c>
      <c r="B156" s="18" t="s">
        <v>368</v>
      </c>
      <c r="C156" s="18" t="s">
        <v>341</v>
      </c>
      <c r="D156" s="18" t="s">
        <v>345</v>
      </c>
      <c r="E156" s="18" t="s">
        <v>36</v>
      </c>
      <c r="F156" s="18" t="s">
        <v>36</v>
      </c>
      <c r="J156" s="19"/>
      <c r="K156" s="19">
        <v>0.25</v>
      </c>
      <c r="L156" s="19">
        <v>0.19588919599999999</v>
      </c>
      <c r="M156" s="19">
        <v>0.2</v>
      </c>
      <c r="N156" s="19">
        <v>0.1111</v>
      </c>
      <c r="O156" s="19">
        <v>0.66669999999999996</v>
      </c>
      <c r="P156" s="19" t="s">
        <v>36</v>
      </c>
      <c r="Q156" s="20">
        <v>23502</v>
      </c>
      <c r="R156" s="21" t="str">
        <f>HYPERLINK("https://www.purdueglobal.edu/tuition-financial-aid/tuition-reduction/net-price-calculator/", "$19569")</f>
        <v>$19569</v>
      </c>
      <c r="S156" s="20" t="s">
        <v>36</v>
      </c>
      <c r="T156" s="20" t="s">
        <v>36</v>
      </c>
      <c r="U156" s="20">
        <v>3190</v>
      </c>
      <c r="V156" s="20">
        <v>16379</v>
      </c>
      <c r="X156" s="19">
        <v>0.71919999999999995</v>
      </c>
      <c r="Y156" s="19">
        <v>0.50990000000000002</v>
      </c>
      <c r="AA156" s="18">
        <v>355</v>
      </c>
    </row>
    <row r="157" spans="1:27" ht="15.75" customHeight="1" x14ac:dyDescent="0.2">
      <c r="A157" s="36" t="str">
        <f>HYPERLINK("https://www.pnw.edu", "Purdue University-Calumet Campus")</f>
        <v>Purdue University-Calumet Campus</v>
      </c>
      <c r="B157" s="18" t="s">
        <v>49</v>
      </c>
      <c r="C157" s="18" t="s">
        <v>148</v>
      </c>
      <c r="D157" s="18" t="s">
        <v>823</v>
      </c>
      <c r="E157" s="18">
        <v>1082</v>
      </c>
      <c r="F157" s="18" t="s">
        <v>35</v>
      </c>
      <c r="J157" s="19"/>
      <c r="K157" s="19">
        <v>0.34439999999999998</v>
      </c>
      <c r="L157" s="19" t="s">
        <v>36</v>
      </c>
      <c r="M157" s="19">
        <v>0.37230000000000002</v>
      </c>
      <c r="N157" s="19">
        <v>0.1565</v>
      </c>
      <c r="O157" s="19">
        <v>0.33939999999999998</v>
      </c>
      <c r="P157" s="19">
        <v>0.2727</v>
      </c>
      <c r="Q157" s="20">
        <v>32094</v>
      </c>
      <c r="R157" s="21" t="str">
        <f>HYPERLINK("https://admissions.pnw.edu/financial-aid/net-price-calculators/", "$23107")</f>
        <v>$23107</v>
      </c>
      <c r="S157" s="20">
        <v>28131</v>
      </c>
      <c r="T157" s="20">
        <v>30424</v>
      </c>
      <c r="U157" s="20">
        <v>7368</v>
      </c>
      <c r="V157" s="20">
        <v>15739.310850439881</v>
      </c>
      <c r="X157" s="19">
        <v>0.245</v>
      </c>
      <c r="Y157" s="19">
        <v>0.38629999999999998</v>
      </c>
      <c r="AA157" s="18">
        <v>8665</v>
      </c>
    </row>
    <row r="158" spans="1:27" ht="15.75" customHeight="1" x14ac:dyDescent="0.2">
      <c r="A158" s="36" t="str">
        <f>HYPERLINK("https://www.quincy.edu", "Quincy University")</f>
        <v>Quincy University</v>
      </c>
      <c r="B158" s="18" t="s">
        <v>32</v>
      </c>
      <c r="C158" s="18" t="s">
        <v>137</v>
      </c>
      <c r="D158" s="18" t="s">
        <v>716</v>
      </c>
      <c r="E158" s="18">
        <v>1082</v>
      </c>
      <c r="F158" s="18" t="s">
        <v>35</v>
      </c>
      <c r="J158" s="19"/>
      <c r="K158" s="19">
        <v>0.45650000000000002</v>
      </c>
      <c r="L158" s="19">
        <v>0.417218543</v>
      </c>
      <c r="M158" s="19">
        <v>0.4551</v>
      </c>
      <c r="N158" s="19">
        <v>0.41670000000000001</v>
      </c>
      <c r="O158" s="19">
        <v>0.21049999999999999</v>
      </c>
      <c r="P158" s="19">
        <v>1</v>
      </c>
      <c r="Q158" s="20">
        <v>41670</v>
      </c>
      <c r="R158" s="21" t="str">
        <f>HYPERLINK("https://www.quincy.edu/admissions/net-price-calculator/", "$15383")</f>
        <v>$15383</v>
      </c>
      <c r="S158" s="20">
        <v>15138</v>
      </c>
      <c r="T158" s="20">
        <v>18351</v>
      </c>
      <c r="U158" s="20">
        <v>3400</v>
      </c>
      <c r="V158" s="20">
        <v>11983</v>
      </c>
      <c r="X158" s="19">
        <v>0.32469999999999999</v>
      </c>
      <c r="Y158" s="19">
        <v>0.32850000000000001</v>
      </c>
      <c r="AA158" s="18">
        <v>898</v>
      </c>
    </row>
    <row r="159" spans="1:27" ht="15.75" customHeight="1" x14ac:dyDescent="0.2">
      <c r="A159" s="36" t="str">
        <f>HYPERLINK("https://www.regiscollege.edu", "Regis College")</f>
        <v>Regis College</v>
      </c>
      <c r="B159" s="18" t="s">
        <v>32</v>
      </c>
      <c r="C159" s="18" t="s">
        <v>33</v>
      </c>
      <c r="D159" s="18" t="s">
        <v>825</v>
      </c>
      <c r="E159" s="18" t="s">
        <v>36</v>
      </c>
      <c r="F159" s="18" t="s">
        <v>90</v>
      </c>
      <c r="J159" s="19"/>
      <c r="K159" s="19">
        <v>0.46410000000000001</v>
      </c>
      <c r="L159" s="19">
        <v>0.36842105299999989</v>
      </c>
      <c r="M159" s="19">
        <v>0.43440000000000001</v>
      </c>
      <c r="N159" s="19">
        <v>0.62749999999999995</v>
      </c>
      <c r="O159" s="19">
        <v>0.34379999999999999</v>
      </c>
      <c r="P159" s="19">
        <v>0.5625</v>
      </c>
      <c r="Q159" s="20">
        <v>57625</v>
      </c>
      <c r="R159" s="21" t="str">
        <f>HYPERLINK("https://regiscollege.studentaidcalculator.com/survey.aspx", "$23442")</f>
        <v>$23442</v>
      </c>
      <c r="S159" s="20">
        <v>25688</v>
      </c>
      <c r="T159" s="20">
        <v>29431</v>
      </c>
      <c r="U159" s="20">
        <v>3065</v>
      </c>
      <c r="V159" s="20">
        <v>20377</v>
      </c>
      <c r="X159" s="19">
        <v>0.29520000000000002</v>
      </c>
      <c r="Y159" s="19">
        <v>0.49840000000000001</v>
      </c>
      <c r="AA159" s="18">
        <v>965</v>
      </c>
    </row>
    <row r="160" spans="1:27" ht="15.75" customHeight="1" x14ac:dyDescent="0.2">
      <c r="A160" s="36" t="str">
        <f>HYPERLINK("https://www.ric.edu", "Rhode Island College")</f>
        <v>Rhode Island College</v>
      </c>
      <c r="B160" s="18" t="s">
        <v>49</v>
      </c>
      <c r="C160" s="18" t="s">
        <v>63</v>
      </c>
      <c r="D160" s="18" t="s">
        <v>64</v>
      </c>
      <c r="E160" s="18">
        <v>984</v>
      </c>
      <c r="F160" s="18" t="s">
        <v>35</v>
      </c>
      <c r="J160" s="19"/>
      <c r="K160" s="19">
        <v>0.46189999999999998</v>
      </c>
      <c r="L160" s="19">
        <v>0.39650145799999997</v>
      </c>
      <c r="M160" s="19">
        <v>0.48880000000000001</v>
      </c>
      <c r="N160" s="19">
        <v>0.2727</v>
      </c>
      <c r="O160" s="19">
        <v>0.46600000000000003</v>
      </c>
      <c r="P160" s="19">
        <v>0.43480000000000002</v>
      </c>
      <c r="Q160" s="20">
        <v>35465</v>
      </c>
      <c r="R160" s="21" t="str">
        <f>HYPERLINK("https://www.ric.edu/financialaid/Pages/npcalc.aspx", "$27540")</f>
        <v>$27540</v>
      </c>
      <c r="S160" s="20">
        <v>30748</v>
      </c>
      <c r="T160" s="20">
        <v>33707</v>
      </c>
      <c r="U160" s="20">
        <v>2640</v>
      </c>
      <c r="V160" s="20">
        <v>24900.333333333328</v>
      </c>
      <c r="X160" s="19">
        <v>0.42130000000000001</v>
      </c>
      <c r="Y160" s="19">
        <v>0.41670000000000001</v>
      </c>
      <c r="AA160" s="18">
        <v>6900</v>
      </c>
    </row>
    <row r="161" spans="1:27" ht="15.75" customHeight="1" x14ac:dyDescent="0.2">
      <c r="A161" s="36" t="str">
        <f>HYPERLINK("https://www.francis.edu", "Saint Francis University")</f>
        <v>Saint Francis University</v>
      </c>
      <c r="B161" s="18" t="s">
        <v>32</v>
      </c>
      <c r="C161" s="18" t="s">
        <v>65</v>
      </c>
      <c r="D161" s="18" t="s">
        <v>829</v>
      </c>
      <c r="E161" s="18">
        <v>1147</v>
      </c>
      <c r="F161" s="18" t="s">
        <v>35</v>
      </c>
      <c r="J161" s="19"/>
      <c r="K161" s="19">
        <v>0.63570000000000004</v>
      </c>
      <c r="L161" s="19">
        <v>0.45161290300000001</v>
      </c>
      <c r="M161" s="19">
        <v>0.68169999999999997</v>
      </c>
      <c r="N161" s="19">
        <v>0.3654</v>
      </c>
      <c r="O161" s="19">
        <v>0.625</v>
      </c>
      <c r="P161" s="19">
        <v>1</v>
      </c>
      <c r="Q161" s="20">
        <v>51994</v>
      </c>
      <c r="R161" s="21" t="str">
        <f>HYPERLINK("https://www.francis.edu/tuition-calculator", "$20795")</f>
        <v>$20795</v>
      </c>
      <c r="S161" s="20">
        <v>23137</v>
      </c>
      <c r="T161" s="20">
        <v>27164</v>
      </c>
      <c r="U161" s="20">
        <v>5000</v>
      </c>
      <c r="V161" s="20">
        <v>15795</v>
      </c>
      <c r="X161" s="19">
        <v>0.1953</v>
      </c>
      <c r="Y161" s="19">
        <v>0.1729999999999999</v>
      </c>
      <c r="AA161" s="18">
        <v>1676</v>
      </c>
    </row>
    <row r="162" spans="1:27" ht="15.75" customHeight="1" x14ac:dyDescent="0.2">
      <c r="A162" s="36" t="str">
        <f>HYPERLINK("https://www.salemstate.edu", "Salem State University")</f>
        <v>Salem State University</v>
      </c>
      <c r="B162" s="18" t="s">
        <v>49</v>
      </c>
      <c r="C162" s="18" t="s">
        <v>33</v>
      </c>
      <c r="D162" s="18" t="s">
        <v>343</v>
      </c>
      <c r="E162" s="18">
        <v>1066</v>
      </c>
      <c r="F162" s="18" t="s">
        <v>115</v>
      </c>
      <c r="J162" s="19"/>
      <c r="K162" s="19">
        <v>0.52129999999999999</v>
      </c>
      <c r="L162" s="19">
        <v>0.51505016700000006</v>
      </c>
      <c r="M162" s="19">
        <v>0.53339999999999999</v>
      </c>
      <c r="N162" s="19">
        <v>0.52939999999999998</v>
      </c>
      <c r="O162" s="19">
        <v>0.44719999999999999</v>
      </c>
      <c r="P162" s="19">
        <v>0.66669999999999996</v>
      </c>
      <c r="Q162" s="20">
        <v>32652</v>
      </c>
      <c r="R162" s="21" t="str">
        <f>HYPERLINK("https://www.salemstate.edu/campus-life/student-navigation-center/financial-aid/net-price-calculator", "$23114")</f>
        <v>$23114</v>
      </c>
      <c r="S162" s="20">
        <v>27829</v>
      </c>
      <c r="T162" s="20">
        <v>30380</v>
      </c>
      <c r="U162" s="20">
        <v>2946</v>
      </c>
      <c r="V162" s="20">
        <v>20168.151595744679</v>
      </c>
      <c r="X162" s="19">
        <v>0.35759999999999997</v>
      </c>
      <c r="Y162" s="19">
        <v>0.36969999999999997</v>
      </c>
      <c r="AA162" s="18">
        <v>6776</v>
      </c>
    </row>
    <row r="163" spans="1:27" ht="15.75" customHeight="1" x14ac:dyDescent="0.2">
      <c r="A163" s="36" t="str">
        <f>HYPERLINK("https://www.shawu.edu", "Shaw University")</f>
        <v>Shaw University</v>
      </c>
      <c r="B163" s="18" t="s">
        <v>32</v>
      </c>
      <c r="C163" s="18" t="s">
        <v>103</v>
      </c>
      <c r="D163" s="18" t="s">
        <v>236</v>
      </c>
      <c r="E163" s="18" t="s">
        <v>36</v>
      </c>
      <c r="F163" s="18" t="s">
        <v>90</v>
      </c>
      <c r="J163" s="19"/>
      <c r="K163" s="19">
        <v>0.1764</v>
      </c>
      <c r="L163" s="19">
        <v>0.28452579</v>
      </c>
      <c r="M163" s="19">
        <v>0</v>
      </c>
      <c r="N163" s="19">
        <v>0.1789</v>
      </c>
      <c r="O163" s="19">
        <v>0</v>
      </c>
      <c r="P163" s="19">
        <v>0</v>
      </c>
      <c r="Q163" s="20">
        <v>29378</v>
      </c>
      <c r="R163" s="21" t="str">
        <f>HYPERLINK("https://www.shawu.edu/Net_Price_Calculator/", "$17905")</f>
        <v>$17905</v>
      </c>
      <c r="S163" s="20">
        <v>21400</v>
      </c>
      <c r="T163" s="20">
        <v>23961</v>
      </c>
      <c r="U163" s="20">
        <v>4740</v>
      </c>
      <c r="V163" s="20">
        <v>13165</v>
      </c>
      <c r="X163" s="19">
        <v>0.81730000000000003</v>
      </c>
      <c r="Y163" s="19">
        <v>0.97860000000000003</v>
      </c>
      <c r="AA163" s="18">
        <v>1545</v>
      </c>
    </row>
    <row r="164" spans="1:27" ht="15.75" customHeight="1" x14ac:dyDescent="0.2">
      <c r="A164" s="36" t="str">
        <f>HYPERLINK("https://www.shawnee.edu/", "Shawnee State University")</f>
        <v>Shawnee State University</v>
      </c>
      <c r="B164" s="18" t="s">
        <v>49</v>
      </c>
      <c r="C164" s="18" t="s">
        <v>75</v>
      </c>
      <c r="D164" s="18" t="s">
        <v>833</v>
      </c>
      <c r="E164" s="18">
        <v>1068</v>
      </c>
      <c r="F164" s="18" t="s">
        <v>35</v>
      </c>
      <c r="J164" s="19"/>
      <c r="K164" s="19">
        <v>0.29220000000000002</v>
      </c>
      <c r="L164" s="19">
        <v>0.203346203</v>
      </c>
      <c r="M164" s="19">
        <v>0.32569999999999999</v>
      </c>
      <c r="N164" s="19">
        <v>0.1169</v>
      </c>
      <c r="O164" s="19">
        <v>0.25</v>
      </c>
      <c r="P164" s="19">
        <v>0.33329999999999999</v>
      </c>
      <c r="Q164" s="20">
        <v>26718</v>
      </c>
      <c r="R164" s="21" t="str">
        <f>HYPERLINK("https://www.shawnee.edu/offices/financial-aid/net-price-calculator/", "$20643")</f>
        <v>$20643</v>
      </c>
      <c r="S164" s="20">
        <v>24604</v>
      </c>
      <c r="T164" s="20">
        <v>26319</v>
      </c>
      <c r="U164" s="20">
        <v>3912</v>
      </c>
      <c r="V164" s="20">
        <v>16731.447802197799</v>
      </c>
      <c r="X164" s="19">
        <v>0.46929999999999999</v>
      </c>
      <c r="Y164" s="19">
        <v>0.1381</v>
      </c>
      <c r="AA164" s="18">
        <v>3099</v>
      </c>
    </row>
    <row r="165" spans="1:27" ht="15.75" customHeight="1" x14ac:dyDescent="0.2">
      <c r="A165" s="36" t="str">
        <f>HYPERLINK("https://www.ship.edu/", "Shippensburg University of Pennsylvania")</f>
        <v>Shippensburg University of Pennsylvania</v>
      </c>
      <c r="B165" s="18" t="s">
        <v>49</v>
      </c>
      <c r="C165" s="18" t="s">
        <v>65</v>
      </c>
      <c r="D165" s="18" t="s">
        <v>836</v>
      </c>
      <c r="E165" s="18">
        <v>1049</v>
      </c>
      <c r="F165" s="18" t="s">
        <v>35</v>
      </c>
      <c r="J165" s="19"/>
      <c r="K165" s="19">
        <v>0.51519999999999999</v>
      </c>
      <c r="L165" s="19">
        <v>0.46428571400000002</v>
      </c>
      <c r="M165" s="19">
        <v>0.54090000000000005</v>
      </c>
      <c r="N165" s="19">
        <v>0.42859999999999998</v>
      </c>
      <c r="O165" s="19">
        <v>0.38240000000000002</v>
      </c>
      <c r="P165" s="19">
        <v>0.45450000000000002</v>
      </c>
      <c r="Q165" s="20">
        <v>36300</v>
      </c>
      <c r="R165" s="21" t="str">
        <f>HYPERLINK("https://www.passhe.edu/answers/Calculator/SH/npcalc-216010.htm", "$27632")</f>
        <v>$27632</v>
      </c>
      <c r="S165" s="20">
        <v>31237</v>
      </c>
      <c r="T165" s="20">
        <v>34872</v>
      </c>
      <c r="U165" s="20">
        <v>4458</v>
      </c>
      <c r="V165" s="20">
        <v>23174.905882352941</v>
      </c>
      <c r="X165" s="19">
        <v>0.31580000000000003</v>
      </c>
      <c r="Y165" s="19">
        <v>0.2321</v>
      </c>
      <c r="AA165" s="18">
        <v>5464</v>
      </c>
    </row>
    <row r="166" spans="1:27" ht="15.75" customHeight="1" x14ac:dyDescent="0.2">
      <c r="A166" s="36" t="str">
        <f>HYPERLINK("https://www.sru.edu", "Slippery Rock University of Pennsylvania")</f>
        <v>Slippery Rock University of Pennsylvania</v>
      </c>
      <c r="B166" s="18" t="s">
        <v>49</v>
      </c>
      <c r="C166" s="18" t="s">
        <v>65</v>
      </c>
      <c r="D166" s="18" t="s">
        <v>838</v>
      </c>
      <c r="E166" s="18">
        <v>1081</v>
      </c>
      <c r="F166" s="18" t="s">
        <v>35</v>
      </c>
      <c r="J166" s="19"/>
      <c r="K166" s="19">
        <v>0.66049999999999998</v>
      </c>
      <c r="L166" s="19">
        <v>0.47227191400000001</v>
      </c>
      <c r="M166" s="19">
        <v>0.67390000000000005</v>
      </c>
      <c r="N166" s="19">
        <v>0.5</v>
      </c>
      <c r="O166" s="19">
        <v>0.625</v>
      </c>
      <c r="P166" s="19">
        <v>0.61539999999999995</v>
      </c>
      <c r="Q166" s="20">
        <v>28365</v>
      </c>
      <c r="R166" s="21" t="str">
        <f>HYPERLINK("https://www.passhe.edu/answers/Calculator/SL/npcalc-216038.htm", "$18663")</f>
        <v>$18663</v>
      </c>
      <c r="S166" s="20">
        <v>22528</v>
      </c>
      <c r="T166" s="20">
        <v>26883</v>
      </c>
      <c r="U166" s="20">
        <v>3860</v>
      </c>
      <c r="V166" s="20">
        <v>14803.29032258064</v>
      </c>
      <c r="X166" s="19">
        <v>0.31319999999999998</v>
      </c>
      <c r="Y166" s="19">
        <v>0.14299999999999999</v>
      </c>
      <c r="AA166" s="18">
        <v>7539</v>
      </c>
    </row>
    <row r="167" spans="1:27" ht="15.75" customHeight="1" x14ac:dyDescent="0.2">
      <c r="A167" s="36" t="str">
        <f>HYPERLINK("https://www.scsu.edu", "South Carolina State University")</f>
        <v>South Carolina State University</v>
      </c>
      <c r="B167" s="18" t="s">
        <v>49</v>
      </c>
      <c r="C167" s="18" t="s">
        <v>208</v>
      </c>
      <c r="D167" s="18" t="s">
        <v>647</v>
      </c>
      <c r="E167" s="18">
        <v>898</v>
      </c>
      <c r="F167" s="18" t="s">
        <v>35</v>
      </c>
      <c r="J167" s="19"/>
      <c r="K167" s="19">
        <v>0.35980000000000001</v>
      </c>
      <c r="L167" s="19">
        <v>0.29366305999999998</v>
      </c>
      <c r="M167" s="19">
        <v>0.4</v>
      </c>
      <c r="N167" s="19">
        <v>0.3614</v>
      </c>
      <c r="O167" s="19">
        <v>0.33329999999999999</v>
      </c>
      <c r="P167" s="19">
        <v>0.5</v>
      </c>
      <c r="Q167" s="20">
        <v>40120</v>
      </c>
      <c r="R167" s="21" t="str">
        <f>HYPERLINK("https://www.scsu.edu/admissions/financialaid.aspx", "$31998")</f>
        <v>$31998</v>
      </c>
      <c r="S167" s="20">
        <v>34272</v>
      </c>
      <c r="T167" s="20">
        <v>37098</v>
      </c>
      <c r="U167" s="20">
        <v>10000</v>
      </c>
      <c r="V167" s="20">
        <v>21998.589552238809</v>
      </c>
      <c r="X167" s="19">
        <v>0.73860000000000003</v>
      </c>
      <c r="Y167" s="19">
        <v>0.97870000000000001</v>
      </c>
      <c r="AA167" s="18">
        <v>2489</v>
      </c>
    </row>
    <row r="168" spans="1:27" ht="15.75" customHeight="1" x14ac:dyDescent="0.2">
      <c r="A168" s="36" t="str">
        <f>HYPERLINK("https://svc.edu", "Southern Vermont College")</f>
        <v>Southern Vermont College</v>
      </c>
      <c r="B168" s="18" t="s">
        <v>32</v>
      </c>
      <c r="C168" s="18" t="s">
        <v>47</v>
      </c>
      <c r="D168" s="18" t="s">
        <v>48</v>
      </c>
      <c r="E168" s="18" t="s">
        <v>36</v>
      </c>
      <c r="F168" s="18" t="s">
        <v>90</v>
      </c>
      <c r="J168" s="19"/>
      <c r="K168" s="19">
        <v>0.45100000000000001</v>
      </c>
      <c r="L168" s="19">
        <v>0.25862068999999999</v>
      </c>
      <c r="M168" s="19">
        <v>0.42859999999999998</v>
      </c>
      <c r="N168" s="19">
        <v>0.5</v>
      </c>
      <c r="O168" s="19">
        <v>0.61539999999999995</v>
      </c>
      <c r="P168" s="19">
        <v>0.33329999999999999</v>
      </c>
      <c r="Q168" s="20">
        <v>37775</v>
      </c>
      <c r="R168" s="21" t="str">
        <f>HYPERLINK("https://www.svc.edu/wp-content/uploads/npcalc/npcalc.htm", "$17086")</f>
        <v>$17086</v>
      </c>
      <c r="S168" s="20">
        <v>24231</v>
      </c>
      <c r="T168" s="20">
        <v>27774</v>
      </c>
      <c r="U168" s="20">
        <v>2000</v>
      </c>
      <c r="V168" s="20">
        <v>15086</v>
      </c>
      <c r="X168" s="19">
        <v>0.47060000000000002</v>
      </c>
      <c r="Y168" s="19">
        <v>0.44379999999999997</v>
      </c>
      <c r="AA168" s="18">
        <v>347</v>
      </c>
    </row>
    <row r="169" spans="1:27" ht="15.75" customHeight="1" x14ac:dyDescent="0.2">
      <c r="A169" s="36" t="str">
        <f>HYPERLINK("https://www.swau.edu/", "Southwestern Adventist University")</f>
        <v>Southwestern Adventist University</v>
      </c>
      <c r="B169" s="18" t="s">
        <v>32</v>
      </c>
      <c r="C169" s="18" t="s">
        <v>146</v>
      </c>
      <c r="D169" s="18" t="s">
        <v>845</v>
      </c>
      <c r="E169" s="18">
        <v>1040</v>
      </c>
      <c r="F169" s="18" t="s">
        <v>35</v>
      </c>
      <c r="J169" s="19"/>
      <c r="K169" s="19">
        <v>0.37009999999999998</v>
      </c>
      <c r="L169" s="19">
        <v>0.26315789499999998</v>
      </c>
      <c r="M169" s="19">
        <v>0.3448</v>
      </c>
      <c r="N169" s="19">
        <v>0.27779999999999999</v>
      </c>
      <c r="O169" s="19">
        <v>0.42109999999999997</v>
      </c>
      <c r="P169" s="19">
        <v>0.7</v>
      </c>
      <c r="Q169" s="20">
        <v>32732</v>
      </c>
      <c r="R169" s="21" t="str">
        <f>HYPERLINK("https://swau.studentaidcalculator.com/survey.aspx", "$17727")</f>
        <v>$17727</v>
      </c>
      <c r="S169" s="20">
        <v>24821</v>
      </c>
      <c r="T169" s="20">
        <v>21584</v>
      </c>
      <c r="U169" s="20">
        <v>4500</v>
      </c>
      <c r="V169" s="20">
        <v>13227</v>
      </c>
      <c r="X169" s="19">
        <v>0.51580000000000004</v>
      </c>
      <c r="Y169" s="19">
        <v>0.7833</v>
      </c>
      <c r="AA169" s="18">
        <v>780</v>
      </c>
    </row>
    <row r="170" spans="1:27" ht="15.75" customHeight="1" x14ac:dyDescent="0.2">
      <c r="A170" s="36" t="str">
        <f>HYPERLINK("https://www.sfc.edu", "St Francis College")</f>
        <v>St Francis College</v>
      </c>
      <c r="B170" s="18" t="s">
        <v>32</v>
      </c>
      <c r="C170" s="18" t="s">
        <v>38</v>
      </c>
      <c r="D170" s="18" t="s">
        <v>847</v>
      </c>
      <c r="E170" s="18">
        <v>1043</v>
      </c>
      <c r="F170" s="18" t="s">
        <v>35</v>
      </c>
      <c r="G170" s="18" t="s">
        <v>40</v>
      </c>
      <c r="H170" s="18" t="s">
        <v>848</v>
      </c>
      <c r="I170" s="18" t="s">
        <v>849</v>
      </c>
      <c r="J170" s="19"/>
      <c r="K170" s="19">
        <v>0.47139999999999999</v>
      </c>
      <c r="L170" s="19">
        <v>0.37269372699999997</v>
      </c>
      <c r="M170" s="19">
        <v>0.47849999999999998</v>
      </c>
      <c r="N170" s="19">
        <v>0.39240000000000003</v>
      </c>
      <c r="O170" s="19">
        <v>0.45829999999999999</v>
      </c>
      <c r="P170" s="19">
        <v>0.6</v>
      </c>
      <c r="Q170" s="20">
        <v>44488</v>
      </c>
      <c r="R170" s="21" t="str">
        <f>HYPERLINK("https://sfc.studentaidcalculator.com", "$8865")</f>
        <v>$8865</v>
      </c>
      <c r="S170" s="20">
        <v>12029</v>
      </c>
      <c r="T170" s="20">
        <v>19708</v>
      </c>
      <c r="U170" s="20">
        <v>3000</v>
      </c>
      <c r="V170" s="20">
        <v>5865</v>
      </c>
      <c r="X170" s="19">
        <v>0.43390000000000001</v>
      </c>
      <c r="Y170" s="19">
        <v>0.60519999999999996</v>
      </c>
      <c r="AA170" s="18">
        <v>2267</v>
      </c>
    </row>
    <row r="171" spans="1:27" ht="15.75" customHeight="1" x14ac:dyDescent="0.2">
      <c r="A171" s="36" t="str">
        <f>HYPERLINK("https://www.sulross.edu", "Sul Ross State University")</f>
        <v>Sul Ross State University</v>
      </c>
      <c r="B171" s="18" t="s">
        <v>49</v>
      </c>
      <c r="C171" s="18" t="s">
        <v>146</v>
      </c>
      <c r="D171" s="18" t="s">
        <v>851</v>
      </c>
      <c r="E171" s="18">
        <v>946</v>
      </c>
      <c r="F171" s="18" t="s">
        <v>115</v>
      </c>
      <c r="J171" s="19"/>
      <c r="K171" s="19">
        <v>0.22220000000000001</v>
      </c>
      <c r="L171" s="19">
        <v>0.20204081600000001</v>
      </c>
      <c r="M171" s="19">
        <v>0.23419999999999999</v>
      </c>
      <c r="N171" s="19">
        <v>0.122</v>
      </c>
      <c r="O171" s="19">
        <v>0.23910000000000001</v>
      </c>
      <c r="P171" s="19">
        <v>0</v>
      </c>
      <c r="Q171" s="20">
        <v>34732</v>
      </c>
      <c r="R171" s="21" t="str">
        <f>HYPERLINK("https://www.collegeforalltexans.com/apps/CollegeMoney/", "$26669")</f>
        <v>$26669</v>
      </c>
      <c r="S171" s="20">
        <v>28445</v>
      </c>
      <c r="T171" s="20">
        <v>31633</v>
      </c>
      <c r="U171" s="20">
        <v>5408</v>
      </c>
      <c r="V171" s="20">
        <v>21261.70520231214</v>
      </c>
      <c r="X171" s="19">
        <v>0.54790000000000005</v>
      </c>
      <c r="Y171" s="19">
        <v>0.77900000000000003</v>
      </c>
      <c r="AA171" s="18">
        <v>2208</v>
      </c>
    </row>
    <row r="172" spans="1:27" ht="15.75" customHeight="1" x14ac:dyDescent="0.2">
      <c r="A172" s="36" t="str">
        <f>HYPERLINK("https://tabor.edu/", "Tabor College")</f>
        <v>Tabor College</v>
      </c>
      <c r="B172" s="18" t="s">
        <v>32</v>
      </c>
      <c r="C172" s="18" t="s">
        <v>307</v>
      </c>
      <c r="D172" s="18" t="s">
        <v>854</v>
      </c>
      <c r="E172" s="18">
        <v>1048</v>
      </c>
      <c r="F172" s="18" t="s">
        <v>35</v>
      </c>
      <c r="J172" s="19"/>
      <c r="K172" s="19">
        <v>0.3841</v>
      </c>
      <c r="L172" s="19">
        <v>0.28571428599999998</v>
      </c>
      <c r="M172" s="19">
        <v>0.45219999999999999</v>
      </c>
      <c r="N172" s="19">
        <v>0.3</v>
      </c>
      <c r="O172" s="19">
        <v>0.1111</v>
      </c>
      <c r="P172" s="19" t="s">
        <v>36</v>
      </c>
      <c r="Q172" s="20">
        <v>42451</v>
      </c>
      <c r="R172" s="21" t="str">
        <f>HYPERLINK("https://tabor.edu/wp-content/npcalc/npcalc.htm", "$21291")</f>
        <v>$21291</v>
      </c>
      <c r="S172" s="20">
        <v>22208</v>
      </c>
      <c r="T172" s="20">
        <v>24149</v>
      </c>
      <c r="U172" s="20">
        <v>5650</v>
      </c>
      <c r="V172" s="20">
        <v>15641</v>
      </c>
      <c r="X172" s="19">
        <v>0.43130000000000002</v>
      </c>
      <c r="Y172" s="19">
        <v>0.40029999999999999</v>
      </c>
      <c r="AA172" s="18">
        <v>632</v>
      </c>
    </row>
    <row r="173" spans="1:27" ht="15.75" customHeight="1" x14ac:dyDescent="0.2">
      <c r="A173" s="36" t="str">
        <f>HYPERLINK("https://www.tarleton.edu", "Tarleton State University")</f>
        <v>Tarleton State University</v>
      </c>
      <c r="B173" s="18" t="s">
        <v>49</v>
      </c>
      <c r="C173" s="18" t="s">
        <v>146</v>
      </c>
      <c r="D173" s="18" t="s">
        <v>858</v>
      </c>
      <c r="E173" s="18">
        <v>1042</v>
      </c>
      <c r="F173" s="18" t="s">
        <v>35</v>
      </c>
      <c r="J173" s="19"/>
      <c r="K173" s="19">
        <v>0.46350000000000002</v>
      </c>
      <c r="L173" s="19">
        <v>0.43330179800000002</v>
      </c>
      <c r="M173" s="19">
        <v>0.47989999999999999</v>
      </c>
      <c r="N173" s="19">
        <v>0.38030000000000003</v>
      </c>
      <c r="O173" s="19">
        <v>0.41260000000000002</v>
      </c>
      <c r="P173" s="19">
        <v>0.1429</v>
      </c>
      <c r="Q173" s="20">
        <v>30131</v>
      </c>
      <c r="R173" s="21" t="str">
        <f>HYPERLINK("https://www.collegeforalltexans.com/apps/CollegeMoney/index.php", "$25176")</f>
        <v>$25176</v>
      </c>
      <c r="S173" s="20">
        <v>28484</v>
      </c>
      <c r="T173" s="20">
        <v>29993</v>
      </c>
      <c r="U173" s="20">
        <v>5400</v>
      </c>
      <c r="V173" s="20">
        <v>19776.05954198473</v>
      </c>
      <c r="X173" s="19">
        <v>0.39560000000000001</v>
      </c>
      <c r="Y173" s="19">
        <v>0.34139999999999998</v>
      </c>
      <c r="AA173" s="18">
        <v>11283</v>
      </c>
    </row>
    <row r="174" spans="1:27" ht="15.75" customHeight="1" x14ac:dyDescent="0.2">
      <c r="A174" s="36" t="str">
        <f>HYPERLINK("https://www.tamucc.edu", "Texas A &amp; M University-Corpus Christi")</f>
        <v>Texas A &amp; M University-Corpus Christi</v>
      </c>
      <c r="B174" s="18" t="s">
        <v>49</v>
      </c>
      <c r="C174" s="18" t="s">
        <v>146</v>
      </c>
      <c r="D174" s="18" t="s">
        <v>860</v>
      </c>
      <c r="E174" s="18">
        <v>983</v>
      </c>
      <c r="F174" s="18" t="s">
        <v>35</v>
      </c>
      <c r="J174" s="19"/>
      <c r="K174" s="19">
        <v>0.36249999999999999</v>
      </c>
      <c r="L174" s="19">
        <v>0.41136140999999998</v>
      </c>
      <c r="M174" s="19">
        <v>0.60319999999999996</v>
      </c>
      <c r="N174" s="19">
        <v>0.4143</v>
      </c>
      <c r="O174" s="19">
        <v>0.33960000000000001</v>
      </c>
      <c r="P174" s="19">
        <v>7.6899999999999996E-2</v>
      </c>
      <c r="Q174" s="20">
        <v>31502</v>
      </c>
      <c r="R174" s="21" t="str">
        <f>HYPERLINK("https://prospect.tamucc.edu/cost.html", "$26362")</f>
        <v>$26362</v>
      </c>
      <c r="S174" s="20">
        <v>28890</v>
      </c>
      <c r="T174" s="20">
        <v>29102</v>
      </c>
      <c r="U174" s="20">
        <v>3382</v>
      </c>
      <c r="V174" s="20">
        <v>22980.396825396831</v>
      </c>
      <c r="X174" s="19">
        <v>0.39929999999999999</v>
      </c>
      <c r="Y174" s="19">
        <v>0.65860000000000007</v>
      </c>
      <c r="AA174" s="18">
        <v>10170</v>
      </c>
    </row>
    <row r="175" spans="1:27" ht="15.75" customHeight="1" x14ac:dyDescent="0.2">
      <c r="A175" s="36" t="str">
        <f>HYPERLINK("https://WWW.TAMUK.EDU", "Texas A &amp; M University-Kingsville")</f>
        <v>Texas A &amp; M University-Kingsville</v>
      </c>
      <c r="B175" s="18" t="s">
        <v>49</v>
      </c>
      <c r="C175" s="18" t="s">
        <v>146</v>
      </c>
      <c r="D175" s="18" t="s">
        <v>862</v>
      </c>
      <c r="E175" s="18">
        <v>1021</v>
      </c>
      <c r="F175" s="18" t="s">
        <v>35</v>
      </c>
      <c r="J175" s="19"/>
      <c r="K175" s="19">
        <v>0.34739999999999999</v>
      </c>
      <c r="L175" s="19">
        <v>0.36156583599999997</v>
      </c>
      <c r="M175" s="19">
        <v>0.39090000000000003</v>
      </c>
      <c r="N175" s="19">
        <v>0.29520000000000002</v>
      </c>
      <c r="O175" s="19">
        <v>0.3508</v>
      </c>
      <c r="P175" s="19">
        <v>0.33329999999999999</v>
      </c>
      <c r="Q175" s="20">
        <v>36465</v>
      </c>
      <c r="R175" s="21" t="str">
        <f>HYPERLINK("https://www.collegeforalltexans.com/apps/CollegeMoney/", "$26552")</f>
        <v>$26552</v>
      </c>
      <c r="S175" s="20">
        <v>30132</v>
      </c>
      <c r="T175" s="20">
        <v>32322</v>
      </c>
      <c r="U175" s="20">
        <v>5603</v>
      </c>
      <c r="V175" s="20">
        <v>20949.208480565369</v>
      </c>
      <c r="X175" s="19">
        <v>0.44719999999999999</v>
      </c>
      <c r="Y175" s="19">
        <v>0.83319999999999994</v>
      </c>
      <c r="AA175" s="18">
        <v>5694</v>
      </c>
    </row>
    <row r="176" spans="1:27" ht="15.75" customHeight="1" x14ac:dyDescent="0.2">
      <c r="A176" s="36" t="str">
        <f>HYPERLINK("https://www.twu.edu", "Texas Woman's University")</f>
        <v>Texas Woman's University</v>
      </c>
      <c r="B176" s="18" t="s">
        <v>49</v>
      </c>
      <c r="C176" s="18" t="s">
        <v>146</v>
      </c>
      <c r="D176" s="18" t="s">
        <v>865</v>
      </c>
      <c r="E176" s="18">
        <v>1002</v>
      </c>
      <c r="F176" s="18" t="s">
        <v>35</v>
      </c>
      <c r="J176" s="19"/>
      <c r="K176" s="19">
        <v>0.35510000000000003</v>
      </c>
      <c r="L176" s="19">
        <v>0.48592870500000002</v>
      </c>
      <c r="M176" s="19">
        <v>0.41539999999999999</v>
      </c>
      <c r="N176" s="19">
        <v>0.28710000000000002</v>
      </c>
      <c r="O176" s="19">
        <v>0.34639999999999999</v>
      </c>
      <c r="P176" s="19">
        <v>0.42699999999999999</v>
      </c>
      <c r="Q176" s="20">
        <v>29683</v>
      </c>
      <c r="R176" s="21" t="str">
        <f>HYPERLINK("https://www.collegeforalltexans.com/apps/CollegeMoney/", "$19047")</f>
        <v>$19047</v>
      </c>
      <c r="S176" s="20">
        <v>22526</v>
      </c>
      <c r="T176" s="20">
        <v>26953</v>
      </c>
      <c r="U176" s="20">
        <v>4056</v>
      </c>
      <c r="V176" s="20">
        <v>14991.538775510209</v>
      </c>
      <c r="X176" s="19">
        <v>0.4143</v>
      </c>
      <c r="Y176" s="19">
        <v>0.63929999999999998</v>
      </c>
      <c r="AA176" s="18">
        <v>9417</v>
      </c>
    </row>
    <row r="177" spans="1:27" ht="15.75" customHeight="1" x14ac:dyDescent="0.2">
      <c r="A177" s="36" t="str">
        <f>HYPERLINK("https://WWW.UTA.EDU", "The University of Texas at Arlington")</f>
        <v>The University of Texas at Arlington</v>
      </c>
      <c r="B177" s="18" t="s">
        <v>49</v>
      </c>
      <c r="C177" s="18" t="s">
        <v>146</v>
      </c>
      <c r="D177" s="18" t="s">
        <v>727</v>
      </c>
      <c r="E177" s="18">
        <v>1163</v>
      </c>
      <c r="F177" s="18" t="s">
        <v>35</v>
      </c>
      <c r="J177" s="19"/>
      <c r="K177" s="19">
        <v>0.49980000000000002</v>
      </c>
      <c r="L177" s="19">
        <v>0.46335697399999998</v>
      </c>
      <c r="M177" s="19">
        <v>0.45279999999999998</v>
      </c>
      <c r="N177" s="19">
        <v>0.45950000000000002</v>
      </c>
      <c r="O177" s="19">
        <v>0.50570000000000004</v>
      </c>
      <c r="P177" s="19">
        <v>0.61399999999999999</v>
      </c>
      <c r="Q177" s="20">
        <v>39860</v>
      </c>
      <c r="R177" s="21" t="str">
        <f>HYPERLINK("https://www.collegeforalltexans.com/apps/CollegeMoney/", "$29668")</f>
        <v>$29668</v>
      </c>
      <c r="S177" s="20">
        <v>32221</v>
      </c>
      <c r="T177" s="20">
        <v>36458</v>
      </c>
      <c r="U177" s="20">
        <v>5784</v>
      </c>
      <c r="V177" s="20">
        <v>23884.090909090912</v>
      </c>
      <c r="X177" s="19">
        <v>0.34210000000000002</v>
      </c>
      <c r="Y177" s="19">
        <v>0.63739999999999997</v>
      </c>
      <c r="AA177" s="18">
        <v>32955</v>
      </c>
    </row>
    <row r="178" spans="1:27" ht="15.75" customHeight="1" x14ac:dyDescent="0.2">
      <c r="A178" s="36" t="str">
        <f>HYPERLINK("https://www.utep.edu", "The University of Texas at El Paso")</f>
        <v>The University of Texas at El Paso</v>
      </c>
      <c r="B178" s="18" t="s">
        <v>49</v>
      </c>
      <c r="C178" s="18" t="s">
        <v>146</v>
      </c>
      <c r="D178" s="18" t="s">
        <v>869</v>
      </c>
      <c r="E178" s="18">
        <v>1011</v>
      </c>
      <c r="F178" s="18" t="s">
        <v>35</v>
      </c>
      <c r="J178" s="19"/>
      <c r="K178" s="19">
        <v>0.40639999999999998</v>
      </c>
      <c r="L178" s="19">
        <v>0.33902939199999998</v>
      </c>
      <c r="M178" s="19">
        <v>0.46960000000000002</v>
      </c>
      <c r="N178" s="19">
        <v>0.27850000000000003</v>
      </c>
      <c r="O178" s="19">
        <v>0.39729999999999999</v>
      </c>
      <c r="P178" s="19">
        <v>0.35709999999999997</v>
      </c>
      <c r="Q178" s="20">
        <v>36955</v>
      </c>
      <c r="R178" s="21" t="str">
        <f>HYPERLINK("https://www.collegeforalltexans.com/apps/CollegeMoney/", "$27082")</f>
        <v>$27082</v>
      </c>
      <c r="S178" s="20">
        <v>31692</v>
      </c>
      <c r="T178" s="20">
        <v>36263</v>
      </c>
      <c r="U178" s="20">
        <v>5864</v>
      </c>
      <c r="V178" s="20">
        <v>21218.01325381047</v>
      </c>
      <c r="X178" s="19">
        <v>0.55969999999999998</v>
      </c>
      <c r="Y178" s="19">
        <v>0.94179999999999997</v>
      </c>
      <c r="AA178" s="18">
        <v>21216</v>
      </c>
    </row>
    <row r="179" spans="1:27" ht="15.75" customHeight="1" x14ac:dyDescent="0.2">
      <c r="A179" s="36" t="str">
        <f>HYPERLINK("https://www.thiel.edu", "Thiel College")</f>
        <v>Thiel College</v>
      </c>
      <c r="B179" s="18" t="s">
        <v>32</v>
      </c>
      <c r="C179" s="18" t="s">
        <v>65</v>
      </c>
      <c r="D179" s="18" t="s">
        <v>220</v>
      </c>
      <c r="E179" s="18">
        <v>1012</v>
      </c>
      <c r="F179" s="18" t="s">
        <v>35</v>
      </c>
      <c r="J179" s="19"/>
      <c r="K179" s="19">
        <v>0.47439999999999999</v>
      </c>
      <c r="L179" s="19">
        <v>0.23636363599999999</v>
      </c>
      <c r="M179" s="19">
        <v>0.51380000000000003</v>
      </c>
      <c r="N179" s="19">
        <v>0.3256</v>
      </c>
      <c r="O179" s="19">
        <v>0.44440000000000002</v>
      </c>
      <c r="P179" s="19" t="s">
        <v>36</v>
      </c>
      <c r="Q179" s="20">
        <v>47050</v>
      </c>
      <c r="R179" s="21" t="str">
        <f>HYPERLINK("https://www.thiel.edu/finaid", "$19408")</f>
        <v>$19408</v>
      </c>
      <c r="S179" s="20">
        <v>22065</v>
      </c>
      <c r="T179" s="20">
        <v>25197</v>
      </c>
      <c r="U179" s="20">
        <v>4100</v>
      </c>
      <c r="V179" s="20">
        <v>15308</v>
      </c>
      <c r="X179" s="19">
        <v>0.46870000000000001</v>
      </c>
      <c r="Y179" s="19">
        <v>0.24729999999999999</v>
      </c>
      <c r="AA179" s="18">
        <v>736</v>
      </c>
    </row>
    <row r="180" spans="1:27" ht="15.75" customHeight="1" x14ac:dyDescent="0.2">
      <c r="A180" s="36" t="str">
        <f>HYPERLINK("https://www.thomas.edu", "Thomas College")</f>
        <v>Thomas College</v>
      </c>
      <c r="B180" s="18" t="s">
        <v>32</v>
      </c>
      <c r="C180" s="18" t="s">
        <v>43</v>
      </c>
      <c r="D180" s="18" t="s">
        <v>79</v>
      </c>
      <c r="E180" s="18" t="s">
        <v>36</v>
      </c>
      <c r="F180" s="18" t="s">
        <v>36</v>
      </c>
      <c r="J180" s="19"/>
      <c r="K180" s="19">
        <v>0.47910000000000003</v>
      </c>
      <c r="L180" s="19">
        <v>0.40229885100000001</v>
      </c>
      <c r="M180" s="19">
        <v>0.50309999999999999</v>
      </c>
      <c r="N180" s="19">
        <v>0.36840000000000001</v>
      </c>
      <c r="O180" s="19">
        <v>0</v>
      </c>
      <c r="P180" s="19">
        <v>0.5</v>
      </c>
      <c r="Q180" s="20">
        <v>39710</v>
      </c>
      <c r="R180" s="21" t="str">
        <f>HYPERLINK("https://thomas.studentaidcalculator.com/survey.aspx", "$19015")</f>
        <v>$19015</v>
      </c>
      <c r="S180" s="20">
        <v>20621</v>
      </c>
      <c r="T180" s="20">
        <v>22587</v>
      </c>
      <c r="U180" s="20">
        <v>2800</v>
      </c>
      <c r="V180" s="20">
        <v>16215</v>
      </c>
      <c r="X180" s="19">
        <v>0.33900000000000002</v>
      </c>
      <c r="Y180" s="19">
        <v>0.25940000000000002</v>
      </c>
      <c r="AA180" s="18">
        <v>825</v>
      </c>
    </row>
    <row r="181" spans="1:27" ht="15.75" customHeight="1" x14ac:dyDescent="0.2">
      <c r="A181" s="36" t="str">
        <f>HYPERLINK("https://www.thomasu.edu", "Thomas University")</f>
        <v>Thomas University</v>
      </c>
      <c r="B181" s="18" t="s">
        <v>32</v>
      </c>
      <c r="C181" s="18" t="s">
        <v>107</v>
      </c>
      <c r="D181" s="18" t="s">
        <v>876</v>
      </c>
      <c r="E181" s="18" t="s">
        <v>36</v>
      </c>
      <c r="F181" s="18" t="s">
        <v>90</v>
      </c>
      <c r="J181" s="19"/>
      <c r="K181" s="19">
        <v>0.37369999999999998</v>
      </c>
      <c r="L181" s="19">
        <v>0.26190476200000001</v>
      </c>
      <c r="M181" s="19">
        <v>0.4118</v>
      </c>
      <c r="N181" s="19">
        <v>0.21740000000000001</v>
      </c>
      <c r="O181" s="19">
        <v>0.57140000000000002</v>
      </c>
      <c r="P181" s="19">
        <v>1</v>
      </c>
      <c r="Q181" s="20">
        <v>27640</v>
      </c>
      <c r="R181" s="21" t="str">
        <f>HYPERLINK("https://thomasu.studentaidcalculator.com/welcome.aspx", "$21396")</f>
        <v>$21396</v>
      </c>
      <c r="S181" s="20">
        <v>17826</v>
      </c>
      <c r="T181" s="20">
        <v>29541</v>
      </c>
      <c r="U181" s="20">
        <v>3200</v>
      </c>
      <c r="V181" s="20">
        <v>18196</v>
      </c>
      <c r="X181" s="19">
        <v>0.4486</v>
      </c>
      <c r="Y181" s="19">
        <v>0.72950000000000004</v>
      </c>
      <c r="AA181" s="18">
        <v>1050</v>
      </c>
    </row>
    <row r="182" spans="1:27" ht="15.75" customHeight="1" x14ac:dyDescent="0.2">
      <c r="A182" s="36" t="str">
        <f>HYPERLINK("https://www.tougaloo.edu", "Tougaloo College")</f>
        <v>Tougaloo College</v>
      </c>
      <c r="B182" s="18" t="s">
        <v>32</v>
      </c>
      <c r="C182" s="18" t="s">
        <v>59</v>
      </c>
      <c r="D182" s="18" t="s">
        <v>878</v>
      </c>
      <c r="E182" s="18">
        <v>1025</v>
      </c>
      <c r="F182" s="18" t="s">
        <v>35</v>
      </c>
      <c r="J182" s="19"/>
      <c r="K182" s="19">
        <v>0.5</v>
      </c>
      <c r="L182" s="19">
        <v>0.33760683800000002</v>
      </c>
      <c r="M182" s="19">
        <v>0</v>
      </c>
      <c r="N182" s="19">
        <v>0.505</v>
      </c>
      <c r="O182" s="19">
        <v>1</v>
      </c>
      <c r="P182" s="19" t="s">
        <v>36</v>
      </c>
      <c r="Q182" s="20">
        <v>22840</v>
      </c>
      <c r="R182" s="21" t="str">
        <f>HYPERLINK("https://www.tougaloo.edu/admissions/office-student-financial-aid/net-price-calculator", "$9176")</f>
        <v>$9176</v>
      </c>
      <c r="S182" s="20">
        <v>17704</v>
      </c>
      <c r="T182" s="20">
        <v>19995</v>
      </c>
      <c r="U182" s="20">
        <v>5840</v>
      </c>
      <c r="V182" s="20">
        <v>3336</v>
      </c>
      <c r="X182" s="19">
        <v>0.85529999999999995</v>
      </c>
      <c r="Y182" s="19">
        <v>0.99750000000000005</v>
      </c>
      <c r="AA182" s="18">
        <v>789</v>
      </c>
    </row>
    <row r="183" spans="1:27" ht="15.75" customHeight="1" x14ac:dyDescent="0.2">
      <c r="A183" s="36" t="str">
        <f>HYPERLINK("https://www.unity.edu", "Unity College")</f>
        <v>Unity College</v>
      </c>
      <c r="B183" s="18" t="s">
        <v>32</v>
      </c>
      <c r="C183" s="18" t="s">
        <v>43</v>
      </c>
      <c r="D183" s="18" t="s">
        <v>880</v>
      </c>
      <c r="E183" s="18" t="s">
        <v>36</v>
      </c>
      <c r="F183" s="18" t="s">
        <v>90</v>
      </c>
      <c r="J183" s="19"/>
      <c r="K183" s="19">
        <v>0.65890000000000004</v>
      </c>
      <c r="L183" s="19">
        <v>0.38461538499999998</v>
      </c>
      <c r="M183" s="19">
        <v>0.67259999999999998</v>
      </c>
      <c r="N183" s="19">
        <v>0.25</v>
      </c>
      <c r="O183" s="19">
        <v>0.66669999999999996</v>
      </c>
      <c r="P183" s="19">
        <v>1</v>
      </c>
      <c r="Q183" s="20">
        <v>40560</v>
      </c>
      <c r="R183" s="21" t="str">
        <f>HYPERLINK("https://www.unity.edu/admissions/tuition-and-financial-aid/net-price-calculator", "$21802")</f>
        <v>$21802</v>
      </c>
      <c r="S183" s="20">
        <v>23578</v>
      </c>
      <c r="T183" s="20">
        <v>26778</v>
      </c>
      <c r="U183" s="20">
        <v>1810</v>
      </c>
      <c r="V183" s="20">
        <v>19992</v>
      </c>
      <c r="X183" s="19">
        <v>0.38819999999999999</v>
      </c>
      <c r="Y183" s="19">
        <v>0.1414</v>
      </c>
      <c r="AA183" s="18">
        <v>700</v>
      </c>
    </row>
    <row r="184" spans="1:27" ht="15.75" customHeight="1" x14ac:dyDescent="0.2">
      <c r="A184" s="36" t="str">
        <f>HYPERLINK("https://www.uakron.edu", "University of Akron Main Campus")</f>
        <v>University of Akron Main Campus</v>
      </c>
      <c r="B184" s="18" t="s">
        <v>49</v>
      </c>
      <c r="C184" s="18" t="s">
        <v>75</v>
      </c>
      <c r="D184" s="18" t="s">
        <v>882</v>
      </c>
      <c r="E184" s="18">
        <v>1125</v>
      </c>
      <c r="F184" s="18" t="s">
        <v>35</v>
      </c>
      <c r="J184" s="19"/>
      <c r="K184" s="19">
        <v>0.37890000000000001</v>
      </c>
      <c r="L184" s="19">
        <v>0.25358851700000001</v>
      </c>
      <c r="M184" s="19">
        <v>0.44619999999999999</v>
      </c>
      <c r="N184" s="19">
        <v>0.17369999999999999</v>
      </c>
      <c r="O184" s="19">
        <v>0.29599999999999999</v>
      </c>
      <c r="P184" s="19">
        <v>0.65749999999999997</v>
      </c>
      <c r="Q184" s="20">
        <v>34617</v>
      </c>
      <c r="R184" s="21" t="str">
        <f>HYPERLINK("https://www.uakron.edu/finaid/", "$26412")</f>
        <v>$26412</v>
      </c>
      <c r="S184" s="20">
        <v>29461</v>
      </c>
      <c r="T184" s="20">
        <v>30579</v>
      </c>
      <c r="U184" s="20">
        <v>3520</v>
      </c>
      <c r="V184" s="20">
        <v>22892.172067039111</v>
      </c>
      <c r="X184" s="19">
        <v>0.33260000000000001</v>
      </c>
      <c r="Y184" s="19">
        <v>0.26690000000000003</v>
      </c>
      <c r="AA184" s="18">
        <v>15047</v>
      </c>
    </row>
    <row r="185" spans="1:27" ht="15.75" customHeight="1" x14ac:dyDescent="0.2">
      <c r="A185" s="36" t="str">
        <f>HYPERLINK("https://www.uaa.alaska.edu", "University of Alaska Anchorage")</f>
        <v>University of Alaska Anchorage</v>
      </c>
      <c r="B185" s="18" t="s">
        <v>49</v>
      </c>
      <c r="C185" s="18" t="s">
        <v>548</v>
      </c>
      <c r="D185" s="18" t="s">
        <v>549</v>
      </c>
      <c r="E185" s="18" t="s">
        <v>36</v>
      </c>
      <c r="F185" s="18" t="s">
        <v>90</v>
      </c>
      <c r="J185" s="19"/>
      <c r="K185" s="19">
        <v>0.24310000000000001</v>
      </c>
      <c r="L185" s="19">
        <v>0.231516057</v>
      </c>
      <c r="M185" s="19">
        <v>0.2989</v>
      </c>
      <c r="N185" s="19">
        <v>0.1389</v>
      </c>
      <c r="O185" s="19">
        <v>0.21429999999999999</v>
      </c>
      <c r="P185" s="19">
        <v>0.18129999999999999</v>
      </c>
      <c r="Q185" s="20">
        <v>39902</v>
      </c>
      <c r="R185" s="21" t="str">
        <f>HYPERLINK("https://www.uaa.alaska.edu/financialaid/customcf/npcalc.htm", "$31652")</f>
        <v>$31652</v>
      </c>
      <c r="S185" s="20">
        <v>35986</v>
      </c>
      <c r="T185" s="20">
        <v>37571</v>
      </c>
      <c r="U185" s="20">
        <v>8446</v>
      </c>
      <c r="V185" s="20">
        <v>23206.741935483871</v>
      </c>
      <c r="X185" s="19">
        <v>0.21609999999999999</v>
      </c>
      <c r="Y185" s="19">
        <v>0.44479999999999997</v>
      </c>
      <c r="AA185" s="18">
        <v>11332</v>
      </c>
    </row>
    <row r="186" spans="1:27" ht="15.75" customHeight="1" x14ac:dyDescent="0.2">
      <c r="A186" s="36" t="str">
        <f>HYPERLINK("https://ualr.edu/www/", "University of Arkansas at Little Rock")</f>
        <v>University of Arkansas at Little Rock</v>
      </c>
      <c r="B186" s="18" t="s">
        <v>49</v>
      </c>
      <c r="C186" s="18" t="s">
        <v>371</v>
      </c>
      <c r="D186" s="18" t="s">
        <v>810</v>
      </c>
      <c r="E186" s="18">
        <v>1105</v>
      </c>
      <c r="F186" s="18" t="s">
        <v>35</v>
      </c>
      <c r="J186" s="19"/>
      <c r="K186" s="19">
        <v>0.31990000000000002</v>
      </c>
      <c r="L186" s="19">
        <v>0.30054644800000002</v>
      </c>
      <c r="M186" s="19">
        <v>0.37180000000000002</v>
      </c>
      <c r="N186" s="19">
        <v>0.29459999999999997</v>
      </c>
      <c r="O186" s="19">
        <v>0.1154</v>
      </c>
      <c r="P186" s="19">
        <v>0.35</v>
      </c>
      <c r="Q186" s="20">
        <v>35466</v>
      </c>
      <c r="R186" s="21" t="str">
        <f>HYPERLINK("https://ualr.edu/finaid/npc/npcalc.htm", "$26561")</f>
        <v>$26561</v>
      </c>
      <c r="S186" s="20">
        <v>30357</v>
      </c>
      <c r="T186" s="20">
        <v>30078</v>
      </c>
      <c r="U186" s="20">
        <v>5040</v>
      </c>
      <c r="V186" s="20">
        <v>21521.615384615379</v>
      </c>
      <c r="X186" s="19">
        <v>0.37030000000000002</v>
      </c>
      <c r="Y186" s="19">
        <v>0.49299999999999999</v>
      </c>
      <c r="AA186" s="18">
        <v>6677</v>
      </c>
    </row>
    <row r="187" spans="1:27" ht="15.75" customHeight="1" x14ac:dyDescent="0.2">
      <c r="A187" s="36" t="str">
        <f>HYPERLINK("https://www.uamont.edu/", "University of Arkansas at Monticello")</f>
        <v>University of Arkansas at Monticello</v>
      </c>
      <c r="B187" s="18" t="s">
        <v>49</v>
      </c>
      <c r="C187" s="18" t="s">
        <v>371</v>
      </c>
      <c r="D187" s="18" t="s">
        <v>884</v>
      </c>
      <c r="E187" s="18" t="s">
        <v>36</v>
      </c>
      <c r="F187" s="18" t="s">
        <v>36</v>
      </c>
      <c r="J187" s="19"/>
      <c r="K187" s="19">
        <v>0.23230000000000001</v>
      </c>
      <c r="L187" s="19">
        <v>0.15460526299999999</v>
      </c>
      <c r="M187" s="19">
        <v>0.3155</v>
      </c>
      <c r="N187" s="19">
        <v>0.1273</v>
      </c>
      <c r="O187" s="19">
        <v>0.28570000000000001</v>
      </c>
      <c r="P187" s="19">
        <v>0.33329999999999999</v>
      </c>
      <c r="Q187" s="20">
        <v>24662</v>
      </c>
      <c r="R187" s="21" t="str">
        <f>HYPERLINK("https://uam-web2.uamont.edu/netprice/npcalc.htm", "$17844")</f>
        <v>$17844</v>
      </c>
      <c r="S187" s="20">
        <v>17972</v>
      </c>
      <c r="T187" s="20">
        <v>19244</v>
      </c>
      <c r="U187" s="20">
        <v>4800</v>
      </c>
      <c r="V187" s="20">
        <v>13044.69230769231</v>
      </c>
      <c r="X187" s="19">
        <v>0.50039999999999996</v>
      </c>
      <c r="Y187" s="19">
        <v>0.38429999999999997</v>
      </c>
      <c r="AA187" s="18">
        <v>2589</v>
      </c>
    </row>
    <row r="188" spans="1:27" ht="15.75" customHeight="1" x14ac:dyDescent="0.2">
      <c r="A188" s="36" t="str">
        <f>HYPERLINK("https://www.bridgeport.edu", "University of Bridgeport")</f>
        <v>University of Bridgeport</v>
      </c>
      <c r="B188" s="18" t="s">
        <v>32</v>
      </c>
      <c r="C188" s="18" t="s">
        <v>94</v>
      </c>
      <c r="D188" s="18" t="s">
        <v>886</v>
      </c>
      <c r="E188" s="18">
        <v>969</v>
      </c>
      <c r="F188" s="18" t="s">
        <v>35</v>
      </c>
      <c r="J188" s="19"/>
      <c r="K188" s="19">
        <v>0.4158</v>
      </c>
      <c r="L188" s="19">
        <v>0.344262295</v>
      </c>
      <c r="M188" s="19">
        <v>0.53259999999999996</v>
      </c>
      <c r="N188" s="19">
        <v>0.33329999999999999</v>
      </c>
      <c r="O188" s="19">
        <v>0.37880000000000003</v>
      </c>
      <c r="P188" s="19">
        <v>0.4</v>
      </c>
      <c r="Q188" s="20">
        <v>54508</v>
      </c>
      <c r="R188" s="21" t="str">
        <f>HYPERLINK("https://tcc.noellevitz.com/University%20of%20Bridgeport/cost", "$21144")</f>
        <v>$21144</v>
      </c>
      <c r="S188" s="20">
        <v>23764</v>
      </c>
      <c r="T188" s="20">
        <v>24453</v>
      </c>
      <c r="U188" s="20">
        <v>8668</v>
      </c>
      <c r="V188" s="20">
        <v>12476</v>
      </c>
      <c r="X188" s="19">
        <v>0.48209999999999997</v>
      </c>
      <c r="Y188" s="19">
        <v>0.75739999999999996</v>
      </c>
      <c r="AA188" s="18">
        <v>3129</v>
      </c>
    </row>
    <row r="189" spans="1:27" ht="15.75" customHeight="1" x14ac:dyDescent="0.2">
      <c r="A189" s="36" t="str">
        <f>HYPERLINK("https://uconn.edu/", "University of Connecticut-Tri-Campus")</f>
        <v>University of Connecticut-Tri-Campus</v>
      </c>
      <c r="B189" s="18" t="s">
        <v>49</v>
      </c>
      <c r="C189" s="18" t="s">
        <v>94</v>
      </c>
      <c r="D189" s="18" t="s">
        <v>887</v>
      </c>
      <c r="E189" s="18">
        <v>1086</v>
      </c>
      <c r="F189" s="18" t="s">
        <v>35</v>
      </c>
      <c r="J189" s="19"/>
      <c r="K189" s="19">
        <v>0.59</v>
      </c>
      <c r="L189" s="19">
        <v>0.63967136200000008</v>
      </c>
      <c r="M189" s="19">
        <v>0.63590000000000002</v>
      </c>
      <c r="N189" s="19">
        <v>0.42109999999999997</v>
      </c>
      <c r="O189" s="19">
        <v>0.41860000000000003</v>
      </c>
      <c r="P189" s="19">
        <v>0.7</v>
      </c>
      <c r="Q189" s="20">
        <v>51070</v>
      </c>
      <c r="R189" s="21" t="str">
        <f>HYPERLINK("https://financialaid.uconn.edu/pricecalc/", "$39415")</f>
        <v>$39415</v>
      </c>
      <c r="S189" s="20">
        <v>43018</v>
      </c>
      <c r="T189" s="20">
        <v>48570</v>
      </c>
      <c r="U189" s="20">
        <v>3650</v>
      </c>
      <c r="V189" s="20">
        <v>35765.571428571428</v>
      </c>
      <c r="X189" s="19">
        <v>0.37319999999999998</v>
      </c>
      <c r="Y189" s="19">
        <v>0.44769999999999999</v>
      </c>
      <c r="AA189" s="18">
        <v>851</v>
      </c>
    </row>
    <row r="190" spans="1:27" ht="15.75" customHeight="1" x14ac:dyDescent="0.2">
      <c r="A190" s="36" t="str">
        <f>HYPERLINK("https://www.uhd.edu", "University of Houston-Downtown")</f>
        <v>University of Houston-Downtown</v>
      </c>
      <c r="B190" s="18" t="s">
        <v>49</v>
      </c>
      <c r="C190" s="18" t="s">
        <v>146</v>
      </c>
      <c r="D190" s="18" t="s">
        <v>147</v>
      </c>
      <c r="E190" s="18">
        <v>997</v>
      </c>
      <c r="F190" s="18" t="s">
        <v>35</v>
      </c>
      <c r="J190" s="19"/>
      <c r="K190" s="19">
        <v>0.20760000000000001</v>
      </c>
      <c r="L190" s="19">
        <v>0.30339588899999997</v>
      </c>
      <c r="M190" s="19">
        <v>0.2336</v>
      </c>
      <c r="N190" s="19">
        <v>0.16750000000000001</v>
      </c>
      <c r="O190" s="19">
        <v>0.21360000000000001</v>
      </c>
      <c r="P190" s="19">
        <v>0.1951</v>
      </c>
      <c r="Q190" s="20">
        <v>33434</v>
      </c>
      <c r="R190" s="21" t="str">
        <f>HYPERLINK("https://www.uhd.edu/financial/cost/Pages/financial-cost-calculator.aspx", "$23814")</f>
        <v>$23814</v>
      </c>
      <c r="S190" s="20">
        <v>27328</v>
      </c>
      <c r="T190" s="20">
        <v>30661</v>
      </c>
      <c r="U190" s="20">
        <v>8198</v>
      </c>
      <c r="V190" s="20">
        <v>15616.84440227704</v>
      </c>
      <c r="X190" s="19">
        <v>0.46010000000000001</v>
      </c>
      <c r="Y190" s="19">
        <v>0.84319999999999995</v>
      </c>
      <c r="AA190" s="18">
        <v>12310</v>
      </c>
    </row>
    <row r="191" spans="1:27" ht="15.75" customHeight="1" x14ac:dyDescent="0.2">
      <c r="A191" s="36" t="str">
        <f>HYPERLINK("https://www.umfk.maine.edu", "University of Maine at Fort Kent")</f>
        <v>University of Maine at Fort Kent</v>
      </c>
      <c r="B191" s="18" t="s">
        <v>49</v>
      </c>
      <c r="C191" s="18" t="s">
        <v>43</v>
      </c>
      <c r="D191" s="18" t="s">
        <v>894</v>
      </c>
      <c r="E191" s="18">
        <v>996</v>
      </c>
      <c r="F191" s="18" t="s">
        <v>35</v>
      </c>
      <c r="J191" s="19"/>
      <c r="K191" s="19">
        <v>0.34589999999999999</v>
      </c>
      <c r="L191" s="19">
        <v>0.39506172799999989</v>
      </c>
      <c r="M191" s="19">
        <v>0.41799999999999998</v>
      </c>
      <c r="N191" s="19">
        <v>0</v>
      </c>
      <c r="O191" s="19">
        <v>0</v>
      </c>
      <c r="P191" s="19" t="s">
        <v>36</v>
      </c>
      <c r="Q191" s="20">
        <v>23485</v>
      </c>
      <c r="R191" s="21" t="str">
        <f>HYPERLINK("https://www.umfk.maine.edu/admissions/financial_aid/", "$15539")</f>
        <v>$15539</v>
      </c>
      <c r="S191" s="20">
        <v>20868</v>
      </c>
      <c r="T191" s="20">
        <v>21964</v>
      </c>
      <c r="U191" s="20">
        <v>3500</v>
      </c>
      <c r="V191" s="20">
        <v>12039.571428571429</v>
      </c>
      <c r="X191" s="19">
        <v>0.22739999999999999</v>
      </c>
      <c r="Y191" s="19">
        <v>0.21429999999999999</v>
      </c>
      <c r="AA191" s="18">
        <v>1036</v>
      </c>
    </row>
    <row r="192" spans="1:27" ht="15.75" customHeight="1" x14ac:dyDescent="0.2">
      <c r="A192" s="36" t="str">
        <f>HYPERLINK("https://www.umpi.edu/", "University of Maine at Presque Isle")</f>
        <v>University of Maine at Presque Isle</v>
      </c>
      <c r="B192" s="18" t="s">
        <v>49</v>
      </c>
      <c r="C192" s="18" t="s">
        <v>43</v>
      </c>
      <c r="D192" s="18" t="s">
        <v>896</v>
      </c>
      <c r="E192" s="18" t="s">
        <v>36</v>
      </c>
      <c r="F192" s="18" t="s">
        <v>90</v>
      </c>
      <c r="J192" s="19"/>
      <c r="K192" s="19">
        <v>0.28960000000000002</v>
      </c>
      <c r="L192" s="19">
        <v>0.28148148200000001</v>
      </c>
      <c r="M192" s="19">
        <v>0.27039999999999997</v>
      </c>
      <c r="N192" s="19">
        <v>0.66669999999999996</v>
      </c>
      <c r="O192" s="19">
        <v>0.33329999999999999</v>
      </c>
      <c r="P192" s="19" t="s">
        <v>36</v>
      </c>
      <c r="Q192" s="20">
        <v>23659</v>
      </c>
      <c r="R192" s="21" t="str">
        <f>HYPERLINK("https://www.umpi.edu/app/tuition-fees-estimator/", "$15154")</f>
        <v>$15154</v>
      </c>
      <c r="S192" s="20">
        <v>18046</v>
      </c>
      <c r="T192" s="20">
        <v>20898</v>
      </c>
      <c r="U192" s="20">
        <v>3400</v>
      </c>
      <c r="V192" s="20">
        <v>11754.056338028169</v>
      </c>
      <c r="X192" s="19">
        <v>0.3175</v>
      </c>
      <c r="Y192" s="19">
        <v>0.20369999999999999</v>
      </c>
      <c r="AA192" s="18">
        <v>800</v>
      </c>
    </row>
    <row r="193" spans="1:27" ht="15.75" customHeight="1" x14ac:dyDescent="0.2">
      <c r="A193" s="36" t="str">
        <f>HYPERLINK("https://www.crk.umn.edu/", "University of Minnesota-Crookston")</f>
        <v>University of Minnesota-Crookston</v>
      </c>
      <c r="B193" s="18" t="s">
        <v>49</v>
      </c>
      <c r="C193" s="18" t="s">
        <v>72</v>
      </c>
      <c r="D193" s="18" t="s">
        <v>898</v>
      </c>
      <c r="E193" s="18">
        <v>1082</v>
      </c>
      <c r="F193" s="18" t="s">
        <v>35</v>
      </c>
      <c r="J193" s="19"/>
      <c r="K193" s="19">
        <v>0.53559999999999997</v>
      </c>
      <c r="L193" s="19">
        <v>0.28125</v>
      </c>
      <c r="M193" s="19">
        <v>0.55149999999999999</v>
      </c>
      <c r="N193" s="19">
        <v>0.5</v>
      </c>
      <c r="O193" s="19">
        <v>0.45450000000000002</v>
      </c>
      <c r="P193" s="19">
        <v>0.33329999999999999</v>
      </c>
      <c r="Q193" s="20">
        <v>23866</v>
      </c>
      <c r="R193" s="21" t="str">
        <f>HYPERLINK("https://npc.collegeboard.org/student/app/dumn", "$8286")</f>
        <v>$8286</v>
      </c>
      <c r="S193" s="20">
        <v>10608</v>
      </c>
      <c r="T193" s="20">
        <v>17498</v>
      </c>
      <c r="U193" s="20">
        <v>3492</v>
      </c>
      <c r="V193" s="20">
        <v>4794.7586206896558</v>
      </c>
      <c r="X193" s="19">
        <v>0.20699999999999999</v>
      </c>
      <c r="Y193" s="19">
        <v>0.23760000000000001</v>
      </c>
      <c r="AA193" s="18">
        <v>1797</v>
      </c>
    </row>
    <row r="194" spans="1:27" ht="15.75" customHeight="1" x14ac:dyDescent="0.2">
      <c r="A194" s="36" t="str">
        <f>HYPERLINK("https://www.unr.edu/", "University of Nevada-Reno")</f>
        <v>University of Nevada-Reno</v>
      </c>
      <c r="B194" s="18" t="s">
        <v>49</v>
      </c>
      <c r="C194" s="18" t="s">
        <v>476</v>
      </c>
      <c r="D194" s="18" t="s">
        <v>900</v>
      </c>
      <c r="E194" s="18">
        <v>1165</v>
      </c>
      <c r="F194" s="18" t="s">
        <v>35</v>
      </c>
      <c r="J194" s="19"/>
      <c r="K194" s="19">
        <v>0.54990000000000006</v>
      </c>
      <c r="L194" s="19">
        <v>0.56820744099999998</v>
      </c>
      <c r="M194" s="19">
        <v>0.56820000000000004</v>
      </c>
      <c r="N194" s="19">
        <v>0.4219</v>
      </c>
      <c r="O194" s="19">
        <v>0.46410000000000001</v>
      </c>
      <c r="P194" s="19">
        <v>0.71650000000000003</v>
      </c>
      <c r="Q194" s="20">
        <v>38398</v>
      </c>
      <c r="R194" s="21" t="str">
        <f>HYPERLINK("https://www.unr.edu/financial-aid/cost-estimates/net-price-calculator", "$28685")</f>
        <v>$28685</v>
      </c>
      <c r="S194" s="20">
        <v>32272</v>
      </c>
      <c r="T194" s="20">
        <v>35057</v>
      </c>
      <c r="U194" s="20">
        <v>5670</v>
      </c>
      <c r="V194" s="20">
        <v>23015.456558773429</v>
      </c>
      <c r="X194" s="19">
        <v>0.26450000000000001</v>
      </c>
      <c r="Y194" s="19">
        <v>0.42409999999999998</v>
      </c>
      <c r="AA194" s="18">
        <v>17930</v>
      </c>
    </row>
    <row r="195" spans="1:27" ht="15.75" customHeight="1" x14ac:dyDescent="0.2">
      <c r="A195" s="36" t="str">
        <f>HYPERLINK("https://www.uncp.edu", "University of North Carolina at Pembroke")</f>
        <v>University of North Carolina at Pembroke</v>
      </c>
      <c r="B195" s="18" t="s">
        <v>49</v>
      </c>
      <c r="C195" s="18" t="s">
        <v>103</v>
      </c>
      <c r="D195" s="18" t="s">
        <v>903</v>
      </c>
      <c r="E195" s="18">
        <v>999</v>
      </c>
      <c r="F195" s="18" t="s">
        <v>35</v>
      </c>
      <c r="J195" s="19"/>
      <c r="K195" s="19">
        <v>0.3972</v>
      </c>
      <c r="L195" s="19">
        <v>0.32363213000000002</v>
      </c>
      <c r="M195" s="19">
        <v>0.3805</v>
      </c>
      <c r="N195" s="19">
        <v>0.46589999999999998</v>
      </c>
      <c r="O195" s="19">
        <v>0.33850000000000002</v>
      </c>
      <c r="P195" s="19">
        <v>0.28000000000000003</v>
      </c>
      <c r="Q195" s="20">
        <v>31275</v>
      </c>
      <c r="R195" s="21" t="str">
        <f>HYPERLINK("https://www.uncp.edu/sites/default/files/netcalc/npcalc.htm", "$22965")</f>
        <v>$22965</v>
      </c>
      <c r="S195" s="20">
        <v>27165</v>
      </c>
      <c r="T195" s="20">
        <v>29215</v>
      </c>
      <c r="U195" s="20">
        <v>4746</v>
      </c>
      <c r="V195" s="20">
        <v>18219.557761732849</v>
      </c>
      <c r="X195" s="19">
        <v>0.55100000000000005</v>
      </c>
      <c r="Y195" s="19">
        <v>0.63149999999999995</v>
      </c>
      <c r="AA195" s="18">
        <v>5308</v>
      </c>
    </row>
    <row r="196" spans="1:27" ht="15.75" customHeight="1" x14ac:dyDescent="0.2">
      <c r="A196" s="36" t="str">
        <f>HYPERLINK("https://www.upike.edu", "University of Pikeville")</f>
        <v>University of Pikeville</v>
      </c>
      <c r="B196" s="18" t="s">
        <v>32</v>
      </c>
      <c r="C196" s="18" t="s">
        <v>205</v>
      </c>
      <c r="D196" s="18" t="s">
        <v>905</v>
      </c>
      <c r="E196" s="18">
        <v>1038</v>
      </c>
      <c r="F196" s="18" t="s">
        <v>35</v>
      </c>
      <c r="J196" s="19"/>
      <c r="K196" s="19">
        <v>0.2994</v>
      </c>
      <c r="L196" s="19">
        <v>0.28125</v>
      </c>
      <c r="M196" s="19">
        <v>0.32750000000000001</v>
      </c>
      <c r="N196" s="19">
        <v>0.15</v>
      </c>
      <c r="O196" s="19">
        <v>0</v>
      </c>
      <c r="P196" s="19" t="s">
        <v>36</v>
      </c>
      <c r="Q196" s="20">
        <v>36838</v>
      </c>
      <c r="R196" s="21" t="str">
        <f>HYPERLINK("https://www.upike.edu/NetPriceCalculator/npcalc.htm", "$16377")</f>
        <v>$16377</v>
      </c>
      <c r="S196" s="20">
        <v>20512</v>
      </c>
      <c r="T196" s="20">
        <v>20584</v>
      </c>
      <c r="U196" s="20">
        <v>9000</v>
      </c>
      <c r="V196" s="20">
        <v>7377</v>
      </c>
      <c r="X196" s="19">
        <v>0.4602</v>
      </c>
      <c r="Y196" s="19">
        <v>0.13880000000000001</v>
      </c>
      <c r="AA196" s="18">
        <v>1088</v>
      </c>
    </row>
    <row r="197" spans="1:27" ht="15.75" customHeight="1" x14ac:dyDescent="0.2">
      <c r="A197" s="36" t="str">
        <f>HYPERLINK("https://www.upj.pitt.edu", "University of Pittsburgh-Johnstown")</f>
        <v>University of Pittsburgh-Johnstown</v>
      </c>
      <c r="B197" s="18" t="s">
        <v>49</v>
      </c>
      <c r="C197" s="18" t="s">
        <v>65</v>
      </c>
      <c r="D197" s="18" t="s">
        <v>907</v>
      </c>
      <c r="E197" s="18">
        <v>1105</v>
      </c>
      <c r="F197" s="18" t="s">
        <v>35</v>
      </c>
      <c r="J197" s="19"/>
      <c r="K197" s="19">
        <v>0.46750000000000003</v>
      </c>
      <c r="L197" s="19">
        <v>0.53456221199999998</v>
      </c>
      <c r="M197" s="19">
        <v>0.49320000000000003</v>
      </c>
      <c r="N197" s="19">
        <v>0.375</v>
      </c>
      <c r="O197" s="19">
        <v>0.33329999999999999</v>
      </c>
      <c r="P197" s="19">
        <v>0.25</v>
      </c>
      <c r="Q197" s="20">
        <v>39933</v>
      </c>
      <c r="R197" s="21" t="str">
        <f>HYPERLINK("https://npc.collegeboard.org/student/app/pitt", "$30024")</f>
        <v>$30024</v>
      </c>
      <c r="S197" s="20">
        <v>33594</v>
      </c>
      <c r="T197" s="20">
        <v>35457</v>
      </c>
      <c r="U197" s="20">
        <v>5153</v>
      </c>
      <c r="V197" s="20">
        <v>24871.61486486487</v>
      </c>
      <c r="X197" s="19">
        <v>0.30259999999999998</v>
      </c>
      <c r="Y197" s="19">
        <v>0.16969999999999999</v>
      </c>
      <c r="AA197" s="18">
        <v>2776</v>
      </c>
    </row>
    <row r="198" spans="1:27" ht="15.75" customHeight="1" x14ac:dyDescent="0.2">
      <c r="A198" s="36" t="str">
        <f>HYPERLINK("https://www.usj.edu", "University of Saint Joseph")</f>
        <v>University of Saint Joseph</v>
      </c>
      <c r="B198" s="18" t="s">
        <v>32</v>
      </c>
      <c r="C198" s="18" t="s">
        <v>94</v>
      </c>
      <c r="D198" s="18" t="s">
        <v>909</v>
      </c>
      <c r="E198" s="18">
        <v>1064</v>
      </c>
      <c r="F198" s="18" t="s">
        <v>115</v>
      </c>
      <c r="J198" s="19"/>
      <c r="K198" s="19">
        <v>0.68149999999999999</v>
      </c>
      <c r="L198" s="19">
        <v>0.48543689299999998</v>
      </c>
      <c r="M198" s="19">
        <v>0.70450000000000002</v>
      </c>
      <c r="N198" s="19">
        <v>0.61899999999999999</v>
      </c>
      <c r="O198" s="19">
        <v>0.5</v>
      </c>
      <c r="P198" s="19">
        <v>1</v>
      </c>
      <c r="Q198" s="20">
        <v>51404</v>
      </c>
      <c r="R198" s="21" t="str">
        <f>HYPERLINK("https://www.usj.edu/admissions-financial-aid/tuition-and-financial-aid/net-price-calculator/", "$24124")</f>
        <v>$24124</v>
      </c>
      <c r="S198" s="20">
        <v>25032</v>
      </c>
      <c r="T198" s="20">
        <v>25910</v>
      </c>
      <c r="U198" s="20">
        <v>2276</v>
      </c>
      <c r="V198" s="20">
        <v>21848</v>
      </c>
      <c r="X198" s="19">
        <v>0.38030000000000003</v>
      </c>
      <c r="Y198" s="19">
        <v>0.44529999999999997</v>
      </c>
      <c r="AA198" s="18">
        <v>759</v>
      </c>
    </row>
    <row r="199" spans="1:27" ht="15.75" customHeight="1" x14ac:dyDescent="0.2">
      <c r="A199" s="36" t="str">
        <f>HYPERLINK("https://www.uwosh.edu", "University of Wisconsin-Oshkosh")</f>
        <v>University of Wisconsin-Oshkosh</v>
      </c>
      <c r="B199" s="18" t="s">
        <v>49</v>
      </c>
      <c r="C199" s="18" t="s">
        <v>196</v>
      </c>
      <c r="D199" s="18" t="s">
        <v>910</v>
      </c>
      <c r="E199" s="18">
        <v>1105</v>
      </c>
      <c r="F199" s="18" t="s">
        <v>35</v>
      </c>
      <c r="J199" s="19"/>
      <c r="K199" s="19">
        <v>0.52339999999999998</v>
      </c>
      <c r="L199" s="19">
        <v>0.46288209600000002</v>
      </c>
      <c r="M199" s="19">
        <v>0.54820000000000002</v>
      </c>
      <c r="N199" s="19">
        <v>0.26469999999999999</v>
      </c>
      <c r="O199" s="19">
        <v>0.34689999999999999</v>
      </c>
      <c r="P199" s="19">
        <v>0.39729999999999999</v>
      </c>
      <c r="Q199" s="20">
        <v>26652</v>
      </c>
      <c r="R199" s="21" t="str">
        <f>HYPERLINK("https://www.uwosh.edu/vsacalculator/financial-aid-award-estimator", "$18365")</f>
        <v>$18365</v>
      </c>
      <c r="S199" s="20">
        <v>22833</v>
      </c>
      <c r="T199" s="20">
        <v>25554</v>
      </c>
      <c r="U199" s="20">
        <v>3700</v>
      </c>
      <c r="V199" s="20">
        <v>14665.42790697674</v>
      </c>
      <c r="X199" s="19">
        <v>0.2208</v>
      </c>
      <c r="Y199" s="19">
        <v>0.1515</v>
      </c>
      <c r="AA199" s="18">
        <v>9162</v>
      </c>
    </row>
    <row r="200" spans="1:27" ht="15.75" customHeight="1" x14ac:dyDescent="0.2">
      <c r="A200" s="36" t="str">
        <f>HYPERLINK("https://www.uwp.edu", "University of Wisconsin-Parkside")</f>
        <v>University of Wisconsin-Parkside</v>
      </c>
      <c r="B200" s="18" t="s">
        <v>49</v>
      </c>
      <c r="C200" s="18" t="s">
        <v>196</v>
      </c>
      <c r="D200" s="18" t="s">
        <v>625</v>
      </c>
      <c r="E200" s="18">
        <v>1045</v>
      </c>
      <c r="F200" s="18" t="s">
        <v>35</v>
      </c>
      <c r="J200" s="19"/>
      <c r="K200" s="19">
        <v>0.3402</v>
      </c>
      <c r="L200" s="19">
        <v>0.33333333300000001</v>
      </c>
      <c r="M200" s="19">
        <v>0.37340000000000001</v>
      </c>
      <c r="N200" s="19">
        <v>0.2432</v>
      </c>
      <c r="O200" s="19">
        <v>0.30859999999999999</v>
      </c>
      <c r="P200" s="19">
        <v>0.3846</v>
      </c>
      <c r="Q200" s="20">
        <v>28072</v>
      </c>
      <c r="R200" s="21" t="str">
        <f>HYPERLINK("https://www.uwp.edu/live/offices/financialaid/npcalculator.cfm", "$19577")</f>
        <v>$19577</v>
      </c>
      <c r="S200" s="20">
        <v>23492</v>
      </c>
      <c r="T200" s="20">
        <v>27143</v>
      </c>
      <c r="U200" s="20">
        <v>5182</v>
      </c>
      <c r="V200" s="20">
        <v>14395.974358974359</v>
      </c>
      <c r="X200" s="19">
        <v>0.39550000000000002</v>
      </c>
      <c r="Y200" s="19">
        <v>0.35129999999999989</v>
      </c>
      <c r="AA200" s="18">
        <v>4056</v>
      </c>
    </row>
    <row r="201" spans="1:27" ht="15.75" customHeight="1" x14ac:dyDescent="0.2">
      <c r="A201" s="36" t="str">
        <f>HYPERLINK("https://flex.wisconsin.edu", "University of Wisconsin-Parkside")</f>
        <v>University of Wisconsin-Parkside</v>
      </c>
      <c r="B201" s="18" t="s">
        <v>49</v>
      </c>
      <c r="C201" s="18" t="s">
        <v>196</v>
      </c>
      <c r="D201" s="18" t="s">
        <v>625</v>
      </c>
      <c r="E201" s="18" t="s">
        <v>36</v>
      </c>
      <c r="F201" s="18" t="s">
        <v>35</v>
      </c>
      <c r="J201" s="19"/>
      <c r="K201" s="19" t="s">
        <v>36</v>
      </c>
      <c r="L201" s="19" t="s">
        <v>36</v>
      </c>
      <c r="M201" s="19" t="s">
        <v>36</v>
      </c>
      <c r="N201" s="19" t="s">
        <v>36</v>
      </c>
      <c r="O201" s="19" t="s">
        <v>36</v>
      </c>
      <c r="P201" s="19" t="s">
        <v>36</v>
      </c>
      <c r="Q201" s="20" t="s">
        <v>36</v>
      </c>
      <c r="R201" s="21" t="str">
        <f>HYPERLINK("https://flex.wisconsin.edu/tuition-financial-aid/tuition/net-price-calculator/", "Not reported")</f>
        <v>Not reported</v>
      </c>
      <c r="S201" s="20" t="s">
        <v>36</v>
      </c>
      <c r="T201" s="20" t="s">
        <v>36</v>
      </c>
      <c r="U201" s="20" t="s">
        <v>36</v>
      </c>
      <c r="V201" s="20" t="s">
        <v>36</v>
      </c>
      <c r="X201" s="19">
        <v>0</v>
      </c>
      <c r="Y201" s="19">
        <v>0</v>
      </c>
      <c r="AA201" s="18">
        <v>5</v>
      </c>
    </row>
    <row r="202" spans="1:27" ht="15.75" customHeight="1" x14ac:dyDescent="0.2">
      <c r="A202" s="36" t="str">
        <f>HYPERLINK("https://www.uwrf.edu", "University of Wisconsin-River Falls")</f>
        <v>University of Wisconsin-River Falls</v>
      </c>
      <c r="B202" s="18" t="s">
        <v>49</v>
      </c>
      <c r="C202" s="18" t="s">
        <v>196</v>
      </c>
      <c r="D202" s="18" t="s">
        <v>916</v>
      </c>
      <c r="E202" s="18">
        <v>1125</v>
      </c>
      <c r="F202" s="18" t="s">
        <v>35</v>
      </c>
      <c r="J202" s="19"/>
      <c r="K202" s="19">
        <v>0.52910000000000001</v>
      </c>
      <c r="L202" s="19">
        <v>0.50708215299999992</v>
      </c>
      <c r="M202" s="19">
        <v>0.55600000000000005</v>
      </c>
      <c r="N202" s="19">
        <v>0.20830000000000001</v>
      </c>
      <c r="O202" s="19">
        <v>0.37040000000000001</v>
      </c>
      <c r="P202" s="19">
        <v>0.27079999999999999</v>
      </c>
      <c r="Q202" s="20">
        <v>27461</v>
      </c>
      <c r="R202" s="21" t="str">
        <f>HYPERLINK("https://www.uwrf.edu/FinancialAid/NetPriceCalculator.cfm", "$19479")</f>
        <v>$19479</v>
      </c>
      <c r="S202" s="20">
        <v>23768</v>
      </c>
      <c r="T202" s="20">
        <v>26057</v>
      </c>
      <c r="U202" s="20">
        <v>4115</v>
      </c>
      <c r="V202" s="20">
        <v>15364</v>
      </c>
      <c r="X202" s="19">
        <v>0.28249999999999997</v>
      </c>
      <c r="Y202" s="19">
        <v>0.1231</v>
      </c>
      <c r="AA202" s="18">
        <v>5515</v>
      </c>
    </row>
    <row r="203" spans="1:27" ht="15.75" customHeight="1" x14ac:dyDescent="0.2">
      <c r="A203" s="17" t="str">
        <f>HYPERLINK("https://www.udc.edu", "University of the District of Columbia")</f>
        <v>University of the District of Columbia</v>
      </c>
      <c r="B203" s="18" t="s">
        <v>49</v>
      </c>
      <c r="C203" s="18" t="s">
        <v>113</v>
      </c>
      <c r="D203" s="18" t="s">
        <v>114</v>
      </c>
      <c r="E203" s="18" t="s">
        <v>36</v>
      </c>
      <c r="F203" s="18" t="s">
        <v>36</v>
      </c>
      <c r="J203" s="19"/>
      <c r="K203" s="19">
        <v>0.159</v>
      </c>
      <c r="L203" s="19">
        <v>0.198984772</v>
      </c>
      <c r="M203" s="19">
        <v>0.1111</v>
      </c>
      <c r="N203" s="19">
        <v>0.1182</v>
      </c>
      <c r="O203" s="19">
        <v>0.2</v>
      </c>
      <c r="P203" s="19">
        <v>0</v>
      </c>
      <c r="Q203" s="20">
        <v>34524</v>
      </c>
      <c r="R203" s="33" t="str">
        <f>HYPERLINK("https://www.udc.edu/custom/cost_calculator/npcalc.htm", "$27820")</f>
        <v>$27820</v>
      </c>
      <c r="S203" s="20">
        <v>28805</v>
      </c>
      <c r="T203" s="20">
        <v>34524</v>
      </c>
      <c r="U203" s="20">
        <v>6007</v>
      </c>
      <c r="V203" s="20">
        <v>21813.01960784314</v>
      </c>
      <c r="X203" s="19">
        <v>0.47089999999999999</v>
      </c>
      <c r="Y203" s="19">
        <v>0.96279999999999999</v>
      </c>
      <c r="AA203" s="18">
        <v>3606</v>
      </c>
    </row>
    <row r="204" spans="1:27" ht="15.75" customHeight="1" x14ac:dyDescent="0.2">
      <c r="A204" s="17" t="str">
        <f>HYPERLINK("https://www.uiu.edu", "Upper Iowa University")</f>
        <v>Upper Iowa University</v>
      </c>
      <c r="B204" s="18" t="s">
        <v>32</v>
      </c>
      <c r="C204" s="18" t="s">
        <v>211</v>
      </c>
      <c r="D204" s="18" t="s">
        <v>920</v>
      </c>
      <c r="E204" s="18">
        <v>1041</v>
      </c>
      <c r="F204" s="18" t="s">
        <v>35</v>
      </c>
      <c r="J204" s="19"/>
      <c r="K204" s="19">
        <v>0.4143</v>
      </c>
      <c r="L204" s="19">
        <v>0.238870793</v>
      </c>
      <c r="M204" s="19">
        <v>0.5</v>
      </c>
      <c r="N204" s="19">
        <v>0.2414</v>
      </c>
      <c r="O204" s="19">
        <v>0.1111</v>
      </c>
      <c r="P204" s="19">
        <v>0</v>
      </c>
      <c r="Q204" s="20">
        <v>44206</v>
      </c>
      <c r="R204" s="33" t="str">
        <f>HYPERLINK("https://uiu.edu/financial-aid/net-price-calculator.html", "$24957")</f>
        <v>$24957</v>
      </c>
      <c r="S204" s="20">
        <v>22352</v>
      </c>
      <c r="T204" s="20">
        <v>27695</v>
      </c>
      <c r="U204" s="20">
        <v>4846</v>
      </c>
      <c r="V204" s="20">
        <v>20111</v>
      </c>
      <c r="X204" s="19">
        <v>0.43149999999999999</v>
      </c>
      <c r="Y204" s="19">
        <v>0.42759999999999998</v>
      </c>
      <c r="AA204" s="18">
        <v>4058</v>
      </c>
    </row>
    <row r="205" spans="1:27" ht="15.75" customHeight="1" x14ac:dyDescent="0.2">
      <c r="A205" s="17" t="str">
        <f>HYPERLINK("https://www.vwu.edu", "Virginia Wesleyan College")</f>
        <v>Virginia Wesleyan College</v>
      </c>
      <c r="B205" s="18" t="s">
        <v>32</v>
      </c>
      <c r="C205" s="18" t="s">
        <v>83</v>
      </c>
      <c r="D205" s="18" t="s">
        <v>921</v>
      </c>
      <c r="E205" s="18">
        <v>1063</v>
      </c>
      <c r="F205" s="18" t="s">
        <v>35</v>
      </c>
      <c r="J205" s="19"/>
      <c r="K205" s="19">
        <v>0.52049999999999996</v>
      </c>
      <c r="L205" s="19">
        <v>0.44094488199999998</v>
      </c>
      <c r="M205" s="19">
        <v>0.51900000000000002</v>
      </c>
      <c r="N205" s="19">
        <v>0.47370000000000001</v>
      </c>
      <c r="O205" s="19">
        <v>0.62960000000000005</v>
      </c>
      <c r="P205" s="19">
        <v>0.33329999999999999</v>
      </c>
      <c r="Q205" s="20">
        <v>50204</v>
      </c>
      <c r="R205" s="33" t="str">
        <f>HYPERLINK("https://tcc.noellevitz.com/(S(5slfxgklwwaxffrvamu2ydr4))/Virginia%20Wesleyan%20University/Freshman%20Students", "$22891")</f>
        <v>$22891</v>
      </c>
      <c r="S205" s="20">
        <v>25150</v>
      </c>
      <c r="T205" s="20">
        <v>25204</v>
      </c>
      <c r="U205" s="20">
        <v>4600</v>
      </c>
      <c r="V205" s="20">
        <v>18291</v>
      </c>
      <c r="X205" s="19">
        <v>0.41270000000000001</v>
      </c>
      <c r="Y205" s="19">
        <v>0.51350000000000007</v>
      </c>
      <c r="AA205" s="18">
        <v>1369</v>
      </c>
    </row>
    <row r="206" spans="1:27" ht="15.75" customHeight="1" x14ac:dyDescent="0.2">
      <c r="A206" s="17" t="str">
        <f>HYPERLINK("https://www.wallawalla.edu", "Walla Walla University")</f>
        <v>Walla Walla University</v>
      </c>
      <c r="B206" s="18" t="s">
        <v>32</v>
      </c>
      <c r="C206" s="18" t="s">
        <v>184</v>
      </c>
      <c r="D206" s="18" t="s">
        <v>923</v>
      </c>
      <c r="E206" s="18" t="s">
        <v>36</v>
      </c>
      <c r="F206" s="18" t="s">
        <v>36</v>
      </c>
      <c r="J206" s="19"/>
      <c r="K206" s="19">
        <v>0.61199999999999999</v>
      </c>
      <c r="L206" s="19">
        <v>0.29310344799999999</v>
      </c>
      <c r="M206" s="19">
        <v>0.67700000000000005</v>
      </c>
      <c r="N206" s="19">
        <v>0.26669999999999999</v>
      </c>
      <c r="O206" s="19">
        <v>0.46510000000000001</v>
      </c>
      <c r="P206" s="19">
        <v>0.5333</v>
      </c>
      <c r="Q206" s="20">
        <v>37560</v>
      </c>
      <c r="R206" s="33" t="str">
        <f>HYPERLINK("https://npc.wallawalla.edu", "$18456")</f>
        <v>$18456</v>
      </c>
      <c r="S206" s="20">
        <v>22613</v>
      </c>
      <c r="T206" s="20">
        <v>24800</v>
      </c>
      <c r="U206" s="20">
        <v>2910</v>
      </c>
      <c r="V206" s="20">
        <v>15546</v>
      </c>
      <c r="X206" s="19">
        <v>0.29120000000000001</v>
      </c>
      <c r="Y206" s="19">
        <v>0.35529999999999989</v>
      </c>
      <c r="AA206" s="18">
        <v>1610</v>
      </c>
    </row>
    <row r="207" spans="1:27" ht="15.75" customHeight="1" x14ac:dyDescent="0.2">
      <c r="A207" s="17" t="str">
        <f>HYPERLINK("https://www.washburntech.edu", "Washburn Institute of Technology")</f>
        <v>Washburn Institute of Technology</v>
      </c>
      <c r="B207" s="18" t="s">
        <v>49</v>
      </c>
      <c r="C207" s="18" t="s">
        <v>307</v>
      </c>
      <c r="D207" s="18" t="s">
        <v>927</v>
      </c>
      <c r="E207" s="18" t="s">
        <v>36</v>
      </c>
      <c r="F207" s="18" t="s">
        <v>45</v>
      </c>
      <c r="J207" s="19"/>
      <c r="K207" s="19">
        <v>0.66200000000000003</v>
      </c>
      <c r="L207" s="19">
        <v>0.33333333300000001</v>
      </c>
      <c r="M207" s="19" t="s">
        <v>36</v>
      </c>
      <c r="N207" s="19" t="s">
        <v>36</v>
      </c>
      <c r="O207" s="19" t="s">
        <v>36</v>
      </c>
      <c r="P207" s="19" t="s">
        <v>36</v>
      </c>
      <c r="Q207" s="20">
        <v>22452</v>
      </c>
      <c r="R207" s="33" t="str">
        <f>HYPERLINK("https://www.washburntech.edu/net-price-calculator/npcalc.htm", "$17355")</f>
        <v>$17355</v>
      </c>
      <c r="S207" s="20">
        <v>19509</v>
      </c>
      <c r="T207" s="20">
        <v>22452</v>
      </c>
      <c r="U207" s="20">
        <v>4902</v>
      </c>
      <c r="V207" s="20">
        <v>12453.40909090909</v>
      </c>
      <c r="X207" s="19">
        <v>0.22170000000000001</v>
      </c>
      <c r="Y207" s="19">
        <v>0.4052</v>
      </c>
      <c r="AA207" s="18">
        <v>1377</v>
      </c>
    </row>
    <row r="208" spans="1:27" ht="15.75" customHeight="1" x14ac:dyDescent="0.2">
      <c r="A208" s="17" t="str">
        <f>HYPERLINK("https://www.washburn.edu", "Washburn University")</f>
        <v>Washburn University</v>
      </c>
      <c r="B208" s="18" t="s">
        <v>49</v>
      </c>
      <c r="C208" s="18" t="s">
        <v>307</v>
      </c>
      <c r="D208" s="18" t="s">
        <v>927</v>
      </c>
      <c r="E208" s="18" t="s">
        <v>36</v>
      </c>
      <c r="F208" s="18" t="s">
        <v>36</v>
      </c>
      <c r="J208" s="19"/>
      <c r="K208" s="19">
        <v>0.38869999999999999</v>
      </c>
      <c r="L208" s="19">
        <v>0.33333333300000001</v>
      </c>
      <c r="M208" s="19">
        <v>0.46300000000000002</v>
      </c>
      <c r="N208" s="19">
        <v>0.1212</v>
      </c>
      <c r="O208" s="19">
        <v>0.26419999999999999</v>
      </c>
      <c r="P208" s="19">
        <v>0.5</v>
      </c>
      <c r="Q208" s="20">
        <v>30408</v>
      </c>
      <c r="R208" s="33" t="str">
        <f>HYPERLINK("https://www2-prod.washburn.edu/net_price_calc/index.php", "$22650")</f>
        <v>$22650</v>
      </c>
      <c r="S208" s="20">
        <v>25584</v>
      </c>
      <c r="T208" s="20">
        <v>27757</v>
      </c>
      <c r="U208" s="20">
        <v>4600</v>
      </c>
      <c r="V208" s="20">
        <v>18050.596078431368</v>
      </c>
      <c r="X208" s="19">
        <v>0.33069999999999999</v>
      </c>
      <c r="Y208" s="19">
        <v>0.35139999999999999</v>
      </c>
      <c r="AA208" s="18">
        <v>4926</v>
      </c>
    </row>
    <row r="209" spans="1:27" ht="15.75" customHeight="1" x14ac:dyDescent="0.2">
      <c r="A209" s="17" t="str">
        <f>HYPERLINK("https://www.wbu.edu", "Wayland Baptist University")</f>
        <v>Wayland Baptist University</v>
      </c>
      <c r="B209" s="18" t="s">
        <v>32</v>
      </c>
      <c r="C209" s="18" t="s">
        <v>146</v>
      </c>
      <c r="D209" s="18" t="s">
        <v>930</v>
      </c>
      <c r="E209" s="18">
        <v>1009</v>
      </c>
      <c r="F209" s="18" t="s">
        <v>35</v>
      </c>
      <c r="J209" s="19"/>
      <c r="K209" s="19">
        <v>0.2006</v>
      </c>
      <c r="L209" s="19">
        <v>0.34729063999999998</v>
      </c>
      <c r="M209" s="19">
        <v>0.22220000000000001</v>
      </c>
      <c r="N209" s="19">
        <v>0.1489</v>
      </c>
      <c r="O209" s="19">
        <v>0.2072</v>
      </c>
      <c r="P209" s="19">
        <v>0</v>
      </c>
      <c r="Q209" s="20">
        <v>31062</v>
      </c>
      <c r="R209" s="33" t="str">
        <f>HYPERLINK("https://wbu.studentaidcalculator.com", "$17472")</f>
        <v>$17472</v>
      </c>
      <c r="S209" s="20">
        <v>19349</v>
      </c>
      <c r="T209" s="20">
        <v>21677</v>
      </c>
      <c r="U209" s="20">
        <v>5256</v>
      </c>
      <c r="V209" s="20">
        <v>12216</v>
      </c>
      <c r="X209" s="19">
        <v>0.37430000000000002</v>
      </c>
      <c r="Y209" s="19">
        <v>0.61739999999999995</v>
      </c>
      <c r="AA209" s="18">
        <v>3549</v>
      </c>
    </row>
    <row r="210" spans="1:27" ht="15.75" customHeight="1" x14ac:dyDescent="0.2">
      <c r="A210" s="17" t="str">
        <f>HYPERLINK("https://www.weber.edu", "Weber State University")</f>
        <v>Weber State University</v>
      </c>
      <c r="B210" s="18" t="s">
        <v>49</v>
      </c>
      <c r="C210" s="18" t="s">
        <v>199</v>
      </c>
      <c r="D210" s="18" t="s">
        <v>931</v>
      </c>
      <c r="E210" s="18" t="s">
        <v>36</v>
      </c>
      <c r="F210" s="18" t="s">
        <v>36</v>
      </c>
      <c r="J210" s="19"/>
      <c r="K210" s="19">
        <v>0.33489999999999998</v>
      </c>
      <c r="L210" s="19">
        <v>0.33317735100000001</v>
      </c>
      <c r="M210" s="19">
        <v>0.35399999999999998</v>
      </c>
      <c r="N210" s="19">
        <v>0.14580000000000001</v>
      </c>
      <c r="O210" s="19">
        <v>0.23180000000000001</v>
      </c>
      <c r="P210" s="19">
        <v>0.36670000000000003</v>
      </c>
      <c r="Q210" s="20">
        <v>29912</v>
      </c>
      <c r="R210" s="33" t="str">
        <f>HYPERLINK("https://www.weber.edu/IR/NetPriceCalculator.html", "$25341")</f>
        <v>$25341</v>
      </c>
      <c r="S210" s="20">
        <v>27432</v>
      </c>
      <c r="T210" s="20">
        <v>29443</v>
      </c>
      <c r="U210" s="20">
        <v>6252</v>
      </c>
      <c r="V210" s="20">
        <v>19089.464968152872</v>
      </c>
      <c r="X210" s="19">
        <v>0.23400000000000001</v>
      </c>
      <c r="Y210" s="19">
        <v>0.25740000000000002</v>
      </c>
      <c r="AA210" s="18">
        <v>16947</v>
      </c>
    </row>
    <row r="211" spans="1:27" ht="15.75" customHeight="1" x14ac:dyDescent="0.2">
      <c r="A211" s="17" t="str">
        <f>HYPERLINK("https://www.wvstateu.edu", "West Virginia State University")</f>
        <v>West Virginia State University</v>
      </c>
      <c r="B211" s="18" t="s">
        <v>49</v>
      </c>
      <c r="C211" s="18" t="s">
        <v>574</v>
      </c>
      <c r="D211" s="18" t="s">
        <v>933</v>
      </c>
      <c r="E211" s="18">
        <v>1007</v>
      </c>
      <c r="F211" s="18" t="s">
        <v>35</v>
      </c>
      <c r="J211" s="19"/>
      <c r="K211" s="19">
        <v>0.26279999999999998</v>
      </c>
      <c r="L211" s="19">
        <v>0.27931769699999998</v>
      </c>
      <c r="M211" s="19">
        <v>0.26319999999999999</v>
      </c>
      <c r="N211" s="19">
        <v>0.1154</v>
      </c>
      <c r="O211" s="19">
        <v>0</v>
      </c>
      <c r="P211" s="19" t="s">
        <v>36</v>
      </c>
      <c r="Q211" s="20">
        <v>32232</v>
      </c>
      <c r="R211" s="33" t="str">
        <f>HYPERLINK("https://wvstateu.studentaidcalculator.com/survey.aspx", "$24229")</f>
        <v>$24229</v>
      </c>
      <c r="S211" s="20">
        <v>25527</v>
      </c>
      <c r="T211" s="20">
        <v>24401</v>
      </c>
      <c r="U211" s="20">
        <v>3816</v>
      </c>
      <c r="V211" s="20">
        <v>20413</v>
      </c>
      <c r="X211" s="19">
        <v>0.30249999999999999</v>
      </c>
      <c r="Y211" s="19">
        <v>0.32550000000000001</v>
      </c>
      <c r="AA211" s="18">
        <v>1905</v>
      </c>
    </row>
    <row r="212" spans="1:27" ht="15.75" customHeight="1" x14ac:dyDescent="0.2">
      <c r="A212" s="17" t="str">
        <f>HYPERLINK("https://www.wku.edu", "Western Kentucky University")</f>
        <v>Western Kentucky University</v>
      </c>
      <c r="B212" s="18" t="s">
        <v>49</v>
      </c>
      <c r="C212" s="18" t="s">
        <v>205</v>
      </c>
      <c r="D212" s="18" t="s">
        <v>585</v>
      </c>
      <c r="E212" s="18">
        <v>1136</v>
      </c>
      <c r="F212" s="18" t="s">
        <v>35</v>
      </c>
      <c r="J212" s="19"/>
      <c r="K212" s="19">
        <v>0.43120000000000003</v>
      </c>
      <c r="L212" s="19">
        <v>0.29215786799999999</v>
      </c>
      <c r="M212" s="19">
        <v>0.48509999999999998</v>
      </c>
      <c r="N212" s="19">
        <v>0.20080000000000001</v>
      </c>
      <c r="O212" s="19">
        <v>0.3654</v>
      </c>
      <c r="P212" s="19">
        <v>0.51519999999999999</v>
      </c>
      <c r="Q212" s="20">
        <v>36806</v>
      </c>
      <c r="R212" s="33" t="str">
        <f>HYPERLINK("https://www.wku.edu/financialaid/costinfo/calculator.php", "$29604")</f>
        <v>$29604</v>
      </c>
      <c r="S212" s="20">
        <v>32301</v>
      </c>
      <c r="T212" s="20">
        <v>33954</v>
      </c>
      <c r="U212" s="20">
        <v>2944</v>
      </c>
      <c r="V212" s="20">
        <v>26660.17530864197</v>
      </c>
      <c r="X212" s="19">
        <v>0.30580000000000002</v>
      </c>
      <c r="Y212" s="19">
        <v>0.22770000000000001</v>
      </c>
      <c r="AA212" s="18">
        <v>14529</v>
      </c>
    </row>
    <row r="213" spans="1:27" ht="15.75" customHeight="1" x14ac:dyDescent="0.2">
      <c r="A213" s="17" t="str">
        <f>HYPERLINK("https://www.wnmu.edu", "Western New Mexico University")</f>
        <v>Western New Mexico University</v>
      </c>
      <c r="B213" s="18" t="s">
        <v>49</v>
      </c>
      <c r="C213" s="18" t="s">
        <v>234</v>
      </c>
      <c r="D213" s="18" t="s">
        <v>937</v>
      </c>
      <c r="E213" s="18" t="s">
        <v>36</v>
      </c>
      <c r="F213" s="18" t="s">
        <v>36</v>
      </c>
      <c r="J213" s="19"/>
      <c r="K213" s="19">
        <v>0.26650000000000001</v>
      </c>
      <c r="L213" s="19">
        <v>0.227083333</v>
      </c>
      <c r="M213" s="19">
        <v>0.38100000000000001</v>
      </c>
      <c r="N213" s="19">
        <v>0</v>
      </c>
      <c r="O213" s="19">
        <v>0.21990000000000001</v>
      </c>
      <c r="P213" s="19" t="s">
        <v>36</v>
      </c>
      <c r="Q213" s="20">
        <v>29927</v>
      </c>
      <c r="R213" s="33" t="str">
        <f>HYPERLINK("https://www.wnmu.edu/univ/consumerinfo/", "$23712")</f>
        <v>$23712</v>
      </c>
      <c r="S213" s="20" t="s">
        <v>36</v>
      </c>
      <c r="T213" s="20">
        <v>27157</v>
      </c>
      <c r="U213" s="20">
        <v>5888</v>
      </c>
      <c r="V213" s="20">
        <v>17824.726027397261</v>
      </c>
      <c r="X213" s="19">
        <v>0.42430000000000001</v>
      </c>
      <c r="Y213" s="19">
        <v>0.72130000000000005</v>
      </c>
      <c r="AA213" s="18">
        <v>1762</v>
      </c>
    </row>
    <row r="214" spans="1:27" ht="15.75" customHeight="1" x14ac:dyDescent="0.2">
      <c r="A214" s="17" t="str">
        <f>HYPERLINK("https://wileyc.edu", "Wiley College")</f>
        <v>Wiley College</v>
      </c>
      <c r="B214" s="18" t="s">
        <v>32</v>
      </c>
      <c r="C214" s="18" t="s">
        <v>146</v>
      </c>
      <c r="D214" s="18" t="s">
        <v>709</v>
      </c>
      <c r="E214" s="18" t="s">
        <v>36</v>
      </c>
      <c r="F214" s="18" t="s">
        <v>36</v>
      </c>
      <c r="J214" s="19"/>
      <c r="K214" s="19">
        <v>0.20910000000000001</v>
      </c>
      <c r="L214" s="19">
        <v>0.30541871900000001</v>
      </c>
      <c r="M214" s="19">
        <v>0.5</v>
      </c>
      <c r="N214" s="19">
        <v>0.19070000000000001</v>
      </c>
      <c r="O214" s="19">
        <v>0.5625</v>
      </c>
      <c r="P214" s="19" t="s">
        <v>36</v>
      </c>
      <c r="Q214" s="20">
        <v>23906</v>
      </c>
      <c r="R214" s="33" t="str">
        <f>HYPERLINK("https://npc.collegeboard.org/student/app/wileyc", "$14096")</f>
        <v>$14096</v>
      </c>
      <c r="S214" s="20" t="s">
        <v>36</v>
      </c>
      <c r="T214" s="20" t="s">
        <v>36</v>
      </c>
      <c r="U214" s="20">
        <v>4262</v>
      </c>
      <c r="V214" s="20">
        <v>9834</v>
      </c>
      <c r="X214" s="19">
        <v>0.71700000000000008</v>
      </c>
      <c r="Y214" s="19">
        <v>0.97589999999999999</v>
      </c>
      <c r="AA214" s="18">
        <v>1246</v>
      </c>
    </row>
    <row r="215" spans="1:27" ht="15.75" customHeight="1" x14ac:dyDescent="0.2">
      <c r="A215" s="17" t="str">
        <f>HYPERLINK("https://www.wmcarey.edu", "William Carey University")</f>
        <v>William Carey University</v>
      </c>
      <c r="B215" s="18" t="s">
        <v>32</v>
      </c>
      <c r="C215" s="18" t="s">
        <v>59</v>
      </c>
      <c r="D215" s="18" t="s">
        <v>939</v>
      </c>
      <c r="E215" s="18">
        <v>1179</v>
      </c>
      <c r="F215" s="18" t="s">
        <v>35</v>
      </c>
      <c r="J215" s="19"/>
      <c r="K215" s="19">
        <v>0.56940000000000002</v>
      </c>
      <c r="L215" s="19">
        <v>0.45050505099999999</v>
      </c>
      <c r="M215" s="19">
        <v>0.63160000000000005</v>
      </c>
      <c r="N215" s="19">
        <v>0.69569999999999999</v>
      </c>
      <c r="O215" s="19">
        <v>0</v>
      </c>
      <c r="P215" s="19">
        <v>1</v>
      </c>
      <c r="Q215" s="20">
        <v>27952</v>
      </c>
      <c r="R215" s="33" t="str">
        <f>HYPERLINK("https://wmcarey.studentaidcalculator.com/survey.aspx", "$18875")</f>
        <v>$18875</v>
      </c>
      <c r="S215" s="20">
        <v>18119</v>
      </c>
      <c r="T215" s="20">
        <v>13340</v>
      </c>
      <c r="U215" s="20">
        <v>9385</v>
      </c>
      <c r="V215" s="20">
        <v>9490</v>
      </c>
      <c r="X215" s="19">
        <v>0.50639999999999996</v>
      </c>
      <c r="Y215" s="19">
        <v>0.39500000000000002</v>
      </c>
      <c r="AA215" s="18">
        <v>2086</v>
      </c>
    </row>
    <row r="216" spans="1:27" ht="15.75" customHeight="1" x14ac:dyDescent="0.2">
      <c r="A216" s="17" t="str">
        <f>HYPERLINK("https://www.wilmu.edu", "Wilmington University")</f>
        <v>Wilmington University</v>
      </c>
      <c r="B216" s="18" t="s">
        <v>32</v>
      </c>
      <c r="C216" s="18" t="s">
        <v>507</v>
      </c>
      <c r="D216" s="18" t="s">
        <v>940</v>
      </c>
      <c r="E216" s="18" t="s">
        <v>36</v>
      </c>
      <c r="F216" s="18" t="s">
        <v>36</v>
      </c>
      <c r="J216" s="19"/>
      <c r="K216" s="19">
        <v>0.25919999999999999</v>
      </c>
      <c r="L216" s="19">
        <v>0.42873432200000011</v>
      </c>
      <c r="M216" s="19">
        <v>0.32379999999999998</v>
      </c>
      <c r="N216" s="19">
        <v>9.7600000000000006E-2</v>
      </c>
      <c r="O216" s="19">
        <v>0.2727</v>
      </c>
      <c r="P216" s="19">
        <v>0.5</v>
      </c>
      <c r="Q216" s="20">
        <v>20540</v>
      </c>
      <c r="R216" s="33" t="str">
        <f>HYPERLINK("https://npc.collegeboard.org/student/app/wilmu", "$13721")</f>
        <v>$13721</v>
      </c>
      <c r="S216" s="20">
        <v>15332</v>
      </c>
      <c r="T216" s="20">
        <v>15853</v>
      </c>
      <c r="U216" s="20">
        <v>3600</v>
      </c>
      <c r="V216" s="20">
        <v>10121</v>
      </c>
      <c r="X216" s="19">
        <v>0.31169999999999998</v>
      </c>
      <c r="Y216" s="19">
        <v>0.61349999999999993</v>
      </c>
      <c r="AA216" s="18">
        <v>8346</v>
      </c>
    </row>
    <row r="217" spans="1:27" ht="15.75" customHeight="1" x14ac:dyDescent="0.2">
      <c r="A217" s="17" t="str">
        <f>HYPERLINK("https://www.wssu.edu", "Winston-Salem State University")</f>
        <v>Winston-Salem State University</v>
      </c>
      <c r="B217" s="18" t="s">
        <v>49</v>
      </c>
      <c r="C217" s="18" t="s">
        <v>103</v>
      </c>
      <c r="D217" s="18" t="s">
        <v>178</v>
      </c>
      <c r="E217" s="18">
        <v>943</v>
      </c>
      <c r="F217" s="18" t="s">
        <v>35</v>
      </c>
      <c r="J217" s="19"/>
      <c r="K217" s="19">
        <v>0.49380000000000002</v>
      </c>
      <c r="L217" s="19">
        <v>0.43843031100000002</v>
      </c>
      <c r="M217" s="19">
        <v>0.3226</v>
      </c>
      <c r="N217" s="19">
        <v>0.49430000000000002</v>
      </c>
      <c r="O217" s="19">
        <v>0.57140000000000002</v>
      </c>
      <c r="P217" s="19">
        <v>0.8</v>
      </c>
      <c r="Q217" s="20">
        <v>30074</v>
      </c>
      <c r="R217" s="33" t="str">
        <f>HYPERLINK("https://www.wssu.edu/net-price-calculator/npcalc.htm", "$21450")</f>
        <v>$21450</v>
      </c>
      <c r="S217" s="20">
        <v>25375</v>
      </c>
      <c r="T217" s="20">
        <v>28420</v>
      </c>
      <c r="U217" s="20">
        <v>3857</v>
      </c>
      <c r="V217" s="20">
        <v>17593.84552845528</v>
      </c>
      <c r="X217" s="19">
        <v>0.62929999999999997</v>
      </c>
      <c r="Y217" s="19">
        <v>0.88449999999999995</v>
      </c>
      <c r="AA217" s="18">
        <v>4570</v>
      </c>
    </row>
    <row r="218" spans="1:27" ht="15.75" customHeight="1" x14ac:dyDescent="0.2">
      <c r="A218" s="17" t="str">
        <f>HYPERLINK("https://woodbury.edu/", "Woodbury University")</f>
        <v>Woodbury University</v>
      </c>
      <c r="B218" s="18" t="s">
        <v>32</v>
      </c>
      <c r="C218" s="18" t="s">
        <v>68</v>
      </c>
      <c r="D218" s="18" t="s">
        <v>943</v>
      </c>
      <c r="E218" s="18">
        <v>1076</v>
      </c>
      <c r="F218" s="18" t="s">
        <v>115</v>
      </c>
      <c r="J218" s="19"/>
      <c r="K218" s="19">
        <v>0.52100000000000002</v>
      </c>
      <c r="L218" s="19">
        <v>0.313253012</v>
      </c>
      <c r="M218" s="19">
        <v>0.75609999999999999</v>
      </c>
      <c r="N218" s="19">
        <v>0.28570000000000001</v>
      </c>
      <c r="O218" s="19">
        <v>0.42109999999999997</v>
      </c>
      <c r="P218" s="19">
        <v>0.57140000000000002</v>
      </c>
      <c r="Q218" s="20">
        <v>54633</v>
      </c>
      <c r="R218" s="33" t="str">
        <f>HYPERLINK("https://npc.collegeboard.org/student/app/woodburyim", "$24488")</f>
        <v>$24488</v>
      </c>
      <c r="S218" s="20">
        <v>30986</v>
      </c>
      <c r="T218" s="20">
        <v>31001</v>
      </c>
      <c r="U218" s="20">
        <v>5040</v>
      </c>
      <c r="V218" s="20">
        <v>19448</v>
      </c>
      <c r="X218" s="19">
        <v>0.42209999999999998</v>
      </c>
      <c r="Y218" s="19">
        <v>0.68819999999999992</v>
      </c>
      <c r="AA218" s="18">
        <v>1023</v>
      </c>
    </row>
    <row r="219" spans="1:27" ht="15.75" customHeight="1" x14ac:dyDescent="0.2">
      <c r="A219" s="17" t="str">
        <f>HYPERLINK("https://ysu.edu/", "Youngstown State University")</f>
        <v>Youngstown State University</v>
      </c>
      <c r="B219" s="18" t="s">
        <v>49</v>
      </c>
      <c r="C219" s="18" t="s">
        <v>75</v>
      </c>
      <c r="D219" s="18" t="s">
        <v>889</v>
      </c>
      <c r="E219" s="18">
        <v>1104</v>
      </c>
      <c r="F219" s="18" t="s">
        <v>35</v>
      </c>
      <c r="J219" s="19"/>
      <c r="K219" s="19">
        <v>0.34429999999999999</v>
      </c>
      <c r="L219" s="19">
        <v>0.20242537299999999</v>
      </c>
      <c r="M219" s="19">
        <v>0.41449999999999998</v>
      </c>
      <c r="N219" s="19">
        <v>0.10730000000000001</v>
      </c>
      <c r="O219" s="19">
        <v>0.2273</v>
      </c>
      <c r="P219" s="19">
        <v>0.70830000000000004</v>
      </c>
      <c r="Q219" s="20">
        <v>22807</v>
      </c>
      <c r="R219" s="33" t="str">
        <f>HYPERLINK("https://cfweb.cc.ysu.edu/finaid/estimator/est_estimator.cfm", "$13965")</f>
        <v>$13965</v>
      </c>
      <c r="S219" s="20">
        <v>17463</v>
      </c>
      <c r="T219" s="20">
        <v>19933</v>
      </c>
      <c r="U219" s="20">
        <v>4906</v>
      </c>
      <c r="V219" s="20">
        <v>9059.8426229508204</v>
      </c>
      <c r="X219" s="19">
        <v>0.41199999999999998</v>
      </c>
      <c r="Y219" s="19">
        <v>0.24510000000000001</v>
      </c>
      <c r="AA219" s="18">
        <v>10039</v>
      </c>
    </row>
    <row r="220" spans="1:27" ht="15.75" customHeight="1" x14ac:dyDescent="0.2">
      <c r="A220" s="34"/>
      <c r="B220" s="34"/>
      <c r="C220" s="34"/>
      <c r="D220" s="34"/>
      <c r="E220" s="19"/>
      <c r="F220" s="19"/>
      <c r="G220" s="19"/>
      <c r="H220" s="19"/>
      <c r="I220" s="19"/>
      <c r="J220" s="19"/>
      <c r="K220" s="19"/>
      <c r="L220" s="19"/>
      <c r="M220" s="19"/>
      <c r="N220" s="19"/>
      <c r="O220" s="19"/>
      <c r="P220" s="19"/>
      <c r="Q220" s="20"/>
      <c r="R220" s="20"/>
      <c r="S220" s="22"/>
      <c r="T220" s="22"/>
      <c r="U220" s="20"/>
      <c r="V220" s="20"/>
      <c r="W220" s="20"/>
      <c r="X220" s="19"/>
      <c r="Y220" s="19"/>
      <c r="Z220" s="19"/>
      <c r="AA220" s="23"/>
    </row>
    <row r="221" spans="1:27" ht="15.75" customHeight="1" x14ac:dyDescent="0.2">
      <c r="A221" s="34"/>
      <c r="B221" s="34"/>
      <c r="C221" s="34"/>
      <c r="D221" s="34"/>
      <c r="E221" s="19"/>
      <c r="F221" s="19"/>
      <c r="G221" s="19"/>
      <c r="H221" s="19"/>
      <c r="I221" s="19"/>
      <c r="J221" s="19"/>
      <c r="K221" s="19"/>
      <c r="L221" s="19"/>
      <c r="M221" s="19"/>
      <c r="N221" s="19"/>
      <c r="O221" s="19"/>
      <c r="P221" s="19"/>
      <c r="Q221" s="20"/>
      <c r="R221" s="20"/>
      <c r="S221" s="22"/>
      <c r="T221" s="22"/>
      <c r="U221" s="20"/>
      <c r="V221" s="20"/>
      <c r="W221" s="20"/>
      <c r="X221" s="19"/>
      <c r="Y221" s="19"/>
      <c r="Z221" s="19"/>
      <c r="AA221" s="23"/>
    </row>
    <row r="222" spans="1:27" ht="15.75" customHeight="1" x14ac:dyDescent="0.2">
      <c r="A222" s="34"/>
      <c r="B222" s="34"/>
      <c r="C222" s="34"/>
      <c r="D222" s="34"/>
      <c r="E222" s="19"/>
      <c r="F222" s="19"/>
      <c r="G222" s="19"/>
      <c r="H222" s="19"/>
      <c r="I222" s="19"/>
      <c r="J222" s="19"/>
      <c r="K222" s="19"/>
      <c r="L222" s="19"/>
      <c r="M222" s="19"/>
      <c r="N222" s="19"/>
      <c r="O222" s="19"/>
      <c r="P222" s="19"/>
      <c r="Q222" s="20"/>
      <c r="R222" s="20"/>
      <c r="S222" s="22"/>
      <c r="T222" s="22"/>
      <c r="U222" s="20"/>
      <c r="V222" s="20"/>
      <c r="W222" s="20"/>
      <c r="X222" s="19"/>
      <c r="Y222" s="19"/>
      <c r="Z222" s="19"/>
      <c r="AA222" s="23"/>
    </row>
    <row r="223" spans="1:27" ht="15.75" customHeight="1" x14ac:dyDescent="0.2">
      <c r="A223" s="34"/>
      <c r="B223" s="34"/>
      <c r="C223" s="34"/>
      <c r="D223" s="34"/>
      <c r="E223" s="19"/>
      <c r="F223" s="19"/>
      <c r="G223" s="19"/>
      <c r="H223" s="19"/>
      <c r="I223" s="19"/>
      <c r="J223" s="19"/>
      <c r="K223" s="19"/>
      <c r="L223" s="19"/>
      <c r="M223" s="19"/>
      <c r="N223" s="19"/>
      <c r="O223" s="19"/>
      <c r="P223" s="19"/>
      <c r="Q223" s="20"/>
      <c r="R223" s="20"/>
      <c r="S223" s="22"/>
      <c r="T223" s="22"/>
      <c r="U223" s="20"/>
      <c r="V223" s="20"/>
      <c r="W223" s="20"/>
      <c r="X223" s="19"/>
      <c r="Y223" s="19"/>
      <c r="Z223" s="19"/>
      <c r="AA223" s="23"/>
    </row>
    <row r="224" spans="1:27" ht="15.75" customHeight="1" x14ac:dyDescent="0.2">
      <c r="A224" s="34"/>
      <c r="B224" s="34"/>
      <c r="C224" s="34"/>
      <c r="D224" s="34"/>
      <c r="E224" s="19"/>
      <c r="F224" s="19"/>
      <c r="G224" s="19"/>
      <c r="H224" s="19"/>
      <c r="I224" s="19"/>
      <c r="J224" s="19"/>
      <c r="K224" s="19"/>
      <c r="L224" s="19"/>
      <c r="M224" s="19"/>
      <c r="N224" s="19"/>
      <c r="O224" s="19"/>
      <c r="P224" s="19"/>
      <c r="Q224" s="20"/>
      <c r="R224" s="20"/>
      <c r="S224" s="22"/>
      <c r="T224" s="22"/>
      <c r="U224" s="20"/>
      <c r="V224" s="20"/>
      <c r="W224" s="20"/>
      <c r="X224" s="19"/>
      <c r="Y224" s="19"/>
      <c r="Z224" s="19"/>
      <c r="AA224" s="23"/>
    </row>
    <row r="225" spans="1:27" ht="15.75" customHeight="1" x14ac:dyDescent="0.2">
      <c r="A225" s="34"/>
      <c r="B225" s="34"/>
      <c r="C225" s="34"/>
      <c r="D225" s="34"/>
      <c r="E225" s="19"/>
      <c r="F225" s="19"/>
      <c r="G225" s="19"/>
      <c r="H225" s="19"/>
      <c r="I225" s="19"/>
      <c r="J225" s="19"/>
      <c r="K225" s="19"/>
      <c r="L225" s="19"/>
      <c r="M225" s="19"/>
      <c r="N225" s="19"/>
      <c r="O225" s="19"/>
      <c r="P225" s="19"/>
      <c r="Q225" s="20"/>
      <c r="R225" s="20"/>
      <c r="S225" s="22"/>
      <c r="T225" s="22"/>
      <c r="U225" s="20"/>
      <c r="V225" s="20"/>
      <c r="W225" s="20"/>
      <c r="X225" s="19"/>
      <c r="Y225" s="19"/>
      <c r="Z225" s="19"/>
      <c r="AA225" s="23"/>
    </row>
    <row r="226" spans="1:27" ht="15.75" customHeight="1" x14ac:dyDescent="0.2">
      <c r="A226" s="34"/>
      <c r="B226" s="34"/>
      <c r="C226" s="34"/>
      <c r="D226" s="34"/>
      <c r="E226" s="19"/>
      <c r="F226" s="19"/>
      <c r="G226" s="19"/>
      <c r="H226" s="19"/>
      <c r="I226" s="19"/>
      <c r="J226" s="19"/>
      <c r="K226" s="19"/>
      <c r="L226" s="19"/>
      <c r="M226" s="19"/>
      <c r="N226" s="19"/>
      <c r="O226" s="19"/>
      <c r="P226" s="19"/>
      <c r="Q226" s="20"/>
      <c r="R226" s="20"/>
      <c r="S226" s="22"/>
      <c r="T226" s="22"/>
      <c r="U226" s="20"/>
      <c r="V226" s="20"/>
      <c r="W226" s="20"/>
      <c r="X226" s="19"/>
      <c r="Y226" s="19"/>
      <c r="Z226" s="19"/>
      <c r="AA226" s="23"/>
    </row>
    <row r="227" spans="1:27" ht="15.75" customHeight="1" x14ac:dyDescent="0.2">
      <c r="A227" s="34"/>
      <c r="B227" s="34"/>
      <c r="C227" s="34"/>
      <c r="D227" s="34"/>
      <c r="E227" s="19"/>
      <c r="F227" s="19"/>
      <c r="G227" s="19"/>
      <c r="H227" s="19"/>
      <c r="I227" s="19"/>
      <c r="J227" s="19"/>
      <c r="K227" s="19"/>
      <c r="L227" s="19"/>
      <c r="M227" s="19"/>
      <c r="N227" s="19"/>
      <c r="O227" s="19"/>
      <c r="P227" s="19"/>
      <c r="Q227" s="20"/>
      <c r="R227" s="20"/>
      <c r="S227" s="22"/>
      <c r="T227" s="22"/>
      <c r="U227" s="20"/>
      <c r="V227" s="20"/>
      <c r="W227" s="20"/>
      <c r="X227" s="19"/>
      <c r="Y227" s="19"/>
      <c r="Z227" s="19"/>
      <c r="AA227" s="23"/>
    </row>
    <row r="228" spans="1:27" ht="15.75" customHeight="1" x14ac:dyDescent="0.2">
      <c r="A228" s="34"/>
      <c r="B228" s="34"/>
      <c r="C228" s="34"/>
      <c r="D228" s="34"/>
      <c r="E228" s="19"/>
      <c r="F228" s="19"/>
      <c r="G228" s="19"/>
      <c r="H228" s="19"/>
      <c r="I228" s="19"/>
      <c r="J228" s="19"/>
      <c r="K228" s="19"/>
      <c r="L228" s="19"/>
      <c r="M228" s="19"/>
      <c r="N228" s="19"/>
      <c r="O228" s="19"/>
      <c r="P228" s="19"/>
      <c r="Q228" s="20"/>
      <c r="R228" s="20"/>
      <c r="S228" s="22"/>
      <c r="T228" s="22"/>
      <c r="U228" s="20"/>
      <c r="V228" s="20"/>
      <c r="W228" s="20"/>
      <c r="X228" s="19"/>
      <c r="Y228" s="19"/>
      <c r="Z228" s="19"/>
      <c r="AA228" s="23"/>
    </row>
    <row r="229" spans="1:27" ht="15.75" customHeight="1" x14ac:dyDescent="0.2">
      <c r="A229" s="34"/>
      <c r="B229" s="34"/>
      <c r="C229" s="34"/>
      <c r="D229" s="34"/>
      <c r="E229" s="19"/>
      <c r="F229" s="19"/>
      <c r="G229" s="19"/>
      <c r="H229" s="19"/>
      <c r="I229" s="19"/>
      <c r="J229" s="19"/>
      <c r="K229" s="19"/>
      <c r="L229" s="19"/>
      <c r="M229" s="19"/>
      <c r="N229" s="19"/>
      <c r="O229" s="19"/>
      <c r="P229" s="19"/>
      <c r="Q229" s="20"/>
      <c r="R229" s="20"/>
      <c r="S229" s="22"/>
      <c r="T229" s="22"/>
      <c r="U229" s="20"/>
      <c r="V229" s="20"/>
      <c r="W229" s="20"/>
      <c r="X229" s="19"/>
      <c r="Y229" s="19"/>
      <c r="Z229" s="19"/>
      <c r="AA229" s="23"/>
    </row>
    <row r="230" spans="1:27" ht="15.75" customHeight="1" x14ac:dyDescent="0.2">
      <c r="A230" s="34"/>
      <c r="B230" s="34"/>
      <c r="C230" s="34"/>
      <c r="D230" s="34"/>
      <c r="E230" s="19"/>
      <c r="F230" s="19"/>
      <c r="G230" s="19"/>
      <c r="H230" s="19"/>
      <c r="I230" s="19"/>
      <c r="J230" s="19"/>
      <c r="K230" s="19"/>
      <c r="L230" s="19"/>
      <c r="M230" s="19"/>
      <c r="N230" s="19"/>
      <c r="O230" s="19"/>
      <c r="P230" s="19"/>
      <c r="Q230" s="20"/>
      <c r="R230" s="20"/>
      <c r="S230" s="22"/>
      <c r="T230" s="22"/>
      <c r="U230" s="20"/>
      <c r="V230" s="20"/>
      <c r="W230" s="20"/>
      <c r="X230" s="19"/>
      <c r="Y230" s="19"/>
      <c r="Z230" s="19"/>
      <c r="AA230" s="23"/>
    </row>
    <row r="231" spans="1:27" ht="15.75" customHeight="1" x14ac:dyDescent="0.2">
      <c r="A231" s="34"/>
      <c r="B231" s="34"/>
      <c r="C231" s="34"/>
      <c r="D231" s="34"/>
      <c r="E231" s="19"/>
      <c r="F231" s="19"/>
      <c r="G231" s="19"/>
      <c r="H231" s="19"/>
      <c r="I231" s="19"/>
      <c r="J231" s="19"/>
      <c r="K231" s="19"/>
      <c r="L231" s="19"/>
      <c r="M231" s="19"/>
      <c r="N231" s="19"/>
      <c r="O231" s="19"/>
      <c r="P231" s="19"/>
      <c r="Q231" s="20"/>
      <c r="R231" s="20"/>
      <c r="S231" s="22"/>
      <c r="T231" s="22"/>
      <c r="U231" s="20"/>
      <c r="V231" s="20"/>
      <c r="W231" s="20"/>
      <c r="X231" s="19"/>
      <c r="Y231" s="19"/>
      <c r="Z231" s="19"/>
      <c r="AA231" s="23"/>
    </row>
    <row r="232" spans="1:27" ht="15.75" customHeight="1" x14ac:dyDescent="0.2">
      <c r="A232" s="34"/>
      <c r="B232" s="34"/>
      <c r="C232" s="34"/>
      <c r="D232" s="34"/>
      <c r="E232" s="19"/>
      <c r="F232" s="19"/>
      <c r="G232" s="19"/>
      <c r="H232" s="19"/>
      <c r="I232" s="19"/>
      <c r="J232" s="19"/>
      <c r="K232" s="19"/>
      <c r="L232" s="19"/>
      <c r="M232" s="19"/>
      <c r="N232" s="19"/>
      <c r="O232" s="19"/>
      <c r="P232" s="19"/>
      <c r="Q232" s="20"/>
      <c r="R232" s="20"/>
      <c r="S232" s="22"/>
      <c r="T232" s="22"/>
      <c r="U232" s="20"/>
      <c r="V232" s="20"/>
      <c r="W232" s="20"/>
      <c r="X232" s="19"/>
      <c r="Y232" s="19"/>
      <c r="Z232" s="19"/>
      <c r="AA232" s="23"/>
    </row>
    <row r="233" spans="1:27" ht="15.75" customHeight="1" x14ac:dyDescent="0.2">
      <c r="A233" s="34"/>
      <c r="B233" s="34"/>
      <c r="C233" s="34"/>
      <c r="D233" s="34"/>
      <c r="E233" s="19"/>
      <c r="F233" s="19"/>
      <c r="G233" s="19"/>
      <c r="H233" s="19"/>
      <c r="I233" s="19"/>
      <c r="J233" s="19"/>
      <c r="K233" s="19"/>
      <c r="L233" s="19"/>
      <c r="M233" s="19"/>
      <c r="N233" s="19"/>
      <c r="O233" s="19"/>
      <c r="P233" s="19"/>
      <c r="Q233" s="20"/>
      <c r="R233" s="20"/>
      <c r="S233" s="22"/>
      <c r="T233" s="22"/>
      <c r="U233" s="20"/>
      <c r="V233" s="20"/>
      <c r="W233" s="20"/>
      <c r="X233" s="19"/>
      <c r="Y233" s="19"/>
      <c r="Z233" s="19"/>
      <c r="AA233" s="23"/>
    </row>
    <row r="234" spans="1:27" ht="15.75" customHeight="1" x14ac:dyDescent="0.2">
      <c r="A234" s="34"/>
      <c r="B234" s="34"/>
      <c r="C234" s="34"/>
      <c r="D234" s="34"/>
      <c r="E234" s="19"/>
      <c r="F234" s="19"/>
      <c r="G234" s="19"/>
      <c r="H234" s="19"/>
      <c r="I234" s="19"/>
      <c r="J234" s="19"/>
      <c r="K234" s="19"/>
      <c r="L234" s="19"/>
      <c r="M234" s="19"/>
      <c r="N234" s="19"/>
      <c r="O234" s="19"/>
      <c r="P234" s="19"/>
      <c r="Q234" s="20"/>
      <c r="R234" s="20"/>
      <c r="S234" s="22"/>
      <c r="T234" s="22"/>
      <c r="U234" s="20"/>
      <c r="V234" s="20"/>
      <c r="W234" s="20"/>
      <c r="X234" s="19"/>
      <c r="Y234" s="19"/>
      <c r="Z234" s="19"/>
      <c r="AA234" s="23"/>
    </row>
    <row r="235" spans="1:27" ht="15.75" customHeight="1" x14ac:dyDescent="0.2">
      <c r="A235" s="34"/>
      <c r="B235" s="34"/>
      <c r="C235" s="34"/>
      <c r="D235" s="34"/>
      <c r="E235" s="19"/>
      <c r="F235" s="19"/>
      <c r="G235" s="19"/>
      <c r="H235" s="19"/>
      <c r="I235" s="19"/>
      <c r="J235" s="19"/>
      <c r="K235" s="19"/>
      <c r="L235" s="19"/>
      <c r="M235" s="19"/>
      <c r="N235" s="19"/>
      <c r="O235" s="19"/>
      <c r="P235" s="19"/>
      <c r="Q235" s="20"/>
      <c r="R235" s="20"/>
      <c r="S235" s="22"/>
      <c r="T235" s="22"/>
      <c r="U235" s="20"/>
      <c r="V235" s="20"/>
      <c r="W235" s="20"/>
      <c r="X235" s="19"/>
      <c r="Y235" s="19"/>
      <c r="Z235" s="19"/>
      <c r="AA235" s="23"/>
    </row>
    <row r="236" spans="1:27" ht="15.75" customHeight="1" x14ac:dyDescent="0.2">
      <c r="A236" s="34"/>
      <c r="B236" s="34"/>
      <c r="C236" s="34"/>
      <c r="D236" s="34"/>
      <c r="E236" s="19"/>
      <c r="F236" s="19"/>
      <c r="G236" s="19"/>
      <c r="H236" s="19"/>
      <c r="I236" s="19"/>
      <c r="J236" s="19"/>
      <c r="K236" s="19"/>
      <c r="L236" s="19"/>
      <c r="M236" s="19"/>
      <c r="N236" s="19"/>
      <c r="O236" s="19"/>
      <c r="P236" s="19"/>
      <c r="Q236" s="20"/>
      <c r="R236" s="20"/>
      <c r="S236" s="22"/>
      <c r="T236" s="22"/>
      <c r="U236" s="20"/>
      <c r="V236" s="20"/>
      <c r="W236" s="20"/>
      <c r="X236" s="19"/>
      <c r="Y236" s="19"/>
      <c r="Z236" s="19"/>
      <c r="AA236" s="23"/>
    </row>
    <row r="237" spans="1:27" ht="15.75" customHeight="1" x14ac:dyDescent="0.2">
      <c r="A237" s="34"/>
      <c r="B237" s="34"/>
      <c r="C237" s="34"/>
      <c r="D237" s="34"/>
      <c r="E237" s="19"/>
      <c r="F237" s="19"/>
      <c r="G237" s="19"/>
      <c r="H237" s="19"/>
      <c r="I237" s="19"/>
      <c r="J237" s="19"/>
      <c r="K237" s="19"/>
      <c r="L237" s="19"/>
      <c r="M237" s="19"/>
      <c r="N237" s="19"/>
      <c r="O237" s="19"/>
      <c r="P237" s="19"/>
      <c r="Q237" s="20"/>
      <c r="R237" s="20"/>
      <c r="S237" s="22"/>
      <c r="T237" s="22"/>
      <c r="U237" s="20"/>
      <c r="V237" s="20"/>
      <c r="W237" s="20"/>
      <c r="X237" s="19"/>
      <c r="Y237" s="19"/>
      <c r="Z237" s="19"/>
      <c r="AA237" s="23"/>
    </row>
    <row r="238" spans="1:27" ht="15.75" customHeight="1" x14ac:dyDescent="0.2">
      <c r="A238" s="34"/>
      <c r="B238" s="34"/>
      <c r="C238" s="34"/>
      <c r="D238" s="34"/>
      <c r="E238" s="19"/>
      <c r="F238" s="19"/>
      <c r="G238" s="19"/>
      <c r="H238" s="19"/>
      <c r="I238" s="19"/>
      <c r="J238" s="19"/>
      <c r="K238" s="19"/>
      <c r="L238" s="19"/>
      <c r="M238" s="19"/>
      <c r="N238" s="19"/>
      <c r="O238" s="19"/>
      <c r="P238" s="19"/>
      <c r="Q238" s="20"/>
      <c r="R238" s="20"/>
      <c r="S238" s="22"/>
      <c r="T238" s="22"/>
      <c r="U238" s="20"/>
      <c r="V238" s="20"/>
      <c r="W238" s="20"/>
      <c r="X238" s="19"/>
      <c r="Y238" s="19"/>
      <c r="Z238" s="19"/>
      <c r="AA238" s="23"/>
    </row>
    <row r="239" spans="1:27" ht="15.75" customHeight="1" x14ac:dyDescent="0.2">
      <c r="A239" s="34"/>
      <c r="B239" s="34"/>
      <c r="C239" s="34"/>
      <c r="D239" s="34"/>
      <c r="E239" s="19"/>
      <c r="F239" s="19"/>
      <c r="G239" s="19"/>
      <c r="H239" s="19"/>
      <c r="I239" s="19"/>
      <c r="J239" s="19"/>
      <c r="K239" s="19"/>
      <c r="L239" s="19"/>
      <c r="M239" s="19"/>
      <c r="N239" s="19"/>
      <c r="O239" s="19"/>
      <c r="P239" s="19"/>
      <c r="Q239" s="20"/>
      <c r="R239" s="20"/>
      <c r="S239" s="22"/>
      <c r="T239" s="22"/>
      <c r="U239" s="20"/>
      <c r="V239" s="20"/>
      <c r="W239" s="20"/>
      <c r="X239" s="19"/>
      <c r="Y239" s="19"/>
      <c r="Z239" s="19"/>
      <c r="AA239" s="23"/>
    </row>
    <row r="240" spans="1:27" ht="15.75" customHeight="1" x14ac:dyDescent="0.2">
      <c r="A240" s="34"/>
      <c r="B240" s="34"/>
      <c r="C240" s="34"/>
      <c r="D240" s="34"/>
      <c r="E240" s="19"/>
      <c r="F240" s="19"/>
      <c r="G240" s="19"/>
      <c r="H240" s="19"/>
      <c r="I240" s="19"/>
      <c r="J240" s="19"/>
      <c r="K240" s="19"/>
      <c r="L240" s="19"/>
      <c r="M240" s="19"/>
      <c r="N240" s="19"/>
      <c r="O240" s="19"/>
      <c r="P240" s="19"/>
      <c r="Q240" s="20"/>
      <c r="R240" s="20"/>
      <c r="S240" s="22"/>
      <c r="T240" s="22"/>
      <c r="U240" s="20"/>
      <c r="V240" s="20"/>
      <c r="W240" s="20"/>
      <c r="X240" s="19"/>
      <c r="Y240" s="19"/>
      <c r="Z240" s="19"/>
      <c r="AA240" s="23"/>
    </row>
    <row r="241" spans="1:27" ht="15.75" customHeight="1" x14ac:dyDescent="0.2">
      <c r="A241" s="34"/>
      <c r="B241" s="34"/>
      <c r="C241" s="34"/>
      <c r="D241" s="34"/>
      <c r="E241" s="19"/>
      <c r="F241" s="19"/>
      <c r="G241" s="19"/>
      <c r="H241" s="19"/>
      <c r="I241" s="19"/>
      <c r="J241" s="19"/>
      <c r="K241" s="19"/>
      <c r="L241" s="19"/>
      <c r="M241" s="19"/>
      <c r="N241" s="19"/>
      <c r="O241" s="19"/>
      <c r="P241" s="19"/>
      <c r="Q241" s="20"/>
      <c r="R241" s="20"/>
      <c r="S241" s="22"/>
      <c r="T241" s="22"/>
      <c r="U241" s="20"/>
      <c r="V241" s="20"/>
      <c r="W241" s="20"/>
      <c r="X241" s="19"/>
      <c r="Y241" s="19"/>
      <c r="Z241" s="19"/>
      <c r="AA241" s="23"/>
    </row>
    <row r="242" spans="1:27" ht="15.75" customHeight="1" x14ac:dyDescent="0.2">
      <c r="A242" s="34"/>
      <c r="B242" s="34"/>
      <c r="C242" s="34"/>
      <c r="D242" s="34"/>
      <c r="E242" s="19"/>
      <c r="F242" s="19"/>
      <c r="G242" s="19"/>
      <c r="H242" s="19"/>
      <c r="I242" s="19"/>
      <c r="J242" s="19"/>
      <c r="K242" s="19"/>
      <c r="L242" s="19"/>
      <c r="M242" s="19"/>
      <c r="N242" s="19"/>
      <c r="O242" s="19"/>
      <c r="P242" s="19"/>
      <c r="Q242" s="20"/>
      <c r="R242" s="20"/>
      <c r="S242" s="22"/>
      <c r="T242" s="22"/>
      <c r="U242" s="20"/>
      <c r="V242" s="20"/>
      <c r="W242" s="20"/>
      <c r="X242" s="19"/>
      <c r="Y242" s="19"/>
      <c r="Z242" s="19"/>
      <c r="AA242" s="23"/>
    </row>
    <row r="243" spans="1:27" ht="15.75" customHeight="1" x14ac:dyDescent="0.2">
      <c r="A243" s="34"/>
      <c r="B243" s="34"/>
      <c r="C243" s="34"/>
      <c r="D243" s="34"/>
      <c r="E243" s="19"/>
      <c r="F243" s="19"/>
      <c r="G243" s="19"/>
      <c r="H243" s="19"/>
      <c r="I243" s="19"/>
      <c r="J243" s="19"/>
      <c r="K243" s="19"/>
      <c r="L243" s="19"/>
      <c r="M243" s="19"/>
      <c r="N243" s="19"/>
      <c r="O243" s="19"/>
      <c r="P243" s="19"/>
      <c r="Q243" s="20"/>
      <c r="R243" s="20"/>
      <c r="S243" s="22"/>
      <c r="T243" s="22"/>
      <c r="U243" s="20"/>
      <c r="V243" s="20"/>
      <c r="W243" s="20"/>
      <c r="X243" s="19"/>
      <c r="Y243" s="19"/>
      <c r="Z243" s="19"/>
      <c r="AA243" s="23"/>
    </row>
    <row r="244" spans="1:27" ht="15.75" customHeight="1" x14ac:dyDescent="0.2">
      <c r="A244" s="34"/>
      <c r="B244" s="34"/>
      <c r="C244" s="34"/>
      <c r="D244" s="34"/>
      <c r="E244" s="19"/>
      <c r="F244" s="19"/>
      <c r="G244" s="19"/>
      <c r="H244" s="19"/>
      <c r="I244" s="19"/>
      <c r="J244" s="19"/>
      <c r="K244" s="19"/>
      <c r="L244" s="19"/>
      <c r="M244" s="19"/>
      <c r="N244" s="19"/>
      <c r="O244" s="19"/>
      <c r="P244" s="19"/>
      <c r="Q244" s="20"/>
      <c r="R244" s="20"/>
      <c r="S244" s="22"/>
      <c r="T244" s="22"/>
      <c r="U244" s="20"/>
      <c r="V244" s="20"/>
      <c r="W244" s="20"/>
      <c r="X244" s="19"/>
      <c r="Y244" s="19"/>
      <c r="Z244" s="19"/>
      <c r="AA244" s="23"/>
    </row>
    <row r="245" spans="1:27" ht="15.75" customHeight="1" x14ac:dyDescent="0.2">
      <c r="A245" s="34"/>
      <c r="B245" s="34"/>
      <c r="C245" s="34"/>
      <c r="D245" s="34"/>
      <c r="E245" s="19"/>
      <c r="F245" s="19"/>
      <c r="G245" s="19"/>
      <c r="H245" s="19"/>
      <c r="I245" s="19"/>
      <c r="J245" s="19"/>
      <c r="K245" s="19"/>
      <c r="L245" s="19"/>
      <c r="M245" s="19"/>
      <c r="N245" s="19"/>
      <c r="O245" s="19"/>
      <c r="P245" s="19"/>
      <c r="Q245" s="20"/>
      <c r="R245" s="20"/>
      <c r="S245" s="22"/>
      <c r="T245" s="22"/>
      <c r="U245" s="20"/>
      <c r="V245" s="20"/>
      <c r="W245" s="20"/>
      <c r="X245" s="19"/>
      <c r="Y245" s="19"/>
      <c r="Z245" s="19"/>
      <c r="AA245" s="23"/>
    </row>
    <row r="246" spans="1:27" ht="15.75" customHeight="1" x14ac:dyDescent="0.2">
      <c r="A246" s="34"/>
      <c r="B246" s="34"/>
      <c r="C246" s="34"/>
      <c r="D246" s="34"/>
      <c r="E246" s="19"/>
      <c r="F246" s="19"/>
      <c r="G246" s="19"/>
      <c r="H246" s="19"/>
      <c r="I246" s="19"/>
      <c r="J246" s="19"/>
      <c r="K246" s="19"/>
      <c r="L246" s="19"/>
      <c r="M246" s="19"/>
      <c r="N246" s="19"/>
      <c r="O246" s="19"/>
      <c r="P246" s="19"/>
      <c r="Q246" s="20"/>
      <c r="R246" s="20"/>
      <c r="S246" s="22"/>
      <c r="T246" s="22"/>
      <c r="U246" s="20"/>
      <c r="V246" s="20"/>
      <c r="W246" s="20"/>
      <c r="X246" s="19"/>
      <c r="Y246" s="19"/>
      <c r="Z246" s="19"/>
      <c r="AA246" s="23"/>
    </row>
    <row r="247" spans="1:27" ht="15.75" customHeight="1" x14ac:dyDescent="0.2">
      <c r="A247" s="34"/>
      <c r="B247" s="34"/>
      <c r="C247" s="34"/>
      <c r="D247" s="34"/>
      <c r="E247" s="19"/>
      <c r="F247" s="19"/>
      <c r="G247" s="19"/>
      <c r="H247" s="19"/>
      <c r="I247" s="19"/>
      <c r="J247" s="19"/>
      <c r="K247" s="19"/>
      <c r="L247" s="19"/>
      <c r="M247" s="19"/>
      <c r="N247" s="19"/>
      <c r="O247" s="19"/>
      <c r="P247" s="19"/>
      <c r="Q247" s="20"/>
      <c r="R247" s="20"/>
      <c r="S247" s="22"/>
      <c r="T247" s="22"/>
      <c r="U247" s="20"/>
      <c r="V247" s="20"/>
      <c r="W247" s="20"/>
      <c r="X247" s="19"/>
      <c r="Y247" s="19"/>
      <c r="Z247" s="19"/>
      <c r="AA247" s="23"/>
    </row>
    <row r="248" spans="1:27" ht="15.75" customHeight="1" x14ac:dyDescent="0.2">
      <c r="A248" s="34"/>
      <c r="B248" s="34"/>
      <c r="C248" s="34"/>
      <c r="D248" s="34"/>
      <c r="E248" s="19"/>
      <c r="F248" s="19"/>
      <c r="G248" s="19"/>
      <c r="H248" s="19"/>
      <c r="I248" s="19"/>
      <c r="J248" s="19"/>
      <c r="K248" s="19"/>
      <c r="L248" s="19"/>
      <c r="M248" s="19"/>
      <c r="N248" s="19"/>
      <c r="O248" s="19"/>
      <c r="P248" s="19"/>
      <c r="Q248" s="20"/>
      <c r="R248" s="20"/>
      <c r="S248" s="22"/>
      <c r="T248" s="22"/>
      <c r="U248" s="20"/>
      <c r="V248" s="20"/>
      <c r="W248" s="20"/>
      <c r="X248" s="19"/>
      <c r="Y248" s="19"/>
      <c r="Z248" s="19"/>
      <c r="AA248" s="23"/>
    </row>
    <row r="249" spans="1:27" ht="15.75" customHeight="1" x14ac:dyDescent="0.2">
      <c r="A249" s="34"/>
      <c r="B249" s="34"/>
      <c r="C249" s="34"/>
      <c r="D249" s="34"/>
      <c r="E249" s="19"/>
      <c r="F249" s="19"/>
      <c r="G249" s="19"/>
      <c r="H249" s="19"/>
      <c r="I249" s="19"/>
      <c r="J249" s="19"/>
      <c r="K249" s="19"/>
      <c r="L249" s="19"/>
      <c r="M249" s="19"/>
      <c r="N249" s="19"/>
      <c r="O249" s="19"/>
      <c r="P249" s="19"/>
      <c r="Q249" s="20"/>
      <c r="R249" s="20"/>
      <c r="S249" s="22"/>
      <c r="T249" s="22"/>
      <c r="U249" s="20"/>
      <c r="V249" s="20"/>
      <c r="W249" s="20"/>
      <c r="X249" s="19"/>
      <c r="Y249" s="19"/>
      <c r="Z249" s="19"/>
      <c r="AA249" s="23"/>
    </row>
    <row r="250" spans="1:27" ht="15.75" customHeight="1" x14ac:dyDescent="0.2">
      <c r="A250" s="34"/>
      <c r="B250" s="34"/>
      <c r="C250" s="34"/>
      <c r="D250" s="34"/>
      <c r="E250" s="19"/>
      <c r="F250" s="19"/>
      <c r="G250" s="19"/>
      <c r="H250" s="19"/>
      <c r="I250" s="19"/>
      <c r="J250" s="19"/>
      <c r="K250" s="19"/>
      <c r="L250" s="19"/>
      <c r="M250" s="19"/>
      <c r="N250" s="19"/>
      <c r="O250" s="19"/>
      <c r="P250" s="19"/>
      <c r="Q250" s="20"/>
      <c r="R250" s="20"/>
      <c r="S250" s="22"/>
      <c r="T250" s="22"/>
      <c r="U250" s="20"/>
      <c r="V250" s="20"/>
      <c r="W250" s="20"/>
      <c r="X250" s="19"/>
      <c r="Y250" s="19"/>
      <c r="Z250" s="19"/>
      <c r="AA250" s="23"/>
    </row>
    <row r="251" spans="1:27" ht="15.75" customHeight="1" x14ac:dyDescent="0.2">
      <c r="A251" s="34"/>
      <c r="B251" s="34"/>
      <c r="C251" s="34"/>
      <c r="D251" s="34"/>
      <c r="E251" s="19"/>
      <c r="F251" s="19"/>
      <c r="G251" s="19"/>
      <c r="H251" s="19"/>
      <c r="I251" s="19"/>
      <c r="J251" s="19"/>
      <c r="K251" s="19"/>
      <c r="L251" s="19"/>
      <c r="M251" s="19"/>
      <c r="N251" s="19"/>
      <c r="O251" s="19"/>
      <c r="P251" s="19"/>
      <c r="Q251" s="20"/>
      <c r="R251" s="20"/>
      <c r="S251" s="22"/>
      <c r="T251" s="22"/>
      <c r="U251" s="20"/>
      <c r="V251" s="20"/>
      <c r="W251" s="20"/>
      <c r="X251" s="19"/>
      <c r="Y251" s="19"/>
      <c r="Z251" s="19"/>
      <c r="AA251" s="23"/>
    </row>
    <row r="252" spans="1:27" ht="15.75" customHeight="1" x14ac:dyDescent="0.2">
      <c r="A252" s="34"/>
      <c r="B252" s="34"/>
      <c r="C252" s="34"/>
      <c r="D252" s="34"/>
      <c r="E252" s="19"/>
      <c r="F252" s="19"/>
      <c r="G252" s="19"/>
      <c r="H252" s="19"/>
      <c r="I252" s="19"/>
      <c r="J252" s="19"/>
      <c r="K252" s="19"/>
      <c r="L252" s="19"/>
      <c r="M252" s="19"/>
      <c r="N252" s="19"/>
      <c r="O252" s="19"/>
      <c r="P252" s="19"/>
      <c r="Q252" s="20"/>
      <c r="R252" s="20"/>
      <c r="S252" s="22"/>
      <c r="T252" s="22"/>
      <c r="U252" s="20"/>
      <c r="V252" s="20"/>
      <c r="W252" s="20"/>
      <c r="X252" s="19"/>
      <c r="Y252" s="19"/>
      <c r="Z252" s="19"/>
      <c r="AA252" s="23"/>
    </row>
    <row r="253" spans="1:27" ht="15.75" customHeight="1" x14ac:dyDescent="0.2">
      <c r="A253" s="34"/>
      <c r="B253" s="34"/>
      <c r="C253" s="34"/>
      <c r="D253" s="34"/>
      <c r="E253" s="19"/>
      <c r="F253" s="19"/>
      <c r="G253" s="19"/>
      <c r="H253" s="19"/>
      <c r="I253" s="19"/>
      <c r="J253" s="19"/>
      <c r="K253" s="19"/>
      <c r="L253" s="19"/>
      <c r="M253" s="19"/>
      <c r="N253" s="19"/>
      <c r="O253" s="19"/>
      <c r="P253" s="19"/>
      <c r="Q253" s="20"/>
      <c r="R253" s="20"/>
      <c r="S253" s="22"/>
      <c r="T253" s="22"/>
      <c r="U253" s="20"/>
      <c r="V253" s="20"/>
      <c r="W253" s="20"/>
      <c r="X253" s="19"/>
      <c r="Y253" s="19"/>
      <c r="Z253" s="19"/>
      <c r="AA253" s="23"/>
    </row>
    <row r="254" spans="1:27" ht="15.75" customHeight="1" x14ac:dyDescent="0.2">
      <c r="A254" s="34"/>
      <c r="B254" s="34"/>
      <c r="C254" s="34"/>
      <c r="D254" s="34"/>
      <c r="E254" s="19"/>
      <c r="F254" s="19"/>
      <c r="G254" s="19"/>
      <c r="H254" s="19"/>
      <c r="I254" s="19"/>
      <c r="J254" s="19"/>
      <c r="K254" s="19"/>
      <c r="L254" s="19"/>
      <c r="M254" s="19"/>
      <c r="N254" s="19"/>
      <c r="O254" s="19"/>
      <c r="P254" s="19"/>
      <c r="Q254" s="20"/>
      <c r="R254" s="20"/>
      <c r="S254" s="22"/>
      <c r="T254" s="22"/>
      <c r="U254" s="20"/>
      <c r="V254" s="20"/>
      <c r="W254" s="20"/>
      <c r="X254" s="19"/>
      <c r="Y254" s="19"/>
      <c r="Z254" s="19"/>
      <c r="AA254" s="23"/>
    </row>
    <row r="255" spans="1:27" ht="15.75" customHeight="1" x14ac:dyDescent="0.2">
      <c r="A255" s="34"/>
      <c r="B255" s="34"/>
      <c r="C255" s="34"/>
      <c r="D255" s="34"/>
      <c r="E255" s="19"/>
      <c r="F255" s="19"/>
      <c r="G255" s="19"/>
      <c r="H255" s="19"/>
      <c r="I255" s="19"/>
      <c r="J255" s="19"/>
      <c r="K255" s="19"/>
      <c r="L255" s="19"/>
      <c r="M255" s="19"/>
      <c r="N255" s="19"/>
      <c r="O255" s="19"/>
      <c r="P255" s="19"/>
      <c r="Q255" s="20"/>
      <c r="R255" s="20"/>
      <c r="S255" s="22"/>
      <c r="T255" s="22"/>
      <c r="U255" s="20"/>
      <c r="V255" s="20"/>
      <c r="W255" s="20"/>
      <c r="X255" s="19"/>
      <c r="Y255" s="19"/>
      <c r="Z255" s="19"/>
      <c r="AA255" s="23"/>
    </row>
    <row r="256" spans="1:27" ht="15.75" customHeight="1" x14ac:dyDescent="0.2">
      <c r="A256" s="34"/>
      <c r="B256" s="34"/>
      <c r="C256" s="34"/>
      <c r="D256" s="34"/>
      <c r="E256" s="19"/>
      <c r="F256" s="19"/>
      <c r="G256" s="19"/>
      <c r="H256" s="19"/>
      <c r="I256" s="19"/>
      <c r="J256" s="19"/>
      <c r="K256" s="19"/>
      <c r="L256" s="19"/>
      <c r="M256" s="19"/>
      <c r="N256" s="19"/>
      <c r="O256" s="19"/>
      <c r="P256" s="19"/>
      <c r="Q256" s="20"/>
      <c r="R256" s="20"/>
      <c r="S256" s="22"/>
      <c r="T256" s="22"/>
      <c r="U256" s="20"/>
      <c r="V256" s="20"/>
      <c r="W256" s="20"/>
      <c r="X256" s="19"/>
      <c r="Y256" s="19"/>
      <c r="Z256" s="19"/>
      <c r="AA256" s="23"/>
    </row>
    <row r="257" spans="1:27" ht="15.75" customHeight="1" x14ac:dyDescent="0.2">
      <c r="A257" s="34"/>
      <c r="B257" s="34"/>
      <c r="C257" s="34"/>
      <c r="D257" s="34"/>
      <c r="E257" s="19"/>
      <c r="F257" s="19"/>
      <c r="G257" s="19"/>
      <c r="H257" s="19"/>
      <c r="I257" s="19"/>
      <c r="J257" s="19"/>
      <c r="K257" s="19"/>
      <c r="L257" s="19"/>
      <c r="M257" s="19"/>
      <c r="N257" s="19"/>
      <c r="O257" s="19"/>
      <c r="P257" s="19"/>
      <c r="Q257" s="20"/>
      <c r="R257" s="20"/>
      <c r="S257" s="22"/>
      <c r="T257" s="22"/>
      <c r="U257" s="20"/>
      <c r="V257" s="20"/>
      <c r="W257" s="20"/>
      <c r="X257" s="19"/>
      <c r="Y257" s="19"/>
      <c r="Z257" s="19"/>
      <c r="AA257" s="23"/>
    </row>
    <row r="258" spans="1:27" ht="15.75" customHeight="1" x14ac:dyDescent="0.2">
      <c r="A258" s="34"/>
      <c r="B258" s="34"/>
      <c r="C258" s="34"/>
      <c r="D258" s="34"/>
      <c r="E258" s="19"/>
      <c r="F258" s="19"/>
      <c r="G258" s="19"/>
      <c r="H258" s="19"/>
      <c r="I258" s="19"/>
      <c r="J258" s="19"/>
      <c r="K258" s="19"/>
      <c r="L258" s="19"/>
      <c r="M258" s="19"/>
      <c r="N258" s="19"/>
      <c r="O258" s="19"/>
      <c r="P258" s="19"/>
      <c r="Q258" s="20"/>
      <c r="R258" s="20"/>
      <c r="S258" s="22"/>
      <c r="T258" s="22"/>
      <c r="U258" s="20"/>
      <c r="V258" s="20"/>
      <c r="W258" s="20"/>
      <c r="X258" s="19"/>
      <c r="Y258" s="19"/>
      <c r="Z258" s="19"/>
      <c r="AA258" s="23"/>
    </row>
    <row r="259" spans="1:27" ht="15.75" customHeight="1" x14ac:dyDescent="0.2">
      <c r="A259" s="34"/>
      <c r="B259" s="34"/>
      <c r="C259" s="34"/>
      <c r="D259" s="34"/>
      <c r="E259" s="19"/>
      <c r="F259" s="19"/>
      <c r="G259" s="19"/>
      <c r="H259" s="19"/>
      <c r="I259" s="19"/>
      <c r="J259" s="19"/>
      <c r="K259" s="19"/>
      <c r="L259" s="19"/>
      <c r="M259" s="19"/>
      <c r="N259" s="19"/>
      <c r="O259" s="19"/>
      <c r="P259" s="19"/>
      <c r="Q259" s="20"/>
      <c r="R259" s="20"/>
      <c r="S259" s="22"/>
      <c r="T259" s="22"/>
      <c r="U259" s="20"/>
      <c r="V259" s="20"/>
      <c r="W259" s="20"/>
      <c r="X259" s="19"/>
      <c r="Y259" s="19"/>
      <c r="Z259" s="19"/>
      <c r="AA259" s="23"/>
    </row>
    <row r="260" spans="1:27" ht="15.75" customHeight="1" x14ac:dyDescent="0.2">
      <c r="A260" s="34"/>
      <c r="B260" s="34"/>
      <c r="C260" s="34"/>
      <c r="D260" s="34"/>
      <c r="E260" s="19"/>
      <c r="F260" s="19"/>
      <c r="G260" s="19"/>
      <c r="H260" s="19"/>
      <c r="I260" s="19"/>
      <c r="J260" s="19"/>
      <c r="K260" s="19"/>
      <c r="L260" s="19"/>
      <c r="M260" s="19"/>
      <c r="N260" s="19"/>
      <c r="O260" s="19"/>
      <c r="P260" s="19"/>
      <c r="Q260" s="20"/>
      <c r="R260" s="20"/>
      <c r="S260" s="22"/>
      <c r="T260" s="22"/>
      <c r="U260" s="20"/>
      <c r="V260" s="20"/>
      <c r="W260" s="20"/>
      <c r="X260" s="19"/>
      <c r="Y260" s="19"/>
      <c r="Z260" s="19"/>
      <c r="AA260" s="23"/>
    </row>
    <row r="261" spans="1:27" ht="15.75" customHeight="1" x14ac:dyDescent="0.2">
      <c r="A261" s="34"/>
      <c r="B261" s="34"/>
      <c r="C261" s="34"/>
      <c r="D261" s="34"/>
      <c r="E261" s="19"/>
      <c r="F261" s="19"/>
      <c r="G261" s="19"/>
      <c r="H261" s="19"/>
      <c r="I261" s="19"/>
      <c r="J261" s="19"/>
      <c r="K261" s="19"/>
      <c r="L261" s="19"/>
      <c r="M261" s="19"/>
      <c r="N261" s="19"/>
      <c r="O261" s="19"/>
      <c r="P261" s="19"/>
      <c r="Q261" s="20"/>
      <c r="R261" s="20"/>
      <c r="S261" s="22"/>
      <c r="T261" s="22"/>
      <c r="U261" s="20"/>
      <c r="V261" s="20"/>
      <c r="W261" s="20"/>
      <c r="X261" s="19"/>
      <c r="Y261" s="19"/>
      <c r="Z261" s="19"/>
      <c r="AA261" s="23"/>
    </row>
    <row r="262" spans="1:27" ht="15.75" customHeight="1" x14ac:dyDescent="0.2">
      <c r="A262" s="34"/>
      <c r="B262" s="34"/>
      <c r="C262" s="34"/>
      <c r="D262" s="34"/>
      <c r="E262" s="19"/>
      <c r="F262" s="19"/>
      <c r="G262" s="19"/>
      <c r="H262" s="19"/>
      <c r="I262" s="19"/>
      <c r="J262" s="19"/>
      <c r="K262" s="19"/>
      <c r="L262" s="19"/>
      <c r="M262" s="19"/>
      <c r="N262" s="19"/>
      <c r="O262" s="19"/>
      <c r="P262" s="19"/>
      <c r="Q262" s="20"/>
      <c r="R262" s="20"/>
      <c r="S262" s="22"/>
      <c r="T262" s="22"/>
      <c r="U262" s="20"/>
      <c r="V262" s="20"/>
      <c r="W262" s="20"/>
      <c r="X262" s="19"/>
      <c r="Y262" s="19"/>
      <c r="Z262" s="19"/>
      <c r="AA262" s="23"/>
    </row>
    <row r="263" spans="1:27" ht="15.75" customHeight="1" x14ac:dyDescent="0.2">
      <c r="A263" s="34"/>
      <c r="B263" s="34"/>
      <c r="C263" s="34"/>
      <c r="D263" s="34"/>
      <c r="E263" s="19"/>
      <c r="F263" s="19"/>
      <c r="G263" s="19"/>
      <c r="H263" s="19"/>
      <c r="I263" s="19"/>
      <c r="J263" s="19"/>
      <c r="K263" s="19"/>
      <c r="L263" s="19"/>
      <c r="M263" s="19"/>
      <c r="N263" s="19"/>
      <c r="O263" s="19"/>
      <c r="P263" s="19"/>
      <c r="Q263" s="20"/>
      <c r="R263" s="20"/>
      <c r="S263" s="22"/>
      <c r="T263" s="22"/>
      <c r="U263" s="20"/>
      <c r="V263" s="20"/>
      <c r="W263" s="20"/>
      <c r="X263" s="19"/>
      <c r="Y263" s="19"/>
      <c r="Z263" s="19"/>
      <c r="AA263" s="23"/>
    </row>
    <row r="264" spans="1:27" ht="15.75" customHeight="1" x14ac:dyDescent="0.2">
      <c r="A264" s="34"/>
      <c r="B264" s="34"/>
      <c r="C264" s="34"/>
      <c r="D264" s="34"/>
      <c r="E264" s="19"/>
      <c r="F264" s="19"/>
      <c r="G264" s="19"/>
      <c r="H264" s="19"/>
      <c r="I264" s="19"/>
      <c r="J264" s="19"/>
      <c r="K264" s="19"/>
      <c r="L264" s="19"/>
      <c r="M264" s="19"/>
      <c r="N264" s="19"/>
      <c r="O264" s="19"/>
      <c r="P264" s="19"/>
      <c r="Q264" s="20"/>
      <c r="R264" s="20"/>
      <c r="S264" s="22"/>
      <c r="T264" s="22"/>
      <c r="U264" s="20"/>
      <c r="V264" s="20"/>
      <c r="W264" s="20"/>
      <c r="X264" s="19"/>
      <c r="Y264" s="19"/>
      <c r="Z264" s="19"/>
      <c r="AA264" s="23"/>
    </row>
    <row r="265" spans="1:27" ht="15.75" customHeight="1" x14ac:dyDescent="0.2">
      <c r="A265" s="34"/>
      <c r="B265" s="34"/>
      <c r="C265" s="34"/>
      <c r="D265" s="34"/>
      <c r="E265" s="19"/>
      <c r="F265" s="19"/>
      <c r="G265" s="19"/>
      <c r="H265" s="19"/>
      <c r="I265" s="19"/>
      <c r="J265" s="19"/>
      <c r="K265" s="19"/>
      <c r="L265" s="19"/>
      <c r="M265" s="19"/>
      <c r="N265" s="19"/>
      <c r="O265" s="19"/>
      <c r="P265" s="19"/>
      <c r="Q265" s="20"/>
      <c r="R265" s="20"/>
      <c r="S265" s="22"/>
      <c r="T265" s="22"/>
      <c r="U265" s="20"/>
      <c r="V265" s="20"/>
      <c r="W265" s="20"/>
      <c r="X265" s="19"/>
      <c r="Y265" s="19"/>
      <c r="Z265" s="19"/>
      <c r="AA265" s="23"/>
    </row>
    <row r="266" spans="1:27" ht="15.75" customHeight="1" x14ac:dyDescent="0.2">
      <c r="A266" s="34"/>
      <c r="B266" s="34"/>
      <c r="C266" s="34"/>
      <c r="D266" s="34"/>
      <c r="E266" s="19"/>
      <c r="F266" s="19"/>
      <c r="G266" s="19"/>
      <c r="H266" s="19"/>
      <c r="I266" s="19"/>
      <c r="J266" s="19"/>
      <c r="K266" s="19"/>
      <c r="L266" s="19"/>
      <c r="M266" s="19"/>
      <c r="N266" s="19"/>
      <c r="O266" s="19"/>
      <c r="P266" s="19"/>
      <c r="Q266" s="20"/>
      <c r="R266" s="20"/>
      <c r="S266" s="22"/>
      <c r="T266" s="22"/>
      <c r="U266" s="20"/>
      <c r="V266" s="20"/>
      <c r="W266" s="20"/>
      <c r="X266" s="19"/>
      <c r="Y266" s="19"/>
      <c r="Z266" s="19"/>
      <c r="AA266" s="23"/>
    </row>
    <row r="267" spans="1:27" ht="15.75" customHeight="1" x14ac:dyDescent="0.2">
      <c r="A267" s="34"/>
      <c r="B267" s="34"/>
      <c r="C267" s="34"/>
      <c r="D267" s="34"/>
      <c r="E267" s="19"/>
      <c r="F267" s="19"/>
      <c r="G267" s="19"/>
      <c r="H267" s="19"/>
      <c r="I267" s="19"/>
      <c r="J267" s="19"/>
      <c r="K267" s="19"/>
      <c r="L267" s="19"/>
      <c r="M267" s="19"/>
      <c r="N267" s="19"/>
      <c r="O267" s="19"/>
      <c r="P267" s="19"/>
      <c r="Q267" s="20"/>
      <c r="R267" s="20"/>
      <c r="S267" s="22"/>
      <c r="T267" s="22"/>
      <c r="U267" s="20"/>
      <c r="V267" s="20"/>
      <c r="W267" s="20"/>
      <c r="X267" s="19"/>
      <c r="Y267" s="19"/>
      <c r="Z267" s="19"/>
      <c r="AA267" s="23"/>
    </row>
    <row r="268" spans="1:27" ht="15.75" customHeight="1" x14ac:dyDescent="0.2">
      <c r="A268" s="34"/>
      <c r="B268" s="34"/>
      <c r="C268" s="34"/>
      <c r="D268" s="34"/>
      <c r="E268" s="19"/>
      <c r="F268" s="19"/>
      <c r="G268" s="19"/>
      <c r="H268" s="19"/>
      <c r="I268" s="19"/>
      <c r="J268" s="19"/>
      <c r="K268" s="19"/>
      <c r="L268" s="19"/>
      <c r="M268" s="19"/>
      <c r="N268" s="19"/>
      <c r="O268" s="19"/>
      <c r="P268" s="19"/>
      <c r="Q268" s="20"/>
      <c r="R268" s="20"/>
      <c r="S268" s="22"/>
      <c r="T268" s="22"/>
      <c r="U268" s="20"/>
      <c r="V268" s="20"/>
      <c r="W268" s="20"/>
      <c r="X268" s="19"/>
      <c r="Y268" s="19"/>
      <c r="Z268" s="19"/>
      <c r="AA268" s="23"/>
    </row>
    <row r="269" spans="1:27" ht="15.75" customHeight="1" x14ac:dyDescent="0.2">
      <c r="A269" s="34"/>
      <c r="B269" s="34"/>
      <c r="C269" s="34"/>
      <c r="D269" s="34"/>
      <c r="E269" s="19"/>
      <c r="F269" s="19"/>
      <c r="G269" s="19"/>
      <c r="H269" s="19"/>
      <c r="I269" s="19"/>
      <c r="J269" s="19"/>
      <c r="K269" s="19"/>
      <c r="L269" s="19"/>
      <c r="M269" s="19"/>
      <c r="N269" s="19"/>
      <c r="O269" s="19"/>
      <c r="P269" s="19"/>
      <c r="Q269" s="20"/>
      <c r="R269" s="20"/>
      <c r="S269" s="22"/>
      <c r="T269" s="22"/>
      <c r="U269" s="20"/>
      <c r="V269" s="20"/>
      <c r="W269" s="20"/>
      <c r="X269" s="19"/>
      <c r="Y269" s="19"/>
      <c r="Z269" s="19"/>
      <c r="AA269" s="23"/>
    </row>
    <row r="270" spans="1:27" ht="15.75" customHeight="1" x14ac:dyDescent="0.2">
      <c r="A270" s="34"/>
      <c r="B270" s="34"/>
      <c r="C270" s="34"/>
      <c r="D270" s="34"/>
      <c r="E270" s="19"/>
      <c r="F270" s="19"/>
      <c r="G270" s="19"/>
      <c r="H270" s="19"/>
      <c r="I270" s="19"/>
      <c r="J270" s="19"/>
      <c r="K270" s="19"/>
      <c r="L270" s="19"/>
      <c r="M270" s="19"/>
      <c r="N270" s="19"/>
      <c r="O270" s="19"/>
      <c r="P270" s="19"/>
      <c r="Q270" s="20"/>
      <c r="R270" s="20"/>
      <c r="S270" s="22"/>
      <c r="T270" s="22"/>
      <c r="U270" s="20"/>
      <c r="V270" s="20"/>
      <c r="W270" s="20"/>
      <c r="X270" s="19"/>
      <c r="Y270" s="19"/>
      <c r="Z270" s="19"/>
      <c r="AA270" s="23"/>
    </row>
    <row r="271" spans="1:27" ht="15.75" customHeight="1" x14ac:dyDescent="0.2">
      <c r="A271" s="34"/>
      <c r="B271" s="34"/>
      <c r="C271" s="34"/>
      <c r="D271" s="34"/>
      <c r="E271" s="19"/>
      <c r="F271" s="19"/>
      <c r="G271" s="19"/>
      <c r="H271" s="19"/>
      <c r="I271" s="19"/>
      <c r="J271" s="19"/>
      <c r="K271" s="19"/>
      <c r="L271" s="19"/>
      <c r="M271" s="19"/>
      <c r="N271" s="19"/>
      <c r="O271" s="19"/>
      <c r="P271" s="19"/>
      <c r="Q271" s="20"/>
      <c r="R271" s="20"/>
      <c r="S271" s="22"/>
      <c r="T271" s="22"/>
      <c r="U271" s="20"/>
      <c r="V271" s="20"/>
      <c r="W271" s="20"/>
      <c r="X271" s="19"/>
      <c r="Y271" s="19"/>
      <c r="Z271" s="19"/>
      <c r="AA271" s="23"/>
    </row>
    <row r="272" spans="1:27" ht="15.75" customHeight="1" x14ac:dyDescent="0.2">
      <c r="A272" s="34"/>
      <c r="B272" s="34"/>
      <c r="C272" s="34"/>
      <c r="D272" s="34"/>
      <c r="E272" s="19"/>
      <c r="F272" s="19"/>
      <c r="G272" s="19"/>
      <c r="H272" s="19"/>
      <c r="I272" s="19"/>
      <c r="J272" s="19"/>
      <c r="K272" s="19"/>
      <c r="L272" s="19"/>
      <c r="M272" s="19"/>
      <c r="N272" s="19"/>
      <c r="O272" s="19"/>
      <c r="P272" s="19"/>
      <c r="Q272" s="20"/>
      <c r="R272" s="20"/>
      <c r="S272" s="22"/>
      <c r="T272" s="22"/>
      <c r="U272" s="20"/>
      <c r="V272" s="20"/>
      <c r="W272" s="20"/>
      <c r="X272" s="19"/>
      <c r="Y272" s="19"/>
      <c r="Z272" s="19"/>
      <c r="AA272" s="23"/>
    </row>
    <row r="273" spans="1:27" ht="15.75" customHeight="1" x14ac:dyDescent="0.2">
      <c r="A273" s="34"/>
      <c r="B273" s="34"/>
      <c r="C273" s="34"/>
      <c r="D273" s="34"/>
      <c r="E273" s="19"/>
      <c r="F273" s="19"/>
      <c r="G273" s="19"/>
      <c r="H273" s="19"/>
      <c r="I273" s="19"/>
      <c r="J273" s="19"/>
      <c r="K273" s="19"/>
      <c r="L273" s="19"/>
      <c r="M273" s="19"/>
      <c r="N273" s="19"/>
      <c r="O273" s="19"/>
      <c r="P273" s="19"/>
      <c r="Q273" s="20"/>
      <c r="R273" s="20"/>
      <c r="S273" s="22"/>
      <c r="T273" s="22"/>
      <c r="U273" s="20"/>
      <c r="V273" s="20"/>
      <c r="W273" s="20"/>
      <c r="X273" s="19"/>
      <c r="Y273" s="19"/>
      <c r="Z273" s="19"/>
      <c r="AA273" s="23"/>
    </row>
    <row r="274" spans="1:27" ht="15.75" customHeight="1" x14ac:dyDescent="0.2">
      <c r="A274" s="34"/>
      <c r="B274" s="34"/>
      <c r="C274" s="34"/>
      <c r="D274" s="34"/>
      <c r="E274" s="19"/>
      <c r="F274" s="19"/>
      <c r="G274" s="19"/>
      <c r="H274" s="19"/>
      <c r="I274" s="19"/>
      <c r="J274" s="19"/>
      <c r="K274" s="19"/>
      <c r="L274" s="19"/>
      <c r="M274" s="19"/>
      <c r="N274" s="19"/>
      <c r="O274" s="19"/>
      <c r="P274" s="19"/>
      <c r="Q274" s="20"/>
      <c r="R274" s="20"/>
      <c r="S274" s="22"/>
      <c r="T274" s="22"/>
      <c r="U274" s="20"/>
      <c r="V274" s="20"/>
      <c r="W274" s="20"/>
      <c r="X274" s="19"/>
      <c r="Y274" s="19"/>
      <c r="Z274" s="19"/>
      <c r="AA274" s="23"/>
    </row>
    <row r="275" spans="1:27" ht="15.75" customHeight="1" x14ac:dyDescent="0.2">
      <c r="A275" s="34"/>
      <c r="B275" s="34"/>
      <c r="C275" s="34"/>
      <c r="D275" s="34"/>
      <c r="E275" s="19"/>
      <c r="F275" s="19"/>
      <c r="G275" s="19"/>
      <c r="H275" s="19"/>
      <c r="I275" s="19"/>
      <c r="J275" s="19"/>
      <c r="K275" s="19"/>
      <c r="L275" s="19"/>
      <c r="M275" s="19"/>
      <c r="N275" s="19"/>
      <c r="O275" s="19"/>
      <c r="P275" s="19"/>
      <c r="Q275" s="20"/>
      <c r="R275" s="20"/>
      <c r="S275" s="22"/>
      <c r="T275" s="22"/>
      <c r="U275" s="20"/>
      <c r="V275" s="20"/>
      <c r="W275" s="20"/>
      <c r="X275" s="19"/>
      <c r="Y275" s="19"/>
      <c r="Z275" s="19"/>
      <c r="AA275" s="23"/>
    </row>
    <row r="276" spans="1:27" ht="15.75" customHeight="1" x14ac:dyDescent="0.2">
      <c r="A276" s="34"/>
      <c r="B276" s="34"/>
      <c r="C276" s="34"/>
      <c r="D276" s="34"/>
      <c r="E276" s="19"/>
      <c r="F276" s="19"/>
      <c r="G276" s="19"/>
      <c r="H276" s="19"/>
      <c r="I276" s="19"/>
      <c r="J276" s="19"/>
      <c r="K276" s="19"/>
      <c r="L276" s="19"/>
      <c r="M276" s="19"/>
      <c r="N276" s="19"/>
      <c r="O276" s="19"/>
      <c r="P276" s="19"/>
      <c r="Q276" s="20"/>
      <c r="R276" s="20"/>
      <c r="S276" s="22"/>
      <c r="T276" s="22"/>
      <c r="U276" s="20"/>
      <c r="V276" s="20"/>
      <c r="W276" s="20"/>
      <c r="X276" s="19"/>
      <c r="Y276" s="19"/>
      <c r="Z276" s="19"/>
      <c r="AA276" s="23"/>
    </row>
    <row r="277" spans="1:27" ht="15.75" customHeight="1" x14ac:dyDescent="0.2">
      <c r="A277" s="34"/>
      <c r="B277" s="34"/>
      <c r="C277" s="34"/>
      <c r="D277" s="34"/>
      <c r="E277" s="19"/>
      <c r="F277" s="19"/>
      <c r="G277" s="19"/>
      <c r="H277" s="19"/>
      <c r="I277" s="19"/>
      <c r="J277" s="19"/>
      <c r="K277" s="19"/>
      <c r="L277" s="19"/>
      <c r="M277" s="19"/>
      <c r="N277" s="19"/>
      <c r="O277" s="19"/>
      <c r="P277" s="19"/>
      <c r="Q277" s="20"/>
      <c r="R277" s="20"/>
      <c r="S277" s="22"/>
      <c r="T277" s="22"/>
      <c r="U277" s="20"/>
      <c r="V277" s="20"/>
      <c r="W277" s="20"/>
      <c r="X277" s="19"/>
      <c r="Y277" s="19"/>
      <c r="Z277" s="19"/>
      <c r="AA277" s="23"/>
    </row>
    <row r="278" spans="1:27" ht="15.75" customHeight="1" x14ac:dyDescent="0.2">
      <c r="A278" s="34"/>
      <c r="B278" s="34"/>
      <c r="C278" s="34"/>
      <c r="D278" s="34"/>
      <c r="E278" s="19"/>
      <c r="F278" s="19"/>
      <c r="G278" s="19"/>
      <c r="H278" s="19"/>
      <c r="I278" s="19"/>
      <c r="J278" s="19"/>
      <c r="K278" s="19"/>
      <c r="L278" s="19"/>
      <c r="M278" s="19"/>
      <c r="N278" s="19"/>
      <c r="O278" s="19"/>
      <c r="P278" s="19"/>
      <c r="Q278" s="20"/>
      <c r="R278" s="20"/>
      <c r="S278" s="22"/>
      <c r="T278" s="22"/>
      <c r="U278" s="20"/>
      <c r="V278" s="20"/>
      <c r="W278" s="20"/>
      <c r="X278" s="19"/>
      <c r="Y278" s="19"/>
      <c r="Z278" s="19"/>
      <c r="AA278" s="23"/>
    </row>
    <row r="279" spans="1:27" ht="15.75" customHeight="1" x14ac:dyDescent="0.2">
      <c r="A279" s="34"/>
      <c r="B279" s="34"/>
      <c r="C279" s="34"/>
      <c r="D279" s="34"/>
      <c r="E279" s="19"/>
      <c r="F279" s="19"/>
      <c r="G279" s="19"/>
      <c r="H279" s="19"/>
      <c r="I279" s="19"/>
      <c r="J279" s="19"/>
      <c r="K279" s="19"/>
      <c r="L279" s="19"/>
      <c r="M279" s="19"/>
      <c r="N279" s="19"/>
      <c r="O279" s="19"/>
      <c r="P279" s="19"/>
      <c r="Q279" s="20"/>
      <c r="R279" s="20"/>
      <c r="S279" s="22"/>
      <c r="T279" s="22"/>
      <c r="U279" s="20"/>
      <c r="V279" s="20"/>
      <c r="W279" s="20"/>
      <c r="X279" s="19"/>
      <c r="Y279" s="19"/>
      <c r="Z279" s="19"/>
      <c r="AA279" s="23"/>
    </row>
    <row r="280" spans="1:27" ht="15.75" customHeight="1" x14ac:dyDescent="0.2">
      <c r="A280" s="34"/>
      <c r="B280" s="34"/>
      <c r="C280" s="34"/>
      <c r="D280" s="34"/>
      <c r="E280" s="19"/>
      <c r="F280" s="19"/>
      <c r="G280" s="19"/>
      <c r="H280" s="19"/>
      <c r="I280" s="19"/>
      <c r="J280" s="19"/>
      <c r="K280" s="19"/>
      <c r="L280" s="19"/>
      <c r="M280" s="19"/>
      <c r="N280" s="19"/>
      <c r="O280" s="19"/>
      <c r="P280" s="19"/>
      <c r="Q280" s="20"/>
      <c r="R280" s="20"/>
      <c r="S280" s="22"/>
      <c r="T280" s="22"/>
      <c r="U280" s="20"/>
      <c r="V280" s="20"/>
      <c r="W280" s="20"/>
      <c r="X280" s="19"/>
      <c r="Y280" s="19"/>
      <c r="Z280" s="19"/>
      <c r="AA280" s="23"/>
    </row>
    <row r="281" spans="1:27" ht="15.75" customHeight="1" x14ac:dyDescent="0.2">
      <c r="A281" s="34"/>
      <c r="B281" s="34"/>
      <c r="C281" s="34"/>
      <c r="D281" s="34"/>
      <c r="E281" s="19"/>
      <c r="F281" s="19"/>
      <c r="G281" s="19"/>
      <c r="H281" s="19"/>
      <c r="I281" s="19"/>
      <c r="J281" s="19"/>
      <c r="K281" s="19"/>
      <c r="L281" s="19"/>
      <c r="M281" s="19"/>
      <c r="N281" s="19"/>
      <c r="O281" s="19"/>
      <c r="P281" s="19"/>
      <c r="Q281" s="20"/>
      <c r="R281" s="20"/>
      <c r="S281" s="22"/>
      <c r="T281" s="22"/>
      <c r="U281" s="20"/>
      <c r="V281" s="20"/>
      <c r="W281" s="20"/>
      <c r="X281" s="19"/>
      <c r="Y281" s="19"/>
      <c r="Z281" s="19"/>
      <c r="AA281" s="23"/>
    </row>
    <row r="282" spans="1:27" ht="15.75" customHeight="1" x14ac:dyDescent="0.2">
      <c r="A282" s="34"/>
      <c r="B282" s="34"/>
      <c r="C282" s="34"/>
      <c r="D282" s="34"/>
      <c r="E282" s="19"/>
      <c r="F282" s="19"/>
      <c r="G282" s="19"/>
      <c r="H282" s="19"/>
      <c r="I282" s="19"/>
      <c r="J282" s="19"/>
      <c r="K282" s="19"/>
      <c r="L282" s="19"/>
      <c r="M282" s="19"/>
      <c r="N282" s="19"/>
      <c r="O282" s="19"/>
      <c r="P282" s="19"/>
      <c r="Q282" s="20"/>
      <c r="R282" s="20"/>
      <c r="S282" s="22"/>
      <c r="T282" s="22"/>
      <c r="U282" s="20"/>
      <c r="V282" s="20"/>
      <c r="W282" s="20"/>
      <c r="X282" s="19"/>
      <c r="Y282" s="19"/>
      <c r="Z282" s="19"/>
      <c r="AA282" s="23"/>
    </row>
    <row r="283" spans="1:27" ht="15.75" customHeight="1" x14ac:dyDescent="0.2">
      <c r="A283" s="34"/>
      <c r="B283" s="34"/>
      <c r="C283" s="34"/>
      <c r="D283" s="34"/>
      <c r="E283" s="19"/>
      <c r="F283" s="19"/>
      <c r="G283" s="19"/>
      <c r="H283" s="19"/>
      <c r="I283" s="19"/>
      <c r="J283" s="19"/>
      <c r="K283" s="19"/>
      <c r="L283" s="19"/>
      <c r="M283" s="19"/>
      <c r="N283" s="19"/>
      <c r="O283" s="19"/>
      <c r="P283" s="19"/>
      <c r="Q283" s="20"/>
      <c r="R283" s="20"/>
      <c r="S283" s="22"/>
      <c r="T283" s="22"/>
      <c r="U283" s="20"/>
      <c r="V283" s="20"/>
      <c r="W283" s="20"/>
      <c r="X283" s="19"/>
      <c r="Y283" s="19"/>
      <c r="Z283" s="19"/>
      <c r="AA283" s="23"/>
    </row>
    <row r="284" spans="1:27" ht="15.75" customHeight="1" x14ac:dyDescent="0.2">
      <c r="A284" s="34"/>
      <c r="B284" s="34"/>
      <c r="C284" s="34"/>
      <c r="D284" s="34"/>
      <c r="E284" s="19"/>
      <c r="F284" s="19"/>
      <c r="G284" s="19"/>
      <c r="H284" s="19"/>
      <c r="I284" s="19"/>
      <c r="J284" s="19"/>
      <c r="K284" s="19"/>
      <c r="L284" s="19"/>
      <c r="M284" s="19"/>
      <c r="N284" s="19"/>
      <c r="O284" s="19"/>
      <c r="P284" s="19"/>
      <c r="Q284" s="20"/>
      <c r="R284" s="20"/>
      <c r="S284" s="22"/>
      <c r="T284" s="22"/>
      <c r="U284" s="20"/>
      <c r="V284" s="20"/>
      <c r="W284" s="20"/>
      <c r="X284" s="19"/>
      <c r="Y284" s="19"/>
      <c r="Z284" s="19"/>
      <c r="AA284" s="23"/>
    </row>
    <row r="285" spans="1:27" ht="15.75" customHeight="1" x14ac:dyDescent="0.2">
      <c r="A285" s="34"/>
      <c r="B285" s="34"/>
      <c r="C285" s="34"/>
      <c r="D285" s="34"/>
      <c r="E285" s="19"/>
      <c r="F285" s="19"/>
      <c r="G285" s="19"/>
      <c r="H285" s="19"/>
      <c r="I285" s="19"/>
      <c r="J285" s="19"/>
      <c r="K285" s="19"/>
      <c r="L285" s="19"/>
      <c r="M285" s="19"/>
      <c r="N285" s="19"/>
      <c r="O285" s="19"/>
      <c r="P285" s="19"/>
      <c r="Q285" s="20"/>
      <c r="R285" s="20"/>
      <c r="S285" s="22"/>
      <c r="T285" s="22"/>
      <c r="U285" s="20"/>
      <c r="V285" s="20"/>
      <c r="W285" s="20"/>
      <c r="X285" s="19"/>
      <c r="Y285" s="19"/>
      <c r="Z285" s="19"/>
      <c r="AA285" s="23"/>
    </row>
    <row r="286" spans="1:27" ht="15.75" customHeight="1" x14ac:dyDescent="0.2">
      <c r="A286" s="34"/>
      <c r="B286" s="34"/>
      <c r="C286" s="34"/>
      <c r="D286" s="34"/>
      <c r="E286" s="19"/>
      <c r="F286" s="19"/>
      <c r="G286" s="19"/>
      <c r="H286" s="19"/>
      <c r="I286" s="19"/>
      <c r="J286" s="19"/>
      <c r="K286" s="19"/>
      <c r="L286" s="19"/>
      <c r="M286" s="19"/>
      <c r="N286" s="19"/>
      <c r="O286" s="19"/>
      <c r="P286" s="19"/>
      <c r="Q286" s="20"/>
      <c r="R286" s="20"/>
      <c r="S286" s="22"/>
      <c r="T286" s="22"/>
      <c r="U286" s="20"/>
      <c r="V286" s="20"/>
      <c r="W286" s="20"/>
      <c r="X286" s="19"/>
      <c r="Y286" s="19"/>
      <c r="Z286" s="19"/>
      <c r="AA286" s="23"/>
    </row>
    <row r="287" spans="1:27" ht="15.75" customHeight="1" x14ac:dyDescent="0.2">
      <c r="A287" s="34"/>
      <c r="B287" s="34"/>
      <c r="C287" s="34"/>
      <c r="D287" s="34"/>
      <c r="E287" s="19"/>
      <c r="F287" s="19"/>
      <c r="G287" s="19"/>
      <c r="H287" s="19"/>
      <c r="I287" s="19"/>
      <c r="J287" s="19"/>
      <c r="K287" s="19"/>
      <c r="L287" s="19"/>
      <c r="M287" s="19"/>
      <c r="N287" s="19"/>
      <c r="O287" s="19"/>
      <c r="P287" s="19"/>
      <c r="Q287" s="20"/>
      <c r="R287" s="20"/>
      <c r="S287" s="22"/>
      <c r="T287" s="22"/>
      <c r="U287" s="20"/>
      <c r="V287" s="20"/>
      <c r="W287" s="20"/>
      <c r="X287" s="19"/>
      <c r="Y287" s="19"/>
      <c r="Z287" s="19"/>
      <c r="AA287" s="23"/>
    </row>
    <row r="288" spans="1:27" ht="15.75" customHeight="1" x14ac:dyDescent="0.2">
      <c r="A288" s="34"/>
      <c r="B288" s="34"/>
      <c r="C288" s="34"/>
      <c r="D288" s="34"/>
      <c r="E288" s="19"/>
      <c r="F288" s="19"/>
      <c r="G288" s="19"/>
      <c r="H288" s="19"/>
      <c r="I288" s="19"/>
      <c r="J288" s="19"/>
      <c r="K288" s="19"/>
      <c r="L288" s="19"/>
      <c r="M288" s="19"/>
      <c r="N288" s="19"/>
      <c r="O288" s="19"/>
      <c r="P288" s="19"/>
      <c r="Q288" s="20"/>
      <c r="R288" s="20"/>
      <c r="S288" s="22"/>
      <c r="T288" s="22"/>
      <c r="U288" s="20"/>
      <c r="V288" s="20"/>
      <c r="W288" s="20"/>
      <c r="X288" s="19"/>
      <c r="Y288" s="19"/>
      <c r="Z288" s="19"/>
      <c r="AA288" s="23"/>
    </row>
    <row r="289" spans="1:27" ht="15.75" customHeight="1" x14ac:dyDescent="0.2">
      <c r="A289" s="34"/>
      <c r="B289" s="34"/>
      <c r="C289" s="34"/>
      <c r="D289" s="34"/>
      <c r="E289" s="19"/>
      <c r="F289" s="19"/>
      <c r="G289" s="19"/>
      <c r="H289" s="19"/>
      <c r="I289" s="19"/>
      <c r="J289" s="19"/>
      <c r="K289" s="19"/>
      <c r="L289" s="19"/>
      <c r="M289" s="19"/>
      <c r="N289" s="19"/>
      <c r="O289" s="19"/>
      <c r="P289" s="19"/>
      <c r="Q289" s="20"/>
      <c r="R289" s="20"/>
      <c r="S289" s="22"/>
      <c r="T289" s="22"/>
      <c r="U289" s="20"/>
      <c r="V289" s="20"/>
      <c r="W289" s="20"/>
      <c r="X289" s="19"/>
      <c r="Y289" s="19"/>
      <c r="Z289" s="19"/>
      <c r="AA289" s="23"/>
    </row>
    <row r="290" spans="1:27" ht="15.75" customHeight="1" x14ac:dyDescent="0.2">
      <c r="A290" s="34"/>
      <c r="B290" s="34"/>
      <c r="C290" s="34"/>
      <c r="D290" s="34"/>
      <c r="E290" s="19"/>
      <c r="F290" s="19"/>
      <c r="G290" s="19"/>
      <c r="H290" s="19"/>
      <c r="I290" s="19"/>
      <c r="J290" s="19"/>
      <c r="K290" s="19"/>
      <c r="L290" s="19"/>
      <c r="M290" s="19"/>
      <c r="N290" s="19"/>
      <c r="O290" s="19"/>
      <c r="P290" s="19"/>
      <c r="Q290" s="20"/>
      <c r="R290" s="20"/>
      <c r="S290" s="22"/>
      <c r="T290" s="22"/>
      <c r="U290" s="20"/>
      <c r="V290" s="20"/>
      <c r="W290" s="20"/>
      <c r="X290" s="19"/>
      <c r="Y290" s="19"/>
      <c r="Z290" s="19"/>
      <c r="AA290" s="23"/>
    </row>
    <row r="291" spans="1:27" ht="15.75" customHeight="1" x14ac:dyDescent="0.2">
      <c r="A291" s="34"/>
      <c r="B291" s="34"/>
      <c r="C291" s="34"/>
      <c r="D291" s="34"/>
      <c r="E291" s="19"/>
      <c r="F291" s="19"/>
      <c r="G291" s="19"/>
      <c r="H291" s="19"/>
      <c r="I291" s="19"/>
      <c r="J291" s="19"/>
      <c r="K291" s="19"/>
      <c r="L291" s="19"/>
      <c r="M291" s="19"/>
      <c r="N291" s="19"/>
      <c r="O291" s="19"/>
      <c r="P291" s="19"/>
      <c r="Q291" s="20"/>
      <c r="R291" s="20"/>
      <c r="S291" s="22"/>
      <c r="T291" s="22"/>
      <c r="U291" s="20"/>
      <c r="V291" s="20"/>
      <c r="W291" s="20"/>
      <c r="X291" s="19"/>
      <c r="Y291" s="19"/>
      <c r="Z291" s="19"/>
      <c r="AA291" s="23"/>
    </row>
    <row r="292" spans="1:27" ht="15.75" customHeight="1" x14ac:dyDescent="0.2">
      <c r="A292" s="34"/>
      <c r="B292" s="34"/>
      <c r="C292" s="34"/>
      <c r="D292" s="34"/>
      <c r="E292" s="19"/>
      <c r="F292" s="19"/>
      <c r="G292" s="19"/>
      <c r="H292" s="19"/>
      <c r="I292" s="19"/>
      <c r="J292" s="19"/>
      <c r="K292" s="19"/>
      <c r="L292" s="19"/>
      <c r="M292" s="19"/>
      <c r="N292" s="19"/>
      <c r="O292" s="19"/>
      <c r="P292" s="19"/>
      <c r="Q292" s="20"/>
      <c r="R292" s="20"/>
      <c r="S292" s="22"/>
      <c r="T292" s="22"/>
      <c r="U292" s="20"/>
      <c r="V292" s="20"/>
      <c r="W292" s="20"/>
      <c r="X292" s="19"/>
      <c r="Y292" s="19"/>
      <c r="Z292" s="19"/>
      <c r="AA292" s="23"/>
    </row>
    <row r="293" spans="1:27" ht="15.75" customHeight="1" x14ac:dyDescent="0.2">
      <c r="A293" s="34"/>
      <c r="B293" s="34"/>
      <c r="C293" s="34"/>
      <c r="D293" s="34"/>
      <c r="E293" s="19"/>
      <c r="F293" s="19"/>
      <c r="G293" s="19"/>
      <c r="H293" s="19"/>
      <c r="I293" s="19"/>
      <c r="J293" s="19"/>
      <c r="K293" s="19"/>
      <c r="L293" s="19"/>
      <c r="M293" s="19"/>
      <c r="N293" s="19"/>
      <c r="O293" s="19"/>
      <c r="P293" s="19"/>
      <c r="Q293" s="20"/>
      <c r="R293" s="20"/>
      <c r="S293" s="22"/>
      <c r="T293" s="22"/>
      <c r="U293" s="20"/>
      <c r="V293" s="20"/>
      <c r="W293" s="20"/>
      <c r="X293" s="19"/>
      <c r="Y293" s="19"/>
      <c r="Z293" s="19"/>
      <c r="AA293" s="23"/>
    </row>
    <row r="294" spans="1:27" ht="15.75" customHeight="1" x14ac:dyDescent="0.2">
      <c r="A294" s="34"/>
      <c r="B294" s="34"/>
      <c r="C294" s="34"/>
      <c r="D294" s="34"/>
      <c r="E294" s="19"/>
      <c r="F294" s="19"/>
      <c r="G294" s="19"/>
      <c r="H294" s="19"/>
      <c r="I294" s="19"/>
      <c r="J294" s="19"/>
      <c r="K294" s="19"/>
      <c r="L294" s="19"/>
      <c r="M294" s="19"/>
      <c r="N294" s="19"/>
      <c r="O294" s="19"/>
      <c r="P294" s="19"/>
      <c r="Q294" s="20"/>
      <c r="R294" s="20"/>
      <c r="S294" s="22"/>
      <c r="T294" s="22"/>
      <c r="U294" s="20"/>
      <c r="V294" s="20"/>
      <c r="W294" s="20"/>
      <c r="X294" s="19"/>
      <c r="Y294" s="19"/>
      <c r="Z294" s="19"/>
      <c r="AA294" s="23"/>
    </row>
    <row r="295" spans="1:27" ht="15.75" customHeight="1" x14ac:dyDescent="0.2">
      <c r="A295" s="34"/>
      <c r="B295" s="34"/>
      <c r="C295" s="34"/>
      <c r="D295" s="34"/>
      <c r="E295" s="19"/>
      <c r="F295" s="19"/>
      <c r="G295" s="19"/>
      <c r="H295" s="19"/>
      <c r="I295" s="19"/>
      <c r="J295" s="19"/>
      <c r="K295" s="19"/>
      <c r="L295" s="19"/>
      <c r="M295" s="19"/>
      <c r="N295" s="19"/>
      <c r="O295" s="19"/>
      <c r="P295" s="19"/>
      <c r="Q295" s="20"/>
      <c r="R295" s="20"/>
      <c r="S295" s="22"/>
      <c r="T295" s="22"/>
      <c r="U295" s="20"/>
      <c r="V295" s="20"/>
      <c r="W295" s="20"/>
      <c r="X295" s="19"/>
      <c r="Y295" s="19"/>
      <c r="Z295" s="19"/>
      <c r="AA295" s="23"/>
    </row>
    <row r="296" spans="1:27" ht="15.75" customHeight="1" x14ac:dyDescent="0.2">
      <c r="A296" s="34"/>
      <c r="B296" s="34"/>
      <c r="C296" s="34"/>
      <c r="D296" s="34"/>
      <c r="E296" s="19"/>
      <c r="F296" s="19"/>
      <c r="G296" s="19"/>
      <c r="H296" s="19"/>
      <c r="I296" s="19"/>
      <c r="J296" s="19"/>
      <c r="K296" s="19"/>
      <c r="L296" s="19"/>
      <c r="M296" s="19"/>
      <c r="N296" s="19"/>
      <c r="O296" s="19"/>
      <c r="P296" s="19"/>
      <c r="Q296" s="20"/>
      <c r="R296" s="20"/>
      <c r="S296" s="22"/>
      <c r="T296" s="22"/>
      <c r="U296" s="20"/>
      <c r="V296" s="20"/>
      <c r="W296" s="20"/>
      <c r="X296" s="19"/>
      <c r="Y296" s="19"/>
      <c r="Z296" s="19"/>
      <c r="AA296" s="23"/>
    </row>
    <row r="297" spans="1:27" ht="15.75" customHeight="1" x14ac:dyDescent="0.2">
      <c r="A297" s="34"/>
      <c r="B297" s="34"/>
      <c r="C297" s="34"/>
      <c r="D297" s="34"/>
      <c r="E297" s="19"/>
      <c r="F297" s="19"/>
      <c r="G297" s="19"/>
      <c r="H297" s="19"/>
      <c r="I297" s="19"/>
      <c r="J297" s="19"/>
      <c r="K297" s="19"/>
      <c r="L297" s="19"/>
      <c r="M297" s="19"/>
      <c r="N297" s="19"/>
      <c r="O297" s="19"/>
      <c r="P297" s="19"/>
      <c r="Q297" s="20"/>
      <c r="R297" s="20"/>
      <c r="S297" s="22"/>
      <c r="T297" s="22"/>
      <c r="U297" s="20"/>
      <c r="V297" s="20"/>
      <c r="W297" s="20"/>
      <c r="X297" s="19"/>
      <c r="Y297" s="19"/>
      <c r="Z297" s="19"/>
      <c r="AA297" s="23"/>
    </row>
    <row r="298" spans="1:27" ht="15.75" customHeight="1" x14ac:dyDescent="0.2">
      <c r="A298" s="34"/>
      <c r="B298" s="34"/>
      <c r="C298" s="34"/>
      <c r="D298" s="34"/>
      <c r="E298" s="19"/>
      <c r="F298" s="19"/>
      <c r="G298" s="19"/>
      <c r="H298" s="19"/>
      <c r="I298" s="19"/>
      <c r="J298" s="19"/>
      <c r="K298" s="19"/>
      <c r="L298" s="19"/>
      <c r="M298" s="19"/>
      <c r="N298" s="19"/>
      <c r="O298" s="19"/>
      <c r="P298" s="19"/>
      <c r="Q298" s="20"/>
      <c r="R298" s="20"/>
      <c r="S298" s="22"/>
      <c r="T298" s="22"/>
      <c r="U298" s="20"/>
      <c r="V298" s="20"/>
      <c r="W298" s="20"/>
      <c r="X298" s="19"/>
      <c r="Y298" s="19"/>
      <c r="Z298" s="19"/>
      <c r="AA298" s="23"/>
    </row>
    <row r="299" spans="1:27" ht="15.75" customHeight="1" x14ac:dyDescent="0.2">
      <c r="A299" s="34"/>
      <c r="B299" s="34"/>
      <c r="C299" s="34"/>
      <c r="D299" s="34"/>
      <c r="E299" s="19"/>
      <c r="F299" s="19"/>
      <c r="G299" s="19"/>
      <c r="H299" s="19"/>
      <c r="I299" s="19"/>
      <c r="J299" s="19"/>
      <c r="K299" s="19"/>
      <c r="L299" s="19"/>
      <c r="M299" s="19"/>
      <c r="N299" s="19"/>
      <c r="O299" s="19"/>
      <c r="P299" s="19"/>
      <c r="Q299" s="20"/>
      <c r="R299" s="20"/>
      <c r="S299" s="22"/>
      <c r="T299" s="22"/>
      <c r="U299" s="20"/>
      <c r="V299" s="20"/>
      <c r="W299" s="20"/>
      <c r="X299" s="19"/>
      <c r="Y299" s="19"/>
      <c r="Z299" s="19"/>
      <c r="AA299" s="23"/>
    </row>
    <row r="300" spans="1:27" ht="15.75" customHeight="1" x14ac:dyDescent="0.2">
      <c r="A300" s="34"/>
      <c r="B300" s="34"/>
      <c r="C300" s="34"/>
      <c r="D300" s="34"/>
      <c r="E300" s="19"/>
      <c r="F300" s="19"/>
      <c r="G300" s="19"/>
      <c r="H300" s="19"/>
      <c r="I300" s="19"/>
      <c r="J300" s="19"/>
      <c r="K300" s="19"/>
      <c r="L300" s="19"/>
      <c r="M300" s="19"/>
      <c r="N300" s="19"/>
      <c r="O300" s="19"/>
      <c r="P300" s="19"/>
      <c r="Q300" s="20"/>
      <c r="R300" s="20"/>
      <c r="S300" s="22"/>
      <c r="T300" s="22"/>
      <c r="U300" s="20"/>
      <c r="V300" s="20"/>
      <c r="W300" s="20"/>
      <c r="X300" s="19"/>
      <c r="Y300" s="19"/>
      <c r="Z300" s="19"/>
      <c r="AA300" s="23"/>
    </row>
    <row r="301" spans="1:27" ht="15.75" customHeight="1" x14ac:dyDescent="0.2">
      <c r="A301" s="34"/>
      <c r="B301" s="34"/>
      <c r="C301" s="34"/>
      <c r="D301" s="34"/>
      <c r="E301" s="19"/>
      <c r="F301" s="19"/>
      <c r="G301" s="19"/>
      <c r="H301" s="19"/>
      <c r="I301" s="19"/>
      <c r="J301" s="19"/>
      <c r="K301" s="19"/>
      <c r="L301" s="19"/>
      <c r="M301" s="19"/>
      <c r="N301" s="19"/>
      <c r="O301" s="19"/>
      <c r="P301" s="19"/>
      <c r="Q301" s="20"/>
      <c r="R301" s="20"/>
      <c r="S301" s="22"/>
      <c r="T301" s="22"/>
      <c r="U301" s="20"/>
      <c r="V301" s="20"/>
      <c r="W301" s="20"/>
      <c r="X301" s="19"/>
      <c r="Y301" s="19"/>
      <c r="Z301" s="19"/>
      <c r="AA301" s="23"/>
    </row>
    <row r="302" spans="1:27" ht="15.75" customHeight="1" x14ac:dyDescent="0.2">
      <c r="A302" s="34"/>
      <c r="B302" s="34"/>
      <c r="C302" s="34"/>
      <c r="D302" s="34"/>
      <c r="E302" s="19"/>
      <c r="F302" s="19"/>
      <c r="G302" s="19"/>
      <c r="H302" s="19"/>
      <c r="I302" s="19"/>
      <c r="J302" s="19"/>
      <c r="K302" s="19"/>
      <c r="L302" s="19"/>
      <c r="M302" s="19"/>
      <c r="N302" s="19"/>
      <c r="O302" s="19"/>
      <c r="P302" s="19"/>
      <c r="Q302" s="20"/>
      <c r="R302" s="20"/>
      <c r="S302" s="22"/>
      <c r="T302" s="22"/>
      <c r="U302" s="20"/>
      <c r="V302" s="20"/>
      <c r="W302" s="20"/>
      <c r="X302" s="19"/>
      <c r="Y302" s="19"/>
      <c r="Z302" s="19"/>
      <c r="AA302" s="23"/>
    </row>
    <row r="303" spans="1:27" ht="15.75" customHeight="1" x14ac:dyDescent="0.2">
      <c r="A303" s="34"/>
      <c r="B303" s="34"/>
      <c r="C303" s="34"/>
      <c r="D303" s="34"/>
      <c r="E303" s="19"/>
      <c r="F303" s="19"/>
      <c r="G303" s="19"/>
      <c r="H303" s="19"/>
      <c r="I303" s="19"/>
      <c r="J303" s="19"/>
      <c r="K303" s="19"/>
      <c r="L303" s="19"/>
      <c r="M303" s="19"/>
      <c r="N303" s="19"/>
      <c r="O303" s="19"/>
      <c r="P303" s="19"/>
      <c r="Q303" s="20"/>
      <c r="R303" s="20"/>
      <c r="S303" s="22"/>
      <c r="T303" s="22"/>
      <c r="U303" s="20"/>
      <c r="V303" s="20"/>
      <c r="W303" s="20"/>
      <c r="X303" s="19"/>
      <c r="Y303" s="19"/>
      <c r="Z303" s="19"/>
      <c r="AA303" s="23"/>
    </row>
    <row r="304" spans="1:27" ht="15.75" customHeight="1" x14ac:dyDescent="0.2">
      <c r="A304" s="34"/>
      <c r="B304" s="34"/>
      <c r="C304" s="34"/>
      <c r="D304" s="34"/>
      <c r="E304" s="19"/>
      <c r="F304" s="19"/>
      <c r="G304" s="19"/>
      <c r="H304" s="19"/>
      <c r="I304" s="19"/>
      <c r="J304" s="19"/>
      <c r="K304" s="19"/>
      <c r="L304" s="19"/>
      <c r="M304" s="19"/>
      <c r="N304" s="19"/>
      <c r="O304" s="19"/>
      <c r="P304" s="19"/>
      <c r="Q304" s="20"/>
      <c r="R304" s="20"/>
      <c r="S304" s="22"/>
      <c r="T304" s="22"/>
      <c r="U304" s="20"/>
      <c r="V304" s="20"/>
      <c r="W304" s="20"/>
      <c r="X304" s="19"/>
      <c r="Y304" s="19"/>
      <c r="Z304" s="19"/>
      <c r="AA304" s="23"/>
    </row>
    <row r="305" spans="1:27" ht="15.75" customHeight="1" x14ac:dyDescent="0.2">
      <c r="A305" s="34"/>
      <c r="B305" s="34"/>
      <c r="C305" s="34"/>
      <c r="D305" s="34"/>
      <c r="E305" s="19"/>
      <c r="F305" s="19"/>
      <c r="G305" s="19"/>
      <c r="H305" s="19"/>
      <c r="I305" s="19"/>
      <c r="J305" s="19"/>
      <c r="K305" s="19"/>
      <c r="L305" s="19"/>
      <c r="M305" s="19"/>
      <c r="N305" s="19"/>
      <c r="O305" s="19"/>
      <c r="P305" s="19"/>
      <c r="Q305" s="20"/>
      <c r="R305" s="20"/>
      <c r="S305" s="22"/>
      <c r="T305" s="22"/>
      <c r="U305" s="20"/>
      <c r="V305" s="20"/>
      <c r="W305" s="20"/>
      <c r="X305" s="19"/>
      <c r="Y305" s="19"/>
      <c r="Z305" s="19"/>
      <c r="AA305" s="23"/>
    </row>
    <row r="306" spans="1:27" ht="15.75" customHeight="1" x14ac:dyDescent="0.2">
      <c r="A306" s="34"/>
      <c r="B306" s="34"/>
      <c r="C306" s="34"/>
      <c r="D306" s="34"/>
      <c r="E306" s="19"/>
      <c r="F306" s="19"/>
      <c r="G306" s="19"/>
      <c r="H306" s="19"/>
      <c r="I306" s="19"/>
      <c r="J306" s="19"/>
      <c r="K306" s="19"/>
      <c r="L306" s="19"/>
      <c r="M306" s="19"/>
      <c r="N306" s="19"/>
      <c r="O306" s="19"/>
      <c r="P306" s="19"/>
      <c r="Q306" s="20"/>
      <c r="R306" s="20"/>
      <c r="S306" s="22"/>
      <c r="T306" s="22"/>
      <c r="U306" s="20"/>
      <c r="V306" s="20"/>
      <c r="W306" s="20"/>
      <c r="X306" s="19"/>
      <c r="Y306" s="19"/>
      <c r="Z306" s="19"/>
      <c r="AA306" s="23"/>
    </row>
    <row r="307" spans="1:27" ht="15.75" customHeight="1" x14ac:dyDescent="0.2">
      <c r="A307" s="34"/>
      <c r="B307" s="34"/>
      <c r="C307" s="34"/>
      <c r="D307" s="34"/>
      <c r="E307" s="19"/>
      <c r="F307" s="19"/>
      <c r="G307" s="19"/>
      <c r="H307" s="19"/>
      <c r="I307" s="19"/>
      <c r="J307" s="19"/>
      <c r="K307" s="19"/>
      <c r="L307" s="19"/>
      <c r="M307" s="19"/>
      <c r="N307" s="19"/>
      <c r="O307" s="19"/>
      <c r="P307" s="19"/>
      <c r="Q307" s="20"/>
      <c r="R307" s="20"/>
      <c r="S307" s="22"/>
      <c r="T307" s="22"/>
      <c r="U307" s="20"/>
      <c r="V307" s="20"/>
      <c r="W307" s="20"/>
      <c r="X307" s="19"/>
      <c r="Y307" s="19"/>
      <c r="Z307" s="19"/>
      <c r="AA307" s="23"/>
    </row>
    <row r="308" spans="1:27" ht="15.75" customHeight="1" x14ac:dyDescent="0.2">
      <c r="A308" s="34"/>
      <c r="B308" s="34"/>
      <c r="C308" s="34"/>
      <c r="D308" s="34"/>
      <c r="E308" s="19"/>
      <c r="F308" s="19"/>
      <c r="G308" s="19"/>
      <c r="H308" s="19"/>
      <c r="I308" s="19"/>
      <c r="J308" s="19"/>
      <c r="K308" s="19"/>
      <c r="L308" s="19"/>
      <c r="M308" s="19"/>
      <c r="N308" s="19"/>
      <c r="O308" s="19"/>
      <c r="P308" s="19"/>
      <c r="Q308" s="20"/>
      <c r="R308" s="20"/>
      <c r="S308" s="22"/>
      <c r="T308" s="22"/>
      <c r="U308" s="20"/>
      <c r="V308" s="20"/>
      <c r="W308" s="20"/>
      <c r="X308" s="19"/>
      <c r="Y308" s="19"/>
      <c r="Z308" s="19"/>
      <c r="AA308" s="23"/>
    </row>
    <row r="309" spans="1:27" ht="15.75" customHeight="1" x14ac:dyDescent="0.2">
      <c r="A309" s="34"/>
      <c r="B309" s="34"/>
      <c r="C309" s="34"/>
      <c r="D309" s="34"/>
      <c r="E309" s="19"/>
      <c r="F309" s="19"/>
      <c r="G309" s="19"/>
      <c r="H309" s="19"/>
      <c r="I309" s="19"/>
      <c r="J309" s="19"/>
      <c r="K309" s="19"/>
      <c r="L309" s="19"/>
      <c r="M309" s="19"/>
      <c r="N309" s="19"/>
      <c r="O309" s="19"/>
      <c r="P309" s="19"/>
      <c r="Q309" s="20"/>
      <c r="R309" s="20"/>
      <c r="S309" s="22"/>
      <c r="T309" s="22"/>
      <c r="U309" s="20"/>
      <c r="V309" s="20"/>
      <c r="W309" s="20"/>
      <c r="X309" s="19"/>
      <c r="Y309" s="19"/>
      <c r="Z309" s="19"/>
      <c r="AA309" s="23"/>
    </row>
    <row r="310" spans="1:27" ht="15.75" customHeight="1" x14ac:dyDescent="0.2">
      <c r="A310" s="34"/>
      <c r="B310" s="34"/>
      <c r="C310" s="34"/>
      <c r="D310" s="34"/>
      <c r="E310" s="19"/>
      <c r="F310" s="19"/>
      <c r="G310" s="19"/>
      <c r="H310" s="19"/>
      <c r="I310" s="19"/>
      <c r="J310" s="19"/>
      <c r="K310" s="19"/>
      <c r="L310" s="19"/>
      <c r="M310" s="19"/>
      <c r="N310" s="19"/>
      <c r="O310" s="19"/>
      <c r="P310" s="19"/>
      <c r="Q310" s="20"/>
      <c r="R310" s="20"/>
      <c r="S310" s="22"/>
      <c r="T310" s="22"/>
      <c r="U310" s="20"/>
      <c r="V310" s="20"/>
      <c r="W310" s="20"/>
      <c r="X310" s="19"/>
      <c r="Y310" s="19"/>
      <c r="Z310" s="19"/>
      <c r="AA310" s="23"/>
    </row>
    <row r="311" spans="1:27" ht="15.75" customHeight="1" x14ac:dyDescent="0.2">
      <c r="A311" s="34"/>
      <c r="B311" s="34"/>
      <c r="C311" s="34"/>
      <c r="D311" s="34"/>
      <c r="E311" s="19"/>
      <c r="F311" s="19"/>
      <c r="G311" s="19"/>
      <c r="H311" s="19"/>
      <c r="I311" s="19"/>
      <c r="J311" s="19"/>
      <c r="K311" s="19"/>
      <c r="L311" s="19"/>
      <c r="M311" s="19"/>
      <c r="N311" s="19"/>
      <c r="O311" s="19"/>
      <c r="P311" s="19"/>
      <c r="Q311" s="20"/>
      <c r="R311" s="20"/>
      <c r="S311" s="22"/>
      <c r="T311" s="22"/>
      <c r="U311" s="20"/>
      <c r="V311" s="20"/>
      <c r="W311" s="20"/>
      <c r="X311" s="19"/>
      <c r="Y311" s="19"/>
      <c r="Z311" s="19"/>
      <c r="AA311" s="23"/>
    </row>
    <row r="312" spans="1:27" ht="15.75" customHeight="1" x14ac:dyDescent="0.2">
      <c r="A312" s="34"/>
      <c r="B312" s="34"/>
      <c r="C312" s="34"/>
      <c r="D312" s="34"/>
      <c r="E312" s="19"/>
      <c r="F312" s="19"/>
      <c r="G312" s="19"/>
      <c r="H312" s="19"/>
      <c r="I312" s="19"/>
      <c r="J312" s="19"/>
      <c r="K312" s="19"/>
      <c r="L312" s="19"/>
      <c r="M312" s="19"/>
      <c r="N312" s="19"/>
      <c r="O312" s="19"/>
      <c r="P312" s="19"/>
      <c r="Q312" s="20"/>
      <c r="R312" s="20"/>
      <c r="S312" s="22"/>
      <c r="T312" s="22"/>
      <c r="U312" s="20"/>
      <c r="V312" s="20"/>
      <c r="W312" s="20"/>
      <c r="X312" s="19"/>
      <c r="Y312" s="19"/>
      <c r="Z312" s="19"/>
      <c r="AA312" s="23"/>
    </row>
    <row r="313" spans="1:27" ht="15.75" customHeight="1" x14ac:dyDescent="0.2">
      <c r="A313" s="34"/>
      <c r="B313" s="34"/>
      <c r="C313" s="34"/>
      <c r="D313" s="34"/>
      <c r="E313" s="19"/>
      <c r="F313" s="19"/>
      <c r="G313" s="19"/>
      <c r="H313" s="19"/>
      <c r="I313" s="19"/>
      <c r="J313" s="19"/>
      <c r="K313" s="19"/>
      <c r="L313" s="19"/>
      <c r="M313" s="19"/>
      <c r="N313" s="19"/>
      <c r="O313" s="19"/>
      <c r="P313" s="19"/>
      <c r="Q313" s="20"/>
      <c r="R313" s="20"/>
      <c r="S313" s="22"/>
      <c r="T313" s="22"/>
      <c r="U313" s="20"/>
      <c r="V313" s="20"/>
      <c r="W313" s="20"/>
      <c r="X313" s="19"/>
      <c r="Y313" s="19"/>
      <c r="Z313" s="19"/>
      <c r="AA313" s="23"/>
    </row>
    <row r="314" spans="1:27" ht="15.75" customHeight="1" x14ac:dyDescent="0.2">
      <c r="A314" s="34"/>
      <c r="B314" s="34"/>
      <c r="C314" s="34"/>
      <c r="D314" s="34"/>
      <c r="E314" s="19"/>
      <c r="F314" s="19"/>
      <c r="G314" s="19"/>
      <c r="H314" s="19"/>
      <c r="I314" s="19"/>
      <c r="J314" s="19"/>
      <c r="K314" s="19"/>
      <c r="L314" s="19"/>
      <c r="M314" s="19"/>
      <c r="N314" s="19"/>
      <c r="O314" s="19"/>
      <c r="P314" s="19"/>
      <c r="Q314" s="20"/>
      <c r="R314" s="20"/>
      <c r="S314" s="22"/>
      <c r="T314" s="22"/>
      <c r="U314" s="20"/>
      <c r="V314" s="20"/>
      <c r="W314" s="20"/>
      <c r="X314" s="19"/>
      <c r="Y314" s="19"/>
      <c r="Z314" s="19"/>
      <c r="AA314" s="23"/>
    </row>
    <row r="315" spans="1:27" ht="15.75" customHeight="1" x14ac:dyDescent="0.2">
      <c r="A315" s="34"/>
      <c r="B315" s="34"/>
      <c r="C315" s="34"/>
      <c r="D315" s="34"/>
      <c r="E315" s="19"/>
      <c r="F315" s="19"/>
      <c r="G315" s="19"/>
      <c r="H315" s="19"/>
      <c r="I315" s="19"/>
      <c r="J315" s="19"/>
      <c r="K315" s="19"/>
      <c r="L315" s="19"/>
      <c r="M315" s="19"/>
      <c r="N315" s="19"/>
      <c r="O315" s="19"/>
      <c r="P315" s="19"/>
      <c r="Q315" s="20"/>
      <c r="R315" s="20"/>
      <c r="S315" s="22"/>
      <c r="T315" s="22"/>
      <c r="U315" s="20"/>
      <c r="V315" s="20"/>
      <c r="W315" s="20"/>
      <c r="X315" s="19"/>
      <c r="Y315" s="19"/>
      <c r="Z315" s="19"/>
      <c r="AA315" s="23"/>
    </row>
    <row r="316" spans="1:27" ht="15.75" customHeight="1" x14ac:dyDescent="0.2">
      <c r="A316" s="34"/>
      <c r="B316" s="34"/>
      <c r="C316" s="34"/>
      <c r="D316" s="34"/>
      <c r="E316" s="19"/>
      <c r="F316" s="19"/>
      <c r="G316" s="19"/>
      <c r="H316" s="19"/>
      <c r="I316" s="19"/>
      <c r="J316" s="19"/>
      <c r="K316" s="19"/>
      <c r="L316" s="19"/>
      <c r="M316" s="19"/>
      <c r="N316" s="19"/>
      <c r="O316" s="19"/>
      <c r="P316" s="19"/>
      <c r="Q316" s="20"/>
      <c r="R316" s="20"/>
      <c r="S316" s="22"/>
      <c r="T316" s="22"/>
      <c r="U316" s="20"/>
      <c r="V316" s="20"/>
      <c r="W316" s="20"/>
      <c r="X316" s="19"/>
      <c r="Y316" s="19"/>
      <c r="Z316" s="19"/>
      <c r="AA316" s="23"/>
    </row>
    <row r="317" spans="1:27" ht="15.75" customHeight="1" x14ac:dyDescent="0.2">
      <c r="A317" s="34"/>
      <c r="B317" s="34"/>
      <c r="C317" s="34"/>
      <c r="D317" s="34"/>
      <c r="E317" s="19"/>
      <c r="F317" s="19"/>
      <c r="G317" s="19"/>
      <c r="H317" s="19"/>
      <c r="I317" s="19"/>
      <c r="J317" s="19"/>
      <c r="K317" s="19"/>
      <c r="L317" s="19"/>
      <c r="M317" s="19"/>
      <c r="N317" s="19"/>
      <c r="O317" s="19"/>
      <c r="P317" s="19"/>
      <c r="Q317" s="20"/>
      <c r="R317" s="20"/>
      <c r="S317" s="22"/>
      <c r="T317" s="22"/>
      <c r="U317" s="20"/>
      <c r="V317" s="20"/>
      <c r="W317" s="20"/>
      <c r="X317" s="19"/>
      <c r="Y317" s="19"/>
      <c r="Z317" s="19"/>
      <c r="AA317" s="23"/>
    </row>
    <row r="318" spans="1:27" ht="15.75" customHeight="1" x14ac:dyDescent="0.2">
      <c r="A318" s="34"/>
      <c r="B318" s="34"/>
      <c r="C318" s="34"/>
      <c r="D318" s="34"/>
      <c r="E318" s="19"/>
      <c r="F318" s="19"/>
      <c r="G318" s="19"/>
      <c r="H318" s="19"/>
      <c r="I318" s="19"/>
      <c r="J318" s="19"/>
      <c r="K318" s="19"/>
      <c r="L318" s="19"/>
      <c r="M318" s="19"/>
      <c r="N318" s="19"/>
      <c r="O318" s="19"/>
      <c r="P318" s="19"/>
      <c r="Q318" s="20"/>
      <c r="R318" s="20"/>
      <c r="S318" s="22"/>
      <c r="T318" s="22"/>
      <c r="U318" s="20"/>
      <c r="V318" s="20"/>
      <c r="W318" s="20"/>
      <c r="X318" s="19"/>
      <c r="Y318" s="19"/>
      <c r="Z318" s="19"/>
      <c r="AA318" s="23"/>
    </row>
    <row r="319" spans="1:27" ht="15.75" customHeight="1" x14ac:dyDescent="0.2">
      <c r="A319" s="34"/>
      <c r="B319" s="34"/>
      <c r="C319" s="34"/>
      <c r="D319" s="34"/>
      <c r="E319" s="19"/>
      <c r="F319" s="19"/>
      <c r="G319" s="19"/>
      <c r="H319" s="19"/>
      <c r="I319" s="19"/>
      <c r="J319" s="19"/>
      <c r="K319" s="19"/>
      <c r="L319" s="19"/>
      <c r="M319" s="19"/>
      <c r="N319" s="19"/>
      <c r="O319" s="19"/>
      <c r="P319" s="19"/>
      <c r="Q319" s="20"/>
      <c r="R319" s="20"/>
      <c r="S319" s="22"/>
      <c r="T319" s="22"/>
      <c r="U319" s="20"/>
      <c r="V319" s="20"/>
      <c r="W319" s="20"/>
      <c r="X319" s="19"/>
      <c r="Y319" s="19"/>
      <c r="Z319" s="19"/>
      <c r="AA319" s="23"/>
    </row>
    <row r="320" spans="1:27" ht="15.75" customHeight="1" x14ac:dyDescent="0.2">
      <c r="A320" s="34"/>
      <c r="B320" s="34"/>
      <c r="C320" s="34"/>
      <c r="D320" s="34"/>
      <c r="E320" s="19"/>
      <c r="F320" s="19"/>
      <c r="G320" s="19"/>
      <c r="H320" s="19"/>
      <c r="I320" s="19"/>
      <c r="J320" s="19"/>
      <c r="K320" s="19"/>
      <c r="L320" s="19"/>
      <c r="M320" s="19"/>
      <c r="N320" s="19"/>
      <c r="O320" s="19"/>
      <c r="P320" s="19"/>
      <c r="Q320" s="20"/>
      <c r="R320" s="20"/>
      <c r="S320" s="22"/>
      <c r="T320" s="22"/>
      <c r="U320" s="20"/>
      <c r="V320" s="20"/>
      <c r="W320" s="20"/>
      <c r="X320" s="19"/>
      <c r="Y320" s="19"/>
      <c r="Z320" s="19"/>
      <c r="AA320" s="23"/>
    </row>
    <row r="321" spans="1:27" ht="15.75" customHeight="1" x14ac:dyDescent="0.2">
      <c r="A321" s="34"/>
      <c r="B321" s="34"/>
      <c r="C321" s="34"/>
      <c r="D321" s="34"/>
      <c r="E321" s="19"/>
      <c r="F321" s="19"/>
      <c r="G321" s="19"/>
      <c r="H321" s="19"/>
      <c r="I321" s="19"/>
      <c r="J321" s="19"/>
      <c r="K321" s="19"/>
      <c r="L321" s="19"/>
      <c r="M321" s="19"/>
      <c r="N321" s="19"/>
      <c r="O321" s="19"/>
      <c r="P321" s="19"/>
      <c r="Q321" s="20"/>
      <c r="R321" s="20"/>
      <c r="S321" s="22"/>
      <c r="T321" s="22"/>
      <c r="U321" s="20"/>
      <c r="V321" s="20"/>
      <c r="W321" s="20"/>
      <c r="X321" s="19"/>
      <c r="Y321" s="19"/>
      <c r="Z321" s="19"/>
      <c r="AA321" s="23"/>
    </row>
    <row r="322" spans="1:27" ht="15.75" customHeight="1" x14ac:dyDescent="0.2">
      <c r="A322" s="34"/>
      <c r="B322" s="34"/>
      <c r="C322" s="34"/>
      <c r="D322" s="34"/>
      <c r="E322" s="19"/>
      <c r="F322" s="19"/>
      <c r="G322" s="19"/>
      <c r="H322" s="19"/>
      <c r="I322" s="19"/>
      <c r="J322" s="19"/>
      <c r="K322" s="19"/>
      <c r="L322" s="19"/>
      <c r="M322" s="19"/>
      <c r="N322" s="19"/>
      <c r="O322" s="19"/>
      <c r="P322" s="19"/>
      <c r="Q322" s="20"/>
      <c r="R322" s="20"/>
      <c r="S322" s="22"/>
      <c r="T322" s="22"/>
      <c r="U322" s="20"/>
      <c r="V322" s="20"/>
      <c r="W322" s="20"/>
      <c r="X322" s="19"/>
      <c r="Y322" s="19"/>
      <c r="Z322" s="19"/>
      <c r="AA322" s="23"/>
    </row>
    <row r="323" spans="1:27" ht="15.75" customHeight="1" x14ac:dyDescent="0.2">
      <c r="A323" s="34"/>
      <c r="B323" s="34"/>
      <c r="C323" s="34"/>
      <c r="D323" s="34"/>
      <c r="E323" s="19"/>
      <c r="F323" s="19"/>
      <c r="G323" s="19"/>
      <c r="H323" s="19"/>
      <c r="I323" s="19"/>
      <c r="J323" s="19"/>
      <c r="K323" s="19"/>
      <c r="L323" s="19"/>
      <c r="M323" s="19"/>
      <c r="N323" s="19"/>
      <c r="O323" s="19"/>
      <c r="P323" s="19"/>
      <c r="Q323" s="20"/>
      <c r="R323" s="20"/>
      <c r="S323" s="22"/>
      <c r="T323" s="22"/>
      <c r="U323" s="20"/>
      <c r="V323" s="20"/>
      <c r="W323" s="20"/>
      <c r="X323" s="19"/>
      <c r="Y323" s="19"/>
      <c r="Z323" s="19"/>
      <c r="AA323" s="23"/>
    </row>
    <row r="324" spans="1:27" ht="15.75" customHeight="1" x14ac:dyDescent="0.2">
      <c r="A324" s="34"/>
      <c r="B324" s="34"/>
      <c r="C324" s="34"/>
      <c r="D324" s="34"/>
      <c r="E324" s="19"/>
      <c r="F324" s="19"/>
      <c r="G324" s="19"/>
      <c r="H324" s="19"/>
      <c r="I324" s="19"/>
      <c r="J324" s="19"/>
      <c r="K324" s="19"/>
      <c r="L324" s="19"/>
      <c r="M324" s="19"/>
      <c r="N324" s="19"/>
      <c r="O324" s="19"/>
      <c r="P324" s="19"/>
      <c r="Q324" s="20"/>
      <c r="R324" s="20"/>
      <c r="S324" s="22"/>
      <c r="T324" s="22"/>
      <c r="U324" s="20"/>
      <c r="V324" s="20"/>
      <c r="W324" s="20"/>
      <c r="X324" s="19"/>
      <c r="Y324" s="19"/>
      <c r="Z324" s="19"/>
      <c r="AA324" s="23"/>
    </row>
    <row r="325" spans="1:27" ht="15.75" customHeight="1" x14ac:dyDescent="0.2">
      <c r="A325" s="34"/>
      <c r="B325" s="34"/>
      <c r="C325" s="34"/>
      <c r="D325" s="34"/>
      <c r="E325" s="19"/>
      <c r="F325" s="19"/>
      <c r="G325" s="19"/>
      <c r="H325" s="19"/>
      <c r="I325" s="19"/>
      <c r="J325" s="19"/>
      <c r="K325" s="19"/>
      <c r="L325" s="19"/>
      <c r="M325" s="19"/>
      <c r="N325" s="19"/>
      <c r="O325" s="19"/>
      <c r="P325" s="19"/>
      <c r="Q325" s="20"/>
      <c r="R325" s="20"/>
      <c r="S325" s="22"/>
      <c r="T325" s="22"/>
      <c r="U325" s="20"/>
      <c r="V325" s="20"/>
      <c r="W325" s="20"/>
      <c r="X325" s="19"/>
      <c r="Y325" s="19"/>
      <c r="Z325" s="19"/>
      <c r="AA325" s="23"/>
    </row>
    <row r="326" spans="1:27" ht="15.75" customHeight="1" x14ac:dyDescent="0.2">
      <c r="A326" s="34"/>
      <c r="B326" s="34"/>
      <c r="C326" s="34"/>
      <c r="D326" s="34"/>
      <c r="E326" s="19"/>
      <c r="F326" s="19"/>
      <c r="G326" s="19"/>
      <c r="H326" s="19"/>
      <c r="I326" s="19"/>
      <c r="J326" s="19"/>
      <c r="K326" s="19"/>
      <c r="L326" s="19"/>
      <c r="M326" s="19"/>
      <c r="N326" s="19"/>
      <c r="O326" s="19"/>
      <c r="P326" s="19"/>
      <c r="Q326" s="20"/>
      <c r="R326" s="20"/>
      <c r="S326" s="22"/>
      <c r="T326" s="22"/>
      <c r="U326" s="20"/>
      <c r="V326" s="20"/>
      <c r="W326" s="20"/>
      <c r="X326" s="19"/>
      <c r="Y326" s="19"/>
      <c r="Z326" s="19"/>
      <c r="AA326" s="23"/>
    </row>
    <row r="327" spans="1:27" ht="15.75" customHeight="1" x14ac:dyDescent="0.2">
      <c r="A327" s="34"/>
      <c r="B327" s="34"/>
      <c r="C327" s="34"/>
      <c r="D327" s="34"/>
      <c r="E327" s="19"/>
      <c r="F327" s="19"/>
      <c r="G327" s="19"/>
      <c r="H327" s="19"/>
      <c r="I327" s="19"/>
      <c r="J327" s="19"/>
      <c r="K327" s="19"/>
      <c r="L327" s="19"/>
      <c r="M327" s="19"/>
      <c r="N327" s="19"/>
      <c r="O327" s="19"/>
      <c r="P327" s="19"/>
      <c r="Q327" s="20"/>
      <c r="R327" s="20"/>
      <c r="S327" s="22"/>
      <c r="T327" s="22"/>
      <c r="U327" s="20"/>
      <c r="V327" s="20"/>
      <c r="W327" s="20"/>
      <c r="X327" s="19"/>
      <c r="Y327" s="19"/>
      <c r="Z327" s="19"/>
      <c r="AA327" s="23"/>
    </row>
    <row r="328" spans="1:27" ht="15.75" customHeight="1" x14ac:dyDescent="0.2">
      <c r="A328" s="34"/>
      <c r="B328" s="34"/>
      <c r="C328" s="34"/>
      <c r="D328" s="34"/>
      <c r="E328" s="19"/>
      <c r="F328" s="19"/>
      <c r="G328" s="19"/>
      <c r="H328" s="19"/>
      <c r="I328" s="19"/>
      <c r="J328" s="19"/>
      <c r="K328" s="19"/>
      <c r="L328" s="19"/>
      <c r="M328" s="19"/>
      <c r="N328" s="19"/>
      <c r="O328" s="19"/>
      <c r="P328" s="19"/>
      <c r="Q328" s="20"/>
      <c r="R328" s="20"/>
      <c r="S328" s="22"/>
      <c r="T328" s="22"/>
      <c r="U328" s="20"/>
      <c r="V328" s="20"/>
      <c r="W328" s="20"/>
      <c r="X328" s="19"/>
      <c r="Y328" s="19"/>
      <c r="Z328" s="19"/>
      <c r="AA328" s="23"/>
    </row>
    <row r="329" spans="1:27" ht="15.75" customHeight="1" x14ac:dyDescent="0.2">
      <c r="A329" s="34"/>
      <c r="B329" s="34"/>
      <c r="C329" s="34"/>
      <c r="D329" s="34"/>
      <c r="E329" s="19"/>
      <c r="F329" s="19"/>
      <c r="G329" s="19"/>
      <c r="H329" s="19"/>
      <c r="I329" s="19"/>
      <c r="J329" s="19"/>
      <c r="K329" s="19"/>
      <c r="L329" s="19"/>
      <c r="M329" s="19"/>
      <c r="N329" s="19"/>
      <c r="O329" s="19"/>
      <c r="P329" s="19"/>
      <c r="Q329" s="20"/>
      <c r="R329" s="20"/>
      <c r="S329" s="22"/>
      <c r="T329" s="22"/>
      <c r="U329" s="20"/>
      <c r="V329" s="20"/>
      <c r="W329" s="20"/>
      <c r="X329" s="19"/>
      <c r="Y329" s="19"/>
      <c r="Z329" s="19"/>
      <c r="AA329" s="23"/>
    </row>
    <row r="330" spans="1:27" ht="15.75" customHeight="1" x14ac:dyDescent="0.2">
      <c r="A330" s="34"/>
      <c r="B330" s="34"/>
      <c r="C330" s="34"/>
      <c r="D330" s="34"/>
      <c r="E330" s="19"/>
      <c r="F330" s="19"/>
      <c r="G330" s="19"/>
      <c r="H330" s="19"/>
      <c r="I330" s="19"/>
      <c r="J330" s="19"/>
      <c r="K330" s="19"/>
      <c r="L330" s="19"/>
      <c r="M330" s="19"/>
      <c r="N330" s="19"/>
      <c r="O330" s="19"/>
      <c r="P330" s="19"/>
      <c r="Q330" s="20"/>
      <c r="R330" s="20"/>
      <c r="S330" s="22"/>
      <c r="T330" s="22"/>
      <c r="U330" s="20"/>
      <c r="V330" s="20"/>
      <c r="W330" s="20"/>
      <c r="X330" s="19"/>
      <c r="Y330" s="19"/>
      <c r="Z330" s="19"/>
      <c r="AA330" s="23"/>
    </row>
    <row r="331" spans="1:27" ht="15.75" customHeight="1" x14ac:dyDescent="0.2">
      <c r="A331" s="34"/>
      <c r="B331" s="34"/>
      <c r="C331" s="34"/>
      <c r="D331" s="34"/>
      <c r="E331" s="19"/>
      <c r="F331" s="19"/>
      <c r="G331" s="19"/>
      <c r="H331" s="19"/>
      <c r="I331" s="19"/>
      <c r="J331" s="19"/>
      <c r="K331" s="19"/>
      <c r="L331" s="19"/>
      <c r="M331" s="19"/>
      <c r="N331" s="19"/>
      <c r="O331" s="19"/>
      <c r="P331" s="19"/>
      <c r="Q331" s="20"/>
      <c r="R331" s="20"/>
      <c r="S331" s="22"/>
      <c r="T331" s="22"/>
      <c r="U331" s="20"/>
      <c r="V331" s="20"/>
      <c r="W331" s="20"/>
      <c r="X331" s="19"/>
      <c r="Y331" s="19"/>
      <c r="Z331" s="19"/>
      <c r="AA331" s="23"/>
    </row>
    <row r="332" spans="1:27" ht="15.75" customHeight="1" x14ac:dyDescent="0.2">
      <c r="A332" s="34"/>
      <c r="B332" s="34"/>
      <c r="C332" s="34"/>
      <c r="D332" s="34"/>
      <c r="E332" s="19"/>
      <c r="F332" s="19"/>
      <c r="G332" s="19"/>
      <c r="H332" s="19"/>
      <c r="I332" s="19"/>
      <c r="J332" s="19"/>
      <c r="K332" s="19"/>
      <c r="L332" s="19"/>
      <c r="M332" s="19"/>
      <c r="N332" s="19"/>
      <c r="O332" s="19"/>
      <c r="P332" s="19"/>
      <c r="Q332" s="20"/>
      <c r="R332" s="20"/>
      <c r="S332" s="22"/>
      <c r="T332" s="22"/>
      <c r="U332" s="20"/>
      <c r="V332" s="20"/>
      <c r="W332" s="20"/>
      <c r="X332" s="19"/>
      <c r="Y332" s="19"/>
      <c r="Z332" s="19"/>
      <c r="AA332" s="23"/>
    </row>
    <row r="333" spans="1:27" ht="15.75" customHeight="1" x14ac:dyDescent="0.2">
      <c r="A333" s="34"/>
      <c r="B333" s="34"/>
      <c r="C333" s="34"/>
      <c r="D333" s="34"/>
      <c r="E333" s="19"/>
      <c r="F333" s="19"/>
      <c r="G333" s="19"/>
      <c r="H333" s="19"/>
      <c r="I333" s="19"/>
      <c r="J333" s="19"/>
      <c r="K333" s="19"/>
      <c r="L333" s="19"/>
      <c r="M333" s="19"/>
      <c r="N333" s="19"/>
      <c r="O333" s="19"/>
      <c r="P333" s="19"/>
      <c r="Q333" s="20"/>
      <c r="R333" s="20"/>
      <c r="S333" s="22"/>
      <c r="T333" s="22"/>
      <c r="U333" s="20"/>
      <c r="V333" s="20"/>
      <c r="W333" s="20"/>
      <c r="X333" s="19"/>
      <c r="Y333" s="19"/>
      <c r="Z333" s="19"/>
      <c r="AA333" s="23"/>
    </row>
    <row r="334" spans="1:27" ht="15.75" customHeight="1" x14ac:dyDescent="0.2">
      <c r="A334" s="34"/>
      <c r="B334" s="34"/>
      <c r="C334" s="34"/>
      <c r="D334" s="34"/>
      <c r="E334" s="19"/>
      <c r="F334" s="19"/>
      <c r="G334" s="19"/>
      <c r="H334" s="19"/>
      <c r="I334" s="19"/>
      <c r="J334" s="19"/>
      <c r="K334" s="19"/>
      <c r="L334" s="19"/>
      <c r="M334" s="19"/>
      <c r="N334" s="19"/>
      <c r="O334" s="19"/>
      <c r="P334" s="19"/>
      <c r="Q334" s="20"/>
      <c r="R334" s="20"/>
      <c r="S334" s="22"/>
      <c r="T334" s="22"/>
      <c r="U334" s="20"/>
      <c r="V334" s="20"/>
      <c r="W334" s="20"/>
      <c r="X334" s="19"/>
      <c r="Y334" s="19"/>
      <c r="Z334" s="19"/>
      <c r="AA334" s="23"/>
    </row>
    <row r="335" spans="1:27" ht="15.75" customHeight="1" x14ac:dyDescent="0.2">
      <c r="A335" s="34"/>
      <c r="B335" s="34"/>
      <c r="C335" s="34"/>
      <c r="D335" s="34"/>
      <c r="E335" s="19"/>
      <c r="F335" s="19"/>
      <c r="G335" s="19"/>
      <c r="H335" s="19"/>
      <c r="I335" s="19"/>
      <c r="J335" s="19"/>
      <c r="K335" s="19"/>
      <c r="L335" s="19"/>
      <c r="M335" s="19"/>
      <c r="N335" s="19"/>
      <c r="O335" s="19"/>
      <c r="P335" s="19"/>
      <c r="Q335" s="20"/>
      <c r="R335" s="20"/>
      <c r="S335" s="22"/>
      <c r="T335" s="22"/>
      <c r="U335" s="20"/>
      <c r="V335" s="20"/>
      <c r="W335" s="20"/>
      <c r="X335" s="19"/>
      <c r="Y335" s="19"/>
      <c r="Z335" s="19"/>
      <c r="AA335" s="23"/>
    </row>
    <row r="336" spans="1:27" ht="15.75" customHeight="1" x14ac:dyDescent="0.2">
      <c r="A336" s="34"/>
      <c r="B336" s="34"/>
      <c r="C336" s="34"/>
      <c r="D336" s="34"/>
      <c r="E336" s="19"/>
      <c r="F336" s="19"/>
      <c r="G336" s="19"/>
      <c r="H336" s="19"/>
      <c r="I336" s="19"/>
      <c r="J336" s="19"/>
      <c r="K336" s="19"/>
      <c r="L336" s="19"/>
      <c r="M336" s="19"/>
      <c r="N336" s="19"/>
      <c r="O336" s="19"/>
      <c r="P336" s="19"/>
      <c r="Q336" s="20"/>
      <c r="R336" s="20"/>
      <c r="S336" s="22"/>
      <c r="T336" s="22"/>
      <c r="U336" s="20"/>
      <c r="V336" s="20"/>
      <c r="W336" s="20"/>
      <c r="X336" s="19"/>
      <c r="Y336" s="19"/>
      <c r="Z336" s="19"/>
      <c r="AA336" s="23"/>
    </row>
    <row r="337" spans="1:27" ht="15.75" customHeight="1" x14ac:dyDescent="0.2">
      <c r="A337" s="34"/>
      <c r="B337" s="34"/>
      <c r="C337" s="34"/>
      <c r="D337" s="34"/>
      <c r="E337" s="19"/>
      <c r="F337" s="19"/>
      <c r="G337" s="19"/>
      <c r="H337" s="19"/>
      <c r="I337" s="19"/>
      <c r="J337" s="19"/>
      <c r="K337" s="19"/>
      <c r="L337" s="19"/>
      <c r="M337" s="19"/>
      <c r="N337" s="19"/>
      <c r="O337" s="19"/>
      <c r="P337" s="19"/>
      <c r="Q337" s="20"/>
      <c r="R337" s="20"/>
      <c r="S337" s="22"/>
      <c r="T337" s="22"/>
      <c r="U337" s="20"/>
      <c r="V337" s="20"/>
      <c r="W337" s="20"/>
      <c r="X337" s="19"/>
      <c r="Y337" s="19"/>
      <c r="Z337" s="19"/>
      <c r="AA337" s="23"/>
    </row>
    <row r="338" spans="1:27" ht="15.75" customHeight="1" x14ac:dyDescent="0.2">
      <c r="A338" s="34"/>
      <c r="B338" s="34"/>
      <c r="C338" s="34"/>
      <c r="D338" s="34"/>
      <c r="E338" s="19"/>
      <c r="F338" s="19"/>
      <c r="G338" s="19"/>
      <c r="H338" s="19"/>
      <c r="I338" s="19"/>
      <c r="J338" s="19"/>
      <c r="K338" s="19"/>
      <c r="L338" s="19"/>
      <c r="M338" s="19"/>
      <c r="N338" s="19"/>
      <c r="O338" s="19"/>
      <c r="P338" s="19"/>
      <c r="Q338" s="20"/>
      <c r="R338" s="20"/>
      <c r="S338" s="22"/>
      <c r="T338" s="22"/>
      <c r="U338" s="20"/>
      <c r="V338" s="20"/>
      <c r="W338" s="20"/>
      <c r="X338" s="19"/>
      <c r="Y338" s="19"/>
      <c r="Z338" s="19"/>
      <c r="AA338" s="23"/>
    </row>
    <row r="339" spans="1:27" ht="15.75" customHeight="1" x14ac:dyDescent="0.2">
      <c r="A339" s="34"/>
      <c r="B339" s="34"/>
      <c r="C339" s="34"/>
      <c r="D339" s="34"/>
      <c r="E339" s="19"/>
      <c r="F339" s="19"/>
      <c r="G339" s="19"/>
      <c r="H339" s="19"/>
      <c r="I339" s="19"/>
      <c r="J339" s="19"/>
      <c r="K339" s="19"/>
      <c r="L339" s="19"/>
      <c r="M339" s="19"/>
      <c r="N339" s="19"/>
      <c r="O339" s="19"/>
      <c r="P339" s="19"/>
      <c r="Q339" s="20"/>
      <c r="R339" s="20"/>
      <c r="S339" s="22"/>
      <c r="T339" s="22"/>
      <c r="U339" s="20"/>
      <c r="V339" s="20"/>
      <c r="W339" s="20"/>
      <c r="X339" s="19"/>
      <c r="Y339" s="19"/>
      <c r="Z339" s="19"/>
      <c r="AA339" s="23"/>
    </row>
    <row r="340" spans="1:27" ht="15.75" customHeight="1" x14ac:dyDescent="0.2">
      <c r="A340" s="34"/>
      <c r="B340" s="34"/>
      <c r="C340" s="34"/>
      <c r="D340" s="34"/>
      <c r="E340" s="19"/>
      <c r="F340" s="19"/>
      <c r="G340" s="19"/>
      <c r="H340" s="19"/>
      <c r="I340" s="19"/>
      <c r="J340" s="19"/>
      <c r="K340" s="19"/>
      <c r="L340" s="19"/>
      <c r="M340" s="19"/>
      <c r="N340" s="19"/>
      <c r="O340" s="19"/>
      <c r="P340" s="19"/>
      <c r="Q340" s="20"/>
      <c r="R340" s="20"/>
      <c r="S340" s="22"/>
      <c r="T340" s="22"/>
      <c r="U340" s="20"/>
      <c r="V340" s="20"/>
      <c r="W340" s="20"/>
      <c r="X340" s="19"/>
      <c r="Y340" s="19"/>
      <c r="Z340" s="19"/>
      <c r="AA340" s="23"/>
    </row>
    <row r="341" spans="1:27" ht="15.75" customHeight="1" x14ac:dyDescent="0.2">
      <c r="A341" s="34"/>
      <c r="B341" s="34"/>
      <c r="C341" s="34"/>
      <c r="D341" s="34"/>
      <c r="E341" s="19"/>
      <c r="F341" s="19"/>
      <c r="G341" s="19"/>
      <c r="H341" s="19"/>
      <c r="I341" s="19"/>
      <c r="J341" s="19"/>
      <c r="K341" s="19"/>
      <c r="L341" s="19"/>
      <c r="M341" s="19"/>
      <c r="N341" s="19"/>
      <c r="O341" s="19"/>
      <c r="P341" s="19"/>
      <c r="Q341" s="20"/>
      <c r="R341" s="20"/>
      <c r="S341" s="22"/>
      <c r="T341" s="22"/>
      <c r="U341" s="20"/>
      <c r="V341" s="20"/>
      <c r="W341" s="20"/>
      <c r="X341" s="19"/>
      <c r="Y341" s="19"/>
      <c r="Z341" s="19"/>
      <c r="AA341" s="23"/>
    </row>
    <row r="342" spans="1:27" ht="15.75" customHeight="1" x14ac:dyDescent="0.2">
      <c r="A342" s="34"/>
      <c r="B342" s="34"/>
      <c r="C342" s="34"/>
      <c r="D342" s="34"/>
      <c r="E342" s="19"/>
      <c r="F342" s="19"/>
      <c r="G342" s="19"/>
      <c r="H342" s="19"/>
      <c r="I342" s="19"/>
      <c r="J342" s="19"/>
      <c r="K342" s="19"/>
      <c r="L342" s="19"/>
      <c r="M342" s="19"/>
      <c r="N342" s="19"/>
      <c r="O342" s="19"/>
      <c r="P342" s="19"/>
      <c r="Q342" s="20"/>
      <c r="R342" s="20"/>
      <c r="S342" s="22"/>
      <c r="T342" s="22"/>
      <c r="U342" s="20"/>
      <c r="V342" s="20"/>
      <c r="W342" s="20"/>
      <c r="X342" s="19"/>
      <c r="Y342" s="19"/>
      <c r="Z342" s="19"/>
      <c r="AA342" s="23"/>
    </row>
    <row r="343" spans="1:27" ht="15.75" customHeight="1" x14ac:dyDescent="0.2">
      <c r="A343" s="34"/>
      <c r="B343" s="34"/>
      <c r="C343" s="34"/>
      <c r="D343" s="34"/>
      <c r="E343" s="19"/>
      <c r="F343" s="19"/>
      <c r="G343" s="19"/>
      <c r="H343" s="19"/>
      <c r="I343" s="19"/>
      <c r="J343" s="19"/>
      <c r="K343" s="19"/>
      <c r="L343" s="19"/>
      <c r="M343" s="19"/>
      <c r="N343" s="19"/>
      <c r="O343" s="19"/>
      <c r="P343" s="19"/>
      <c r="Q343" s="20"/>
      <c r="R343" s="20"/>
      <c r="S343" s="22"/>
      <c r="T343" s="22"/>
      <c r="U343" s="20"/>
      <c r="V343" s="20"/>
      <c r="W343" s="20"/>
      <c r="X343" s="19"/>
      <c r="Y343" s="19"/>
      <c r="Z343" s="19"/>
      <c r="AA343" s="23"/>
    </row>
    <row r="344" spans="1:27" ht="15.75" customHeight="1" x14ac:dyDescent="0.2">
      <c r="A344" s="34"/>
      <c r="B344" s="34"/>
      <c r="C344" s="34"/>
      <c r="D344" s="34"/>
      <c r="E344" s="19"/>
      <c r="F344" s="19"/>
      <c r="G344" s="19"/>
      <c r="H344" s="19"/>
      <c r="I344" s="19"/>
      <c r="J344" s="19"/>
      <c r="K344" s="19"/>
      <c r="L344" s="19"/>
      <c r="M344" s="19"/>
      <c r="N344" s="19"/>
      <c r="O344" s="19"/>
      <c r="P344" s="19"/>
      <c r="Q344" s="20"/>
      <c r="R344" s="20"/>
      <c r="S344" s="22"/>
      <c r="T344" s="22"/>
      <c r="U344" s="20"/>
      <c r="V344" s="20"/>
      <c r="W344" s="20"/>
      <c r="X344" s="19"/>
      <c r="Y344" s="19"/>
      <c r="Z344" s="19"/>
      <c r="AA344" s="23"/>
    </row>
    <row r="345" spans="1:27" ht="15.75" customHeight="1" x14ac:dyDescent="0.2">
      <c r="A345" s="34"/>
      <c r="B345" s="34"/>
      <c r="C345" s="34"/>
      <c r="D345" s="34"/>
      <c r="E345" s="19"/>
      <c r="F345" s="19"/>
      <c r="G345" s="19"/>
      <c r="H345" s="19"/>
      <c r="I345" s="19"/>
      <c r="J345" s="19"/>
      <c r="K345" s="19"/>
      <c r="L345" s="19"/>
      <c r="M345" s="19"/>
      <c r="N345" s="19"/>
      <c r="O345" s="19"/>
      <c r="P345" s="19"/>
      <c r="Q345" s="20"/>
      <c r="R345" s="20"/>
      <c r="S345" s="22"/>
      <c r="T345" s="22"/>
      <c r="U345" s="20"/>
      <c r="V345" s="20"/>
      <c r="W345" s="20"/>
      <c r="X345" s="19"/>
      <c r="Y345" s="19"/>
      <c r="Z345" s="19"/>
      <c r="AA345" s="23"/>
    </row>
    <row r="346" spans="1:27" ht="15.75" customHeight="1" x14ac:dyDescent="0.2">
      <c r="A346" s="34"/>
      <c r="B346" s="34"/>
      <c r="C346" s="34"/>
      <c r="D346" s="34"/>
      <c r="E346" s="19"/>
      <c r="F346" s="19"/>
      <c r="G346" s="19"/>
      <c r="H346" s="19"/>
      <c r="I346" s="19"/>
      <c r="J346" s="19"/>
      <c r="K346" s="19"/>
      <c r="L346" s="19"/>
      <c r="M346" s="19"/>
      <c r="N346" s="19"/>
      <c r="O346" s="19"/>
      <c r="P346" s="19"/>
      <c r="Q346" s="20"/>
      <c r="R346" s="20"/>
      <c r="S346" s="22"/>
      <c r="T346" s="22"/>
      <c r="U346" s="20"/>
      <c r="V346" s="20"/>
      <c r="W346" s="20"/>
      <c r="X346" s="19"/>
      <c r="Y346" s="19"/>
      <c r="Z346" s="19"/>
      <c r="AA346" s="23"/>
    </row>
    <row r="347" spans="1:27" ht="15.75" customHeight="1" x14ac:dyDescent="0.2">
      <c r="A347" s="34"/>
      <c r="B347" s="34"/>
      <c r="C347" s="34"/>
      <c r="D347" s="34"/>
      <c r="E347" s="19"/>
      <c r="F347" s="19"/>
      <c r="G347" s="19"/>
      <c r="H347" s="19"/>
      <c r="I347" s="19"/>
      <c r="J347" s="19"/>
      <c r="K347" s="19"/>
      <c r="L347" s="19"/>
      <c r="M347" s="19"/>
      <c r="N347" s="19"/>
      <c r="O347" s="19"/>
      <c r="P347" s="19"/>
      <c r="Q347" s="20"/>
      <c r="R347" s="20"/>
      <c r="S347" s="22"/>
      <c r="T347" s="22"/>
      <c r="U347" s="20"/>
      <c r="V347" s="20"/>
      <c r="W347" s="20"/>
      <c r="X347" s="19"/>
      <c r="Y347" s="19"/>
      <c r="Z347" s="19"/>
      <c r="AA347" s="23"/>
    </row>
    <row r="348" spans="1:27" ht="15.75" customHeight="1" x14ac:dyDescent="0.2">
      <c r="A348" s="34"/>
      <c r="B348" s="34"/>
      <c r="C348" s="34"/>
      <c r="D348" s="34"/>
      <c r="E348" s="19"/>
      <c r="F348" s="19"/>
      <c r="G348" s="19"/>
      <c r="H348" s="19"/>
      <c r="I348" s="19"/>
      <c r="J348" s="19"/>
      <c r="K348" s="19"/>
      <c r="L348" s="19"/>
      <c r="M348" s="19"/>
      <c r="N348" s="19"/>
      <c r="O348" s="19"/>
      <c r="P348" s="19"/>
      <c r="Q348" s="20"/>
      <c r="R348" s="20"/>
      <c r="S348" s="22"/>
      <c r="T348" s="22"/>
      <c r="U348" s="20"/>
      <c r="V348" s="20"/>
      <c r="W348" s="20"/>
      <c r="X348" s="19"/>
      <c r="Y348" s="19"/>
      <c r="Z348" s="19"/>
      <c r="AA348" s="23"/>
    </row>
    <row r="349" spans="1:27" ht="15.75" customHeight="1" x14ac:dyDescent="0.2">
      <c r="A349" s="34"/>
      <c r="B349" s="34"/>
      <c r="C349" s="34"/>
      <c r="D349" s="34"/>
      <c r="E349" s="19"/>
      <c r="F349" s="19"/>
      <c r="G349" s="19"/>
      <c r="H349" s="19"/>
      <c r="I349" s="19"/>
      <c r="J349" s="19"/>
      <c r="K349" s="19"/>
      <c r="L349" s="19"/>
      <c r="M349" s="19"/>
      <c r="N349" s="19"/>
      <c r="O349" s="19"/>
      <c r="P349" s="19"/>
      <c r="Q349" s="20"/>
      <c r="R349" s="20"/>
      <c r="S349" s="22"/>
      <c r="T349" s="22"/>
      <c r="U349" s="20"/>
      <c r="V349" s="20"/>
      <c r="W349" s="20"/>
      <c r="X349" s="19"/>
      <c r="Y349" s="19"/>
      <c r="Z349" s="19"/>
      <c r="AA349" s="23"/>
    </row>
    <row r="350" spans="1:27" ht="15.75" customHeight="1" x14ac:dyDescent="0.2">
      <c r="A350" s="34"/>
      <c r="B350" s="34"/>
      <c r="C350" s="34"/>
      <c r="D350" s="34"/>
      <c r="E350" s="19"/>
      <c r="F350" s="19"/>
      <c r="G350" s="19"/>
      <c r="H350" s="19"/>
      <c r="I350" s="19"/>
      <c r="J350" s="19"/>
      <c r="K350" s="19"/>
      <c r="L350" s="19"/>
      <c r="M350" s="19"/>
      <c r="N350" s="19"/>
      <c r="O350" s="19"/>
      <c r="P350" s="19"/>
      <c r="Q350" s="20"/>
      <c r="R350" s="20"/>
      <c r="S350" s="22"/>
      <c r="T350" s="22"/>
      <c r="U350" s="20"/>
      <c r="V350" s="20"/>
      <c r="W350" s="20"/>
      <c r="X350" s="19"/>
      <c r="Y350" s="19"/>
      <c r="Z350" s="19"/>
      <c r="AA350" s="23"/>
    </row>
    <row r="351" spans="1:27" ht="15.75" customHeight="1" x14ac:dyDescent="0.2">
      <c r="A351" s="34"/>
      <c r="B351" s="34"/>
      <c r="C351" s="34"/>
      <c r="D351" s="34"/>
      <c r="E351" s="19"/>
      <c r="F351" s="19"/>
      <c r="G351" s="19"/>
      <c r="H351" s="19"/>
      <c r="I351" s="19"/>
      <c r="J351" s="19"/>
      <c r="K351" s="19"/>
      <c r="L351" s="19"/>
      <c r="M351" s="19"/>
      <c r="N351" s="19"/>
      <c r="O351" s="19"/>
      <c r="P351" s="19"/>
      <c r="Q351" s="20"/>
      <c r="R351" s="20"/>
      <c r="S351" s="22"/>
      <c r="T351" s="22"/>
      <c r="U351" s="20"/>
      <c r="V351" s="20"/>
      <c r="W351" s="20"/>
      <c r="X351" s="19"/>
      <c r="Y351" s="19"/>
      <c r="Z351" s="19"/>
      <c r="AA351" s="23"/>
    </row>
    <row r="352" spans="1:27" ht="15.75" customHeight="1" x14ac:dyDescent="0.2">
      <c r="A352" s="34"/>
      <c r="B352" s="34"/>
      <c r="C352" s="34"/>
      <c r="D352" s="34"/>
      <c r="E352" s="19"/>
      <c r="F352" s="19"/>
      <c r="G352" s="19"/>
      <c r="H352" s="19"/>
      <c r="I352" s="19"/>
      <c r="J352" s="19"/>
      <c r="K352" s="19"/>
      <c r="L352" s="19"/>
      <c r="M352" s="19"/>
      <c r="N352" s="19"/>
      <c r="O352" s="19"/>
      <c r="P352" s="19"/>
      <c r="Q352" s="20"/>
      <c r="R352" s="20"/>
      <c r="S352" s="22"/>
      <c r="T352" s="22"/>
      <c r="U352" s="20"/>
      <c r="V352" s="20"/>
      <c r="W352" s="20"/>
      <c r="X352" s="19"/>
      <c r="Y352" s="19"/>
      <c r="Z352" s="19"/>
      <c r="AA352" s="23"/>
    </row>
    <row r="353" spans="1:27" ht="15.75" customHeight="1" x14ac:dyDescent="0.2">
      <c r="A353" s="34"/>
      <c r="B353" s="34"/>
      <c r="C353" s="34"/>
      <c r="D353" s="34"/>
      <c r="E353" s="19"/>
      <c r="F353" s="19"/>
      <c r="G353" s="19"/>
      <c r="H353" s="19"/>
      <c r="I353" s="19"/>
      <c r="J353" s="19"/>
      <c r="K353" s="19"/>
      <c r="L353" s="19"/>
      <c r="M353" s="19"/>
      <c r="N353" s="19"/>
      <c r="O353" s="19"/>
      <c r="P353" s="19"/>
      <c r="Q353" s="20"/>
      <c r="R353" s="20"/>
      <c r="S353" s="22"/>
      <c r="T353" s="22"/>
      <c r="U353" s="20"/>
      <c r="V353" s="20"/>
      <c r="W353" s="20"/>
      <c r="X353" s="19"/>
      <c r="Y353" s="19"/>
      <c r="Z353" s="19"/>
      <c r="AA353" s="23"/>
    </row>
    <row r="354" spans="1:27" ht="15.75" customHeight="1" x14ac:dyDescent="0.2">
      <c r="A354" s="34"/>
      <c r="B354" s="34"/>
      <c r="C354" s="34"/>
      <c r="D354" s="34"/>
      <c r="E354" s="19"/>
      <c r="F354" s="19"/>
      <c r="G354" s="19"/>
      <c r="H354" s="19"/>
      <c r="I354" s="19"/>
      <c r="J354" s="19"/>
      <c r="K354" s="19"/>
      <c r="L354" s="19"/>
      <c r="M354" s="19"/>
      <c r="N354" s="19"/>
      <c r="O354" s="19"/>
      <c r="P354" s="19"/>
      <c r="Q354" s="20"/>
      <c r="R354" s="20"/>
      <c r="S354" s="22"/>
      <c r="T354" s="22"/>
      <c r="U354" s="20"/>
      <c r="V354" s="20"/>
      <c r="W354" s="20"/>
      <c r="X354" s="19"/>
      <c r="Y354" s="19"/>
      <c r="Z354" s="19"/>
      <c r="AA354" s="23"/>
    </row>
    <row r="355" spans="1:27" ht="15.75" customHeight="1" x14ac:dyDescent="0.2">
      <c r="A355" s="34"/>
      <c r="B355" s="34"/>
      <c r="C355" s="34"/>
      <c r="D355" s="34"/>
      <c r="E355" s="19"/>
      <c r="F355" s="19"/>
      <c r="G355" s="19"/>
      <c r="H355" s="19"/>
      <c r="I355" s="19"/>
      <c r="J355" s="19"/>
      <c r="K355" s="19"/>
      <c r="L355" s="19"/>
      <c r="M355" s="19"/>
      <c r="N355" s="19"/>
      <c r="O355" s="19"/>
      <c r="P355" s="19"/>
      <c r="Q355" s="20"/>
      <c r="R355" s="20"/>
      <c r="S355" s="22"/>
      <c r="T355" s="22"/>
      <c r="U355" s="20"/>
      <c r="V355" s="20"/>
      <c r="W355" s="20"/>
      <c r="X355" s="19"/>
      <c r="Y355" s="19"/>
      <c r="Z355" s="19"/>
      <c r="AA355" s="23"/>
    </row>
    <row r="356" spans="1:27" ht="15.75" customHeight="1" x14ac:dyDescent="0.2">
      <c r="A356" s="34"/>
      <c r="B356" s="34"/>
      <c r="C356" s="34"/>
      <c r="D356" s="34"/>
      <c r="E356" s="19"/>
      <c r="F356" s="19"/>
      <c r="G356" s="19"/>
      <c r="H356" s="19"/>
      <c r="I356" s="19"/>
      <c r="J356" s="19"/>
      <c r="K356" s="19"/>
      <c r="L356" s="19"/>
      <c r="M356" s="19"/>
      <c r="N356" s="19"/>
      <c r="O356" s="19"/>
      <c r="P356" s="19"/>
      <c r="Q356" s="20"/>
      <c r="R356" s="20"/>
      <c r="S356" s="22"/>
      <c r="T356" s="22"/>
      <c r="U356" s="20"/>
      <c r="V356" s="20"/>
      <c r="W356" s="20"/>
      <c r="X356" s="19"/>
      <c r="Y356" s="19"/>
      <c r="Z356" s="19"/>
      <c r="AA356" s="23"/>
    </row>
    <row r="357" spans="1:27" ht="15.75" customHeight="1" x14ac:dyDescent="0.2">
      <c r="A357" s="34"/>
      <c r="B357" s="34"/>
      <c r="C357" s="34"/>
      <c r="D357" s="34"/>
      <c r="E357" s="19"/>
      <c r="F357" s="19"/>
      <c r="G357" s="19"/>
      <c r="H357" s="19"/>
      <c r="I357" s="19"/>
      <c r="J357" s="19"/>
      <c r="K357" s="19"/>
      <c r="L357" s="19"/>
      <c r="M357" s="19"/>
      <c r="N357" s="19"/>
      <c r="O357" s="19"/>
      <c r="P357" s="19"/>
      <c r="Q357" s="20"/>
      <c r="R357" s="20"/>
      <c r="S357" s="22"/>
      <c r="T357" s="22"/>
      <c r="U357" s="20"/>
      <c r="V357" s="20"/>
      <c r="W357" s="20"/>
      <c r="X357" s="19"/>
      <c r="Y357" s="19"/>
      <c r="Z357" s="19"/>
      <c r="AA357" s="23"/>
    </row>
    <row r="358" spans="1:27" ht="15.75" customHeight="1" x14ac:dyDescent="0.2">
      <c r="A358" s="34"/>
      <c r="B358" s="34"/>
      <c r="C358" s="34"/>
      <c r="D358" s="34"/>
      <c r="E358" s="19"/>
      <c r="F358" s="19"/>
      <c r="G358" s="19"/>
      <c r="H358" s="19"/>
      <c r="I358" s="19"/>
      <c r="J358" s="19"/>
      <c r="K358" s="19"/>
      <c r="L358" s="19"/>
      <c r="M358" s="19"/>
      <c r="N358" s="19"/>
      <c r="O358" s="19"/>
      <c r="P358" s="19"/>
      <c r="Q358" s="20"/>
      <c r="R358" s="20"/>
      <c r="S358" s="22"/>
      <c r="T358" s="22"/>
      <c r="U358" s="20"/>
      <c r="V358" s="20"/>
      <c r="W358" s="20"/>
      <c r="X358" s="19"/>
      <c r="Y358" s="19"/>
      <c r="Z358" s="19"/>
      <c r="AA358" s="23"/>
    </row>
    <row r="359" spans="1:27" ht="15.75" customHeight="1" x14ac:dyDescent="0.2">
      <c r="A359" s="34"/>
      <c r="B359" s="34"/>
      <c r="C359" s="34"/>
      <c r="D359" s="34"/>
      <c r="E359" s="19"/>
      <c r="F359" s="19"/>
      <c r="G359" s="19"/>
      <c r="H359" s="19"/>
      <c r="I359" s="19"/>
      <c r="J359" s="19"/>
      <c r="K359" s="19"/>
      <c r="L359" s="19"/>
      <c r="M359" s="19"/>
      <c r="N359" s="19"/>
      <c r="O359" s="19"/>
      <c r="P359" s="19"/>
      <c r="Q359" s="20"/>
      <c r="R359" s="20"/>
      <c r="S359" s="22"/>
      <c r="T359" s="22"/>
      <c r="U359" s="20"/>
      <c r="V359" s="20"/>
      <c r="W359" s="20"/>
      <c r="X359" s="19"/>
      <c r="Y359" s="19"/>
      <c r="Z359" s="19"/>
      <c r="AA359" s="23"/>
    </row>
    <row r="360" spans="1:27" ht="15.75" customHeight="1" x14ac:dyDescent="0.2">
      <c r="A360" s="34"/>
      <c r="B360" s="34"/>
      <c r="C360" s="34"/>
      <c r="D360" s="34"/>
      <c r="E360" s="19"/>
      <c r="F360" s="19"/>
      <c r="G360" s="19"/>
      <c r="H360" s="19"/>
      <c r="I360" s="19"/>
      <c r="J360" s="19"/>
      <c r="K360" s="19"/>
      <c r="L360" s="19"/>
      <c r="M360" s="19"/>
      <c r="N360" s="19"/>
      <c r="O360" s="19"/>
      <c r="P360" s="19"/>
      <c r="Q360" s="20"/>
      <c r="R360" s="20"/>
      <c r="S360" s="22"/>
      <c r="T360" s="22"/>
      <c r="U360" s="20"/>
      <c r="V360" s="20"/>
      <c r="W360" s="20"/>
      <c r="X360" s="19"/>
      <c r="Y360" s="19"/>
      <c r="Z360" s="19"/>
      <c r="AA360" s="23"/>
    </row>
    <row r="361" spans="1:27" ht="15.75" customHeight="1" x14ac:dyDescent="0.2">
      <c r="A361" s="34"/>
      <c r="B361" s="34"/>
      <c r="C361" s="34"/>
      <c r="D361" s="34"/>
      <c r="E361" s="19"/>
      <c r="F361" s="19"/>
      <c r="G361" s="19"/>
      <c r="H361" s="19"/>
      <c r="I361" s="19"/>
      <c r="J361" s="19"/>
      <c r="K361" s="19"/>
      <c r="L361" s="19"/>
      <c r="M361" s="19"/>
      <c r="N361" s="19"/>
      <c r="O361" s="19"/>
      <c r="P361" s="19"/>
      <c r="Q361" s="20"/>
      <c r="R361" s="20"/>
      <c r="S361" s="22"/>
      <c r="T361" s="22"/>
      <c r="U361" s="20"/>
      <c r="V361" s="20"/>
      <c r="W361" s="20"/>
      <c r="X361" s="19"/>
      <c r="Y361" s="19"/>
      <c r="Z361" s="19"/>
      <c r="AA361" s="23"/>
    </row>
    <row r="362" spans="1:27" ht="15.75" customHeight="1" x14ac:dyDescent="0.2">
      <c r="A362" s="34"/>
      <c r="B362" s="34"/>
      <c r="C362" s="34"/>
      <c r="D362" s="34"/>
      <c r="E362" s="19"/>
      <c r="F362" s="19"/>
      <c r="G362" s="19"/>
      <c r="H362" s="19"/>
      <c r="I362" s="19"/>
      <c r="J362" s="19"/>
      <c r="K362" s="19"/>
      <c r="L362" s="19"/>
      <c r="M362" s="19"/>
      <c r="N362" s="19"/>
      <c r="O362" s="19"/>
      <c r="P362" s="19"/>
      <c r="Q362" s="20"/>
      <c r="R362" s="20"/>
      <c r="S362" s="22"/>
      <c r="T362" s="22"/>
      <c r="U362" s="20"/>
      <c r="V362" s="20"/>
      <c r="W362" s="20"/>
      <c r="X362" s="19"/>
      <c r="Y362" s="19"/>
      <c r="Z362" s="19"/>
      <c r="AA362" s="23"/>
    </row>
    <row r="363" spans="1:27" ht="15.75" customHeight="1" x14ac:dyDescent="0.2">
      <c r="A363" s="34"/>
      <c r="B363" s="34"/>
      <c r="C363" s="34"/>
      <c r="D363" s="34"/>
      <c r="E363" s="19"/>
      <c r="F363" s="19"/>
      <c r="G363" s="19"/>
      <c r="H363" s="19"/>
      <c r="I363" s="19"/>
      <c r="J363" s="19"/>
      <c r="K363" s="19"/>
      <c r="L363" s="19"/>
      <c r="M363" s="19"/>
      <c r="N363" s="19"/>
      <c r="O363" s="19"/>
      <c r="P363" s="19"/>
      <c r="Q363" s="20"/>
      <c r="R363" s="20"/>
      <c r="S363" s="22"/>
      <c r="T363" s="22"/>
      <c r="U363" s="20"/>
      <c r="V363" s="20"/>
      <c r="W363" s="20"/>
      <c r="X363" s="19"/>
      <c r="Y363" s="19"/>
      <c r="Z363" s="19"/>
      <c r="AA363" s="23"/>
    </row>
    <row r="364" spans="1:27" ht="15.75" customHeight="1" x14ac:dyDescent="0.2">
      <c r="A364" s="34"/>
      <c r="B364" s="34"/>
      <c r="C364" s="34"/>
      <c r="D364" s="34"/>
      <c r="E364" s="19"/>
      <c r="F364" s="19"/>
      <c r="G364" s="19"/>
      <c r="H364" s="19"/>
      <c r="I364" s="19"/>
      <c r="J364" s="19"/>
      <c r="K364" s="19"/>
      <c r="L364" s="19"/>
      <c r="M364" s="19"/>
      <c r="N364" s="19"/>
      <c r="O364" s="19"/>
      <c r="P364" s="19"/>
      <c r="Q364" s="20"/>
      <c r="R364" s="20"/>
      <c r="S364" s="22"/>
      <c r="T364" s="22"/>
      <c r="U364" s="20"/>
      <c r="V364" s="20"/>
      <c r="W364" s="20"/>
      <c r="X364" s="19"/>
      <c r="Y364" s="19"/>
      <c r="Z364" s="19"/>
      <c r="AA364" s="23"/>
    </row>
    <row r="365" spans="1:27" ht="15.75" customHeight="1" x14ac:dyDescent="0.2">
      <c r="A365" s="34"/>
      <c r="B365" s="34"/>
      <c r="C365" s="34"/>
      <c r="D365" s="34"/>
      <c r="E365" s="19"/>
      <c r="F365" s="19"/>
      <c r="G365" s="19"/>
      <c r="H365" s="19"/>
      <c r="I365" s="19"/>
      <c r="J365" s="19"/>
      <c r="K365" s="19"/>
      <c r="L365" s="19"/>
      <c r="M365" s="19"/>
      <c r="N365" s="19"/>
      <c r="O365" s="19"/>
      <c r="P365" s="19"/>
      <c r="Q365" s="20"/>
      <c r="R365" s="20"/>
      <c r="S365" s="22"/>
      <c r="T365" s="22"/>
      <c r="U365" s="20"/>
      <c r="V365" s="20"/>
      <c r="W365" s="20"/>
      <c r="X365" s="19"/>
      <c r="Y365" s="19"/>
      <c r="Z365" s="19"/>
      <c r="AA365" s="23"/>
    </row>
    <row r="366" spans="1:27" ht="15.75" customHeight="1" x14ac:dyDescent="0.2">
      <c r="A366" s="34"/>
      <c r="B366" s="34"/>
      <c r="C366" s="34"/>
      <c r="D366" s="34"/>
      <c r="E366" s="19"/>
      <c r="F366" s="19"/>
      <c r="G366" s="19"/>
      <c r="H366" s="19"/>
      <c r="I366" s="19"/>
      <c r="J366" s="19"/>
      <c r="K366" s="19"/>
      <c r="L366" s="19"/>
      <c r="M366" s="19"/>
      <c r="N366" s="19"/>
      <c r="O366" s="19"/>
      <c r="P366" s="19"/>
      <c r="Q366" s="20"/>
      <c r="R366" s="20"/>
      <c r="S366" s="22"/>
      <c r="T366" s="22"/>
      <c r="U366" s="20"/>
      <c r="V366" s="20"/>
      <c r="W366" s="20"/>
      <c r="X366" s="19"/>
      <c r="Y366" s="19"/>
      <c r="Z366" s="19"/>
      <c r="AA366" s="23"/>
    </row>
    <row r="367" spans="1:27" ht="15.75" customHeight="1" x14ac:dyDescent="0.2">
      <c r="A367" s="34"/>
      <c r="B367" s="34"/>
      <c r="C367" s="34"/>
      <c r="D367" s="34"/>
      <c r="E367" s="19"/>
      <c r="F367" s="19"/>
      <c r="G367" s="19"/>
      <c r="H367" s="19"/>
      <c r="I367" s="19"/>
      <c r="J367" s="19"/>
      <c r="K367" s="19"/>
      <c r="L367" s="19"/>
      <c r="M367" s="19"/>
      <c r="N367" s="19"/>
      <c r="O367" s="19"/>
      <c r="P367" s="19"/>
      <c r="Q367" s="20"/>
      <c r="R367" s="20"/>
      <c r="S367" s="22"/>
      <c r="T367" s="22"/>
      <c r="U367" s="20"/>
      <c r="V367" s="20"/>
      <c r="W367" s="20"/>
      <c r="X367" s="19"/>
      <c r="Y367" s="19"/>
      <c r="Z367" s="19"/>
      <c r="AA367" s="23"/>
    </row>
    <row r="368" spans="1:27" ht="15.75" customHeight="1" x14ac:dyDescent="0.2">
      <c r="A368" s="34"/>
      <c r="B368" s="34"/>
      <c r="C368" s="34"/>
      <c r="D368" s="34"/>
      <c r="E368" s="19"/>
      <c r="F368" s="19"/>
      <c r="G368" s="19"/>
      <c r="H368" s="19"/>
      <c r="I368" s="19"/>
      <c r="J368" s="19"/>
      <c r="K368" s="19"/>
      <c r="L368" s="19"/>
      <c r="M368" s="19"/>
      <c r="N368" s="19"/>
      <c r="O368" s="19"/>
      <c r="P368" s="19"/>
      <c r="Q368" s="20"/>
      <c r="R368" s="20"/>
      <c r="S368" s="22"/>
      <c r="T368" s="22"/>
      <c r="U368" s="20"/>
      <c r="V368" s="20"/>
      <c r="W368" s="20"/>
      <c r="X368" s="19"/>
      <c r="Y368" s="19"/>
      <c r="Z368" s="19"/>
      <c r="AA368" s="23"/>
    </row>
    <row r="369" spans="1:27" ht="15.75" customHeight="1" x14ac:dyDescent="0.2">
      <c r="A369" s="34"/>
      <c r="B369" s="34"/>
      <c r="C369" s="34"/>
      <c r="D369" s="34"/>
      <c r="E369" s="19"/>
      <c r="F369" s="19"/>
      <c r="G369" s="19"/>
      <c r="H369" s="19"/>
      <c r="I369" s="19"/>
      <c r="J369" s="19"/>
      <c r="K369" s="19"/>
      <c r="L369" s="19"/>
      <c r="M369" s="19"/>
      <c r="N369" s="19"/>
      <c r="O369" s="19"/>
      <c r="P369" s="19"/>
      <c r="Q369" s="20"/>
      <c r="R369" s="20"/>
      <c r="S369" s="22"/>
      <c r="T369" s="22"/>
      <c r="U369" s="20"/>
      <c r="V369" s="20"/>
      <c r="W369" s="20"/>
      <c r="X369" s="19"/>
      <c r="Y369" s="19"/>
      <c r="Z369" s="19"/>
      <c r="AA369" s="23"/>
    </row>
    <row r="370" spans="1:27" ht="15.75" customHeight="1" x14ac:dyDescent="0.2">
      <c r="A370" s="34"/>
      <c r="B370" s="34"/>
      <c r="C370" s="34"/>
      <c r="D370" s="34"/>
      <c r="E370" s="19"/>
      <c r="F370" s="19"/>
      <c r="G370" s="19"/>
      <c r="H370" s="19"/>
      <c r="I370" s="19"/>
      <c r="J370" s="19"/>
      <c r="K370" s="19"/>
      <c r="L370" s="19"/>
      <c r="M370" s="19"/>
      <c r="N370" s="19"/>
      <c r="O370" s="19"/>
      <c r="P370" s="19"/>
      <c r="Q370" s="20"/>
      <c r="R370" s="20"/>
      <c r="S370" s="22"/>
      <c r="T370" s="22"/>
      <c r="U370" s="20"/>
      <c r="V370" s="20"/>
      <c r="W370" s="20"/>
      <c r="X370" s="19"/>
      <c r="Y370" s="19"/>
      <c r="Z370" s="19"/>
      <c r="AA370" s="23"/>
    </row>
    <row r="371" spans="1:27" ht="15.75" customHeight="1" x14ac:dyDescent="0.2">
      <c r="A371" s="34"/>
      <c r="B371" s="34"/>
      <c r="C371" s="34"/>
      <c r="D371" s="34"/>
      <c r="E371" s="19"/>
      <c r="F371" s="19"/>
      <c r="G371" s="19"/>
      <c r="H371" s="19"/>
      <c r="I371" s="19"/>
      <c r="J371" s="19"/>
      <c r="K371" s="19"/>
      <c r="L371" s="19"/>
      <c r="M371" s="19"/>
      <c r="N371" s="19"/>
      <c r="O371" s="19"/>
      <c r="P371" s="19"/>
      <c r="Q371" s="20"/>
      <c r="R371" s="20"/>
      <c r="S371" s="22"/>
      <c r="T371" s="22"/>
      <c r="U371" s="20"/>
      <c r="V371" s="20"/>
      <c r="W371" s="20"/>
      <c r="X371" s="19"/>
      <c r="Y371" s="19"/>
      <c r="Z371" s="19"/>
      <c r="AA371" s="23"/>
    </row>
    <row r="372" spans="1:27" ht="15.75" customHeight="1" x14ac:dyDescent="0.2">
      <c r="A372" s="34"/>
      <c r="B372" s="34"/>
      <c r="C372" s="34"/>
      <c r="D372" s="34"/>
      <c r="E372" s="19"/>
      <c r="F372" s="19"/>
      <c r="G372" s="19"/>
      <c r="H372" s="19"/>
      <c r="I372" s="19"/>
      <c r="J372" s="19"/>
      <c r="K372" s="19"/>
      <c r="L372" s="19"/>
      <c r="M372" s="19"/>
      <c r="N372" s="19"/>
      <c r="O372" s="19"/>
      <c r="P372" s="19"/>
      <c r="Q372" s="20"/>
      <c r="R372" s="20"/>
      <c r="S372" s="22"/>
      <c r="T372" s="22"/>
      <c r="U372" s="20"/>
      <c r="V372" s="20"/>
      <c r="W372" s="20"/>
      <c r="X372" s="19"/>
      <c r="Y372" s="19"/>
      <c r="Z372" s="19"/>
      <c r="AA372" s="23"/>
    </row>
    <row r="373" spans="1:27" ht="15.75" customHeight="1" x14ac:dyDescent="0.2">
      <c r="A373" s="34"/>
      <c r="B373" s="34"/>
      <c r="C373" s="34"/>
      <c r="D373" s="34"/>
      <c r="E373" s="19"/>
      <c r="F373" s="19"/>
      <c r="G373" s="19"/>
      <c r="H373" s="19"/>
      <c r="I373" s="19"/>
      <c r="J373" s="19"/>
      <c r="K373" s="19"/>
      <c r="L373" s="19"/>
      <c r="M373" s="19"/>
      <c r="N373" s="19"/>
      <c r="O373" s="19"/>
      <c r="P373" s="19"/>
      <c r="Q373" s="20"/>
      <c r="R373" s="20"/>
      <c r="S373" s="22"/>
      <c r="T373" s="22"/>
      <c r="U373" s="20"/>
      <c r="V373" s="20"/>
      <c r="W373" s="20"/>
      <c r="X373" s="19"/>
      <c r="Y373" s="19"/>
      <c r="Z373" s="19"/>
      <c r="AA373" s="23"/>
    </row>
    <row r="374" spans="1:27" ht="15.75" customHeight="1" x14ac:dyDescent="0.2">
      <c r="A374" s="34"/>
      <c r="B374" s="34"/>
      <c r="C374" s="34"/>
      <c r="D374" s="34"/>
      <c r="E374" s="19"/>
      <c r="F374" s="19"/>
      <c r="G374" s="19"/>
      <c r="H374" s="19"/>
      <c r="I374" s="19"/>
      <c r="J374" s="19"/>
      <c r="K374" s="19"/>
      <c r="L374" s="19"/>
      <c r="M374" s="19"/>
      <c r="N374" s="19"/>
      <c r="O374" s="19"/>
      <c r="P374" s="19"/>
      <c r="Q374" s="20"/>
      <c r="R374" s="20"/>
      <c r="S374" s="22"/>
      <c r="T374" s="22"/>
      <c r="U374" s="20"/>
      <c r="V374" s="20"/>
      <c r="W374" s="20"/>
      <c r="X374" s="19"/>
      <c r="Y374" s="19"/>
      <c r="Z374" s="19"/>
      <c r="AA374" s="23"/>
    </row>
    <row r="375" spans="1:27" ht="15.75" customHeight="1" x14ac:dyDescent="0.2">
      <c r="A375" s="34"/>
      <c r="B375" s="34"/>
      <c r="C375" s="34"/>
      <c r="D375" s="34"/>
      <c r="E375" s="19"/>
      <c r="F375" s="19"/>
      <c r="G375" s="19"/>
      <c r="H375" s="19"/>
      <c r="I375" s="19"/>
      <c r="J375" s="19"/>
      <c r="K375" s="19"/>
      <c r="L375" s="19"/>
      <c r="M375" s="19"/>
      <c r="N375" s="19"/>
      <c r="O375" s="19"/>
      <c r="P375" s="19"/>
      <c r="Q375" s="20"/>
      <c r="R375" s="20"/>
      <c r="S375" s="22"/>
      <c r="T375" s="22"/>
      <c r="U375" s="20"/>
      <c r="V375" s="20"/>
      <c r="W375" s="20"/>
      <c r="X375" s="19"/>
      <c r="Y375" s="19"/>
      <c r="Z375" s="19"/>
      <c r="AA375" s="23"/>
    </row>
    <row r="376" spans="1:27" ht="15.75" customHeight="1" x14ac:dyDescent="0.2">
      <c r="A376" s="34"/>
      <c r="B376" s="34"/>
      <c r="C376" s="34"/>
      <c r="D376" s="34"/>
      <c r="E376" s="19"/>
      <c r="F376" s="19"/>
      <c r="G376" s="19"/>
      <c r="H376" s="19"/>
      <c r="I376" s="19"/>
      <c r="J376" s="19"/>
      <c r="K376" s="19"/>
      <c r="L376" s="19"/>
      <c r="M376" s="19"/>
      <c r="N376" s="19"/>
      <c r="O376" s="19"/>
      <c r="P376" s="19"/>
      <c r="Q376" s="20"/>
      <c r="R376" s="20"/>
      <c r="S376" s="22"/>
      <c r="T376" s="22"/>
      <c r="U376" s="20"/>
      <c r="V376" s="20"/>
      <c r="W376" s="20"/>
      <c r="X376" s="19"/>
      <c r="Y376" s="19"/>
      <c r="Z376" s="19"/>
      <c r="AA376" s="23"/>
    </row>
    <row r="377" spans="1:27" ht="15.75" customHeight="1" x14ac:dyDescent="0.2">
      <c r="A377" s="34"/>
      <c r="B377" s="34"/>
      <c r="C377" s="34"/>
      <c r="D377" s="34"/>
      <c r="E377" s="19"/>
      <c r="F377" s="19"/>
      <c r="G377" s="19"/>
      <c r="H377" s="19"/>
      <c r="I377" s="19"/>
      <c r="J377" s="19"/>
      <c r="K377" s="19"/>
      <c r="L377" s="19"/>
      <c r="M377" s="19"/>
      <c r="N377" s="19"/>
      <c r="O377" s="19"/>
      <c r="P377" s="19"/>
      <c r="Q377" s="20"/>
      <c r="R377" s="20"/>
      <c r="S377" s="22"/>
      <c r="T377" s="22"/>
      <c r="U377" s="20"/>
      <c r="V377" s="20"/>
      <c r="W377" s="20"/>
      <c r="X377" s="19"/>
      <c r="Y377" s="19"/>
      <c r="Z377" s="19"/>
      <c r="AA377" s="23"/>
    </row>
    <row r="378" spans="1:27" ht="15.75" customHeight="1" x14ac:dyDescent="0.2">
      <c r="A378" s="34"/>
      <c r="B378" s="34"/>
      <c r="C378" s="34"/>
      <c r="D378" s="34"/>
      <c r="E378" s="19"/>
      <c r="F378" s="19"/>
      <c r="G378" s="19"/>
      <c r="H378" s="19"/>
      <c r="I378" s="19"/>
      <c r="J378" s="19"/>
      <c r="K378" s="19"/>
      <c r="L378" s="19"/>
      <c r="M378" s="19"/>
      <c r="N378" s="19"/>
      <c r="O378" s="19"/>
      <c r="P378" s="19"/>
      <c r="Q378" s="20"/>
      <c r="R378" s="20"/>
      <c r="S378" s="22"/>
      <c r="T378" s="22"/>
      <c r="U378" s="20"/>
      <c r="V378" s="20"/>
      <c r="W378" s="20"/>
      <c r="X378" s="19"/>
      <c r="Y378" s="19"/>
      <c r="Z378" s="19"/>
      <c r="AA378" s="23"/>
    </row>
    <row r="379" spans="1:27" ht="15.75" customHeight="1" x14ac:dyDescent="0.2">
      <c r="A379" s="34"/>
      <c r="B379" s="34"/>
      <c r="C379" s="34"/>
      <c r="D379" s="34"/>
      <c r="E379" s="19"/>
      <c r="F379" s="19"/>
      <c r="G379" s="19"/>
      <c r="H379" s="19"/>
      <c r="I379" s="19"/>
      <c r="J379" s="19"/>
      <c r="K379" s="19"/>
      <c r="L379" s="19"/>
      <c r="M379" s="19"/>
      <c r="N379" s="19"/>
      <c r="O379" s="19"/>
      <c r="P379" s="19"/>
      <c r="Q379" s="20"/>
      <c r="R379" s="20"/>
      <c r="S379" s="22"/>
      <c r="T379" s="22"/>
      <c r="U379" s="20"/>
      <c r="V379" s="20"/>
      <c r="W379" s="20"/>
      <c r="X379" s="19"/>
      <c r="Y379" s="19"/>
      <c r="Z379" s="19"/>
      <c r="AA379" s="23"/>
    </row>
    <row r="380" spans="1:27" ht="15.75" customHeight="1" x14ac:dyDescent="0.2">
      <c r="A380" s="34"/>
      <c r="B380" s="34"/>
      <c r="C380" s="34"/>
      <c r="D380" s="34"/>
      <c r="E380" s="19"/>
      <c r="F380" s="19"/>
      <c r="G380" s="19"/>
      <c r="H380" s="19"/>
      <c r="I380" s="19"/>
      <c r="J380" s="19"/>
      <c r="K380" s="19"/>
      <c r="L380" s="19"/>
      <c r="M380" s="19"/>
      <c r="N380" s="19"/>
      <c r="O380" s="19"/>
      <c r="P380" s="19"/>
      <c r="Q380" s="20"/>
      <c r="R380" s="20"/>
      <c r="S380" s="22"/>
      <c r="T380" s="22"/>
      <c r="U380" s="20"/>
      <c r="V380" s="20"/>
      <c r="W380" s="20"/>
      <c r="X380" s="19"/>
      <c r="Y380" s="19"/>
      <c r="Z380" s="19"/>
      <c r="AA380" s="23"/>
    </row>
    <row r="381" spans="1:27" ht="15.75" customHeight="1" x14ac:dyDescent="0.2">
      <c r="A381" s="34"/>
      <c r="B381" s="34"/>
      <c r="C381" s="34"/>
      <c r="D381" s="34"/>
      <c r="E381" s="19"/>
      <c r="F381" s="19"/>
      <c r="G381" s="19"/>
      <c r="H381" s="19"/>
      <c r="I381" s="19"/>
      <c r="J381" s="19"/>
      <c r="K381" s="19"/>
      <c r="L381" s="19"/>
      <c r="M381" s="19"/>
      <c r="N381" s="19"/>
      <c r="O381" s="19"/>
      <c r="P381" s="19"/>
      <c r="Q381" s="20"/>
      <c r="R381" s="20"/>
      <c r="S381" s="22"/>
      <c r="T381" s="22"/>
      <c r="U381" s="20"/>
      <c r="V381" s="20"/>
      <c r="W381" s="20"/>
      <c r="X381" s="19"/>
      <c r="Y381" s="19"/>
      <c r="Z381" s="19"/>
      <c r="AA381" s="23"/>
    </row>
    <row r="382" spans="1:27" ht="15.75" customHeight="1" x14ac:dyDescent="0.2">
      <c r="A382" s="34"/>
      <c r="B382" s="34"/>
      <c r="C382" s="34"/>
      <c r="D382" s="34"/>
      <c r="E382" s="19"/>
      <c r="F382" s="19"/>
      <c r="G382" s="19"/>
      <c r="H382" s="19"/>
      <c r="I382" s="19"/>
      <c r="J382" s="19"/>
      <c r="K382" s="19"/>
      <c r="L382" s="19"/>
      <c r="M382" s="19"/>
      <c r="N382" s="19"/>
      <c r="O382" s="19"/>
      <c r="P382" s="19"/>
      <c r="Q382" s="20"/>
      <c r="R382" s="20"/>
      <c r="S382" s="22"/>
      <c r="T382" s="22"/>
      <c r="U382" s="20"/>
      <c r="V382" s="20"/>
      <c r="W382" s="20"/>
      <c r="X382" s="19"/>
      <c r="Y382" s="19"/>
      <c r="Z382" s="19"/>
      <c r="AA382" s="23"/>
    </row>
    <row r="383" spans="1:27" ht="15.75" customHeight="1" x14ac:dyDescent="0.2">
      <c r="A383" s="34"/>
      <c r="B383" s="34"/>
      <c r="C383" s="34"/>
      <c r="D383" s="34"/>
      <c r="E383" s="19"/>
      <c r="F383" s="19"/>
      <c r="G383" s="19"/>
      <c r="H383" s="19"/>
      <c r="I383" s="19"/>
      <c r="J383" s="19"/>
      <c r="K383" s="19"/>
      <c r="L383" s="19"/>
      <c r="M383" s="19"/>
      <c r="N383" s="19"/>
      <c r="O383" s="19"/>
      <c r="P383" s="19"/>
      <c r="Q383" s="20"/>
      <c r="R383" s="20"/>
      <c r="S383" s="22"/>
      <c r="T383" s="22"/>
      <c r="U383" s="20"/>
      <c r="V383" s="20"/>
      <c r="W383" s="20"/>
      <c r="X383" s="19"/>
      <c r="Y383" s="19"/>
      <c r="Z383" s="19"/>
      <c r="AA383" s="23"/>
    </row>
    <row r="384" spans="1:27" ht="15.75" customHeight="1" x14ac:dyDescent="0.2">
      <c r="A384" s="34"/>
      <c r="B384" s="34"/>
      <c r="C384" s="34"/>
      <c r="D384" s="34"/>
      <c r="E384" s="19"/>
      <c r="F384" s="19"/>
      <c r="G384" s="19"/>
      <c r="H384" s="19"/>
      <c r="I384" s="19"/>
      <c r="J384" s="19"/>
      <c r="K384" s="19"/>
      <c r="L384" s="19"/>
      <c r="M384" s="19"/>
      <c r="N384" s="19"/>
      <c r="O384" s="19"/>
      <c r="P384" s="19"/>
      <c r="Q384" s="20"/>
      <c r="R384" s="20"/>
      <c r="S384" s="22"/>
      <c r="T384" s="22"/>
      <c r="U384" s="20"/>
      <c r="V384" s="20"/>
      <c r="W384" s="20"/>
      <c r="X384" s="19"/>
      <c r="Y384" s="19"/>
      <c r="Z384" s="19"/>
      <c r="AA384" s="23"/>
    </row>
    <row r="385" spans="1:27" ht="15.75" customHeight="1" x14ac:dyDescent="0.2">
      <c r="A385" s="34"/>
      <c r="B385" s="34"/>
      <c r="C385" s="34"/>
      <c r="D385" s="34"/>
      <c r="E385" s="19"/>
      <c r="F385" s="19"/>
      <c r="G385" s="19"/>
      <c r="H385" s="19"/>
      <c r="I385" s="19"/>
      <c r="J385" s="19"/>
      <c r="K385" s="19"/>
      <c r="L385" s="19"/>
      <c r="M385" s="19"/>
      <c r="N385" s="19"/>
      <c r="O385" s="19"/>
      <c r="P385" s="19"/>
      <c r="Q385" s="20"/>
      <c r="R385" s="20"/>
      <c r="S385" s="22"/>
      <c r="T385" s="22"/>
      <c r="U385" s="20"/>
      <c r="V385" s="20"/>
      <c r="W385" s="20"/>
      <c r="X385" s="19"/>
      <c r="Y385" s="19"/>
      <c r="Z385" s="19"/>
      <c r="AA385" s="23"/>
    </row>
    <row r="386" spans="1:27" ht="15.75" customHeight="1" x14ac:dyDescent="0.2">
      <c r="A386" s="34"/>
      <c r="B386" s="34"/>
      <c r="C386" s="34"/>
      <c r="D386" s="34"/>
      <c r="E386" s="19"/>
      <c r="F386" s="19"/>
      <c r="G386" s="19"/>
      <c r="H386" s="19"/>
      <c r="I386" s="19"/>
      <c r="J386" s="19"/>
      <c r="K386" s="19"/>
      <c r="L386" s="19"/>
      <c r="M386" s="19"/>
      <c r="N386" s="19"/>
      <c r="O386" s="19"/>
      <c r="P386" s="19"/>
      <c r="Q386" s="20"/>
      <c r="R386" s="20"/>
      <c r="S386" s="22"/>
      <c r="T386" s="22"/>
      <c r="U386" s="20"/>
      <c r="V386" s="20"/>
      <c r="W386" s="20"/>
      <c r="X386" s="19"/>
      <c r="Y386" s="19"/>
      <c r="Z386" s="19"/>
      <c r="AA386" s="23"/>
    </row>
    <row r="387" spans="1:27" ht="15.75" customHeight="1" x14ac:dyDescent="0.2">
      <c r="A387" s="34"/>
      <c r="B387" s="34"/>
      <c r="C387" s="34"/>
      <c r="D387" s="34"/>
      <c r="E387" s="19"/>
      <c r="F387" s="19"/>
      <c r="G387" s="19"/>
      <c r="H387" s="19"/>
      <c r="I387" s="19"/>
      <c r="J387" s="19"/>
      <c r="K387" s="19"/>
      <c r="L387" s="19"/>
      <c r="M387" s="19"/>
      <c r="N387" s="19"/>
      <c r="O387" s="19"/>
      <c r="P387" s="19"/>
      <c r="Q387" s="20"/>
      <c r="R387" s="20"/>
      <c r="S387" s="22"/>
      <c r="T387" s="22"/>
      <c r="U387" s="20"/>
      <c r="V387" s="20"/>
      <c r="W387" s="20"/>
      <c r="X387" s="19"/>
      <c r="Y387" s="19"/>
      <c r="Z387" s="19"/>
      <c r="AA387" s="23"/>
    </row>
    <row r="388" spans="1:27" ht="15.75" customHeight="1" x14ac:dyDescent="0.2">
      <c r="A388" s="34"/>
      <c r="B388" s="34"/>
      <c r="C388" s="34"/>
      <c r="D388" s="34"/>
      <c r="E388" s="19"/>
      <c r="F388" s="19"/>
      <c r="G388" s="19"/>
      <c r="H388" s="19"/>
      <c r="I388" s="19"/>
      <c r="J388" s="19"/>
      <c r="K388" s="19"/>
      <c r="L388" s="19"/>
      <c r="M388" s="19"/>
      <c r="N388" s="19"/>
      <c r="O388" s="19"/>
      <c r="P388" s="19"/>
      <c r="Q388" s="20"/>
      <c r="R388" s="20"/>
      <c r="S388" s="22"/>
      <c r="T388" s="22"/>
      <c r="U388" s="20"/>
      <c r="V388" s="20"/>
      <c r="W388" s="20"/>
      <c r="X388" s="19"/>
      <c r="Y388" s="19"/>
      <c r="Z388" s="19"/>
      <c r="AA388" s="23"/>
    </row>
    <row r="389" spans="1:27" ht="15.75" customHeight="1" x14ac:dyDescent="0.2">
      <c r="A389" s="34"/>
      <c r="B389" s="34"/>
      <c r="C389" s="34"/>
      <c r="D389" s="34"/>
      <c r="E389" s="19"/>
      <c r="F389" s="19"/>
      <c r="G389" s="19"/>
      <c r="H389" s="19"/>
      <c r="I389" s="19"/>
      <c r="J389" s="19"/>
      <c r="K389" s="19"/>
      <c r="L389" s="19"/>
      <c r="M389" s="19"/>
      <c r="N389" s="19"/>
      <c r="O389" s="19"/>
      <c r="P389" s="19"/>
      <c r="Q389" s="20"/>
      <c r="R389" s="20"/>
      <c r="S389" s="22"/>
      <c r="T389" s="22"/>
      <c r="U389" s="20"/>
      <c r="V389" s="20"/>
      <c r="W389" s="20"/>
      <c r="X389" s="19"/>
      <c r="Y389" s="19"/>
      <c r="Z389" s="19"/>
      <c r="AA389" s="23"/>
    </row>
    <row r="390" spans="1:27" ht="15.75" customHeight="1" x14ac:dyDescent="0.2">
      <c r="A390" s="34"/>
      <c r="B390" s="34"/>
      <c r="C390" s="34"/>
      <c r="D390" s="34"/>
      <c r="E390" s="19"/>
      <c r="F390" s="19"/>
      <c r="G390" s="19"/>
      <c r="H390" s="19"/>
      <c r="I390" s="19"/>
      <c r="J390" s="19"/>
      <c r="K390" s="19"/>
      <c r="L390" s="19"/>
      <c r="M390" s="19"/>
      <c r="N390" s="19"/>
      <c r="O390" s="19"/>
      <c r="P390" s="19"/>
      <c r="Q390" s="20"/>
      <c r="R390" s="20"/>
      <c r="S390" s="22"/>
      <c r="T390" s="22"/>
      <c r="U390" s="20"/>
      <c r="V390" s="20"/>
      <c r="W390" s="20"/>
      <c r="X390" s="19"/>
      <c r="Y390" s="19"/>
      <c r="Z390" s="19"/>
      <c r="AA390" s="23"/>
    </row>
    <row r="391" spans="1:27" ht="15.75" customHeight="1" x14ac:dyDescent="0.2">
      <c r="A391" s="34"/>
      <c r="B391" s="34"/>
      <c r="C391" s="34"/>
      <c r="D391" s="34"/>
      <c r="E391" s="19"/>
      <c r="F391" s="19"/>
      <c r="G391" s="19"/>
      <c r="H391" s="19"/>
      <c r="I391" s="19"/>
      <c r="J391" s="19"/>
      <c r="K391" s="19"/>
      <c r="L391" s="19"/>
      <c r="M391" s="19"/>
      <c r="N391" s="19"/>
      <c r="O391" s="19"/>
      <c r="P391" s="19"/>
      <c r="Q391" s="20"/>
      <c r="R391" s="20"/>
      <c r="S391" s="22"/>
      <c r="T391" s="22"/>
      <c r="U391" s="20"/>
      <c r="V391" s="20"/>
      <c r="W391" s="20"/>
      <c r="X391" s="19"/>
      <c r="Y391" s="19"/>
      <c r="Z391" s="19"/>
      <c r="AA391" s="23"/>
    </row>
    <row r="392" spans="1:27" ht="15.75" customHeight="1" x14ac:dyDescent="0.2">
      <c r="A392" s="34"/>
      <c r="B392" s="34"/>
      <c r="C392" s="34"/>
      <c r="D392" s="34"/>
      <c r="E392" s="19"/>
      <c r="F392" s="19"/>
      <c r="G392" s="19"/>
      <c r="H392" s="19"/>
      <c r="I392" s="19"/>
      <c r="J392" s="19"/>
      <c r="K392" s="19"/>
      <c r="L392" s="19"/>
      <c r="M392" s="19"/>
      <c r="N392" s="19"/>
      <c r="O392" s="19"/>
      <c r="P392" s="19"/>
      <c r="Q392" s="20"/>
      <c r="R392" s="20"/>
      <c r="S392" s="22"/>
      <c r="T392" s="22"/>
      <c r="U392" s="20"/>
      <c r="V392" s="20"/>
      <c r="W392" s="20"/>
      <c r="X392" s="19"/>
      <c r="Y392" s="19"/>
      <c r="Z392" s="19"/>
      <c r="AA392" s="23"/>
    </row>
    <row r="393" spans="1:27" ht="15.75" customHeight="1" x14ac:dyDescent="0.2">
      <c r="A393" s="34"/>
      <c r="B393" s="34"/>
      <c r="C393" s="34"/>
      <c r="D393" s="34"/>
      <c r="E393" s="19"/>
      <c r="F393" s="19"/>
      <c r="G393" s="19"/>
      <c r="H393" s="19"/>
      <c r="I393" s="19"/>
      <c r="J393" s="19"/>
      <c r="K393" s="19"/>
      <c r="L393" s="19"/>
      <c r="M393" s="19"/>
      <c r="N393" s="19"/>
      <c r="O393" s="19"/>
      <c r="P393" s="19"/>
      <c r="Q393" s="20"/>
      <c r="R393" s="20"/>
      <c r="S393" s="22"/>
      <c r="T393" s="22"/>
      <c r="U393" s="20"/>
      <c r="V393" s="20"/>
      <c r="W393" s="20"/>
      <c r="X393" s="19"/>
      <c r="Y393" s="19"/>
      <c r="Z393" s="19"/>
      <c r="AA393" s="23"/>
    </row>
    <row r="394" spans="1:27" ht="15.75" customHeight="1" x14ac:dyDescent="0.2">
      <c r="A394" s="34"/>
      <c r="B394" s="34"/>
      <c r="C394" s="34"/>
      <c r="D394" s="34"/>
      <c r="E394" s="19"/>
      <c r="F394" s="19"/>
      <c r="G394" s="19"/>
      <c r="H394" s="19"/>
      <c r="I394" s="19"/>
      <c r="J394" s="19"/>
      <c r="K394" s="19"/>
      <c r="L394" s="19"/>
      <c r="M394" s="19"/>
      <c r="N394" s="19"/>
      <c r="O394" s="19"/>
      <c r="P394" s="19"/>
      <c r="Q394" s="20"/>
      <c r="R394" s="20"/>
      <c r="S394" s="22"/>
      <c r="T394" s="22"/>
      <c r="U394" s="20"/>
      <c r="V394" s="20"/>
      <c r="W394" s="20"/>
      <c r="X394" s="19"/>
      <c r="Y394" s="19"/>
      <c r="Z394" s="19"/>
      <c r="AA394" s="23"/>
    </row>
    <row r="395" spans="1:27" ht="15.75" customHeight="1" x14ac:dyDescent="0.2">
      <c r="A395" s="34"/>
      <c r="B395" s="34"/>
      <c r="C395" s="34"/>
      <c r="D395" s="34"/>
      <c r="E395" s="19"/>
      <c r="F395" s="19"/>
      <c r="G395" s="19"/>
      <c r="H395" s="19"/>
      <c r="I395" s="19"/>
      <c r="J395" s="19"/>
      <c r="K395" s="19"/>
      <c r="L395" s="19"/>
      <c r="M395" s="19"/>
      <c r="N395" s="19"/>
      <c r="O395" s="19"/>
      <c r="P395" s="19"/>
      <c r="Q395" s="20"/>
      <c r="R395" s="20"/>
      <c r="S395" s="22"/>
      <c r="T395" s="22"/>
      <c r="U395" s="20"/>
      <c r="V395" s="20"/>
      <c r="W395" s="20"/>
      <c r="X395" s="19"/>
      <c r="Y395" s="19"/>
      <c r="Z395" s="19"/>
      <c r="AA395" s="23"/>
    </row>
    <row r="396" spans="1:27" ht="15.75" customHeight="1" x14ac:dyDescent="0.2">
      <c r="A396" s="34"/>
      <c r="B396" s="34"/>
      <c r="C396" s="34"/>
      <c r="D396" s="34"/>
      <c r="E396" s="19"/>
      <c r="F396" s="19"/>
      <c r="G396" s="19"/>
      <c r="H396" s="19"/>
      <c r="I396" s="19"/>
      <c r="J396" s="19"/>
      <c r="K396" s="19"/>
      <c r="L396" s="19"/>
      <c r="M396" s="19"/>
      <c r="N396" s="19"/>
      <c r="O396" s="19"/>
      <c r="P396" s="19"/>
      <c r="Q396" s="20"/>
      <c r="R396" s="20"/>
      <c r="S396" s="22"/>
      <c r="T396" s="22"/>
      <c r="U396" s="20"/>
      <c r="V396" s="20"/>
      <c r="W396" s="20"/>
      <c r="X396" s="19"/>
      <c r="Y396" s="19"/>
      <c r="Z396" s="19"/>
      <c r="AA396" s="23"/>
    </row>
    <row r="397" spans="1:27" ht="15.75" customHeight="1" x14ac:dyDescent="0.2">
      <c r="A397" s="34"/>
      <c r="B397" s="34"/>
      <c r="C397" s="34"/>
      <c r="D397" s="34"/>
      <c r="E397" s="19"/>
      <c r="F397" s="19"/>
      <c r="G397" s="19"/>
      <c r="H397" s="19"/>
      <c r="I397" s="19"/>
      <c r="J397" s="19"/>
      <c r="K397" s="19"/>
      <c r="L397" s="19"/>
      <c r="M397" s="19"/>
      <c r="N397" s="19"/>
      <c r="O397" s="19"/>
      <c r="P397" s="19"/>
      <c r="Q397" s="20"/>
      <c r="R397" s="20"/>
      <c r="S397" s="22"/>
      <c r="T397" s="22"/>
      <c r="U397" s="20"/>
      <c r="V397" s="20"/>
      <c r="W397" s="20"/>
      <c r="X397" s="19"/>
      <c r="Y397" s="19"/>
      <c r="Z397" s="19"/>
      <c r="AA397" s="23"/>
    </row>
    <row r="398" spans="1:27" ht="15.75" customHeight="1" x14ac:dyDescent="0.2">
      <c r="A398" s="34"/>
      <c r="B398" s="34"/>
      <c r="C398" s="34"/>
      <c r="D398" s="34"/>
      <c r="E398" s="19"/>
      <c r="F398" s="19"/>
      <c r="G398" s="19"/>
      <c r="H398" s="19"/>
      <c r="I398" s="19"/>
      <c r="J398" s="19"/>
      <c r="K398" s="19"/>
      <c r="L398" s="19"/>
      <c r="M398" s="19"/>
      <c r="N398" s="19"/>
      <c r="O398" s="19"/>
      <c r="P398" s="19"/>
      <c r="Q398" s="20"/>
      <c r="R398" s="20"/>
      <c r="S398" s="22"/>
      <c r="T398" s="22"/>
      <c r="U398" s="20"/>
      <c r="V398" s="20"/>
      <c r="W398" s="20"/>
      <c r="X398" s="19"/>
      <c r="Y398" s="19"/>
      <c r="Z398" s="19"/>
      <c r="AA398" s="23"/>
    </row>
    <row r="399" spans="1:27" ht="15.75" customHeight="1" x14ac:dyDescent="0.2">
      <c r="A399" s="34"/>
      <c r="B399" s="34"/>
      <c r="C399" s="34"/>
      <c r="D399" s="34"/>
      <c r="E399" s="19"/>
      <c r="F399" s="19"/>
      <c r="G399" s="19"/>
      <c r="H399" s="19"/>
      <c r="I399" s="19"/>
      <c r="J399" s="19"/>
      <c r="K399" s="19"/>
      <c r="L399" s="19"/>
      <c r="M399" s="19"/>
      <c r="N399" s="19"/>
      <c r="O399" s="19"/>
      <c r="P399" s="19"/>
      <c r="Q399" s="20"/>
      <c r="R399" s="20"/>
      <c r="S399" s="22"/>
      <c r="T399" s="22"/>
      <c r="U399" s="20"/>
      <c r="V399" s="20"/>
      <c r="W399" s="20"/>
      <c r="X399" s="19"/>
      <c r="Y399" s="19"/>
      <c r="Z399" s="19"/>
      <c r="AA399" s="23"/>
    </row>
    <row r="400" spans="1:27" ht="15.75" customHeight="1" x14ac:dyDescent="0.2">
      <c r="A400" s="34"/>
      <c r="B400" s="34"/>
      <c r="C400" s="34"/>
      <c r="D400" s="34"/>
      <c r="E400" s="19"/>
      <c r="F400" s="19"/>
      <c r="G400" s="19"/>
      <c r="H400" s="19"/>
      <c r="I400" s="19"/>
      <c r="J400" s="19"/>
      <c r="K400" s="19"/>
      <c r="L400" s="19"/>
      <c r="M400" s="19"/>
      <c r="N400" s="19"/>
      <c r="O400" s="19"/>
      <c r="P400" s="19"/>
      <c r="Q400" s="20"/>
      <c r="R400" s="20"/>
      <c r="S400" s="22"/>
      <c r="T400" s="22"/>
      <c r="U400" s="20"/>
      <c r="V400" s="20"/>
      <c r="W400" s="20"/>
      <c r="X400" s="19"/>
      <c r="Y400" s="19"/>
      <c r="Z400" s="19"/>
      <c r="AA400" s="23"/>
    </row>
    <row r="401" spans="1:27" ht="15.75" customHeight="1" x14ac:dyDescent="0.2">
      <c r="A401" s="34"/>
      <c r="B401" s="34"/>
      <c r="C401" s="34"/>
      <c r="D401" s="34"/>
      <c r="E401" s="19"/>
      <c r="F401" s="19"/>
      <c r="G401" s="19"/>
      <c r="H401" s="19"/>
      <c r="I401" s="19"/>
      <c r="J401" s="19"/>
      <c r="K401" s="19"/>
      <c r="L401" s="19"/>
      <c r="M401" s="19"/>
      <c r="N401" s="19"/>
      <c r="O401" s="19"/>
      <c r="P401" s="19"/>
      <c r="Q401" s="20"/>
      <c r="R401" s="20"/>
      <c r="S401" s="22"/>
      <c r="T401" s="22"/>
      <c r="U401" s="20"/>
      <c r="V401" s="20"/>
      <c r="W401" s="20"/>
      <c r="X401" s="19"/>
      <c r="Y401" s="19"/>
      <c r="Z401" s="19"/>
      <c r="AA401" s="23"/>
    </row>
    <row r="402" spans="1:27" ht="15.75" customHeight="1" x14ac:dyDescent="0.2">
      <c r="A402" s="34"/>
      <c r="B402" s="34"/>
      <c r="C402" s="34"/>
      <c r="D402" s="34"/>
      <c r="E402" s="19"/>
      <c r="F402" s="19"/>
      <c r="G402" s="19"/>
      <c r="H402" s="19"/>
      <c r="I402" s="19"/>
      <c r="J402" s="19"/>
      <c r="K402" s="19"/>
      <c r="L402" s="19"/>
      <c r="M402" s="19"/>
      <c r="N402" s="19"/>
      <c r="O402" s="19"/>
      <c r="P402" s="19"/>
      <c r="Q402" s="20"/>
      <c r="R402" s="20"/>
      <c r="S402" s="22"/>
      <c r="T402" s="22"/>
      <c r="U402" s="20"/>
      <c r="V402" s="20"/>
      <c r="W402" s="20"/>
      <c r="X402" s="19"/>
      <c r="Y402" s="19"/>
      <c r="Z402" s="19"/>
      <c r="AA402" s="23"/>
    </row>
    <row r="403" spans="1:27" ht="15.75" customHeight="1" x14ac:dyDescent="0.2">
      <c r="A403" s="34"/>
      <c r="B403" s="34"/>
      <c r="C403" s="34"/>
      <c r="D403" s="34"/>
      <c r="E403" s="19"/>
      <c r="F403" s="19"/>
      <c r="G403" s="19"/>
      <c r="H403" s="19"/>
      <c r="I403" s="19"/>
      <c r="J403" s="19"/>
      <c r="K403" s="19"/>
      <c r="L403" s="19"/>
      <c r="M403" s="19"/>
      <c r="N403" s="19"/>
      <c r="O403" s="19"/>
      <c r="P403" s="19"/>
      <c r="Q403" s="20"/>
      <c r="R403" s="20"/>
      <c r="S403" s="22"/>
      <c r="T403" s="22"/>
      <c r="U403" s="20"/>
      <c r="V403" s="20"/>
      <c r="W403" s="20"/>
      <c r="X403" s="19"/>
      <c r="Y403" s="19"/>
      <c r="Z403" s="19"/>
      <c r="AA403" s="23"/>
    </row>
    <row r="404" spans="1:27" ht="15.75" customHeight="1" x14ac:dyDescent="0.2">
      <c r="A404" s="34"/>
      <c r="B404" s="34"/>
      <c r="C404" s="34"/>
      <c r="D404" s="34"/>
      <c r="E404" s="19"/>
      <c r="F404" s="19"/>
      <c r="G404" s="19"/>
      <c r="H404" s="19"/>
      <c r="I404" s="19"/>
      <c r="J404" s="19"/>
      <c r="K404" s="19"/>
      <c r="L404" s="19"/>
      <c r="M404" s="19"/>
      <c r="N404" s="19"/>
      <c r="O404" s="19"/>
      <c r="P404" s="19"/>
      <c r="Q404" s="20"/>
      <c r="R404" s="20"/>
      <c r="S404" s="22"/>
      <c r="T404" s="22"/>
      <c r="U404" s="20"/>
      <c r="V404" s="20"/>
      <c r="W404" s="20"/>
      <c r="X404" s="19"/>
      <c r="Y404" s="19"/>
      <c r="Z404" s="19"/>
      <c r="AA404" s="23"/>
    </row>
    <row r="405" spans="1:27" ht="15.75" customHeight="1" x14ac:dyDescent="0.2">
      <c r="A405" s="34"/>
      <c r="B405" s="34"/>
      <c r="C405" s="34"/>
      <c r="D405" s="34"/>
      <c r="E405" s="19"/>
      <c r="F405" s="19"/>
      <c r="G405" s="19"/>
      <c r="H405" s="19"/>
      <c r="I405" s="19"/>
      <c r="J405" s="19"/>
      <c r="K405" s="19"/>
      <c r="L405" s="19"/>
      <c r="M405" s="19"/>
      <c r="N405" s="19"/>
      <c r="O405" s="19"/>
      <c r="P405" s="19"/>
      <c r="Q405" s="20"/>
      <c r="R405" s="20"/>
      <c r="S405" s="22"/>
      <c r="T405" s="22"/>
      <c r="U405" s="20"/>
      <c r="V405" s="20"/>
      <c r="W405" s="20"/>
      <c r="X405" s="19"/>
      <c r="Y405" s="19"/>
      <c r="Z405" s="19"/>
      <c r="AA405" s="23"/>
    </row>
    <row r="406" spans="1:27" ht="15.75" customHeight="1" x14ac:dyDescent="0.2">
      <c r="A406" s="34"/>
      <c r="B406" s="34"/>
      <c r="C406" s="34"/>
      <c r="D406" s="34"/>
      <c r="E406" s="19"/>
      <c r="F406" s="19"/>
      <c r="G406" s="19"/>
      <c r="H406" s="19"/>
      <c r="I406" s="19"/>
      <c r="J406" s="19"/>
      <c r="K406" s="19"/>
      <c r="L406" s="19"/>
      <c r="M406" s="19"/>
      <c r="N406" s="19"/>
      <c r="O406" s="19"/>
      <c r="P406" s="19"/>
      <c r="Q406" s="20"/>
      <c r="R406" s="20"/>
      <c r="S406" s="22"/>
      <c r="T406" s="22"/>
      <c r="U406" s="20"/>
      <c r="V406" s="20"/>
      <c r="W406" s="20"/>
      <c r="X406" s="19"/>
      <c r="Y406" s="19"/>
      <c r="Z406" s="19"/>
      <c r="AA406" s="23"/>
    </row>
    <row r="407" spans="1:27" ht="15.75" customHeight="1" x14ac:dyDescent="0.2">
      <c r="A407" s="34"/>
      <c r="B407" s="34"/>
      <c r="C407" s="34"/>
      <c r="D407" s="34"/>
      <c r="E407" s="19"/>
      <c r="F407" s="19"/>
      <c r="G407" s="19"/>
      <c r="H407" s="19"/>
      <c r="I407" s="19"/>
      <c r="J407" s="19"/>
      <c r="K407" s="19"/>
      <c r="L407" s="19"/>
      <c r="M407" s="19"/>
      <c r="N407" s="19"/>
      <c r="O407" s="19"/>
      <c r="P407" s="19"/>
      <c r="Q407" s="20"/>
      <c r="R407" s="20"/>
      <c r="S407" s="22"/>
      <c r="T407" s="22"/>
      <c r="U407" s="20"/>
      <c r="V407" s="20"/>
      <c r="W407" s="20"/>
      <c r="X407" s="19"/>
      <c r="Y407" s="19"/>
      <c r="Z407" s="19"/>
      <c r="AA407" s="23"/>
    </row>
    <row r="408" spans="1:27" ht="15.75" customHeight="1" x14ac:dyDescent="0.2">
      <c r="A408" s="34"/>
      <c r="B408" s="34"/>
      <c r="C408" s="34"/>
      <c r="D408" s="34"/>
      <c r="E408" s="19"/>
      <c r="F408" s="19"/>
      <c r="G408" s="19"/>
      <c r="H408" s="19"/>
      <c r="I408" s="19"/>
      <c r="J408" s="19"/>
      <c r="K408" s="19"/>
      <c r="L408" s="19"/>
      <c r="M408" s="19"/>
      <c r="N408" s="19"/>
      <c r="O408" s="19"/>
      <c r="P408" s="19"/>
      <c r="Q408" s="20"/>
      <c r="R408" s="20"/>
      <c r="S408" s="22"/>
      <c r="T408" s="22"/>
      <c r="U408" s="20"/>
      <c r="V408" s="20"/>
      <c r="W408" s="20"/>
      <c r="X408" s="19"/>
      <c r="Y408" s="19"/>
      <c r="Z408" s="19"/>
      <c r="AA408" s="23"/>
    </row>
    <row r="409" spans="1:27" ht="15.75" customHeight="1" x14ac:dyDescent="0.2">
      <c r="A409" s="34"/>
      <c r="B409" s="34"/>
      <c r="C409" s="34"/>
      <c r="D409" s="34"/>
      <c r="E409" s="19"/>
      <c r="F409" s="19"/>
      <c r="G409" s="19"/>
      <c r="H409" s="19"/>
      <c r="I409" s="19"/>
      <c r="J409" s="19"/>
      <c r="K409" s="19"/>
      <c r="L409" s="19"/>
      <c r="M409" s="19"/>
      <c r="N409" s="19"/>
      <c r="O409" s="19"/>
      <c r="P409" s="19"/>
      <c r="Q409" s="20"/>
      <c r="R409" s="20"/>
      <c r="S409" s="22"/>
      <c r="T409" s="22"/>
      <c r="U409" s="20"/>
      <c r="V409" s="20"/>
      <c r="W409" s="20"/>
      <c r="X409" s="19"/>
      <c r="Y409" s="19"/>
      <c r="Z409" s="19"/>
      <c r="AA409" s="23"/>
    </row>
    <row r="410" spans="1:27" ht="15.75" customHeight="1" x14ac:dyDescent="0.2">
      <c r="A410" s="34"/>
      <c r="B410" s="34"/>
      <c r="C410" s="34"/>
      <c r="D410" s="34"/>
      <c r="E410" s="19"/>
      <c r="F410" s="19"/>
      <c r="G410" s="19"/>
      <c r="H410" s="19"/>
      <c r="I410" s="19"/>
      <c r="J410" s="19"/>
      <c r="K410" s="19"/>
      <c r="L410" s="19"/>
      <c r="M410" s="19"/>
      <c r="N410" s="19"/>
      <c r="O410" s="19"/>
      <c r="P410" s="19"/>
      <c r="Q410" s="20"/>
      <c r="R410" s="20"/>
      <c r="S410" s="22"/>
      <c r="T410" s="22"/>
      <c r="U410" s="20"/>
      <c r="V410" s="20"/>
      <c r="W410" s="20"/>
      <c r="X410" s="19"/>
      <c r="Y410" s="19"/>
      <c r="Z410" s="19"/>
      <c r="AA410" s="23"/>
    </row>
    <row r="411" spans="1:27" ht="15.75" customHeight="1" x14ac:dyDescent="0.2">
      <c r="A411" s="34"/>
      <c r="B411" s="34"/>
      <c r="C411" s="34"/>
      <c r="D411" s="34"/>
      <c r="E411" s="19"/>
      <c r="F411" s="19"/>
      <c r="G411" s="19"/>
      <c r="H411" s="19"/>
      <c r="I411" s="19"/>
      <c r="J411" s="19"/>
      <c r="K411" s="19"/>
      <c r="L411" s="19"/>
      <c r="M411" s="19"/>
      <c r="N411" s="19"/>
      <c r="O411" s="19"/>
      <c r="P411" s="19"/>
      <c r="Q411" s="20"/>
      <c r="R411" s="20"/>
      <c r="S411" s="22"/>
      <c r="T411" s="22"/>
      <c r="U411" s="20"/>
      <c r="V411" s="20"/>
      <c r="W411" s="20"/>
      <c r="X411" s="19"/>
      <c r="Y411" s="19"/>
      <c r="Z411" s="19"/>
      <c r="AA411" s="23"/>
    </row>
    <row r="412" spans="1:27" ht="15.75" customHeight="1" x14ac:dyDescent="0.2">
      <c r="A412" s="34"/>
      <c r="B412" s="34"/>
      <c r="C412" s="34"/>
      <c r="D412" s="34"/>
      <c r="E412" s="19"/>
      <c r="F412" s="19"/>
      <c r="G412" s="19"/>
      <c r="H412" s="19"/>
      <c r="I412" s="19"/>
      <c r="J412" s="19"/>
      <c r="K412" s="19"/>
      <c r="L412" s="19"/>
      <c r="M412" s="19"/>
      <c r="N412" s="19"/>
      <c r="O412" s="19"/>
      <c r="P412" s="19"/>
      <c r="Q412" s="20"/>
      <c r="R412" s="20"/>
      <c r="S412" s="22"/>
      <c r="T412" s="22"/>
      <c r="U412" s="20"/>
      <c r="V412" s="20"/>
      <c r="W412" s="20"/>
      <c r="X412" s="19"/>
      <c r="Y412" s="19"/>
      <c r="Z412" s="19"/>
      <c r="AA412" s="23"/>
    </row>
    <row r="413" spans="1:27" ht="15.75" customHeight="1" x14ac:dyDescent="0.2">
      <c r="A413" s="34"/>
      <c r="B413" s="34"/>
      <c r="C413" s="34"/>
      <c r="D413" s="34"/>
      <c r="E413" s="19"/>
      <c r="F413" s="19"/>
      <c r="G413" s="19"/>
      <c r="H413" s="19"/>
      <c r="I413" s="19"/>
      <c r="J413" s="19"/>
      <c r="K413" s="19"/>
      <c r="L413" s="19"/>
      <c r="M413" s="19"/>
      <c r="N413" s="19"/>
      <c r="O413" s="19"/>
      <c r="P413" s="19"/>
      <c r="Q413" s="20"/>
      <c r="R413" s="20"/>
      <c r="S413" s="22"/>
      <c r="T413" s="22"/>
      <c r="U413" s="20"/>
      <c r="V413" s="20"/>
      <c r="W413" s="20"/>
      <c r="X413" s="19"/>
      <c r="Y413" s="19"/>
      <c r="Z413" s="19"/>
      <c r="AA413" s="23"/>
    </row>
    <row r="414" spans="1:27" ht="15.75" customHeight="1" x14ac:dyDescent="0.2">
      <c r="A414" s="34"/>
      <c r="B414" s="34"/>
      <c r="C414" s="34"/>
      <c r="D414" s="34"/>
      <c r="E414" s="19"/>
      <c r="F414" s="19"/>
      <c r="G414" s="19"/>
      <c r="H414" s="19"/>
      <c r="I414" s="19"/>
      <c r="J414" s="19"/>
      <c r="K414" s="19"/>
      <c r="L414" s="19"/>
      <c r="M414" s="19"/>
      <c r="N414" s="19"/>
      <c r="O414" s="19"/>
      <c r="P414" s="19"/>
      <c r="Q414" s="20"/>
      <c r="R414" s="20"/>
      <c r="S414" s="22"/>
      <c r="T414" s="22"/>
      <c r="U414" s="20"/>
      <c r="V414" s="20"/>
      <c r="W414" s="20"/>
      <c r="X414" s="19"/>
      <c r="Y414" s="19"/>
      <c r="Z414" s="19"/>
      <c r="AA414" s="23"/>
    </row>
    <row r="415" spans="1:27" ht="15.75" customHeight="1" x14ac:dyDescent="0.2">
      <c r="A415" s="34"/>
      <c r="B415" s="34"/>
      <c r="C415" s="34"/>
      <c r="D415" s="34"/>
      <c r="E415" s="19"/>
      <c r="F415" s="19"/>
      <c r="G415" s="19"/>
      <c r="H415" s="19"/>
      <c r="I415" s="19"/>
      <c r="J415" s="19"/>
      <c r="K415" s="19"/>
      <c r="L415" s="19"/>
      <c r="M415" s="19"/>
      <c r="N415" s="19"/>
      <c r="O415" s="19"/>
      <c r="P415" s="19"/>
      <c r="Q415" s="20"/>
      <c r="R415" s="20"/>
      <c r="S415" s="22"/>
      <c r="T415" s="22"/>
      <c r="U415" s="20"/>
      <c r="V415" s="20"/>
      <c r="W415" s="20"/>
      <c r="X415" s="19"/>
      <c r="Y415" s="19"/>
      <c r="Z415" s="19"/>
      <c r="AA415" s="23"/>
    </row>
    <row r="416" spans="1:27" ht="15.75" customHeight="1" x14ac:dyDescent="0.2">
      <c r="A416" s="34"/>
      <c r="B416" s="34"/>
      <c r="C416" s="34"/>
      <c r="D416" s="34"/>
      <c r="E416" s="19"/>
      <c r="F416" s="19"/>
      <c r="G416" s="19"/>
      <c r="H416" s="19"/>
      <c r="I416" s="19"/>
      <c r="J416" s="19"/>
      <c r="K416" s="19"/>
      <c r="L416" s="19"/>
      <c r="M416" s="19"/>
      <c r="N416" s="19"/>
      <c r="O416" s="19"/>
      <c r="P416" s="19"/>
      <c r="Q416" s="20"/>
      <c r="R416" s="20"/>
      <c r="S416" s="22"/>
      <c r="T416" s="22"/>
      <c r="U416" s="20"/>
      <c r="V416" s="20"/>
      <c r="W416" s="20"/>
      <c r="X416" s="19"/>
      <c r="Y416" s="19"/>
      <c r="Z416" s="19"/>
      <c r="AA416" s="23"/>
    </row>
    <row r="417" spans="1:27" ht="15.75" customHeight="1" x14ac:dyDescent="0.2">
      <c r="A417" s="34"/>
      <c r="B417" s="34"/>
      <c r="C417" s="34"/>
      <c r="D417" s="34"/>
      <c r="E417" s="19"/>
      <c r="F417" s="19"/>
      <c r="G417" s="19"/>
      <c r="H417" s="19"/>
      <c r="I417" s="19"/>
      <c r="J417" s="19"/>
      <c r="K417" s="19"/>
      <c r="L417" s="19"/>
      <c r="M417" s="19"/>
      <c r="N417" s="19"/>
      <c r="O417" s="19"/>
      <c r="P417" s="19"/>
      <c r="Q417" s="20"/>
      <c r="R417" s="20"/>
      <c r="S417" s="22"/>
      <c r="T417" s="22"/>
      <c r="U417" s="20"/>
      <c r="V417" s="20"/>
      <c r="W417" s="20"/>
      <c r="X417" s="19"/>
      <c r="Y417" s="19"/>
      <c r="Z417" s="19"/>
      <c r="AA417" s="23"/>
    </row>
    <row r="418" spans="1:27" ht="15.75" customHeight="1" x14ac:dyDescent="0.2">
      <c r="A418" s="34"/>
      <c r="B418" s="34"/>
      <c r="C418" s="34"/>
      <c r="D418" s="34"/>
      <c r="E418" s="19"/>
      <c r="F418" s="19"/>
      <c r="G418" s="19"/>
      <c r="H418" s="19"/>
      <c r="I418" s="19"/>
      <c r="J418" s="19"/>
      <c r="K418" s="19"/>
      <c r="L418" s="19"/>
      <c r="M418" s="19"/>
      <c r="N418" s="19"/>
      <c r="O418" s="19"/>
      <c r="P418" s="19"/>
      <c r="Q418" s="20"/>
      <c r="R418" s="20"/>
      <c r="S418" s="22"/>
      <c r="T418" s="22"/>
      <c r="U418" s="20"/>
      <c r="V418" s="20"/>
      <c r="W418" s="20"/>
      <c r="X418" s="19"/>
      <c r="Y418" s="19"/>
      <c r="Z418" s="19"/>
      <c r="AA418" s="23"/>
    </row>
    <row r="419" spans="1:27" ht="15.75" customHeight="1" x14ac:dyDescent="0.2">
      <c r="A419" s="34"/>
      <c r="B419" s="34"/>
      <c r="C419" s="34"/>
      <c r="D419" s="34"/>
      <c r="E419" s="19"/>
      <c r="F419" s="19"/>
      <c r="G419" s="19"/>
      <c r="H419" s="19"/>
      <c r="I419" s="19"/>
      <c r="J419" s="19"/>
      <c r="K419" s="19"/>
      <c r="L419" s="19"/>
      <c r="M419" s="19"/>
      <c r="N419" s="19"/>
      <c r="O419" s="19"/>
      <c r="P419" s="19"/>
      <c r="Q419" s="20"/>
      <c r="R419" s="20"/>
      <c r="S419" s="22"/>
      <c r="T419" s="22"/>
      <c r="U419" s="20"/>
      <c r="V419" s="20"/>
      <c r="W419" s="20"/>
      <c r="X419" s="19"/>
      <c r="Y419" s="19"/>
      <c r="Z419" s="19"/>
      <c r="AA419" s="23"/>
    </row>
    <row r="420" spans="1:27" ht="15.75" customHeight="1" x14ac:dyDescent="0.2">
      <c r="A420" s="34"/>
      <c r="B420" s="34"/>
      <c r="C420" s="34"/>
      <c r="D420" s="34"/>
      <c r="E420" s="19"/>
      <c r="F420" s="19"/>
      <c r="G420" s="19"/>
      <c r="H420" s="19"/>
      <c r="I420" s="19"/>
      <c r="J420" s="19"/>
      <c r="K420" s="19"/>
      <c r="L420" s="19"/>
      <c r="M420" s="19"/>
      <c r="N420" s="19"/>
      <c r="O420" s="19"/>
      <c r="P420" s="19"/>
      <c r="Q420" s="20"/>
      <c r="R420" s="20"/>
      <c r="S420" s="22"/>
      <c r="T420" s="22"/>
      <c r="U420" s="20"/>
      <c r="V420" s="20"/>
      <c r="W420" s="20"/>
      <c r="X420" s="19"/>
      <c r="Y420" s="19"/>
      <c r="Z420" s="19"/>
      <c r="AA420" s="23"/>
    </row>
    <row r="421" spans="1:27" ht="15.75" customHeight="1" x14ac:dyDescent="0.2">
      <c r="A421" s="34"/>
      <c r="B421" s="34"/>
      <c r="C421" s="34"/>
      <c r="D421" s="34"/>
      <c r="E421" s="19"/>
      <c r="F421" s="19"/>
      <c r="G421" s="19"/>
      <c r="H421" s="19"/>
      <c r="I421" s="19"/>
      <c r="J421" s="19"/>
      <c r="K421" s="19"/>
      <c r="L421" s="19"/>
      <c r="M421" s="19"/>
      <c r="N421" s="19"/>
      <c r="O421" s="19"/>
      <c r="P421" s="19"/>
      <c r="Q421" s="20"/>
      <c r="R421" s="20"/>
      <c r="S421" s="22"/>
      <c r="T421" s="22"/>
      <c r="U421" s="20"/>
      <c r="V421" s="20"/>
      <c r="W421" s="20"/>
      <c r="X421" s="19"/>
      <c r="Y421" s="19"/>
      <c r="Z421" s="19"/>
      <c r="AA421" s="23"/>
    </row>
    <row r="422" spans="1:27" ht="15.75" customHeight="1" x14ac:dyDescent="0.2">
      <c r="A422" s="34"/>
      <c r="B422" s="34"/>
      <c r="C422" s="34"/>
      <c r="D422" s="34"/>
      <c r="E422" s="19"/>
      <c r="F422" s="19"/>
      <c r="G422" s="19"/>
      <c r="H422" s="19"/>
      <c r="I422" s="19"/>
      <c r="J422" s="19"/>
      <c r="K422" s="19"/>
      <c r="L422" s="19"/>
      <c r="M422" s="19"/>
      <c r="N422" s="19"/>
      <c r="O422" s="19"/>
      <c r="P422" s="19"/>
      <c r="Q422" s="20"/>
      <c r="R422" s="20"/>
      <c r="S422" s="22"/>
      <c r="T422" s="22"/>
      <c r="U422" s="20"/>
      <c r="V422" s="20"/>
      <c r="W422" s="20"/>
      <c r="X422" s="19"/>
      <c r="Y422" s="19"/>
      <c r="Z422" s="19"/>
      <c r="AA422" s="23"/>
    </row>
    <row r="423" spans="1:27" ht="15.75" customHeight="1" x14ac:dyDescent="0.2">
      <c r="A423" s="34"/>
      <c r="B423" s="34"/>
      <c r="C423" s="34"/>
      <c r="D423" s="34"/>
      <c r="E423" s="19"/>
      <c r="F423" s="19"/>
      <c r="G423" s="19"/>
      <c r="H423" s="19"/>
      <c r="I423" s="19"/>
      <c r="J423" s="19"/>
      <c r="K423" s="19"/>
      <c r="L423" s="19"/>
      <c r="M423" s="19"/>
      <c r="N423" s="19"/>
      <c r="O423" s="19"/>
      <c r="P423" s="19"/>
      <c r="Q423" s="20"/>
      <c r="R423" s="20"/>
      <c r="S423" s="22"/>
      <c r="T423" s="22"/>
      <c r="U423" s="20"/>
      <c r="V423" s="20"/>
      <c r="W423" s="20"/>
      <c r="X423" s="19"/>
      <c r="Y423" s="19"/>
      <c r="Z423" s="19"/>
      <c r="AA423" s="23"/>
    </row>
    <row r="424" spans="1:27" ht="15.75" customHeight="1" x14ac:dyDescent="0.2">
      <c r="A424" s="34"/>
      <c r="B424" s="34"/>
      <c r="C424" s="34"/>
      <c r="D424" s="34"/>
      <c r="E424" s="19"/>
      <c r="F424" s="19"/>
      <c r="G424" s="19"/>
      <c r="H424" s="19"/>
      <c r="I424" s="19"/>
      <c r="J424" s="19"/>
      <c r="K424" s="19"/>
      <c r="L424" s="19"/>
      <c r="M424" s="19"/>
      <c r="N424" s="19"/>
      <c r="O424" s="19"/>
      <c r="P424" s="19"/>
      <c r="Q424" s="20"/>
      <c r="R424" s="20"/>
      <c r="S424" s="22"/>
      <c r="T424" s="22"/>
      <c r="U424" s="20"/>
      <c r="V424" s="20"/>
      <c r="W424" s="20"/>
      <c r="X424" s="19"/>
      <c r="Y424" s="19"/>
      <c r="Z424" s="19"/>
      <c r="AA424" s="23"/>
    </row>
    <row r="425" spans="1:27" ht="15.75" customHeight="1" x14ac:dyDescent="0.2">
      <c r="A425" s="34"/>
      <c r="B425" s="34"/>
      <c r="C425" s="34"/>
      <c r="D425" s="34"/>
      <c r="E425" s="19"/>
      <c r="F425" s="19"/>
      <c r="G425" s="19"/>
      <c r="H425" s="19"/>
      <c r="I425" s="19"/>
      <c r="J425" s="19"/>
      <c r="K425" s="19"/>
      <c r="L425" s="19"/>
      <c r="M425" s="19"/>
      <c r="N425" s="19"/>
      <c r="O425" s="19"/>
      <c r="P425" s="19"/>
      <c r="Q425" s="20"/>
      <c r="R425" s="20"/>
      <c r="S425" s="22"/>
      <c r="T425" s="22"/>
      <c r="U425" s="20"/>
      <c r="V425" s="20"/>
      <c r="W425" s="20"/>
      <c r="X425" s="19"/>
      <c r="Y425" s="19"/>
      <c r="Z425" s="19"/>
      <c r="AA425" s="23"/>
    </row>
    <row r="426" spans="1:27" ht="15.75" customHeight="1" x14ac:dyDescent="0.2">
      <c r="A426" s="34"/>
      <c r="B426" s="34"/>
      <c r="C426" s="34"/>
      <c r="D426" s="34"/>
      <c r="E426" s="19"/>
      <c r="F426" s="19"/>
      <c r="G426" s="19"/>
      <c r="H426" s="19"/>
      <c r="I426" s="19"/>
      <c r="J426" s="19"/>
      <c r="K426" s="19"/>
      <c r="L426" s="19"/>
      <c r="M426" s="19"/>
      <c r="N426" s="19"/>
      <c r="O426" s="19"/>
      <c r="P426" s="19"/>
      <c r="Q426" s="20"/>
      <c r="R426" s="20"/>
      <c r="S426" s="22"/>
      <c r="T426" s="22"/>
      <c r="U426" s="20"/>
      <c r="V426" s="20"/>
      <c r="W426" s="20"/>
      <c r="X426" s="19"/>
      <c r="Y426" s="19"/>
      <c r="Z426" s="19"/>
      <c r="AA426" s="23"/>
    </row>
    <row r="427" spans="1:27" ht="15.75" customHeight="1" x14ac:dyDescent="0.2">
      <c r="A427" s="34"/>
      <c r="B427" s="34"/>
      <c r="C427" s="34"/>
      <c r="D427" s="34"/>
      <c r="E427" s="19"/>
      <c r="F427" s="19"/>
      <c r="G427" s="19"/>
      <c r="H427" s="19"/>
      <c r="I427" s="19"/>
      <c r="J427" s="19"/>
      <c r="K427" s="19"/>
      <c r="L427" s="19"/>
      <c r="M427" s="19"/>
      <c r="N427" s="19"/>
      <c r="O427" s="19"/>
      <c r="P427" s="19"/>
      <c r="Q427" s="20"/>
      <c r="R427" s="20"/>
      <c r="S427" s="22"/>
      <c r="T427" s="22"/>
      <c r="U427" s="20"/>
      <c r="V427" s="20"/>
      <c r="W427" s="20"/>
      <c r="X427" s="19"/>
      <c r="Y427" s="19"/>
      <c r="Z427" s="19"/>
      <c r="AA427" s="23"/>
    </row>
    <row r="428" spans="1:27" ht="15.75" customHeight="1" x14ac:dyDescent="0.2">
      <c r="A428" s="34"/>
      <c r="B428" s="34"/>
      <c r="C428" s="34"/>
      <c r="D428" s="34"/>
      <c r="E428" s="19"/>
      <c r="F428" s="19"/>
      <c r="G428" s="19"/>
      <c r="H428" s="19"/>
      <c r="I428" s="19"/>
      <c r="J428" s="19"/>
      <c r="K428" s="19"/>
      <c r="L428" s="19"/>
      <c r="M428" s="19"/>
      <c r="N428" s="19"/>
      <c r="O428" s="19"/>
      <c r="P428" s="19"/>
      <c r="Q428" s="20"/>
      <c r="R428" s="20"/>
      <c r="S428" s="22"/>
      <c r="T428" s="22"/>
      <c r="U428" s="20"/>
      <c r="V428" s="20"/>
      <c r="W428" s="20"/>
      <c r="X428" s="19"/>
      <c r="Y428" s="19"/>
      <c r="Z428" s="19"/>
      <c r="AA428" s="23"/>
    </row>
    <row r="429" spans="1:27" ht="15.75" customHeight="1" x14ac:dyDescent="0.2">
      <c r="A429" s="34"/>
      <c r="B429" s="34"/>
      <c r="C429" s="34"/>
      <c r="D429" s="34"/>
      <c r="E429" s="19"/>
      <c r="F429" s="19"/>
      <c r="G429" s="19"/>
      <c r="H429" s="19"/>
      <c r="I429" s="19"/>
      <c r="J429" s="19"/>
      <c r="K429" s="19"/>
      <c r="L429" s="19"/>
      <c r="M429" s="19"/>
      <c r="N429" s="19"/>
      <c r="O429" s="19"/>
      <c r="P429" s="19"/>
      <c r="Q429" s="20"/>
      <c r="R429" s="20"/>
      <c r="S429" s="22"/>
      <c r="T429" s="22"/>
      <c r="U429" s="20"/>
      <c r="V429" s="20"/>
      <c r="W429" s="20"/>
      <c r="X429" s="19"/>
      <c r="Y429" s="19"/>
      <c r="Z429" s="19"/>
      <c r="AA429" s="23"/>
    </row>
    <row r="430" spans="1:27" ht="15.75" customHeight="1" x14ac:dyDescent="0.2">
      <c r="A430" s="34"/>
      <c r="B430" s="34"/>
      <c r="C430" s="34"/>
      <c r="D430" s="34"/>
      <c r="E430" s="19"/>
      <c r="F430" s="19"/>
      <c r="G430" s="19"/>
      <c r="H430" s="19"/>
      <c r="I430" s="19"/>
      <c r="J430" s="19"/>
      <c r="K430" s="19"/>
      <c r="L430" s="19"/>
      <c r="M430" s="19"/>
      <c r="N430" s="19"/>
      <c r="O430" s="19"/>
      <c r="P430" s="19"/>
      <c r="Q430" s="20"/>
      <c r="R430" s="20"/>
      <c r="S430" s="22"/>
      <c r="T430" s="22"/>
      <c r="U430" s="20"/>
      <c r="V430" s="20"/>
      <c r="W430" s="20"/>
      <c r="X430" s="19"/>
      <c r="Y430" s="19"/>
      <c r="Z430" s="19"/>
      <c r="AA430" s="23"/>
    </row>
    <row r="431" spans="1:27" ht="15.75" customHeight="1" x14ac:dyDescent="0.2">
      <c r="A431" s="34"/>
      <c r="B431" s="34"/>
      <c r="C431" s="34"/>
      <c r="D431" s="34"/>
      <c r="E431" s="19"/>
      <c r="F431" s="19"/>
      <c r="G431" s="19"/>
      <c r="H431" s="19"/>
      <c r="I431" s="19"/>
      <c r="J431" s="19"/>
      <c r="K431" s="19"/>
      <c r="L431" s="19"/>
      <c r="M431" s="19"/>
      <c r="N431" s="19"/>
      <c r="O431" s="19"/>
      <c r="P431" s="19"/>
      <c r="Q431" s="20"/>
      <c r="R431" s="20"/>
      <c r="S431" s="22"/>
      <c r="T431" s="22"/>
      <c r="U431" s="20"/>
      <c r="V431" s="20"/>
      <c r="W431" s="20"/>
      <c r="X431" s="19"/>
      <c r="Y431" s="19"/>
      <c r="Z431" s="19"/>
      <c r="AA431" s="23"/>
    </row>
    <row r="432" spans="1:27" ht="15.75" customHeight="1" x14ac:dyDescent="0.2">
      <c r="A432" s="34"/>
      <c r="B432" s="34"/>
      <c r="C432" s="34"/>
      <c r="D432" s="34"/>
      <c r="E432" s="19"/>
      <c r="F432" s="19"/>
      <c r="G432" s="19"/>
      <c r="H432" s="19"/>
      <c r="I432" s="19"/>
      <c r="J432" s="19"/>
      <c r="K432" s="19"/>
      <c r="L432" s="19"/>
      <c r="M432" s="19"/>
      <c r="N432" s="19"/>
      <c r="O432" s="19"/>
      <c r="P432" s="19"/>
      <c r="Q432" s="20"/>
      <c r="R432" s="20"/>
      <c r="S432" s="22"/>
      <c r="T432" s="22"/>
      <c r="U432" s="20"/>
      <c r="V432" s="20"/>
      <c r="W432" s="20"/>
      <c r="X432" s="19"/>
      <c r="Y432" s="19"/>
      <c r="Z432" s="19"/>
      <c r="AA432" s="23"/>
    </row>
    <row r="433" spans="1:27" ht="15.75" customHeight="1" x14ac:dyDescent="0.2">
      <c r="A433" s="34"/>
      <c r="B433" s="34"/>
      <c r="C433" s="34"/>
      <c r="D433" s="34"/>
      <c r="E433" s="19"/>
      <c r="F433" s="19"/>
      <c r="G433" s="19"/>
      <c r="H433" s="19"/>
      <c r="I433" s="19"/>
      <c r="J433" s="19"/>
      <c r="K433" s="19"/>
      <c r="L433" s="19"/>
      <c r="M433" s="19"/>
      <c r="N433" s="19"/>
      <c r="O433" s="19"/>
      <c r="P433" s="19"/>
      <c r="Q433" s="20"/>
      <c r="R433" s="20"/>
      <c r="S433" s="22"/>
      <c r="T433" s="22"/>
      <c r="U433" s="20"/>
      <c r="V433" s="20"/>
      <c r="W433" s="20"/>
      <c r="X433" s="19"/>
      <c r="Y433" s="19"/>
      <c r="Z433" s="19"/>
      <c r="AA433" s="23"/>
    </row>
    <row r="434" spans="1:27" ht="15.75" customHeight="1" x14ac:dyDescent="0.2">
      <c r="A434" s="34"/>
      <c r="B434" s="34"/>
      <c r="C434" s="34"/>
      <c r="D434" s="34"/>
      <c r="E434" s="19"/>
      <c r="F434" s="19"/>
      <c r="G434" s="19"/>
      <c r="H434" s="19"/>
      <c r="I434" s="19"/>
      <c r="J434" s="19"/>
      <c r="K434" s="19"/>
      <c r="L434" s="19"/>
      <c r="M434" s="19"/>
      <c r="N434" s="19"/>
      <c r="O434" s="19"/>
      <c r="P434" s="19"/>
      <c r="Q434" s="20"/>
      <c r="R434" s="20"/>
      <c r="S434" s="22"/>
      <c r="T434" s="22"/>
      <c r="U434" s="20"/>
      <c r="V434" s="20"/>
      <c r="W434" s="20"/>
      <c r="X434" s="19"/>
      <c r="Y434" s="19"/>
      <c r="Z434" s="19"/>
      <c r="AA434" s="23"/>
    </row>
    <row r="435" spans="1:27" ht="15.75" customHeight="1" x14ac:dyDescent="0.2">
      <c r="A435" s="34"/>
      <c r="B435" s="34"/>
      <c r="C435" s="34"/>
      <c r="D435" s="34"/>
      <c r="E435" s="19"/>
      <c r="F435" s="19"/>
      <c r="G435" s="19"/>
      <c r="H435" s="19"/>
      <c r="I435" s="19"/>
      <c r="J435" s="19"/>
      <c r="K435" s="19"/>
      <c r="L435" s="19"/>
      <c r="M435" s="19"/>
      <c r="N435" s="19"/>
      <c r="O435" s="19"/>
      <c r="P435" s="19"/>
      <c r="Q435" s="20"/>
      <c r="R435" s="20"/>
      <c r="S435" s="22"/>
      <c r="T435" s="22"/>
      <c r="U435" s="20"/>
      <c r="V435" s="20"/>
      <c r="W435" s="20"/>
      <c r="X435" s="19"/>
      <c r="Y435" s="19"/>
      <c r="Z435" s="19"/>
      <c r="AA435" s="23"/>
    </row>
    <row r="436" spans="1:27" ht="15.75" customHeight="1" x14ac:dyDescent="0.2">
      <c r="A436" s="34"/>
      <c r="B436" s="34"/>
      <c r="C436" s="34"/>
      <c r="D436" s="34"/>
      <c r="E436" s="19"/>
      <c r="F436" s="19"/>
      <c r="G436" s="19"/>
      <c r="H436" s="19"/>
      <c r="I436" s="19"/>
      <c r="J436" s="19"/>
      <c r="K436" s="19"/>
      <c r="L436" s="19"/>
      <c r="M436" s="19"/>
      <c r="N436" s="19"/>
      <c r="O436" s="19"/>
      <c r="P436" s="19"/>
      <c r="Q436" s="20"/>
      <c r="R436" s="20"/>
      <c r="S436" s="22"/>
      <c r="T436" s="22"/>
      <c r="U436" s="20"/>
      <c r="V436" s="20"/>
      <c r="W436" s="20"/>
      <c r="X436" s="19"/>
      <c r="Y436" s="19"/>
      <c r="Z436" s="19"/>
      <c r="AA436" s="23"/>
    </row>
    <row r="437" spans="1:27" ht="15.75" customHeight="1" x14ac:dyDescent="0.2">
      <c r="A437" s="34"/>
      <c r="B437" s="34"/>
      <c r="C437" s="34"/>
      <c r="D437" s="34"/>
      <c r="E437" s="19"/>
      <c r="F437" s="19"/>
      <c r="G437" s="19"/>
      <c r="H437" s="19"/>
      <c r="I437" s="19"/>
      <c r="J437" s="19"/>
      <c r="K437" s="19"/>
      <c r="L437" s="19"/>
      <c r="M437" s="19"/>
      <c r="N437" s="19"/>
      <c r="O437" s="19"/>
      <c r="P437" s="19"/>
      <c r="Q437" s="20"/>
      <c r="R437" s="20"/>
      <c r="S437" s="22"/>
      <c r="T437" s="22"/>
      <c r="U437" s="20"/>
      <c r="V437" s="20"/>
      <c r="W437" s="20"/>
      <c r="X437" s="19"/>
      <c r="Y437" s="19"/>
      <c r="Z437" s="19"/>
      <c r="AA437" s="23"/>
    </row>
    <row r="438" spans="1:27" ht="15.75" customHeight="1" x14ac:dyDescent="0.2">
      <c r="A438" s="34"/>
      <c r="B438" s="34"/>
      <c r="C438" s="34"/>
      <c r="D438" s="34"/>
      <c r="E438" s="19"/>
      <c r="F438" s="19"/>
      <c r="G438" s="19"/>
      <c r="H438" s="19"/>
      <c r="I438" s="19"/>
      <c r="J438" s="19"/>
      <c r="K438" s="19"/>
      <c r="L438" s="19"/>
      <c r="M438" s="19"/>
      <c r="N438" s="19"/>
      <c r="O438" s="19"/>
      <c r="P438" s="19"/>
      <c r="Q438" s="20"/>
      <c r="R438" s="20"/>
      <c r="S438" s="22"/>
      <c r="T438" s="22"/>
      <c r="U438" s="20"/>
      <c r="V438" s="20"/>
      <c r="W438" s="20"/>
      <c r="X438" s="19"/>
      <c r="Y438" s="19"/>
      <c r="Z438" s="19"/>
      <c r="AA438" s="23"/>
    </row>
    <row r="439" spans="1:27" ht="15.75" customHeight="1" x14ac:dyDescent="0.2">
      <c r="A439" s="34"/>
      <c r="B439" s="34"/>
      <c r="C439" s="34"/>
      <c r="D439" s="34"/>
      <c r="E439" s="19"/>
      <c r="F439" s="19"/>
      <c r="G439" s="19"/>
      <c r="H439" s="19"/>
      <c r="I439" s="19"/>
      <c r="J439" s="19"/>
      <c r="K439" s="19"/>
      <c r="L439" s="19"/>
      <c r="M439" s="19"/>
      <c r="N439" s="19"/>
      <c r="O439" s="19"/>
      <c r="P439" s="19"/>
      <c r="Q439" s="20"/>
      <c r="R439" s="20"/>
      <c r="S439" s="22"/>
      <c r="T439" s="22"/>
      <c r="U439" s="20"/>
      <c r="V439" s="20"/>
      <c r="W439" s="20"/>
      <c r="X439" s="19"/>
      <c r="Y439" s="19"/>
      <c r="Z439" s="19"/>
      <c r="AA439" s="23"/>
    </row>
    <row r="440" spans="1:27" ht="15.75" customHeight="1" x14ac:dyDescent="0.2">
      <c r="A440" s="34"/>
      <c r="B440" s="34"/>
      <c r="C440" s="34"/>
      <c r="D440" s="34"/>
      <c r="E440" s="19"/>
      <c r="F440" s="19"/>
      <c r="G440" s="19"/>
      <c r="H440" s="19"/>
      <c r="I440" s="19"/>
      <c r="J440" s="19"/>
      <c r="K440" s="19"/>
      <c r="L440" s="19"/>
      <c r="M440" s="19"/>
      <c r="N440" s="19"/>
      <c r="O440" s="19"/>
      <c r="P440" s="19"/>
      <c r="Q440" s="20"/>
      <c r="R440" s="20"/>
      <c r="S440" s="22"/>
      <c r="T440" s="22"/>
      <c r="U440" s="20"/>
      <c r="V440" s="20"/>
      <c r="W440" s="20"/>
      <c r="X440" s="19"/>
      <c r="Y440" s="19"/>
      <c r="Z440" s="19"/>
      <c r="AA440" s="23"/>
    </row>
    <row r="441" spans="1:27" ht="15.75" customHeight="1" x14ac:dyDescent="0.2">
      <c r="A441" s="34"/>
      <c r="B441" s="34"/>
      <c r="C441" s="34"/>
      <c r="D441" s="34"/>
      <c r="E441" s="19"/>
      <c r="F441" s="19"/>
      <c r="G441" s="19"/>
      <c r="H441" s="19"/>
      <c r="I441" s="19"/>
      <c r="J441" s="19"/>
      <c r="K441" s="19"/>
      <c r="L441" s="19"/>
      <c r="M441" s="19"/>
      <c r="N441" s="19"/>
      <c r="O441" s="19"/>
      <c r="P441" s="19"/>
      <c r="Q441" s="20"/>
      <c r="R441" s="20"/>
      <c r="S441" s="22"/>
      <c r="T441" s="22"/>
      <c r="U441" s="20"/>
      <c r="V441" s="20"/>
      <c r="W441" s="20"/>
      <c r="X441" s="19"/>
      <c r="Y441" s="19"/>
      <c r="Z441" s="19"/>
      <c r="AA441" s="23"/>
    </row>
    <row r="442" spans="1:27" ht="15.75" customHeight="1" x14ac:dyDescent="0.2">
      <c r="A442" s="34"/>
      <c r="B442" s="34"/>
      <c r="C442" s="34"/>
      <c r="D442" s="34"/>
      <c r="E442" s="19"/>
      <c r="F442" s="19"/>
      <c r="G442" s="19"/>
      <c r="H442" s="19"/>
      <c r="I442" s="19"/>
      <c r="J442" s="19"/>
      <c r="K442" s="19"/>
      <c r="L442" s="19"/>
      <c r="M442" s="19"/>
      <c r="N442" s="19"/>
      <c r="O442" s="19"/>
      <c r="P442" s="19"/>
      <c r="Q442" s="20"/>
      <c r="R442" s="20"/>
      <c r="S442" s="22"/>
      <c r="T442" s="22"/>
      <c r="U442" s="20"/>
      <c r="V442" s="20"/>
      <c r="W442" s="20"/>
      <c r="X442" s="19"/>
      <c r="Y442" s="19"/>
      <c r="Z442" s="19"/>
      <c r="AA442" s="23"/>
    </row>
    <row r="443" spans="1:27" ht="15.75" customHeight="1" x14ac:dyDescent="0.2">
      <c r="A443" s="34"/>
      <c r="B443" s="34"/>
      <c r="C443" s="34"/>
      <c r="D443" s="34"/>
      <c r="E443" s="19"/>
      <c r="F443" s="19"/>
      <c r="G443" s="19"/>
      <c r="H443" s="19"/>
      <c r="I443" s="19"/>
      <c r="J443" s="19"/>
      <c r="K443" s="19"/>
      <c r="L443" s="19"/>
      <c r="M443" s="19"/>
      <c r="N443" s="19"/>
      <c r="O443" s="19"/>
      <c r="P443" s="19"/>
      <c r="Q443" s="20"/>
      <c r="R443" s="20"/>
      <c r="S443" s="22"/>
      <c r="T443" s="22"/>
      <c r="U443" s="20"/>
      <c r="V443" s="20"/>
      <c r="W443" s="20"/>
      <c r="X443" s="19"/>
      <c r="Y443" s="19"/>
      <c r="Z443" s="19"/>
      <c r="AA443" s="23"/>
    </row>
    <row r="444" spans="1:27" ht="15.75" customHeight="1" x14ac:dyDescent="0.2">
      <c r="A444" s="34"/>
      <c r="B444" s="34"/>
      <c r="C444" s="34"/>
      <c r="D444" s="34"/>
      <c r="E444" s="19"/>
      <c r="F444" s="19"/>
      <c r="G444" s="19"/>
      <c r="H444" s="19"/>
      <c r="I444" s="19"/>
      <c r="J444" s="19"/>
      <c r="K444" s="19"/>
      <c r="L444" s="19"/>
      <c r="M444" s="19"/>
      <c r="N444" s="19"/>
      <c r="O444" s="19"/>
      <c r="P444" s="19"/>
      <c r="Q444" s="20"/>
      <c r="R444" s="20"/>
      <c r="S444" s="22"/>
      <c r="T444" s="22"/>
      <c r="U444" s="20"/>
      <c r="V444" s="20"/>
      <c r="W444" s="20"/>
      <c r="X444" s="19"/>
      <c r="Y444" s="19"/>
      <c r="Z444" s="19"/>
      <c r="AA444" s="23"/>
    </row>
    <row r="445" spans="1:27" ht="15.75" customHeight="1" x14ac:dyDescent="0.2">
      <c r="A445" s="34"/>
      <c r="B445" s="34"/>
      <c r="C445" s="34"/>
      <c r="D445" s="34"/>
      <c r="E445" s="19"/>
      <c r="F445" s="19"/>
      <c r="G445" s="19"/>
      <c r="H445" s="19"/>
      <c r="I445" s="19"/>
      <c r="J445" s="19"/>
      <c r="K445" s="19"/>
      <c r="L445" s="19"/>
      <c r="M445" s="19"/>
      <c r="N445" s="19"/>
      <c r="O445" s="19"/>
      <c r="P445" s="19"/>
      <c r="Q445" s="20"/>
      <c r="R445" s="20"/>
      <c r="S445" s="22"/>
      <c r="T445" s="22"/>
      <c r="U445" s="20"/>
      <c r="V445" s="20"/>
      <c r="W445" s="20"/>
      <c r="X445" s="19"/>
      <c r="Y445" s="19"/>
      <c r="Z445" s="19"/>
      <c r="AA445" s="23"/>
    </row>
    <row r="446" spans="1:27" ht="15.75" customHeight="1" x14ac:dyDescent="0.2">
      <c r="A446" s="34"/>
      <c r="B446" s="34"/>
      <c r="C446" s="34"/>
      <c r="D446" s="34"/>
      <c r="E446" s="19"/>
      <c r="F446" s="19"/>
      <c r="G446" s="19"/>
      <c r="H446" s="19"/>
      <c r="I446" s="19"/>
      <c r="J446" s="19"/>
      <c r="K446" s="19"/>
      <c r="L446" s="19"/>
      <c r="M446" s="19"/>
      <c r="N446" s="19"/>
      <c r="O446" s="19"/>
      <c r="P446" s="19"/>
      <c r="Q446" s="20"/>
      <c r="R446" s="20"/>
      <c r="S446" s="22"/>
      <c r="T446" s="22"/>
      <c r="U446" s="20"/>
      <c r="V446" s="20"/>
      <c r="W446" s="20"/>
      <c r="X446" s="19"/>
      <c r="Y446" s="19"/>
      <c r="Z446" s="19"/>
      <c r="AA446" s="23"/>
    </row>
    <row r="447" spans="1:27" ht="15.75" customHeight="1" x14ac:dyDescent="0.2">
      <c r="A447" s="34"/>
      <c r="B447" s="34"/>
      <c r="C447" s="34"/>
      <c r="D447" s="34"/>
      <c r="E447" s="19"/>
      <c r="F447" s="19"/>
      <c r="G447" s="19"/>
      <c r="H447" s="19"/>
      <c r="I447" s="19"/>
      <c r="J447" s="19"/>
      <c r="K447" s="19"/>
      <c r="L447" s="19"/>
      <c r="M447" s="19"/>
      <c r="N447" s="19"/>
      <c r="O447" s="19"/>
      <c r="P447" s="19"/>
      <c r="Q447" s="20"/>
      <c r="R447" s="20"/>
      <c r="S447" s="22"/>
      <c r="T447" s="22"/>
      <c r="U447" s="20"/>
      <c r="V447" s="20"/>
      <c r="W447" s="20"/>
      <c r="X447" s="19"/>
      <c r="Y447" s="19"/>
      <c r="Z447" s="19"/>
      <c r="AA447" s="23"/>
    </row>
    <row r="448" spans="1:27" ht="15.75" customHeight="1" x14ac:dyDescent="0.2">
      <c r="A448" s="34"/>
      <c r="B448" s="34"/>
      <c r="C448" s="34"/>
      <c r="D448" s="34"/>
      <c r="E448" s="19"/>
      <c r="F448" s="19"/>
      <c r="G448" s="19"/>
      <c r="H448" s="19"/>
      <c r="I448" s="19"/>
      <c r="J448" s="19"/>
      <c r="K448" s="19"/>
      <c r="L448" s="19"/>
      <c r="M448" s="19"/>
      <c r="N448" s="19"/>
      <c r="O448" s="19"/>
      <c r="P448" s="19"/>
      <c r="Q448" s="20"/>
      <c r="R448" s="20"/>
      <c r="S448" s="22"/>
      <c r="T448" s="22"/>
      <c r="U448" s="20"/>
      <c r="V448" s="20"/>
      <c r="W448" s="20"/>
      <c r="X448" s="19"/>
      <c r="Y448" s="19"/>
      <c r="Z448" s="19"/>
      <c r="AA448" s="23"/>
    </row>
    <row r="449" spans="1:27" ht="15.75" customHeight="1" x14ac:dyDescent="0.2">
      <c r="A449" s="34"/>
      <c r="B449" s="34"/>
      <c r="C449" s="34"/>
      <c r="D449" s="34"/>
      <c r="E449" s="19"/>
      <c r="F449" s="19"/>
      <c r="G449" s="19"/>
      <c r="H449" s="19"/>
      <c r="I449" s="19"/>
      <c r="J449" s="19"/>
      <c r="K449" s="19"/>
      <c r="L449" s="19"/>
      <c r="M449" s="19"/>
      <c r="N449" s="19"/>
      <c r="O449" s="19"/>
      <c r="P449" s="19"/>
      <c r="Q449" s="20"/>
      <c r="R449" s="20"/>
      <c r="S449" s="22"/>
      <c r="T449" s="22"/>
      <c r="U449" s="20"/>
      <c r="V449" s="20"/>
      <c r="W449" s="20"/>
      <c r="X449" s="19"/>
      <c r="Y449" s="19"/>
      <c r="Z449" s="19"/>
      <c r="AA449" s="23"/>
    </row>
    <row r="450" spans="1:27" ht="15.75" customHeight="1" x14ac:dyDescent="0.2">
      <c r="A450" s="34"/>
      <c r="B450" s="34"/>
      <c r="C450" s="34"/>
      <c r="D450" s="34"/>
      <c r="E450" s="19"/>
      <c r="F450" s="19"/>
      <c r="G450" s="19"/>
      <c r="H450" s="19"/>
      <c r="I450" s="19"/>
      <c r="J450" s="19"/>
      <c r="K450" s="19"/>
      <c r="L450" s="19"/>
      <c r="M450" s="19"/>
      <c r="N450" s="19"/>
      <c r="O450" s="19"/>
      <c r="P450" s="19"/>
      <c r="Q450" s="20"/>
      <c r="R450" s="20"/>
      <c r="S450" s="22"/>
      <c r="T450" s="22"/>
      <c r="U450" s="20"/>
      <c r="V450" s="20"/>
      <c r="W450" s="20"/>
      <c r="X450" s="19"/>
      <c r="Y450" s="19"/>
      <c r="Z450" s="19"/>
      <c r="AA450" s="23"/>
    </row>
    <row r="451" spans="1:27" ht="15.75" customHeight="1" x14ac:dyDescent="0.2">
      <c r="A451" s="34"/>
      <c r="B451" s="34"/>
      <c r="C451" s="34"/>
      <c r="D451" s="34"/>
      <c r="E451" s="19"/>
      <c r="F451" s="19"/>
      <c r="G451" s="19"/>
      <c r="H451" s="19"/>
      <c r="I451" s="19"/>
      <c r="J451" s="19"/>
      <c r="K451" s="19"/>
      <c r="L451" s="19"/>
      <c r="M451" s="19"/>
      <c r="N451" s="19"/>
      <c r="O451" s="19"/>
      <c r="P451" s="19"/>
      <c r="Q451" s="20"/>
      <c r="R451" s="20"/>
      <c r="S451" s="22"/>
      <c r="T451" s="22"/>
      <c r="U451" s="20"/>
      <c r="V451" s="20"/>
      <c r="W451" s="20"/>
      <c r="X451" s="19"/>
      <c r="Y451" s="19"/>
      <c r="Z451" s="19"/>
      <c r="AA451" s="23"/>
    </row>
    <row r="452" spans="1:27" ht="15.75" customHeight="1" x14ac:dyDescent="0.2">
      <c r="A452" s="34"/>
      <c r="B452" s="34"/>
      <c r="C452" s="34"/>
      <c r="D452" s="34"/>
      <c r="E452" s="19"/>
      <c r="F452" s="19"/>
      <c r="G452" s="19"/>
      <c r="H452" s="19"/>
      <c r="I452" s="19"/>
      <c r="J452" s="19"/>
      <c r="K452" s="19"/>
      <c r="L452" s="19"/>
      <c r="M452" s="19"/>
      <c r="N452" s="19"/>
      <c r="O452" s="19"/>
      <c r="P452" s="19"/>
      <c r="Q452" s="20"/>
      <c r="R452" s="20"/>
      <c r="S452" s="22"/>
      <c r="T452" s="22"/>
      <c r="U452" s="20"/>
      <c r="V452" s="20"/>
      <c r="W452" s="20"/>
      <c r="X452" s="19"/>
      <c r="Y452" s="19"/>
      <c r="Z452" s="19"/>
      <c r="AA452" s="23"/>
    </row>
    <row r="453" spans="1:27" ht="15.75" customHeight="1" x14ac:dyDescent="0.2">
      <c r="A453" s="34"/>
      <c r="B453" s="34"/>
      <c r="C453" s="34"/>
      <c r="D453" s="34"/>
      <c r="E453" s="19"/>
      <c r="F453" s="19"/>
      <c r="G453" s="19"/>
      <c r="H453" s="19"/>
      <c r="I453" s="19"/>
      <c r="J453" s="19"/>
      <c r="K453" s="19"/>
      <c r="L453" s="19"/>
      <c r="M453" s="19"/>
      <c r="N453" s="19"/>
      <c r="O453" s="19"/>
      <c r="P453" s="19"/>
      <c r="Q453" s="20"/>
      <c r="R453" s="20"/>
      <c r="S453" s="22"/>
      <c r="T453" s="22"/>
      <c r="U453" s="20"/>
      <c r="V453" s="20"/>
      <c r="W453" s="20"/>
      <c r="X453" s="19"/>
      <c r="Y453" s="19"/>
      <c r="Z453" s="19"/>
      <c r="AA453" s="23"/>
    </row>
    <row r="454" spans="1:27" ht="15.75" customHeight="1" x14ac:dyDescent="0.2">
      <c r="A454" s="34"/>
      <c r="B454" s="34"/>
      <c r="C454" s="34"/>
      <c r="D454" s="34"/>
      <c r="E454" s="19"/>
      <c r="F454" s="19"/>
      <c r="G454" s="19"/>
      <c r="H454" s="19"/>
      <c r="I454" s="19"/>
      <c r="J454" s="19"/>
      <c r="K454" s="19"/>
      <c r="L454" s="19"/>
      <c r="M454" s="19"/>
      <c r="N454" s="19"/>
      <c r="O454" s="19"/>
      <c r="P454" s="19"/>
      <c r="Q454" s="20"/>
      <c r="R454" s="20"/>
      <c r="S454" s="22"/>
      <c r="T454" s="22"/>
      <c r="U454" s="20"/>
      <c r="V454" s="20"/>
      <c r="W454" s="20"/>
      <c r="X454" s="19"/>
      <c r="Y454" s="19"/>
      <c r="Z454" s="19"/>
      <c r="AA454" s="23"/>
    </row>
    <row r="455" spans="1:27" ht="15.75" customHeight="1" x14ac:dyDescent="0.2">
      <c r="A455" s="34"/>
      <c r="B455" s="34"/>
      <c r="C455" s="34"/>
      <c r="D455" s="34"/>
      <c r="E455" s="19"/>
      <c r="F455" s="19"/>
      <c r="G455" s="19"/>
      <c r="H455" s="19"/>
      <c r="I455" s="19"/>
      <c r="J455" s="19"/>
      <c r="K455" s="19"/>
      <c r="L455" s="19"/>
      <c r="M455" s="19"/>
      <c r="N455" s="19"/>
      <c r="O455" s="19"/>
      <c r="P455" s="19"/>
      <c r="Q455" s="20"/>
      <c r="R455" s="20"/>
      <c r="S455" s="22"/>
      <c r="T455" s="22"/>
      <c r="U455" s="20"/>
      <c r="V455" s="20"/>
      <c r="W455" s="20"/>
      <c r="X455" s="19"/>
      <c r="Y455" s="19"/>
      <c r="Z455" s="19"/>
      <c r="AA455" s="23"/>
    </row>
    <row r="456" spans="1:27" ht="15.75" customHeight="1" x14ac:dyDescent="0.2">
      <c r="A456" s="34"/>
      <c r="B456" s="34"/>
      <c r="C456" s="34"/>
      <c r="D456" s="34"/>
      <c r="E456" s="19"/>
      <c r="F456" s="19"/>
      <c r="G456" s="19"/>
      <c r="H456" s="19"/>
      <c r="I456" s="19"/>
      <c r="J456" s="19"/>
      <c r="K456" s="19"/>
      <c r="L456" s="19"/>
      <c r="M456" s="19"/>
      <c r="N456" s="19"/>
      <c r="O456" s="19"/>
      <c r="P456" s="19"/>
      <c r="Q456" s="20"/>
      <c r="R456" s="20"/>
      <c r="S456" s="22"/>
      <c r="T456" s="22"/>
      <c r="U456" s="20"/>
      <c r="V456" s="20"/>
      <c r="W456" s="20"/>
      <c r="X456" s="19"/>
      <c r="Y456" s="19"/>
      <c r="Z456" s="19"/>
      <c r="AA456" s="23"/>
    </row>
    <row r="457" spans="1:27" ht="15.75" customHeight="1" x14ac:dyDescent="0.2">
      <c r="A457" s="34"/>
      <c r="B457" s="34"/>
      <c r="C457" s="34"/>
      <c r="D457" s="34"/>
      <c r="E457" s="19"/>
      <c r="F457" s="19"/>
      <c r="G457" s="19"/>
      <c r="H457" s="19"/>
      <c r="I457" s="19"/>
      <c r="J457" s="19"/>
      <c r="K457" s="19"/>
      <c r="L457" s="19"/>
      <c r="M457" s="19"/>
      <c r="N457" s="19"/>
      <c r="O457" s="19"/>
      <c r="P457" s="19"/>
      <c r="Q457" s="20"/>
      <c r="R457" s="20"/>
      <c r="S457" s="22"/>
      <c r="T457" s="22"/>
      <c r="U457" s="20"/>
      <c r="V457" s="20"/>
      <c r="W457" s="20"/>
      <c r="X457" s="19"/>
      <c r="Y457" s="19"/>
      <c r="Z457" s="19"/>
      <c r="AA457" s="23"/>
    </row>
    <row r="458" spans="1:27" ht="15.75" customHeight="1" x14ac:dyDescent="0.2">
      <c r="A458" s="34"/>
      <c r="B458" s="34"/>
      <c r="C458" s="34"/>
      <c r="D458" s="34"/>
      <c r="E458" s="19"/>
      <c r="F458" s="19"/>
      <c r="G458" s="19"/>
      <c r="H458" s="19"/>
      <c r="I458" s="19"/>
      <c r="J458" s="19"/>
      <c r="K458" s="19"/>
      <c r="L458" s="19"/>
      <c r="M458" s="19"/>
      <c r="N458" s="19"/>
      <c r="O458" s="19"/>
      <c r="P458" s="19"/>
      <c r="Q458" s="20"/>
      <c r="R458" s="20"/>
      <c r="S458" s="22"/>
      <c r="T458" s="22"/>
      <c r="U458" s="20"/>
      <c r="V458" s="20"/>
      <c r="W458" s="20"/>
      <c r="X458" s="19"/>
      <c r="Y458" s="19"/>
      <c r="Z458" s="19"/>
      <c r="AA458" s="23"/>
    </row>
    <row r="459" spans="1:27" ht="15.75" customHeight="1" x14ac:dyDescent="0.2">
      <c r="A459" s="34"/>
      <c r="B459" s="34"/>
      <c r="C459" s="34"/>
      <c r="D459" s="34"/>
      <c r="E459" s="19"/>
      <c r="F459" s="19"/>
      <c r="G459" s="19"/>
      <c r="H459" s="19"/>
      <c r="I459" s="19"/>
      <c r="J459" s="19"/>
      <c r="K459" s="19"/>
      <c r="L459" s="19"/>
      <c r="M459" s="19"/>
      <c r="N459" s="19"/>
      <c r="O459" s="19"/>
      <c r="P459" s="19"/>
      <c r="Q459" s="20"/>
      <c r="R459" s="20"/>
      <c r="S459" s="22"/>
      <c r="T459" s="22"/>
      <c r="U459" s="20"/>
      <c r="V459" s="20"/>
      <c r="W459" s="20"/>
      <c r="X459" s="19"/>
      <c r="Y459" s="19"/>
      <c r="Z459" s="19"/>
      <c r="AA459" s="23"/>
    </row>
    <row r="460" spans="1:27" ht="15.75" customHeight="1" x14ac:dyDescent="0.2">
      <c r="A460" s="34"/>
      <c r="B460" s="34"/>
      <c r="C460" s="34"/>
      <c r="D460" s="34"/>
      <c r="E460" s="19"/>
      <c r="F460" s="19"/>
      <c r="G460" s="19"/>
      <c r="H460" s="19"/>
      <c r="I460" s="19"/>
      <c r="J460" s="19"/>
      <c r="K460" s="19"/>
      <c r="L460" s="19"/>
      <c r="M460" s="19"/>
      <c r="N460" s="19"/>
      <c r="O460" s="19"/>
      <c r="P460" s="19"/>
      <c r="Q460" s="20"/>
      <c r="R460" s="20"/>
      <c r="S460" s="22"/>
      <c r="T460" s="22"/>
      <c r="U460" s="20"/>
      <c r="V460" s="20"/>
      <c r="W460" s="20"/>
      <c r="X460" s="19"/>
      <c r="Y460" s="19"/>
      <c r="Z460" s="19"/>
      <c r="AA460" s="23"/>
    </row>
    <row r="461" spans="1:27" ht="15.75" customHeight="1" x14ac:dyDescent="0.2">
      <c r="A461" s="34"/>
      <c r="B461" s="34"/>
      <c r="C461" s="34"/>
      <c r="D461" s="34"/>
      <c r="E461" s="19"/>
      <c r="F461" s="19"/>
      <c r="G461" s="19"/>
      <c r="H461" s="19"/>
      <c r="I461" s="19"/>
      <c r="J461" s="19"/>
      <c r="K461" s="19"/>
      <c r="L461" s="19"/>
      <c r="M461" s="19"/>
      <c r="N461" s="19"/>
      <c r="O461" s="19"/>
      <c r="P461" s="19"/>
      <c r="Q461" s="20"/>
      <c r="R461" s="20"/>
      <c r="S461" s="22"/>
      <c r="T461" s="22"/>
      <c r="U461" s="20"/>
      <c r="V461" s="20"/>
      <c r="W461" s="20"/>
      <c r="X461" s="19"/>
      <c r="Y461" s="19"/>
      <c r="Z461" s="19"/>
      <c r="AA461" s="23"/>
    </row>
    <row r="462" spans="1:27" ht="15.75" customHeight="1" x14ac:dyDescent="0.2">
      <c r="A462" s="34"/>
      <c r="B462" s="34"/>
      <c r="C462" s="34"/>
      <c r="D462" s="34"/>
      <c r="E462" s="19"/>
      <c r="F462" s="19"/>
      <c r="G462" s="19"/>
      <c r="H462" s="19"/>
      <c r="I462" s="19"/>
      <c r="J462" s="19"/>
      <c r="K462" s="19"/>
      <c r="L462" s="19"/>
      <c r="M462" s="19"/>
      <c r="N462" s="19"/>
      <c r="O462" s="19"/>
      <c r="P462" s="19"/>
      <c r="Q462" s="20"/>
      <c r="R462" s="20"/>
      <c r="S462" s="22"/>
      <c r="T462" s="22"/>
      <c r="U462" s="20"/>
      <c r="V462" s="20"/>
      <c r="W462" s="20"/>
      <c r="X462" s="19"/>
      <c r="Y462" s="19"/>
      <c r="Z462" s="19"/>
      <c r="AA462" s="23"/>
    </row>
    <row r="463" spans="1:27" ht="15.75" customHeight="1" x14ac:dyDescent="0.2">
      <c r="A463" s="34"/>
      <c r="B463" s="34"/>
      <c r="C463" s="34"/>
      <c r="D463" s="34"/>
      <c r="E463" s="19"/>
      <c r="F463" s="19"/>
      <c r="G463" s="19"/>
      <c r="H463" s="19"/>
      <c r="I463" s="19"/>
      <c r="J463" s="19"/>
      <c r="K463" s="19"/>
      <c r="L463" s="19"/>
      <c r="M463" s="19"/>
      <c r="N463" s="19"/>
      <c r="O463" s="19"/>
      <c r="P463" s="19"/>
      <c r="Q463" s="20"/>
      <c r="R463" s="20"/>
      <c r="S463" s="22"/>
      <c r="T463" s="22"/>
      <c r="U463" s="20"/>
      <c r="V463" s="20"/>
      <c r="W463" s="20"/>
      <c r="X463" s="19"/>
      <c r="Y463" s="19"/>
      <c r="Z463" s="19"/>
      <c r="AA463" s="23"/>
    </row>
    <row r="464" spans="1:27" ht="15.75" customHeight="1" x14ac:dyDescent="0.2">
      <c r="A464" s="34"/>
      <c r="B464" s="34"/>
      <c r="C464" s="34"/>
      <c r="D464" s="34"/>
      <c r="E464" s="19"/>
      <c r="F464" s="19"/>
      <c r="G464" s="19"/>
      <c r="H464" s="19"/>
      <c r="I464" s="19"/>
      <c r="J464" s="19"/>
      <c r="K464" s="19"/>
      <c r="L464" s="19"/>
      <c r="M464" s="19"/>
      <c r="N464" s="19"/>
      <c r="O464" s="19"/>
      <c r="P464" s="19"/>
      <c r="Q464" s="20"/>
      <c r="R464" s="20"/>
      <c r="S464" s="22"/>
      <c r="T464" s="22"/>
      <c r="U464" s="20"/>
      <c r="V464" s="20"/>
      <c r="W464" s="20"/>
      <c r="X464" s="19"/>
      <c r="Y464" s="19"/>
      <c r="Z464" s="19"/>
      <c r="AA464" s="23"/>
    </row>
    <row r="465" spans="1:27" ht="15.75" customHeight="1" x14ac:dyDescent="0.2">
      <c r="A465" s="34"/>
      <c r="B465" s="34"/>
      <c r="C465" s="34"/>
      <c r="D465" s="34"/>
      <c r="E465" s="19"/>
      <c r="F465" s="19"/>
      <c r="G465" s="19"/>
      <c r="H465" s="19"/>
      <c r="I465" s="19"/>
      <c r="J465" s="19"/>
      <c r="K465" s="19"/>
      <c r="L465" s="19"/>
      <c r="M465" s="19"/>
      <c r="N465" s="19"/>
      <c r="O465" s="19"/>
      <c r="P465" s="19"/>
      <c r="Q465" s="20"/>
      <c r="R465" s="20"/>
      <c r="S465" s="22"/>
      <c r="T465" s="22"/>
      <c r="U465" s="20"/>
      <c r="V465" s="20"/>
      <c r="W465" s="20"/>
      <c r="X465" s="19"/>
      <c r="Y465" s="19"/>
      <c r="Z465" s="19"/>
      <c r="AA465" s="23"/>
    </row>
    <row r="466" spans="1:27" ht="15.75" customHeight="1" x14ac:dyDescent="0.2">
      <c r="A466" s="34"/>
      <c r="B466" s="34"/>
      <c r="C466" s="34"/>
      <c r="D466" s="34"/>
      <c r="E466" s="19"/>
      <c r="F466" s="19"/>
      <c r="G466" s="19"/>
      <c r="H466" s="19"/>
      <c r="I466" s="19"/>
      <c r="J466" s="19"/>
      <c r="K466" s="19"/>
      <c r="L466" s="19"/>
      <c r="M466" s="19"/>
      <c r="N466" s="19"/>
      <c r="O466" s="19"/>
      <c r="P466" s="19"/>
      <c r="Q466" s="20"/>
      <c r="R466" s="20"/>
      <c r="S466" s="22"/>
      <c r="T466" s="22"/>
      <c r="U466" s="20"/>
      <c r="V466" s="20"/>
      <c r="W466" s="20"/>
      <c r="X466" s="19"/>
      <c r="Y466" s="19"/>
      <c r="Z466" s="19"/>
      <c r="AA466" s="23"/>
    </row>
    <row r="467" spans="1:27" ht="15.75" customHeight="1" x14ac:dyDescent="0.2">
      <c r="A467" s="34"/>
      <c r="B467" s="34"/>
      <c r="C467" s="34"/>
      <c r="D467" s="34"/>
      <c r="E467" s="19"/>
      <c r="F467" s="19"/>
      <c r="G467" s="19"/>
      <c r="H467" s="19"/>
      <c r="I467" s="19"/>
      <c r="J467" s="19"/>
      <c r="K467" s="19"/>
      <c r="L467" s="19"/>
      <c r="M467" s="19"/>
      <c r="N467" s="19"/>
      <c r="O467" s="19"/>
      <c r="P467" s="19"/>
      <c r="Q467" s="20"/>
      <c r="R467" s="20"/>
      <c r="S467" s="22"/>
      <c r="T467" s="22"/>
      <c r="U467" s="20"/>
      <c r="V467" s="20"/>
      <c r="W467" s="20"/>
      <c r="X467" s="19"/>
      <c r="Y467" s="19"/>
      <c r="Z467" s="19"/>
      <c r="AA467" s="23"/>
    </row>
    <row r="468" spans="1:27" ht="15.75" customHeight="1" x14ac:dyDescent="0.2">
      <c r="A468" s="34"/>
      <c r="B468" s="34"/>
      <c r="C468" s="34"/>
      <c r="D468" s="34"/>
      <c r="E468" s="19"/>
      <c r="F468" s="19"/>
      <c r="G468" s="19"/>
      <c r="H468" s="19"/>
      <c r="I468" s="19"/>
      <c r="J468" s="19"/>
      <c r="K468" s="19"/>
      <c r="L468" s="19"/>
      <c r="M468" s="19"/>
      <c r="N468" s="19"/>
      <c r="O468" s="19"/>
      <c r="P468" s="19"/>
      <c r="Q468" s="20"/>
      <c r="R468" s="20"/>
      <c r="S468" s="22"/>
      <c r="T468" s="22"/>
      <c r="U468" s="20"/>
      <c r="V468" s="20"/>
      <c r="W468" s="20"/>
      <c r="X468" s="19"/>
      <c r="Y468" s="19"/>
      <c r="Z468" s="19"/>
      <c r="AA468" s="23"/>
    </row>
    <row r="469" spans="1:27" ht="15.75" customHeight="1" x14ac:dyDescent="0.2">
      <c r="A469" s="34"/>
      <c r="B469" s="34"/>
      <c r="C469" s="34"/>
      <c r="D469" s="34"/>
      <c r="E469" s="19"/>
      <c r="F469" s="19"/>
      <c r="G469" s="19"/>
      <c r="H469" s="19"/>
      <c r="I469" s="19"/>
      <c r="J469" s="19"/>
      <c r="K469" s="19"/>
      <c r="L469" s="19"/>
      <c r="M469" s="19"/>
      <c r="N469" s="19"/>
      <c r="O469" s="19"/>
      <c r="P469" s="19"/>
      <c r="Q469" s="20"/>
      <c r="R469" s="20"/>
      <c r="S469" s="22"/>
      <c r="T469" s="22"/>
      <c r="U469" s="20"/>
      <c r="V469" s="20"/>
      <c r="W469" s="20"/>
      <c r="X469" s="19"/>
      <c r="Y469" s="19"/>
      <c r="Z469" s="19"/>
      <c r="AA469" s="23"/>
    </row>
    <row r="470" spans="1:27" ht="15.75" customHeight="1" x14ac:dyDescent="0.2">
      <c r="A470" s="34"/>
      <c r="B470" s="34"/>
      <c r="C470" s="34"/>
      <c r="D470" s="34"/>
      <c r="E470" s="19"/>
      <c r="F470" s="19"/>
      <c r="G470" s="19"/>
      <c r="H470" s="19"/>
      <c r="I470" s="19"/>
      <c r="J470" s="19"/>
      <c r="K470" s="19"/>
      <c r="L470" s="19"/>
      <c r="M470" s="19"/>
      <c r="N470" s="19"/>
      <c r="O470" s="19"/>
      <c r="P470" s="19"/>
      <c r="Q470" s="20"/>
      <c r="R470" s="20"/>
      <c r="S470" s="22"/>
      <c r="T470" s="22"/>
      <c r="U470" s="20"/>
      <c r="V470" s="20"/>
      <c r="W470" s="20"/>
      <c r="X470" s="19"/>
      <c r="Y470" s="19"/>
      <c r="Z470" s="19"/>
      <c r="AA470" s="23"/>
    </row>
    <row r="471" spans="1:27" ht="15.75" customHeight="1" x14ac:dyDescent="0.2">
      <c r="A471" s="34"/>
      <c r="B471" s="34"/>
      <c r="C471" s="34"/>
      <c r="D471" s="34"/>
      <c r="E471" s="19"/>
      <c r="F471" s="19"/>
      <c r="G471" s="19"/>
      <c r="H471" s="19"/>
      <c r="I471" s="19"/>
      <c r="J471" s="19"/>
      <c r="K471" s="19"/>
      <c r="L471" s="19"/>
      <c r="M471" s="19"/>
      <c r="N471" s="19"/>
      <c r="O471" s="19"/>
      <c r="P471" s="19"/>
      <c r="Q471" s="20"/>
      <c r="R471" s="20"/>
      <c r="S471" s="22"/>
      <c r="T471" s="22"/>
      <c r="U471" s="20"/>
      <c r="V471" s="20"/>
      <c r="W471" s="20"/>
      <c r="X471" s="19"/>
      <c r="Y471" s="19"/>
      <c r="Z471" s="19"/>
      <c r="AA471" s="23"/>
    </row>
    <row r="472" spans="1:27" ht="15.75" customHeight="1" x14ac:dyDescent="0.2">
      <c r="A472" s="34"/>
      <c r="B472" s="34"/>
      <c r="C472" s="34"/>
      <c r="D472" s="34"/>
      <c r="E472" s="19"/>
      <c r="F472" s="19"/>
      <c r="G472" s="19"/>
      <c r="H472" s="19"/>
      <c r="I472" s="19"/>
      <c r="J472" s="19"/>
      <c r="K472" s="19"/>
      <c r="L472" s="19"/>
      <c r="M472" s="19"/>
      <c r="N472" s="19"/>
      <c r="O472" s="19"/>
      <c r="P472" s="19"/>
      <c r="Q472" s="20"/>
      <c r="R472" s="20"/>
      <c r="S472" s="22"/>
      <c r="T472" s="22"/>
      <c r="U472" s="20"/>
      <c r="V472" s="20"/>
      <c r="W472" s="20"/>
      <c r="X472" s="19"/>
      <c r="Y472" s="19"/>
      <c r="Z472" s="19"/>
      <c r="AA472" s="23"/>
    </row>
    <row r="473" spans="1:27" ht="15.75" customHeight="1" x14ac:dyDescent="0.2">
      <c r="A473" s="34"/>
      <c r="B473" s="34"/>
      <c r="C473" s="34"/>
      <c r="D473" s="34"/>
      <c r="E473" s="19"/>
      <c r="F473" s="19"/>
      <c r="G473" s="19"/>
      <c r="H473" s="19"/>
      <c r="I473" s="19"/>
      <c r="J473" s="19"/>
      <c r="K473" s="19"/>
      <c r="L473" s="19"/>
      <c r="M473" s="19"/>
      <c r="N473" s="19"/>
      <c r="O473" s="19"/>
      <c r="P473" s="19"/>
      <c r="Q473" s="20"/>
      <c r="R473" s="20"/>
      <c r="S473" s="22"/>
      <c r="T473" s="22"/>
      <c r="U473" s="20"/>
      <c r="V473" s="20"/>
      <c r="W473" s="20"/>
      <c r="X473" s="19"/>
      <c r="Y473" s="19"/>
      <c r="Z473" s="19"/>
      <c r="AA473" s="23"/>
    </row>
    <row r="474" spans="1:27" ht="15.75" customHeight="1" x14ac:dyDescent="0.2">
      <c r="A474" s="34"/>
      <c r="B474" s="34"/>
      <c r="C474" s="34"/>
      <c r="D474" s="34"/>
      <c r="E474" s="19"/>
      <c r="F474" s="19"/>
      <c r="G474" s="19"/>
      <c r="H474" s="19"/>
      <c r="I474" s="19"/>
      <c r="J474" s="19"/>
      <c r="K474" s="19"/>
      <c r="L474" s="19"/>
      <c r="M474" s="19"/>
      <c r="N474" s="19"/>
      <c r="O474" s="19"/>
      <c r="P474" s="19"/>
      <c r="Q474" s="20"/>
      <c r="R474" s="20"/>
      <c r="S474" s="22"/>
      <c r="T474" s="22"/>
      <c r="U474" s="20"/>
      <c r="V474" s="20"/>
      <c r="W474" s="20"/>
      <c r="X474" s="19"/>
      <c r="Y474" s="19"/>
      <c r="Z474" s="19"/>
      <c r="AA474" s="23"/>
    </row>
    <row r="475" spans="1:27" ht="15.75" customHeight="1" x14ac:dyDescent="0.2">
      <c r="A475" s="34"/>
      <c r="B475" s="34"/>
      <c r="C475" s="34"/>
      <c r="D475" s="34"/>
      <c r="E475" s="19"/>
      <c r="F475" s="19"/>
      <c r="G475" s="19"/>
      <c r="H475" s="19"/>
      <c r="I475" s="19"/>
      <c r="J475" s="19"/>
      <c r="K475" s="19"/>
      <c r="L475" s="19"/>
      <c r="M475" s="19"/>
      <c r="N475" s="19"/>
      <c r="O475" s="19"/>
      <c r="P475" s="19"/>
      <c r="Q475" s="20"/>
      <c r="R475" s="20"/>
      <c r="S475" s="22"/>
      <c r="T475" s="22"/>
      <c r="U475" s="20"/>
      <c r="V475" s="20"/>
      <c r="W475" s="20"/>
      <c r="X475" s="19"/>
      <c r="Y475" s="19"/>
      <c r="Z475" s="19"/>
      <c r="AA475" s="23"/>
    </row>
    <row r="476" spans="1:27" ht="15.75" customHeight="1" x14ac:dyDescent="0.2">
      <c r="A476" s="34"/>
      <c r="B476" s="34"/>
      <c r="C476" s="34"/>
      <c r="D476" s="34"/>
      <c r="E476" s="19"/>
      <c r="F476" s="19"/>
      <c r="G476" s="19"/>
      <c r="H476" s="19"/>
      <c r="I476" s="19"/>
      <c r="J476" s="19"/>
      <c r="K476" s="19"/>
      <c r="L476" s="19"/>
      <c r="M476" s="19"/>
      <c r="N476" s="19"/>
      <c r="O476" s="19"/>
      <c r="P476" s="19"/>
      <c r="Q476" s="20"/>
      <c r="R476" s="20"/>
      <c r="S476" s="22"/>
      <c r="T476" s="22"/>
      <c r="U476" s="20"/>
      <c r="V476" s="20"/>
      <c r="W476" s="20"/>
      <c r="X476" s="19"/>
      <c r="Y476" s="19"/>
      <c r="Z476" s="19"/>
      <c r="AA476" s="23"/>
    </row>
    <row r="477" spans="1:27" ht="15.75" customHeight="1" x14ac:dyDescent="0.2">
      <c r="A477" s="34"/>
      <c r="B477" s="34"/>
      <c r="C477" s="34"/>
      <c r="D477" s="34"/>
      <c r="E477" s="19"/>
      <c r="F477" s="19"/>
      <c r="G477" s="19"/>
      <c r="H477" s="19"/>
      <c r="I477" s="19"/>
      <c r="J477" s="19"/>
      <c r="K477" s="19"/>
      <c r="L477" s="19"/>
      <c r="M477" s="19"/>
      <c r="N477" s="19"/>
      <c r="O477" s="19"/>
      <c r="P477" s="19"/>
      <c r="Q477" s="20"/>
      <c r="R477" s="20"/>
      <c r="S477" s="22"/>
      <c r="T477" s="22"/>
      <c r="U477" s="20"/>
      <c r="V477" s="20"/>
      <c r="W477" s="20"/>
      <c r="X477" s="19"/>
      <c r="Y477" s="19"/>
      <c r="Z477" s="19"/>
      <c r="AA477" s="23"/>
    </row>
    <row r="478" spans="1:27" ht="15.75" customHeight="1" x14ac:dyDescent="0.2">
      <c r="A478" s="34"/>
      <c r="B478" s="34"/>
      <c r="C478" s="34"/>
      <c r="D478" s="34"/>
      <c r="E478" s="19"/>
      <c r="F478" s="19"/>
      <c r="G478" s="19"/>
      <c r="H478" s="19"/>
      <c r="I478" s="19"/>
      <c r="J478" s="19"/>
      <c r="K478" s="19"/>
      <c r="L478" s="19"/>
      <c r="M478" s="19"/>
      <c r="N478" s="19"/>
      <c r="O478" s="19"/>
      <c r="P478" s="19"/>
      <c r="Q478" s="20"/>
      <c r="R478" s="20"/>
      <c r="S478" s="22"/>
      <c r="T478" s="22"/>
      <c r="U478" s="20"/>
      <c r="V478" s="20"/>
      <c r="W478" s="20"/>
      <c r="X478" s="19"/>
      <c r="Y478" s="19"/>
      <c r="Z478" s="19"/>
      <c r="AA478" s="23"/>
    </row>
    <row r="479" spans="1:27" ht="15.75" customHeight="1" x14ac:dyDescent="0.2">
      <c r="A479" s="34"/>
      <c r="B479" s="34"/>
      <c r="C479" s="34"/>
      <c r="D479" s="34"/>
      <c r="E479" s="19"/>
      <c r="F479" s="19"/>
      <c r="G479" s="19"/>
      <c r="H479" s="19"/>
      <c r="I479" s="19"/>
      <c r="J479" s="19"/>
      <c r="K479" s="19"/>
      <c r="L479" s="19"/>
      <c r="M479" s="19"/>
      <c r="N479" s="19"/>
      <c r="O479" s="19"/>
      <c r="P479" s="19"/>
      <c r="Q479" s="20"/>
      <c r="R479" s="20"/>
      <c r="S479" s="22"/>
      <c r="T479" s="22"/>
      <c r="U479" s="20"/>
      <c r="V479" s="20"/>
      <c r="W479" s="20"/>
      <c r="X479" s="19"/>
      <c r="Y479" s="19"/>
      <c r="Z479" s="19"/>
      <c r="AA479" s="23"/>
    </row>
    <row r="480" spans="1:27" ht="15.75" customHeight="1" x14ac:dyDescent="0.2">
      <c r="A480" s="34"/>
      <c r="B480" s="34"/>
      <c r="C480" s="34"/>
      <c r="D480" s="34"/>
      <c r="E480" s="19"/>
      <c r="F480" s="19"/>
      <c r="G480" s="19"/>
      <c r="H480" s="19"/>
      <c r="I480" s="19"/>
      <c r="J480" s="19"/>
      <c r="K480" s="19"/>
      <c r="L480" s="19"/>
      <c r="M480" s="19"/>
      <c r="N480" s="19"/>
      <c r="O480" s="19"/>
      <c r="P480" s="19"/>
      <c r="Q480" s="20"/>
      <c r="R480" s="20"/>
      <c r="S480" s="22"/>
      <c r="T480" s="22"/>
      <c r="U480" s="20"/>
      <c r="V480" s="20"/>
      <c r="W480" s="20"/>
      <c r="X480" s="19"/>
      <c r="Y480" s="19"/>
      <c r="Z480" s="19"/>
      <c r="AA480" s="23"/>
    </row>
    <row r="481" spans="1:27" ht="15.75" customHeight="1" x14ac:dyDescent="0.2">
      <c r="A481" s="34"/>
      <c r="B481" s="34"/>
      <c r="C481" s="34"/>
      <c r="D481" s="34"/>
      <c r="E481" s="19"/>
      <c r="F481" s="19"/>
      <c r="G481" s="19"/>
      <c r="H481" s="19"/>
      <c r="I481" s="19"/>
      <c r="J481" s="19"/>
      <c r="K481" s="19"/>
      <c r="L481" s="19"/>
      <c r="M481" s="19"/>
      <c r="N481" s="19"/>
      <c r="O481" s="19"/>
      <c r="P481" s="19"/>
      <c r="Q481" s="20"/>
      <c r="R481" s="20"/>
      <c r="S481" s="22"/>
      <c r="T481" s="22"/>
      <c r="U481" s="20"/>
      <c r="V481" s="20"/>
      <c r="W481" s="20"/>
      <c r="X481" s="19"/>
      <c r="Y481" s="19"/>
      <c r="Z481" s="19"/>
      <c r="AA481" s="23"/>
    </row>
    <row r="482" spans="1:27" ht="15.75" customHeight="1" x14ac:dyDescent="0.2">
      <c r="A482" s="34"/>
      <c r="B482" s="34"/>
      <c r="C482" s="34"/>
      <c r="D482" s="34"/>
      <c r="E482" s="19"/>
      <c r="F482" s="19"/>
      <c r="G482" s="19"/>
      <c r="H482" s="19"/>
      <c r="I482" s="19"/>
      <c r="J482" s="19"/>
      <c r="K482" s="19"/>
      <c r="L482" s="19"/>
      <c r="M482" s="19"/>
      <c r="N482" s="19"/>
      <c r="O482" s="19"/>
      <c r="P482" s="19"/>
      <c r="Q482" s="20"/>
      <c r="R482" s="20"/>
      <c r="S482" s="22"/>
      <c r="T482" s="22"/>
      <c r="U482" s="20"/>
      <c r="V482" s="20"/>
      <c r="W482" s="20"/>
      <c r="X482" s="19"/>
      <c r="Y482" s="19"/>
      <c r="Z482" s="19"/>
      <c r="AA482" s="23"/>
    </row>
    <row r="483" spans="1:27" ht="15.75" customHeight="1" x14ac:dyDescent="0.2">
      <c r="A483" s="34"/>
      <c r="B483" s="34"/>
      <c r="C483" s="34"/>
      <c r="D483" s="34"/>
      <c r="E483" s="19"/>
      <c r="F483" s="19"/>
      <c r="G483" s="19"/>
      <c r="H483" s="19"/>
      <c r="I483" s="19"/>
      <c r="J483" s="19"/>
      <c r="K483" s="19"/>
      <c r="L483" s="19"/>
      <c r="M483" s="19"/>
      <c r="N483" s="19"/>
      <c r="O483" s="19"/>
      <c r="P483" s="19"/>
      <c r="Q483" s="20"/>
      <c r="R483" s="20"/>
      <c r="S483" s="22"/>
      <c r="T483" s="22"/>
      <c r="U483" s="20"/>
      <c r="V483" s="20"/>
      <c r="W483" s="20"/>
      <c r="X483" s="19"/>
      <c r="Y483" s="19"/>
      <c r="Z483" s="19"/>
      <c r="AA483" s="23"/>
    </row>
    <row r="484" spans="1:27" ht="15.75" customHeight="1" x14ac:dyDescent="0.2">
      <c r="A484" s="34"/>
      <c r="B484" s="34"/>
      <c r="C484" s="34"/>
      <c r="D484" s="34"/>
      <c r="E484" s="19"/>
      <c r="F484" s="19"/>
      <c r="G484" s="19"/>
      <c r="H484" s="19"/>
      <c r="I484" s="19"/>
      <c r="J484" s="19"/>
      <c r="K484" s="19"/>
      <c r="L484" s="19"/>
      <c r="M484" s="19"/>
      <c r="N484" s="19"/>
      <c r="O484" s="19"/>
      <c r="P484" s="19"/>
      <c r="Q484" s="20"/>
      <c r="R484" s="20"/>
      <c r="S484" s="22"/>
      <c r="T484" s="22"/>
      <c r="U484" s="20"/>
      <c r="V484" s="20"/>
      <c r="W484" s="20"/>
      <c r="X484" s="19"/>
      <c r="Y484" s="19"/>
      <c r="Z484" s="19"/>
      <c r="AA484" s="23"/>
    </row>
    <row r="485" spans="1:27" ht="15.75" customHeight="1" x14ac:dyDescent="0.2">
      <c r="A485" s="34"/>
      <c r="B485" s="34"/>
      <c r="C485" s="34"/>
      <c r="D485" s="34"/>
      <c r="E485" s="19"/>
      <c r="F485" s="19"/>
      <c r="G485" s="19"/>
      <c r="H485" s="19"/>
      <c r="I485" s="19"/>
      <c r="J485" s="19"/>
      <c r="K485" s="19"/>
      <c r="L485" s="19"/>
      <c r="M485" s="19"/>
      <c r="N485" s="19"/>
      <c r="O485" s="19"/>
      <c r="P485" s="19"/>
      <c r="Q485" s="20"/>
      <c r="R485" s="20"/>
      <c r="S485" s="22"/>
      <c r="T485" s="22"/>
      <c r="U485" s="20"/>
      <c r="V485" s="20"/>
      <c r="W485" s="20"/>
      <c r="X485" s="19"/>
      <c r="Y485" s="19"/>
      <c r="Z485" s="19"/>
      <c r="AA485" s="23"/>
    </row>
    <row r="486" spans="1:27" ht="15.75" customHeight="1" x14ac:dyDescent="0.2">
      <c r="A486" s="34"/>
      <c r="B486" s="34"/>
      <c r="C486" s="34"/>
      <c r="D486" s="34"/>
      <c r="E486" s="19"/>
      <c r="F486" s="19"/>
      <c r="G486" s="19"/>
      <c r="H486" s="19"/>
      <c r="I486" s="19"/>
      <c r="J486" s="19"/>
      <c r="K486" s="19"/>
      <c r="L486" s="19"/>
      <c r="M486" s="19"/>
      <c r="N486" s="19"/>
      <c r="O486" s="19"/>
      <c r="P486" s="19"/>
      <c r="Q486" s="20"/>
      <c r="R486" s="20"/>
      <c r="S486" s="22"/>
      <c r="T486" s="22"/>
      <c r="U486" s="20"/>
      <c r="V486" s="20"/>
      <c r="W486" s="20"/>
      <c r="X486" s="19"/>
      <c r="Y486" s="19"/>
      <c r="Z486" s="19"/>
      <c r="AA486" s="23"/>
    </row>
    <row r="487" spans="1:27" ht="15.75" customHeight="1" x14ac:dyDescent="0.2">
      <c r="A487" s="34"/>
      <c r="B487" s="34"/>
      <c r="C487" s="34"/>
      <c r="D487" s="34"/>
      <c r="E487" s="19"/>
      <c r="F487" s="19"/>
      <c r="G487" s="19"/>
      <c r="H487" s="19"/>
      <c r="I487" s="19"/>
      <c r="J487" s="19"/>
      <c r="K487" s="19"/>
      <c r="L487" s="19"/>
      <c r="M487" s="19"/>
      <c r="N487" s="19"/>
      <c r="O487" s="19"/>
      <c r="P487" s="19"/>
      <c r="Q487" s="20"/>
      <c r="R487" s="20"/>
      <c r="S487" s="22"/>
      <c r="T487" s="22"/>
      <c r="U487" s="20"/>
      <c r="V487" s="20"/>
      <c r="W487" s="20"/>
      <c r="X487" s="19"/>
      <c r="Y487" s="19"/>
      <c r="Z487" s="19"/>
      <c r="AA487" s="23"/>
    </row>
    <row r="488" spans="1:27" ht="15.75" customHeight="1" x14ac:dyDescent="0.2">
      <c r="A488" s="34"/>
      <c r="B488" s="34"/>
      <c r="C488" s="34"/>
      <c r="D488" s="34"/>
      <c r="E488" s="19"/>
      <c r="F488" s="19"/>
      <c r="G488" s="19"/>
      <c r="H488" s="19"/>
      <c r="I488" s="19"/>
      <c r="J488" s="19"/>
      <c r="K488" s="19"/>
      <c r="L488" s="19"/>
      <c r="M488" s="19"/>
      <c r="N488" s="19"/>
      <c r="O488" s="19"/>
      <c r="P488" s="19"/>
      <c r="Q488" s="20"/>
      <c r="R488" s="20"/>
      <c r="S488" s="22"/>
      <c r="T488" s="22"/>
      <c r="U488" s="20"/>
      <c r="V488" s="20"/>
      <c r="W488" s="20"/>
      <c r="X488" s="19"/>
      <c r="Y488" s="19"/>
      <c r="Z488" s="19"/>
      <c r="AA488" s="23"/>
    </row>
    <row r="489" spans="1:27" ht="15.75" customHeight="1" x14ac:dyDescent="0.2">
      <c r="A489" s="34"/>
      <c r="B489" s="34"/>
      <c r="C489" s="34"/>
      <c r="D489" s="34"/>
      <c r="E489" s="19"/>
      <c r="F489" s="19"/>
      <c r="G489" s="19"/>
      <c r="H489" s="19"/>
      <c r="I489" s="19"/>
      <c r="J489" s="19"/>
      <c r="K489" s="19"/>
      <c r="L489" s="19"/>
      <c r="M489" s="19"/>
      <c r="N489" s="19"/>
      <c r="O489" s="19"/>
      <c r="P489" s="19"/>
      <c r="Q489" s="20"/>
      <c r="R489" s="20"/>
      <c r="S489" s="22"/>
      <c r="T489" s="22"/>
      <c r="U489" s="20"/>
      <c r="V489" s="20"/>
      <c r="W489" s="20"/>
      <c r="X489" s="19"/>
      <c r="Y489" s="19"/>
      <c r="Z489" s="19"/>
      <c r="AA489" s="23"/>
    </row>
    <row r="490" spans="1:27" ht="15.75" customHeight="1" x14ac:dyDescent="0.2">
      <c r="A490" s="34"/>
      <c r="B490" s="34"/>
      <c r="C490" s="34"/>
      <c r="D490" s="34"/>
      <c r="E490" s="19"/>
      <c r="F490" s="19"/>
      <c r="G490" s="19"/>
      <c r="H490" s="19"/>
      <c r="I490" s="19"/>
      <c r="J490" s="19"/>
      <c r="K490" s="19"/>
      <c r="L490" s="19"/>
      <c r="M490" s="19"/>
      <c r="N490" s="19"/>
      <c r="O490" s="19"/>
      <c r="P490" s="19"/>
      <c r="Q490" s="20"/>
      <c r="R490" s="20"/>
      <c r="S490" s="22"/>
      <c r="T490" s="22"/>
      <c r="U490" s="20"/>
      <c r="V490" s="20"/>
      <c r="W490" s="20"/>
      <c r="X490" s="19"/>
      <c r="Y490" s="19"/>
      <c r="Z490" s="19"/>
      <c r="AA490" s="23"/>
    </row>
    <row r="491" spans="1:27" ht="15.75" customHeight="1" x14ac:dyDescent="0.2">
      <c r="A491" s="34"/>
      <c r="B491" s="34"/>
      <c r="C491" s="34"/>
      <c r="D491" s="34"/>
      <c r="E491" s="19"/>
      <c r="F491" s="19"/>
      <c r="G491" s="19"/>
      <c r="H491" s="19"/>
      <c r="I491" s="19"/>
      <c r="J491" s="19"/>
      <c r="K491" s="19"/>
      <c r="L491" s="19"/>
      <c r="M491" s="19"/>
      <c r="N491" s="19"/>
      <c r="O491" s="19"/>
      <c r="P491" s="19"/>
      <c r="Q491" s="20"/>
      <c r="R491" s="20"/>
      <c r="S491" s="22"/>
      <c r="T491" s="22"/>
      <c r="U491" s="20"/>
      <c r="V491" s="20"/>
      <c r="W491" s="20"/>
      <c r="X491" s="19"/>
      <c r="Y491" s="19"/>
      <c r="Z491" s="19"/>
      <c r="AA491" s="23"/>
    </row>
    <row r="492" spans="1:27" ht="15.75" customHeight="1" x14ac:dyDescent="0.2">
      <c r="A492" s="34"/>
      <c r="B492" s="34"/>
      <c r="C492" s="34"/>
      <c r="D492" s="34"/>
      <c r="E492" s="19"/>
      <c r="F492" s="19"/>
      <c r="G492" s="19"/>
      <c r="H492" s="19"/>
      <c r="I492" s="19"/>
      <c r="J492" s="19"/>
      <c r="K492" s="19"/>
      <c r="L492" s="19"/>
      <c r="M492" s="19"/>
      <c r="N492" s="19"/>
      <c r="O492" s="19"/>
      <c r="P492" s="19"/>
      <c r="Q492" s="20"/>
      <c r="R492" s="20"/>
      <c r="S492" s="22"/>
      <c r="T492" s="22"/>
      <c r="U492" s="20"/>
      <c r="V492" s="20"/>
      <c r="W492" s="20"/>
      <c r="X492" s="19"/>
      <c r="Y492" s="19"/>
      <c r="Z492" s="19"/>
      <c r="AA492" s="23"/>
    </row>
    <row r="493" spans="1:27" ht="15.75" customHeight="1" x14ac:dyDescent="0.2">
      <c r="A493" s="34"/>
      <c r="B493" s="34"/>
      <c r="C493" s="34"/>
      <c r="D493" s="34"/>
      <c r="E493" s="19"/>
      <c r="F493" s="19"/>
      <c r="G493" s="19"/>
      <c r="H493" s="19"/>
      <c r="I493" s="19"/>
      <c r="J493" s="19"/>
      <c r="K493" s="19"/>
      <c r="L493" s="19"/>
      <c r="M493" s="19"/>
      <c r="N493" s="19"/>
      <c r="O493" s="19"/>
      <c r="P493" s="19"/>
      <c r="Q493" s="20"/>
      <c r="R493" s="20"/>
      <c r="S493" s="22"/>
      <c r="T493" s="22"/>
      <c r="U493" s="20"/>
      <c r="V493" s="20"/>
      <c r="W493" s="20"/>
      <c r="X493" s="19"/>
      <c r="Y493" s="19"/>
      <c r="Z493" s="19"/>
      <c r="AA493" s="23"/>
    </row>
    <row r="494" spans="1:27" ht="15.75" customHeight="1" x14ac:dyDescent="0.2">
      <c r="A494" s="34"/>
      <c r="B494" s="34"/>
      <c r="C494" s="34"/>
      <c r="D494" s="34"/>
      <c r="E494" s="19"/>
      <c r="F494" s="19"/>
      <c r="G494" s="19"/>
      <c r="H494" s="19"/>
      <c r="I494" s="19"/>
      <c r="J494" s="19"/>
      <c r="K494" s="19"/>
      <c r="L494" s="19"/>
      <c r="M494" s="19"/>
      <c r="N494" s="19"/>
      <c r="O494" s="19"/>
      <c r="P494" s="19"/>
      <c r="Q494" s="20"/>
      <c r="R494" s="20"/>
      <c r="S494" s="22"/>
      <c r="T494" s="22"/>
      <c r="U494" s="20"/>
      <c r="V494" s="20"/>
      <c r="W494" s="20"/>
      <c r="X494" s="19"/>
      <c r="Y494" s="19"/>
      <c r="Z494" s="19"/>
      <c r="AA494" s="23"/>
    </row>
    <row r="495" spans="1:27" ht="15.75" customHeight="1" x14ac:dyDescent="0.2">
      <c r="A495" s="34"/>
      <c r="B495" s="34"/>
      <c r="C495" s="34"/>
      <c r="D495" s="34"/>
      <c r="E495" s="19"/>
      <c r="F495" s="19"/>
      <c r="G495" s="19"/>
      <c r="H495" s="19"/>
      <c r="I495" s="19"/>
      <c r="J495" s="19"/>
      <c r="K495" s="19"/>
      <c r="L495" s="19"/>
      <c r="M495" s="19"/>
      <c r="N495" s="19"/>
      <c r="O495" s="19"/>
      <c r="P495" s="19"/>
      <c r="Q495" s="20"/>
      <c r="R495" s="20"/>
      <c r="S495" s="22"/>
      <c r="T495" s="22"/>
      <c r="U495" s="20"/>
      <c r="V495" s="20"/>
      <c r="W495" s="20"/>
      <c r="X495" s="19"/>
      <c r="Y495" s="19"/>
      <c r="Z495" s="19"/>
      <c r="AA495" s="23"/>
    </row>
    <row r="496" spans="1:27" ht="15.75" customHeight="1" x14ac:dyDescent="0.2">
      <c r="A496" s="34"/>
      <c r="B496" s="34"/>
      <c r="C496" s="34"/>
      <c r="D496" s="34"/>
      <c r="E496" s="19"/>
      <c r="F496" s="19"/>
      <c r="G496" s="19"/>
      <c r="H496" s="19"/>
      <c r="I496" s="19"/>
      <c r="J496" s="19"/>
      <c r="K496" s="19"/>
      <c r="L496" s="19"/>
      <c r="M496" s="19"/>
      <c r="N496" s="19"/>
      <c r="O496" s="19"/>
      <c r="P496" s="19"/>
      <c r="Q496" s="20"/>
      <c r="R496" s="20"/>
      <c r="S496" s="22"/>
      <c r="T496" s="22"/>
      <c r="U496" s="20"/>
      <c r="V496" s="20"/>
      <c r="W496" s="20"/>
      <c r="X496" s="19"/>
      <c r="Y496" s="19"/>
      <c r="Z496" s="19"/>
      <c r="AA496" s="23"/>
    </row>
    <row r="497" spans="1:27" ht="15.75" customHeight="1" x14ac:dyDescent="0.2">
      <c r="A497" s="34"/>
      <c r="B497" s="34"/>
      <c r="C497" s="34"/>
      <c r="D497" s="34"/>
      <c r="E497" s="19"/>
      <c r="F497" s="19"/>
      <c r="G497" s="19"/>
      <c r="H497" s="19"/>
      <c r="I497" s="19"/>
      <c r="J497" s="19"/>
      <c r="K497" s="19"/>
      <c r="L497" s="19"/>
      <c r="M497" s="19"/>
      <c r="N497" s="19"/>
      <c r="O497" s="19"/>
      <c r="P497" s="19"/>
      <c r="Q497" s="20"/>
      <c r="R497" s="20"/>
      <c r="S497" s="22"/>
      <c r="T497" s="22"/>
      <c r="U497" s="20"/>
      <c r="V497" s="20"/>
      <c r="W497" s="20"/>
      <c r="X497" s="19"/>
      <c r="Y497" s="19"/>
      <c r="Z497" s="19"/>
      <c r="AA497" s="23"/>
    </row>
    <row r="498" spans="1:27" ht="15.75" customHeight="1" x14ac:dyDescent="0.2">
      <c r="A498" s="34"/>
      <c r="B498" s="34"/>
      <c r="C498" s="34"/>
      <c r="D498" s="34"/>
      <c r="E498" s="19"/>
      <c r="F498" s="19"/>
      <c r="G498" s="19"/>
      <c r="H498" s="19"/>
      <c r="I498" s="19"/>
      <c r="J498" s="19"/>
      <c r="K498" s="19"/>
      <c r="L498" s="19"/>
      <c r="M498" s="19"/>
      <c r="N498" s="19"/>
      <c r="O498" s="19"/>
      <c r="P498" s="19"/>
      <c r="Q498" s="20"/>
      <c r="R498" s="20"/>
      <c r="S498" s="22"/>
      <c r="T498" s="22"/>
      <c r="U498" s="20"/>
      <c r="V498" s="20"/>
      <c r="W498" s="20"/>
      <c r="X498" s="19"/>
      <c r="Y498" s="19"/>
      <c r="Z498" s="19"/>
      <c r="AA498" s="23"/>
    </row>
    <row r="499" spans="1:27" ht="15.75" customHeight="1" x14ac:dyDescent="0.2">
      <c r="A499" s="34"/>
      <c r="B499" s="34"/>
      <c r="C499" s="34"/>
      <c r="D499" s="34"/>
      <c r="E499" s="19"/>
      <c r="F499" s="19"/>
      <c r="G499" s="19"/>
      <c r="H499" s="19"/>
      <c r="I499" s="19"/>
      <c r="J499" s="19"/>
      <c r="K499" s="19"/>
      <c r="L499" s="19"/>
      <c r="M499" s="19"/>
      <c r="N499" s="19"/>
      <c r="O499" s="19"/>
      <c r="P499" s="19"/>
      <c r="Q499" s="20"/>
      <c r="R499" s="20"/>
      <c r="S499" s="22"/>
      <c r="T499" s="22"/>
      <c r="U499" s="20"/>
      <c r="V499" s="20"/>
      <c r="W499" s="20"/>
      <c r="X499" s="19"/>
      <c r="Y499" s="19"/>
      <c r="Z499" s="19"/>
      <c r="AA499" s="23"/>
    </row>
    <row r="500" spans="1:27" ht="15.75" customHeight="1" x14ac:dyDescent="0.2">
      <c r="A500" s="34"/>
      <c r="B500" s="34"/>
      <c r="C500" s="34"/>
      <c r="D500" s="34"/>
      <c r="E500" s="19"/>
      <c r="F500" s="19"/>
      <c r="G500" s="19"/>
      <c r="H500" s="19"/>
      <c r="I500" s="19"/>
      <c r="J500" s="19"/>
      <c r="K500" s="19"/>
      <c r="L500" s="19"/>
      <c r="M500" s="19"/>
      <c r="N500" s="19"/>
      <c r="O500" s="19"/>
      <c r="P500" s="19"/>
      <c r="Q500" s="20"/>
      <c r="R500" s="20"/>
      <c r="S500" s="22"/>
      <c r="T500" s="22"/>
      <c r="U500" s="20"/>
      <c r="V500" s="20"/>
      <c r="W500" s="20"/>
      <c r="X500" s="19"/>
      <c r="Y500" s="19"/>
      <c r="Z500" s="19"/>
      <c r="AA500" s="23"/>
    </row>
    <row r="501" spans="1:27" ht="15.75" customHeight="1" x14ac:dyDescent="0.2">
      <c r="A501" s="34"/>
      <c r="B501" s="34"/>
      <c r="C501" s="34"/>
      <c r="D501" s="34"/>
      <c r="E501" s="19"/>
      <c r="F501" s="19"/>
      <c r="G501" s="19"/>
      <c r="H501" s="19"/>
      <c r="I501" s="19"/>
      <c r="J501" s="19"/>
      <c r="K501" s="19"/>
      <c r="L501" s="19"/>
      <c r="M501" s="19"/>
      <c r="N501" s="19"/>
      <c r="O501" s="19"/>
      <c r="P501" s="19"/>
      <c r="Q501" s="20"/>
      <c r="R501" s="20"/>
      <c r="S501" s="22"/>
      <c r="T501" s="22"/>
      <c r="U501" s="20"/>
      <c r="V501" s="20"/>
      <c r="W501" s="20"/>
      <c r="X501" s="19"/>
      <c r="Y501" s="19"/>
      <c r="Z501" s="19"/>
      <c r="AA501" s="23"/>
    </row>
    <row r="502" spans="1:27" ht="15.75" customHeight="1" x14ac:dyDescent="0.2">
      <c r="A502" s="34"/>
      <c r="B502" s="34"/>
      <c r="C502" s="34"/>
      <c r="D502" s="34"/>
      <c r="E502" s="19"/>
      <c r="F502" s="19"/>
      <c r="G502" s="19"/>
      <c r="H502" s="19"/>
      <c r="I502" s="19"/>
      <c r="J502" s="19"/>
      <c r="K502" s="19"/>
      <c r="L502" s="19"/>
      <c r="M502" s="19"/>
      <c r="N502" s="19"/>
      <c r="O502" s="19"/>
      <c r="P502" s="19"/>
      <c r="Q502" s="20"/>
      <c r="R502" s="20"/>
      <c r="S502" s="22"/>
      <c r="T502" s="22"/>
      <c r="U502" s="20"/>
      <c r="V502" s="20"/>
      <c r="W502" s="20"/>
      <c r="X502" s="19"/>
      <c r="Y502" s="19"/>
      <c r="Z502" s="19"/>
      <c r="AA502" s="23"/>
    </row>
    <row r="503" spans="1:27" ht="15.75" customHeight="1" x14ac:dyDescent="0.2">
      <c r="A503" s="34"/>
      <c r="B503" s="34"/>
      <c r="C503" s="34"/>
      <c r="D503" s="34"/>
      <c r="E503" s="19"/>
      <c r="F503" s="19"/>
      <c r="G503" s="19"/>
      <c r="H503" s="19"/>
      <c r="I503" s="19"/>
      <c r="J503" s="19"/>
      <c r="K503" s="19"/>
      <c r="L503" s="19"/>
      <c r="M503" s="19"/>
      <c r="N503" s="19"/>
      <c r="O503" s="19"/>
      <c r="P503" s="19"/>
      <c r="Q503" s="20"/>
      <c r="R503" s="20"/>
      <c r="S503" s="22"/>
      <c r="T503" s="22"/>
      <c r="U503" s="20"/>
      <c r="V503" s="20"/>
      <c r="W503" s="20"/>
      <c r="X503" s="19"/>
      <c r="Y503" s="19"/>
      <c r="Z503" s="19"/>
      <c r="AA503" s="23"/>
    </row>
    <row r="504" spans="1:27" ht="15.75" customHeight="1" x14ac:dyDescent="0.2">
      <c r="A504" s="34"/>
      <c r="B504" s="34"/>
      <c r="C504" s="34"/>
      <c r="D504" s="34"/>
      <c r="E504" s="19"/>
      <c r="F504" s="19"/>
      <c r="G504" s="19"/>
      <c r="H504" s="19"/>
      <c r="I504" s="19"/>
      <c r="J504" s="19"/>
      <c r="K504" s="19"/>
      <c r="L504" s="19"/>
      <c r="M504" s="19"/>
      <c r="N504" s="19"/>
      <c r="O504" s="19"/>
      <c r="P504" s="19"/>
      <c r="Q504" s="20"/>
      <c r="R504" s="20"/>
      <c r="S504" s="22"/>
      <c r="T504" s="22"/>
      <c r="U504" s="20"/>
      <c r="V504" s="20"/>
      <c r="W504" s="20"/>
      <c r="X504" s="19"/>
      <c r="Y504" s="19"/>
      <c r="Z504" s="19"/>
      <c r="AA504" s="23"/>
    </row>
    <row r="505" spans="1:27" ht="15.75" customHeight="1" x14ac:dyDescent="0.2">
      <c r="A505" s="34"/>
      <c r="B505" s="34"/>
      <c r="C505" s="34"/>
      <c r="D505" s="34"/>
      <c r="E505" s="19"/>
      <c r="F505" s="19"/>
      <c r="G505" s="19"/>
      <c r="H505" s="19"/>
      <c r="I505" s="19"/>
      <c r="J505" s="19"/>
      <c r="K505" s="19"/>
      <c r="L505" s="19"/>
      <c r="M505" s="19"/>
      <c r="N505" s="19"/>
      <c r="O505" s="19"/>
      <c r="P505" s="19"/>
      <c r="Q505" s="20"/>
      <c r="R505" s="20"/>
      <c r="S505" s="22"/>
      <c r="T505" s="22"/>
      <c r="U505" s="20"/>
      <c r="V505" s="20"/>
      <c r="W505" s="20"/>
      <c r="X505" s="19"/>
      <c r="Y505" s="19"/>
      <c r="Z505" s="19"/>
      <c r="AA505" s="23"/>
    </row>
    <row r="506" spans="1:27" ht="15.75" customHeight="1" x14ac:dyDescent="0.2">
      <c r="A506" s="34"/>
      <c r="B506" s="34"/>
      <c r="C506" s="34"/>
      <c r="D506" s="34"/>
      <c r="E506" s="19"/>
      <c r="F506" s="19"/>
      <c r="G506" s="19"/>
      <c r="H506" s="19"/>
      <c r="I506" s="19"/>
      <c r="J506" s="19"/>
      <c r="K506" s="19"/>
      <c r="L506" s="19"/>
      <c r="M506" s="19"/>
      <c r="N506" s="19"/>
      <c r="O506" s="19"/>
      <c r="P506" s="19"/>
      <c r="Q506" s="20"/>
      <c r="R506" s="20"/>
      <c r="S506" s="22"/>
      <c r="T506" s="22"/>
      <c r="U506" s="20"/>
      <c r="V506" s="20"/>
      <c r="W506" s="20"/>
      <c r="X506" s="19"/>
      <c r="Y506" s="19"/>
      <c r="Z506" s="19"/>
      <c r="AA506" s="23"/>
    </row>
    <row r="507" spans="1:27" ht="15.75" customHeight="1" x14ac:dyDescent="0.2">
      <c r="A507" s="34"/>
      <c r="B507" s="34"/>
      <c r="C507" s="34"/>
      <c r="D507" s="34"/>
      <c r="E507" s="19"/>
      <c r="F507" s="19"/>
      <c r="G507" s="19"/>
      <c r="H507" s="19"/>
      <c r="I507" s="19"/>
      <c r="J507" s="19"/>
      <c r="K507" s="19"/>
      <c r="L507" s="19"/>
      <c r="M507" s="19"/>
      <c r="N507" s="19"/>
      <c r="O507" s="19"/>
      <c r="P507" s="19"/>
      <c r="Q507" s="20"/>
      <c r="R507" s="20"/>
      <c r="S507" s="22"/>
      <c r="T507" s="22"/>
      <c r="U507" s="20"/>
      <c r="V507" s="20"/>
      <c r="W507" s="20"/>
      <c r="X507" s="19"/>
      <c r="Y507" s="19"/>
      <c r="Z507" s="19"/>
      <c r="AA507" s="23"/>
    </row>
    <row r="508" spans="1:27" ht="15.75" customHeight="1" x14ac:dyDescent="0.2">
      <c r="A508" s="34"/>
      <c r="B508" s="34"/>
      <c r="C508" s="34"/>
      <c r="D508" s="34"/>
      <c r="E508" s="19"/>
      <c r="F508" s="19"/>
      <c r="G508" s="19"/>
      <c r="H508" s="19"/>
      <c r="I508" s="19"/>
      <c r="J508" s="19"/>
      <c r="K508" s="19"/>
      <c r="L508" s="19"/>
      <c r="M508" s="19"/>
      <c r="N508" s="19"/>
      <c r="O508" s="19"/>
      <c r="P508" s="19"/>
      <c r="Q508" s="20"/>
      <c r="R508" s="20"/>
      <c r="S508" s="22"/>
      <c r="T508" s="22"/>
      <c r="U508" s="20"/>
      <c r="V508" s="20"/>
      <c r="W508" s="20"/>
      <c r="X508" s="19"/>
      <c r="Y508" s="19"/>
      <c r="Z508" s="19"/>
      <c r="AA508" s="23"/>
    </row>
    <row r="509" spans="1:27" ht="15.75" customHeight="1" x14ac:dyDescent="0.2">
      <c r="A509" s="34"/>
      <c r="B509" s="34"/>
      <c r="C509" s="34"/>
      <c r="D509" s="34"/>
      <c r="E509" s="19"/>
      <c r="F509" s="19"/>
      <c r="G509" s="19"/>
      <c r="H509" s="19"/>
      <c r="I509" s="19"/>
      <c r="J509" s="19"/>
      <c r="K509" s="19"/>
      <c r="L509" s="19"/>
      <c r="M509" s="19"/>
      <c r="N509" s="19"/>
      <c r="O509" s="19"/>
      <c r="P509" s="19"/>
      <c r="Q509" s="20"/>
      <c r="R509" s="20"/>
      <c r="S509" s="22"/>
      <c r="T509" s="22"/>
      <c r="U509" s="20"/>
      <c r="V509" s="20"/>
      <c r="W509" s="20"/>
      <c r="X509" s="19"/>
      <c r="Y509" s="19"/>
      <c r="Z509" s="19"/>
      <c r="AA509" s="23"/>
    </row>
    <row r="510" spans="1:27" ht="15.75" customHeight="1" x14ac:dyDescent="0.2">
      <c r="A510" s="34"/>
      <c r="B510" s="34"/>
      <c r="C510" s="34"/>
      <c r="D510" s="34"/>
      <c r="E510" s="19"/>
      <c r="F510" s="19"/>
      <c r="G510" s="19"/>
      <c r="H510" s="19"/>
      <c r="I510" s="19"/>
      <c r="J510" s="19"/>
      <c r="K510" s="19"/>
      <c r="L510" s="19"/>
      <c r="M510" s="19"/>
      <c r="N510" s="19"/>
      <c r="O510" s="19"/>
      <c r="P510" s="19"/>
      <c r="Q510" s="20"/>
      <c r="R510" s="20"/>
      <c r="S510" s="22"/>
      <c r="T510" s="22"/>
      <c r="U510" s="20"/>
      <c r="V510" s="20"/>
      <c r="W510" s="20"/>
      <c r="X510" s="19"/>
      <c r="Y510" s="19"/>
      <c r="Z510" s="19"/>
      <c r="AA510" s="23"/>
    </row>
    <row r="511" spans="1:27" ht="15.75" customHeight="1" x14ac:dyDescent="0.2">
      <c r="A511" s="34"/>
      <c r="B511" s="34"/>
      <c r="C511" s="34"/>
      <c r="D511" s="34"/>
      <c r="E511" s="19"/>
      <c r="F511" s="19"/>
      <c r="G511" s="19"/>
      <c r="H511" s="19"/>
      <c r="I511" s="19"/>
      <c r="J511" s="19"/>
      <c r="K511" s="19"/>
      <c r="L511" s="19"/>
      <c r="M511" s="19"/>
      <c r="N511" s="19"/>
      <c r="O511" s="19"/>
      <c r="P511" s="19"/>
      <c r="Q511" s="20"/>
      <c r="R511" s="20"/>
      <c r="S511" s="22"/>
      <c r="T511" s="22"/>
      <c r="U511" s="20"/>
      <c r="V511" s="20"/>
      <c r="W511" s="20"/>
      <c r="X511" s="19"/>
      <c r="Y511" s="19"/>
      <c r="Z511" s="19"/>
      <c r="AA511" s="23"/>
    </row>
    <row r="512" spans="1:27" ht="15.75" customHeight="1" x14ac:dyDescent="0.2">
      <c r="A512" s="34"/>
      <c r="B512" s="34"/>
      <c r="C512" s="34"/>
      <c r="D512" s="34"/>
      <c r="E512" s="19"/>
      <c r="F512" s="19"/>
      <c r="G512" s="19"/>
      <c r="H512" s="19"/>
      <c r="I512" s="19"/>
      <c r="J512" s="19"/>
      <c r="K512" s="19"/>
      <c r="L512" s="19"/>
      <c r="M512" s="19"/>
      <c r="N512" s="19"/>
      <c r="O512" s="19"/>
      <c r="P512" s="19"/>
      <c r="Q512" s="20"/>
      <c r="R512" s="20"/>
      <c r="S512" s="22"/>
      <c r="T512" s="22"/>
      <c r="U512" s="20"/>
      <c r="V512" s="20"/>
      <c r="W512" s="20"/>
      <c r="X512" s="19"/>
      <c r="Y512" s="19"/>
      <c r="Z512" s="19"/>
      <c r="AA512" s="23"/>
    </row>
    <row r="513" spans="1:27" ht="15.75" customHeight="1" x14ac:dyDescent="0.2">
      <c r="A513" s="34"/>
      <c r="B513" s="34"/>
      <c r="C513" s="34"/>
      <c r="D513" s="34"/>
      <c r="E513" s="19"/>
      <c r="F513" s="19"/>
      <c r="G513" s="19"/>
      <c r="H513" s="19"/>
      <c r="I513" s="19"/>
      <c r="J513" s="19"/>
      <c r="K513" s="19"/>
      <c r="L513" s="19"/>
      <c r="M513" s="19"/>
      <c r="N513" s="19"/>
      <c r="O513" s="19"/>
      <c r="P513" s="19"/>
      <c r="Q513" s="20"/>
      <c r="R513" s="20"/>
      <c r="S513" s="22"/>
      <c r="T513" s="22"/>
      <c r="U513" s="20"/>
      <c r="V513" s="20"/>
      <c r="W513" s="20"/>
      <c r="X513" s="19"/>
      <c r="Y513" s="19"/>
      <c r="Z513" s="19"/>
      <c r="AA513" s="23"/>
    </row>
    <row r="514" spans="1:27" ht="15.75" customHeight="1" x14ac:dyDescent="0.2">
      <c r="A514" s="34"/>
      <c r="B514" s="34"/>
      <c r="C514" s="34"/>
      <c r="D514" s="34"/>
      <c r="E514" s="19"/>
      <c r="F514" s="19"/>
      <c r="G514" s="19"/>
      <c r="H514" s="19"/>
      <c r="I514" s="19"/>
      <c r="J514" s="19"/>
      <c r="K514" s="19"/>
      <c r="L514" s="19"/>
      <c r="M514" s="19"/>
      <c r="N514" s="19"/>
      <c r="O514" s="19"/>
      <c r="P514" s="19"/>
      <c r="Q514" s="20"/>
      <c r="R514" s="20"/>
      <c r="S514" s="22"/>
      <c r="T514" s="22"/>
      <c r="U514" s="20"/>
      <c r="V514" s="20"/>
      <c r="W514" s="20"/>
      <c r="X514" s="19"/>
      <c r="Y514" s="19"/>
      <c r="Z514" s="19"/>
      <c r="AA514" s="23"/>
    </row>
    <row r="515" spans="1:27" ht="15.75" customHeight="1" x14ac:dyDescent="0.2">
      <c r="A515" s="34"/>
      <c r="B515" s="34"/>
      <c r="C515" s="34"/>
      <c r="D515" s="34"/>
      <c r="E515" s="19"/>
      <c r="F515" s="19"/>
      <c r="G515" s="19"/>
      <c r="H515" s="19"/>
      <c r="I515" s="19"/>
      <c r="J515" s="19"/>
      <c r="K515" s="19"/>
      <c r="L515" s="19"/>
      <c r="M515" s="19"/>
      <c r="N515" s="19"/>
      <c r="O515" s="19"/>
      <c r="P515" s="19"/>
      <c r="Q515" s="20"/>
      <c r="R515" s="20"/>
      <c r="S515" s="22"/>
      <c r="T515" s="22"/>
      <c r="U515" s="20"/>
      <c r="V515" s="20"/>
      <c r="W515" s="20"/>
      <c r="X515" s="19"/>
      <c r="Y515" s="19"/>
      <c r="Z515" s="19"/>
      <c r="AA515" s="23"/>
    </row>
    <row r="516" spans="1:27" ht="15.75" customHeight="1" x14ac:dyDescent="0.2">
      <c r="A516" s="34"/>
      <c r="B516" s="34"/>
      <c r="C516" s="34"/>
      <c r="D516" s="34"/>
      <c r="E516" s="19"/>
      <c r="F516" s="19"/>
      <c r="G516" s="19"/>
      <c r="H516" s="19"/>
      <c r="I516" s="19"/>
      <c r="J516" s="19"/>
      <c r="K516" s="19"/>
      <c r="L516" s="19"/>
      <c r="M516" s="19"/>
      <c r="N516" s="19"/>
      <c r="O516" s="19"/>
      <c r="P516" s="19"/>
      <c r="Q516" s="20"/>
      <c r="R516" s="20"/>
      <c r="S516" s="22"/>
      <c r="T516" s="22"/>
      <c r="U516" s="20"/>
      <c r="V516" s="20"/>
      <c r="W516" s="20"/>
      <c r="X516" s="19"/>
      <c r="Y516" s="19"/>
      <c r="Z516" s="19"/>
      <c r="AA516" s="23"/>
    </row>
    <row r="517" spans="1:27" ht="15.75" customHeight="1" x14ac:dyDescent="0.2">
      <c r="A517" s="34"/>
      <c r="B517" s="34"/>
      <c r="C517" s="34"/>
      <c r="D517" s="34"/>
      <c r="E517" s="19"/>
      <c r="F517" s="19"/>
      <c r="G517" s="19"/>
      <c r="H517" s="19"/>
      <c r="I517" s="19"/>
      <c r="J517" s="19"/>
      <c r="K517" s="19"/>
      <c r="L517" s="19"/>
      <c r="M517" s="19"/>
      <c r="N517" s="19"/>
      <c r="O517" s="19"/>
      <c r="P517" s="19"/>
      <c r="Q517" s="20"/>
      <c r="R517" s="20"/>
      <c r="S517" s="22"/>
      <c r="T517" s="22"/>
      <c r="U517" s="20"/>
      <c r="V517" s="20"/>
      <c r="W517" s="20"/>
      <c r="X517" s="19"/>
      <c r="Y517" s="19"/>
      <c r="Z517" s="19"/>
      <c r="AA517" s="23"/>
    </row>
    <row r="518" spans="1:27" ht="15.75" customHeight="1" x14ac:dyDescent="0.2">
      <c r="A518" s="34"/>
      <c r="B518" s="34"/>
      <c r="C518" s="34"/>
      <c r="D518" s="34"/>
      <c r="E518" s="19"/>
      <c r="F518" s="19"/>
      <c r="G518" s="19"/>
      <c r="H518" s="19"/>
      <c r="I518" s="19"/>
      <c r="J518" s="19"/>
      <c r="K518" s="19"/>
      <c r="L518" s="19"/>
      <c r="M518" s="19"/>
      <c r="N518" s="19"/>
      <c r="O518" s="19"/>
      <c r="P518" s="19"/>
      <c r="Q518" s="20"/>
      <c r="R518" s="20"/>
      <c r="S518" s="22"/>
      <c r="T518" s="22"/>
      <c r="U518" s="20"/>
      <c r="V518" s="20"/>
      <c r="W518" s="20"/>
      <c r="X518" s="19"/>
      <c r="Y518" s="19"/>
      <c r="Z518" s="19"/>
      <c r="AA518" s="23"/>
    </row>
    <row r="519" spans="1:27" ht="15.75" customHeight="1" x14ac:dyDescent="0.2">
      <c r="A519" s="34"/>
      <c r="B519" s="34"/>
      <c r="C519" s="34"/>
      <c r="D519" s="34"/>
      <c r="E519" s="19"/>
      <c r="F519" s="19"/>
      <c r="G519" s="19"/>
      <c r="H519" s="19"/>
      <c r="I519" s="19"/>
      <c r="J519" s="19"/>
      <c r="K519" s="19"/>
      <c r="L519" s="19"/>
      <c r="M519" s="19"/>
      <c r="N519" s="19"/>
      <c r="O519" s="19"/>
      <c r="P519" s="19"/>
      <c r="Q519" s="20"/>
      <c r="R519" s="20"/>
      <c r="S519" s="22"/>
      <c r="T519" s="22"/>
      <c r="U519" s="20"/>
      <c r="V519" s="20"/>
      <c r="W519" s="20"/>
      <c r="X519" s="19"/>
      <c r="Y519" s="19"/>
      <c r="Z519" s="19"/>
      <c r="AA519" s="23"/>
    </row>
    <row r="520" spans="1:27" ht="15.75" customHeight="1" x14ac:dyDescent="0.2">
      <c r="A520" s="34"/>
      <c r="B520" s="34"/>
      <c r="C520" s="34"/>
      <c r="D520" s="34"/>
      <c r="E520" s="19"/>
      <c r="F520" s="19"/>
      <c r="G520" s="19"/>
      <c r="H520" s="19"/>
      <c r="I520" s="19"/>
      <c r="J520" s="19"/>
      <c r="K520" s="19"/>
      <c r="L520" s="19"/>
      <c r="M520" s="19"/>
      <c r="N520" s="19"/>
      <c r="O520" s="19"/>
      <c r="P520" s="19"/>
      <c r="Q520" s="20"/>
      <c r="R520" s="20"/>
      <c r="S520" s="22"/>
      <c r="T520" s="22"/>
      <c r="U520" s="20"/>
      <c r="V520" s="20"/>
      <c r="W520" s="20"/>
      <c r="X520" s="19"/>
      <c r="Y520" s="19"/>
      <c r="Z520" s="19"/>
      <c r="AA520" s="23"/>
    </row>
    <row r="521" spans="1:27" ht="15.75" customHeight="1" x14ac:dyDescent="0.2">
      <c r="A521" s="34"/>
      <c r="B521" s="34"/>
      <c r="C521" s="34"/>
      <c r="D521" s="34"/>
      <c r="E521" s="19"/>
      <c r="F521" s="19"/>
      <c r="G521" s="19"/>
      <c r="H521" s="19"/>
      <c r="I521" s="19"/>
      <c r="J521" s="19"/>
      <c r="K521" s="19"/>
      <c r="L521" s="19"/>
      <c r="M521" s="19"/>
      <c r="N521" s="19"/>
      <c r="O521" s="19"/>
      <c r="P521" s="19"/>
      <c r="Q521" s="20"/>
      <c r="R521" s="20"/>
      <c r="S521" s="22"/>
      <c r="T521" s="22"/>
      <c r="U521" s="20"/>
      <c r="V521" s="20"/>
      <c r="W521" s="20"/>
      <c r="X521" s="19"/>
      <c r="Y521" s="19"/>
      <c r="Z521" s="19"/>
      <c r="AA521" s="23"/>
    </row>
    <row r="522" spans="1:27" ht="15.75" customHeight="1" x14ac:dyDescent="0.2">
      <c r="A522" s="34"/>
      <c r="B522" s="34"/>
      <c r="C522" s="34"/>
      <c r="D522" s="34"/>
      <c r="E522" s="19"/>
      <c r="F522" s="19"/>
      <c r="G522" s="19"/>
      <c r="H522" s="19"/>
      <c r="I522" s="19"/>
      <c r="J522" s="19"/>
      <c r="K522" s="19"/>
      <c r="L522" s="19"/>
      <c r="M522" s="19"/>
      <c r="N522" s="19"/>
      <c r="O522" s="19"/>
      <c r="P522" s="19"/>
      <c r="Q522" s="20"/>
      <c r="R522" s="20"/>
      <c r="S522" s="22"/>
      <c r="T522" s="22"/>
      <c r="U522" s="20"/>
      <c r="V522" s="20"/>
      <c r="W522" s="20"/>
      <c r="X522" s="19"/>
      <c r="Y522" s="19"/>
      <c r="Z522" s="19"/>
      <c r="AA522" s="23"/>
    </row>
    <row r="523" spans="1:27" ht="15.75" customHeight="1" x14ac:dyDescent="0.2">
      <c r="A523" s="34"/>
      <c r="B523" s="34"/>
      <c r="C523" s="34"/>
      <c r="D523" s="34"/>
      <c r="E523" s="19"/>
      <c r="F523" s="19"/>
      <c r="G523" s="19"/>
      <c r="H523" s="19"/>
      <c r="I523" s="19"/>
      <c r="J523" s="19"/>
      <c r="K523" s="19"/>
      <c r="L523" s="19"/>
      <c r="M523" s="19"/>
      <c r="N523" s="19"/>
      <c r="O523" s="19"/>
      <c r="P523" s="19"/>
      <c r="Q523" s="20"/>
      <c r="R523" s="20"/>
      <c r="S523" s="22"/>
      <c r="T523" s="22"/>
      <c r="U523" s="20"/>
      <c r="V523" s="20"/>
      <c r="W523" s="20"/>
      <c r="X523" s="19"/>
      <c r="Y523" s="19"/>
      <c r="Z523" s="19"/>
      <c r="AA523" s="23"/>
    </row>
    <row r="524" spans="1:27" ht="15.75" customHeight="1" x14ac:dyDescent="0.2">
      <c r="A524" s="34"/>
      <c r="B524" s="34"/>
      <c r="C524" s="34"/>
      <c r="D524" s="34"/>
      <c r="E524" s="19"/>
      <c r="F524" s="19"/>
      <c r="G524" s="19"/>
      <c r="H524" s="19"/>
      <c r="I524" s="19"/>
      <c r="J524" s="19"/>
      <c r="K524" s="19"/>
      <c r="L524" s="19"/>
      <c r="M524" s="19"/>
      <c r="N524" s="19"/>
      <c r="O524" s="19"/>
      <c r="P524" s="19"/>
      <c r="Q524" s="20"/>
      <c r="R524" s="20"/>
      <c r="S524" s="22"/>
      <c r="T524" s="22"/>
      <c r="U524" s="20"/>
      <c r="V524" s="20"/>
      <c r="W524" s="20"/>
      <c r="X524" s="19"/>
      <c r="Y524" s="19"/>
      <c r="Z524" s="19"/>
      <c r="AA524" s="23"/>
    </row>
    <row r="525" spans="1:27" ht="15.75" customHeight="1" x14ac:dyDescent="0.2">
      <c r="A525" s="34"/>
      <c r="B525" s="34"/>
      <c r="C525" s="34"/>
      <c r="D525" s="34"/>
      <c r="E525" s="19"/>
      <c r="F525" s="19"/>
      <c r="G525" s="19"/>
      <c r="H525" s="19"/>
      <c r="I525" s="19"/>
      <c r="J525" s="19"/>
      <c r="K525" s="19"/>
      <c r="L525" s="19"/>
      <c r="M525" s="19"/>
      <c r="N525" s="19"/>
      <c r="O525" s="19"/>
      <c r="P525" s="19"/>
      <c r="Q525" s="20"/>
      <c r="R525" s="20"/>
      <c r="S525" s="22"/>
      <c r="T525" s="22"/>
      <c r="U525" s="20"/>
      <c r="V525" s="20"/>
      <c r="W525" s="20"/>
      <c r="X525" s="19"/>
      <c r="Y525" s="19"/>
      <c r="Z525" s="19"/>
      <c r="AA525" s="23"/>
    </row>
    <row r="526" spans="1:27" ht="15.75" customHeight="1" x14ac:dyDescent="0.2">
      <c r="A526" s="34"/>
      <c r="B526" s="34"/>
      <c r="C526" s="34"/>
      <c r="D526" s="34"/>
      <c r="E526" s="19"/>
      <c r="F526" s="19"/>
      <c r="G526" s="19"/>
      <c r="H526" s="19"/>
      <c r="I526" s="19"/>
      <c r="J526" s="19"/>
      <c r="K526" s="19"/>
      <c r="L526" s="19"/>
      <c r="M526" s="19"/>
      <c r="N526" s="19"/>
      <c r="O526" s="19"/>
      <c r="P526" s="19"/>
      <c r="Q526" s="20"/>
      <c r="R526" s="20"/>
      <c r="S526" s="22"/>
      <c r="T526" s="22"/>
      <c r="U526" s="20"/>
      <c r="V526" s="20"/>
      <c r="W526" s="20"/>
      <c r="X526" s="19"/>
      <c r="Y526" s="19"/>
      <c r="Z526" s="19"/>
      <c r="AA526" s="23"/>
    </row>
    <row r="527" spans="1:27" ht="15.75" customHeight="1" x14ac:dyDescent="0.2">
      <c r="A527" s="34"/>
      <c r="B527" s="34"/>
      <c r="C527" s="34"/>
      <c r="D527" s="34"/>
      <c r="E527" s="19"/>
      <c r="F527" s="19"/>
      <c r="G527" s="19"/>
      <c r="H527" s="19"/>
      <c r="I527" s="19"/>
      <c r="J527" s="19"/>
      <c r="K527" s="19"/>
      <c r="L527" s="19"/>
      <c r="M527" s="19"/>
      <c r="N527" s="19"/>
      <c r="O527" s="19"/>
      <c r="P527" s="19"/>
      <c r="Q527" s="20"/>
      <c r="R527" s="20"/>
      <c r="S527" s="22"/>
      <c r="T527" s="22"/>
      <c r="U527" s="20"/>
      <c r="V527" s="20"/>
      <c r="W527" s="20"/>
      <c r="X527" s="19"/>
      <c r="Y527" s="19"/>
      <c r="Z527" s="19"/>
      <c r="AA527" s="23"/>
    </row>
    <row r="528" spans="1:27" ht="15.75" customHeight="1" x14ac:dyDescent="0.2">
      <c r="A528" s="34"/>
      <c r="B528" s="34"/>
      <c r="C528" s="34"/>
      <c r="D528" s="34"/>
      <c r="E528" s="19"/>
      <c r="F528" s="19"/>
      <c r="G528" s="19"/>
      <c r="H528" s="19"/>
      <c r="I528" s="19"/>
      <c r="J528" s="19"/>
      <c r="K528" s="19"/>
      <c r="L528" s="19"/>
      <c r="M528" s="19"/>
      <c r="N528" s="19"/>
      <c r="O528" s="19"/>
      <c r="P528" s="19"/>
      <c r="Q528" s="20"/>
      <c r="R528" s="20"/>
      <c r="S528" s="22"/>
      <c r="T528" s="22"/>
      <c r="U528" s="20"/>
      <c r="V528" s="20"/>
      <c r="W528" s="20"/>
      <c r="X528" s="19"/>
      <c r="Y528" s="19"/>
      <c r="Z528" s="19"/>
      <c r="AA528" s="23"/>
    </row>
    <row r="529" spans="1:27" ht="15.75" customHeight="1" x14ac:dyDescent="0.2">
      <c r="A529" s="34"/>
      <c r="B529" s="34"/>
      <c r="C529" s="34"/>
      <c r="D529" s="34"/>
      <c r="E529" s="19"/>
      <c r="F529" s="19"/>
      <c r="G529" s="19"/>
      <c r="H529" s="19"/>
      <c r="I529" s="19"/>
      <c r="J529" s="19"/>
      <c r="K529" s="19"/>
      <c r="L529" s="19"/>
      <c r="M529" s="19"/>
      <c r="N529" s="19"/>
      <c r="O529" s="19"/>
      <c r="P529" s="19"/>
      <c r="Q529" s="20"/>
      <c r="R529" s="20"/>
      <c r="S529" s="22"/>
      <c r="T529" s="22"/>
      <c r="U529" s="20"/>
      <c r="V529" s="20"/>
      <c r="W529" s="20"/>
      <c r="X529" s="19"/>
      <c r="Y529" s="19"/>
      <c r="Z529" s="19"/>
      <c r="AA529" s="23"/>
    </row>
    <row r="530" spans="1:27" ht="15.75" customHeight="1" x14ac:dyDescent="0.2">
      <c r="A530" s="34"/>
      <c r="B530" s="34"/>
      <c r="C530" s="34"/>
      <c r="D530" s="34"/>
      <c r="E530" s="19"/>
      <c r="F530" s="19"/>
      <c r="G530" s="19"/>
      <c r="H530" s="19"/>
      <c r="I530" s="19"/>
      <c r="J530" s="19"/>
      <c r="K530" s="19"/>
      <c r="L530" s="19"/>
      <c r="M530" s="19"/>
      <c r="N530" s="19"/>
      <c r="O530" s="19"/>
      <c r="P530" s="19"/>
      <c r="Q530" s="20"/>
      <c r="R530" s="20"/>
      <c r="S530" s="22"/>
      <c r="T530" s="22"/>
      <c r="U530" s="20"/>
      <c r="V530" s="20"/>
      <c r="W530" s="20"/>
      <c r="X530" s="19"/>
      <c r="Y530" s="19"/>
      <c r="Z530" s="19"/>
      <c r="AA530" s="23"/>
    </row>
    <row r="531" spans="1:27" ht="15.75" customHeight="1" x14ac:dyDescent="0.2">
      <c r="A531" s="34"/>
      <c r="B531" s="34"/>
      <c r="C531" s="34"/>
      <c r="D531" s="34"/>
      <c r="E531" s="19"/>
      <c r="F531" s="19"/>
      <c r="G531" s="19"/>
      <c r="H531" s="19"/>
      <c r="I531" s="19"/>
      <c r="J531" s="19"/>
      <c r="K531" s="19"/>
      <c r="L531" s="19"/>
      <c r="M531" s="19"/>
      <c r="N531" s="19"/>
      <c r="O531" s="19"/>
      <c r="P531" s="19"/>
      <c r="Q531" s="20"/>
      <c r="R531" s="20"/>
      <c r="S531" s="22"/>
      <c r="T531" s="22"/>
      <c r="U531" s="20"/>
      <c r="V531" s="20"/>
      <c r="W531" s="20"/>
      <c r="X531" s="19"/>
      <c r="Y531" s="19"/>
      <c r="Z531" s="19"/>
      <c r="AA531" s="23"/>
    </row>
    <row r="532" spans="1:27" ht="15.75" customHeight="1" x14ac:dyDescent="0.2">
      <c r="A532" s="34"/>
      <c r="B532" s="34"/>
      <c r="C532" s="34"/>
      <c r="D532" s="34"/>
      <c r="E532" s="19"/>
      <c r="F532" s="19"/>
      <c r="G532" s="19"/>
      <c r="H532" s="19"/>
      <c r="I532" s="19"/>
      <c r="J532" s="19"/>
      <c r="K532" s="19"/>
      <c r="L532" s="19"/>
      <c r="M532" s="19"/>
      <c r="N532" s="19"/>
      <c r="O532" s="19"/>
      <c r="P532" s="19"/>
      <c r="Q532" s="20"/>
      <c r="R532" s="20"/>
      <c r="S532" s="22"/>
      <c r="T532" s="22"/>
      <c r="U532" s="20"/>
      <c r="V532" s="20"/>
      <c r="W532" s="20"/>
      <c r="X532" s="19"/>
      <c r="Y532" s="19"/>
      <c r="Z532" s="19"/>
      <c r="AA532" s="23"/>
    </row>
    <row r="533" spans="1:27" ht="15.75" customHeight="1" x14ac:dyDescent="0.2">
      <c r="A533" s="34"/>
      <c r="B533" s="34"/>
      <c r="C533" s="34"/>
      <c r="D533" s="34"/>
      <c r="E533" s="19"/>
      <c r="F533" s="19"/>
      <c r="G533" s="19"/>
      <c r="H533" s="19"/>
      <c r="I533" s="19"/>
      <c r="J533" s="19"/>
      <c r="K533" s="19"/>
      <c r="L533" s="19"/>
      <c r="M533" s="19"/>
      <c r="N533" s="19"/>
      <c r="O533" s="19"/>
      <c r="P533" s="19"/>
      <c r="Q533" s="20"/>
      <c r="R533" s="20"/>
      <c r="S533" s="22"/>
      <c r="T533" s="22"/>
      <c r="U533" s="20"/>
      <c r="V533" s="20"/>
      <c r="W533" s="20"/>
      <c r="X533" s="19"/>
      <c r="Y533" s="19"/>
      <c r="Z533" s="19"/>
      <c r="AA533" s="23"/>
    </row>
    <row r="534" spans="1:27" ht="15.75" customHeight="1" x14ac:dyDescent="0.2">
      <c r="A534" s="34"/>
      <c r="B534" s="34"/>
      <c r="C534" s="34"/>
      <c r="D534" s="34"/>
      <c r="E534" s="19"/>
      <c r="F534" s="19"/>
      <c r="G534" s="19"/>
      <c r="H534" s="19"/>
      <c r="I534" s="19"/>
      <c r="J534" s="19"/>
      <c r="K534" s="19"/>
      <c r="L534" s="19"/>
      <c r="M534" s="19"/>
      <c r="N534" s="19"/>
      <c r="O534" s="19"/>
      <c r="P534" s="19"/>
      <c r="Q534" s="20"/>
      <c r="R534" s="20"/>
      <c r="S534" s="22"/>
      <c r="T534" s="22"/>
      <c r="U534" s="20"/>
      <c r="V534" s="20"/>
      <c r="W534" s="20"/>
      <c r="X534" s="19"/>
      <c r="Y534" s="19"/>
      <c r="Z534" s="19"/>
      <c r="AA534" s="23"/>
    </row>
    <row r="535" spans="1:27" ht="15.75" customHeight="1" x14ac:dyDescent="0.2">
      <c r="A535" s="34"/>
      <c r="B535" s="34"/>
      <c r="C535" s="34"/>
      <c r="D535" s="34"/>
      <c r="E535" s="19"/>
      <c r="F535" s="19"/>
      <c r="G535" s="19"/>
      <c r="H535" s="19"/>
      <c r="I535" s="19"/>
      <c r="J535" s="19"/>
      <c r="K535" s="19"/>
      <c r="L535" s="19"/>
      <c r="M535" s="19"/>
      <c r="N535" s="19"/>
      <c r="O535" s="19"/>
      <c r="P535" s="19"/>
      <c r="Q535" s="20"/>
      <c r="R535" s="20"/>
      <c r="S535" s="22"/>
      <c r="T535" s="22"/>
      <c r="U535" s="20"/>
      <c r="V535" s="20"/>
      <c r="W535" s="20"/>
      <c r="X535" s="19"/>
      <c r="Y535" s="19"/>
      <c r="Z535" s="19"/>
      <c r="AA535" s="23"/>
    </row>
    <row r="536" spans="1:27" ht="15.75" customHeight="1" x14ac:dyDescent="0.2">
      <c r="A536" s="34"/>
      <c r="B536" s="34"/>
      <c r="C536" s="34"/>
      <c r="D536" s="34"/>
      <c r="E536" s="19"/>
      <c r="F536" s="19"/>
      <c r="G536" s="19"/>
      <c r="H536" s="19"/>
      <c r="I536" s="19"/>
      <c r="J536" s="19"/>
      <c r="K536" s="19"/>
      <c r="L536" s="19"/>
      <c r="M536" s="19"/>
      <c r="N536" s="19"/>
      <c r="O536" s="19"/>
      <c r="P536" s="19"/>
      <c r="Q536" s="20"/>
      <c r="R536" s="20"/>
      <c r="S536" s="22"/>
      <c r="T536" s="22"/>
      <c r="U536" s="20"/>
      <c r="V536" s="20"/>
      <c r="W536" s="20"/>
      <c r="X536" s="19"/>
      <c r="Y536" s="19"/>
      <c r="Z536" s="19"/>
      <c r="AA536" s="23"/>
    </row>
    <row r="537" spans="1:27" ht="15.75" customHeight="1" x14ac:dyDescent="0.2">
      <c r="A537" s="34"/>
      <c r="B537" s="34"/>
      <c r="C537" s="34"/>
      <c r="D537" s="34"/>
      <c r="E537" s="19"/>
      <c r="F537" s="19"/>
      <c r="G537" s="19"/>
      <c r="H537" s="19"/>
      <c r="I537" s="19"/>
      <c r="J537" s="19"/>
      <c r="K537" s="19"/>
      <c r="L537" s="19"/>
      <c r="M537" s="19"/>
      <c r="N537" s="19"/>
      <c r="O537" s="19"/>
      <c r="P537" s="19"/>
      <c r="Q537" s="20"/>
      <c r="R537" s="20"/>
      <c r="S537" s="22"/>
      <c r="T537" s="22"/>
      <c r="U537" s="20"/>
      <c r="V537" s="20"/>
      <c r="W537" s="20"/>
      <c r="X537" s="19"/>
      <c r="Y537" s="19"/>
      <c r="Z537" s="19"/>
      <c r="AA537" s="23"/>
    </row>
    <row r="538" spans="1:27" ht="15.75" customHeight="1" x14ac:dyDescent="0.2">
      <c r="A538" s="34"/>
      <c r="B538" s="34"/>
      <c r="C538" s="34"/>
      <c r="D538" s="34"/>
      <c r="E538" s="19"/>
      <c r="F538" s="19"/>
      <c r="G538" s="19"/>
      <c r="H538" s="19"/>
      <c r="I538" s="19"/>
      <c r="J538" s="19"/>
      <c r="K538" s="19"/>
      <c r="L538" s="19"/>
      <c r="M538" s="19"/>
      <c r="N538" s="19"/>
      <c r="O538" s="19"/>
      <c r="P538" s="19"/>
      <c r="Q538" s="20"/>
      <c r="R538" s="20"/>
      <c r="S538" s="22"/>
      <c r="T538" s="22"/>
      <c r="U538" s="20"/>
      <c r="V538" s="20"/>
      <c r="W538" s="20"/>
      <c r="X538" s="19"/>
      <c r="Y538" s="19"/>
      <c r="Z538" s="19"/>
      <c r="AA538" s="23"/>
    </row>
    <row r="539" spans="1:27" ht="15.75" customHeight="1" x14ac:dyDescent="0.2">
      <c r="A539" s="34"/>
      <c r="B539" s="34"/>
      <c r="C539" s="34"/>
      <c r="D539" s="34"/>
      <c r="E539" s="19"/>
      <c r="F539" s="19"/>
      <c r="G539" s="19"/>
      <c r="H539" s="19"/>
      <c r="I539" s="19"/>
      <c r="J539" s="19"/>
      <c r="K539" s="19"/>
      <c r="L539" s="19"/>
      <c r="M539" s="19"/>
      <c r="N539" s="19"/>
      <c r="O539" s="19"/>
      <c r="P539" s="19"/>
      <c r="Q539" s="20"/>
      <c r="R539" s="20"/>
      <c r="S539" s="22"/>
      <c r="T539" s="22"/>
      <c r="U539" s="20"/>
      <c r="V539" s="20"/>
      <c r="W539" s="20"/>
      <c r="X539" s="19"/>
      <c r="Y539" s="19"/>
      <c r="Z539" s="19"/>
      <c r="AA539" s="23"/>
    </row>
    <row r="540" spans="1:27" ht="15.75" customHeight="1" x14ac:dyDescent="0.2">
      <c r="A540" s="34"/>
      <c r="B540" s="34"/>
      <c r="C540" s="34"/>
      <c r="D540" s="34"/>
      <c r="E540" s="19"/>
      <c r="F540" s="19"/>
      <c r="G540" s="19"/>
      <c r="H540" s="19"/>
      <c r="I540" s="19"/>
      <c r="J540" s="19"/>
      <c r="K540" s="19"/>
      <c r="L540" s="19"/>
      <c r="M540" s="19"/>
      <c r="N540" s="19"/>
      <c r="O540" s="19"/>
      <c r="P540" s="19"/>
      <c r="Q540" s="20"/>
      <c r="R540" s="20"/>
      <c r="S540" s="22"/>
      <c r="T540" s="22"/>
      <c r="U540" s="20"/>
      <c r="V540" s="20"/>
      <c r="W540" s="20"/>
      <c r="X540" s="19"/>
      <c r="Y540" s="19"/>
      <c r="Z540" s="19"/>
      <c r="AA540" s="23"/>
    </row>
    <row r="541" spans="1:27" ht="15.75" customHeight="1" x14ac:dyDescent="0.2">
      <c r="A541" s="34"/>
      <c r="B541" s="34"/>
      <c r="C541" s="34"/>
      <c r="D541" s="34"/>
      <c r="E541" s="19"/>
      <c r="F541" s="19"/>
      <c r="G541" s="19"/>
      <c r="H541" s="19"/>
      <c r="I541" s="19"/>
      <c r="J541" s="19"/>
      <c r="K541" s="19"/>
      <c r="L541" s="19"/>
      <c r="M541" s="19"/>
      <c r="N541" s="19"/>
      <c r="O541" s="19"/>
      <c r="P541" s="19"/>
      <c r="Q541" s="20"/>
      <c r="R541" s="20"/>
      <c r="S541" s="22"/>
      <c r="T541" s="22"/>
      <c r="U541" s="20"/>
      <c r="V541" s="20"/>
      <c r="W541" s="20"/>
      <c r="X541" s="19"/>
      <c r="Y541" s="19"/>
      <c r="Z541" s="19"/>
      <c r="AA541" s="23"/>
    </row>
    <row r="542" spans="1:27" ht="15.75" customHeight="1" x14ac:dyDescent="0.2">
      <c r="A542" s="34"/>
      <c r="B542" s="34"/>
      <c r="C542" s="34"/>
      <c r="D542" s="34"/>
      <c r="E542" s="19"/>
      <c r="F542" s="19"/>
      <c r="G542" s="19"/>
      <c r="H542" s="19"/>
      <c r="I542" s="19"/>
      <c r="J542" s="19"/>
      <c r="K542" s="19"/>
      <c r="L542" s="19"/>
      <c r="M542" s="19"/>
      <c r="N542" s="19"/>
      <c r="O542" s="19"/>
      <c r="P542" s="19"/>
      <c r="Q542" s="20"/>
      <c r="R542" s="20"/>
      <c r="S542" s="22"/>
      <c r="T542" s="22"/>
      <c r="U542" s="20"/>
      <c r="V542" s="20"/>
      <c r="W542" s="20"/>
      <c r="X542" s="19"/>
      <c r="Y542" s="19"/>
      <c r="Z542" s="19"/>
      <c r="AA542" s="23"/>
    </row>
    <row r="543" spans="1:27" ht="15.75" customHeight="1" x14ac:dyDescent="0.2">
      <c r="A543" s="34"/>
      <c r="B543" s="34"/>
      <c r="C543" s="34"/>
      <c r="D543" s="34"/>
      <c r="E543" s="19"/>
      <c r="F543" s="19"/>
      <c r="G543" s="19"/>
      <c r="H543" s="19"/>
      <c r="I543" s="19"/>
      <c r="J543" s="19"/>
      <c r="K543" s="19"/>
      <c r="L543" s="19"/>
      <c r="M543" s="19"/>
      <c r="N543" s="19"/>
      <c r="O543" s="19"/>
      <c r="P543" s="19"/>
      <c r="Q543" s="20"/>
      <c r="R543" s="20"/>
      <c r="S543" s="22"/>
      <c r="T543" s="22"/>
      <c r="U543" s="20"/>
      <c r="V543" s="20"/>
      <c r="W543" s="20"/>
      <c r="X543" s="19"/>
      <c r="Y543" s="19"/>
      <c r="Z543" s="19"/>
      <c r="AA543" s="23"/>
    </row>
    <row r="544" spans="1:27" ht="15.75" customHeight="1" x14ac:dyDescent="0.2">
      <c r="A544" s="34"/>
      <c r="B544" s="34"/>
      <c r="C544" s="34"/>
      <c r="D544" s="34"/>
      <c r="E544" s="19"/>
      <c r="F544" s="19"/>
      <c r="G544" s="19"/>
      <c r="H544" s="19"/>
      <c r="I544" s="19"/>
      <c r="J544" s="19"/>
      <c r="K544" s="19"/>
      <c r="L544" s="19"/>
      <c r="M544" s="19"/>
      <c r="N544" s="19"/>
      <c r="O544" s="19"/>
      <c r="P544" s="19"/>
      <c r="Q544" s="20"/>
      <c r="R544" s="20"/>
      <c r="S544" s="22"/>
      <c r="T544" s="22"/>
      <c r="U544" s="20"/>
      <c r="V544" s="20"/>
      <c r="W544" s="20"/>
      <c r="X544" s="19"/>
      <c r="Y544" s="19"/>
      <c r="Z544" s="19"/>
      <c r="AA544" s="23"/>
    </row>
    <row r="545" spans="1:27" ht="15.75" customHeight="1" x14ac:dyDescent="0.2">
      <c r="A545" s="34"/>
      <c r="B545" s="34"/>
      <c r="C545" s="34"/>
      <c r="D545" s="34"/>
      <c r="E545" s="19"/>
      <c r="F545" s="19"/>
      <c r="G545" s="19"/>
      <c r="H545" s="19"/>
      <c r="I545" s="19"/>
      <c r="J545" s="19"/>
      <c r="K545" s="19"/>
      <c r="L545" s="19"/>
      <c r="M545" s="19"/>
      <c r="N545" s="19"/>
      <c r="O545" s="19"/>
      <c r="P545" s="19"/>
      <c r="Q545" s="20"/>
      <c r="R545" s="20"/>
      <c r="S545" s="22"/>
      <c r="T545" s="22"/>
      <c r="U545" s="20"/>
      <c r="V545" s="20"/>
      <c r="W545" s="20"/>
      <c r="X545" s="19"/>
      <c r="Y545" s="19"/>
      <c r="Z545" s="19"/>
      <c r="AA545" s="23"/>
    </row>
    <row r="546" spans="1:27" ht="15.75" customHeight="1" x14ac:dyDescent="0.2">
      <c r="A546" s="34"/>
      <c r="B546" s="34"/>
      <c r="C546" s="34"/>
      <c r="D546" s="34"/>
      <c r="E546" s="19"/>
      <c r="F546" s="19"/>
      <c r="G546" s="19"/>
      <c r="H546" s="19"/>
      <c r="I546" s="19"/>
      <c r="J546" s="19"/>
      <c r="K546" s="19"/>
      <c r="L546" s="19"/>
      <c r="M546" s="19"/>
      <c r="N546" s="19"/>
      <c r="O546" s="19"/>
      <c r="P546" s="19"/>
      <c r="Q546" s="20"/>
      <c r="R546" s="20"/>
      <c r="S546" s="22"/>
      <c r="T546" s="22"/>
      <c r="U546" s="20"/>
      <c r="V546" s="20"/>
      <c r="W546" s="20"/>
      <c r="X546" s="19"/>
      <c r="Y546" s="19"/>
      <c r="Z546" s="19"/>
      <c r="AA546" s="23"/>
    </row>
    <row r="547" spans="1:27" ht="15.75" customHeight="1" x14ac:dyDescent="0.2">
      <c r="A547" s="34"/>
      <c r="B547" s="34"/>
      <c r="C547" s="34"/>
      <c r="D547" s="34"/>
      <c r="E547" s="19"/>
      <c r="F547" s="19"/>
      <c r="G547" s="19"/>
      <c r="H547" s="19"/>
      <c r="I547" s="19"/>
      <c r="J547" s="19"/>
      <c r="K547" s="19"/>
      <c r="L547" s="19"/>
      <c r="M547" s="19"/>
      <c r="N547" s="19"/>
      <c r="O547" s="19"/>
      <c r="P547" s="19"/>
      <c r="Q547" s="20"/>
      <c r="R547" s="20"/>
      <c r="S547" s="22"/>
      <c r="T547" s="22"/>
      <c r="U547" s="20"/>
      <c r="V547" s="20"/>
      <c r="W547" s="20"/>
      <c r="X547" s="19"/>
      <c r="Y547" s="19"/>
      <c r="Z547" s="19"/>
      <c r="AA547" s="23"/>
    </row>
    <row r="548" spans="1:27" ht="15.75" customHeight="1" x14ac:dyDescent="0.2">
      <c r="A548" s="34"/>
      <c r="B548" s="34"/>
      <c r="C548" s="34"/>
      <c r="D548" s="34"/>
      <c r="E548" s="19"/>
      <c r="F548" s="19"/>
      <c r="G548" s="19"/>
      <c r="H548" s="19"/>
      <c r="I548" s="19"/>
      <c r="J548" s="19"/>
      <c r="K548" s="19"/>
      <c r="L548" s="19"/>
      <c r="M548" s="19"/>
      <c r="N548" s="19"/>
      <c r="O548" s="19"/>
      <c r="P548" s="19"/>
      <c r="Q548" s="20"/>
      <c r="R548" s="20"/>
      <c r="S548" s="22"/>
      <c r="T548" s="22"/>
      <c r="U548" s="20"/>
      <c r="V548" s="20"/>
      <c r="W548" s="20"/>
      <c r="X548" s="19"/>
      <c r="Y548" s="19"/>
      <c r="Z548" s="19"/>
      <c r="AA548" s="23"/>
    </row>
    <row r="549" spans="1:27" ht="15.75" customHeight="1" x14ac:dyDescent="0.2">
      <c r="A549" s="34"/>
      <c r="B549" s="34"/>
      <c r="C549" s="34"/>
      <c r="D549" s="34"/>
      <c r="E549" s="19"/>
      <c r="F549" s="19"/>
      <c r="G549" s="19"/>
      <c r="H549" s="19"/>
      <c r="I549" s="19"/>
      <c r="J549" s="19"/>
      <c r="K549" s="19"/>
      <c r="L549" s="19"/>
      <c r="M549" s="19"/>
      <c r="N549" s="19"/>
      <c r="O549" s="19"/>
      <c r="P549" s="19"/>
      <c r="Q549" s="20"/>
      <c r="R549" s="20"/>
      <c r="S549" s="22"/>
      <c r="T549" s="22"/>
      <c r="U549" s="20"/>
      <c r="V549" s="20"/>
      <c r="W549" s="20"/>
      <c r="X549" s="19"/>
      <c r="Y549" s="19"/>
      <c r="Z549" s="19"/>
      <c r="AA549" s="23"/>
    </row>
    <row r="550" spans="1:27" ht="15.75" customHeight="1" x14ac:dyDescent="0.2">
      <c r="A550" s="34"/>
      <c r="B550" s="34"/>
      <c r="C550" s="34"/>
      <c r="D550" s="34"/>
      <c r="E550" s="19"/>
      <c r="F550" s="19"/>
      <c r="G550" s="19"/>
      <c r="H550" s="19"/>
      <c r="I550" s="19"/>
      <c r="J550" s="19"/>
      <c r="K550" s="19"/>
      <c r="L550" s="19"/>
      <c r="M550" s="19"/>
      <c r="N550" s="19"/>
      <c r="O550" s="19"/>
      <c r="P550" s="19"/>
      <c r="Q550" s="20"/>
      <c r="R550" s="20"/>
      <c r="S550" s="22"/>
      <c r="T550" s="22"/>
      <c r="U550" s="20"/>
      <c r="V550" s="20"/>
      <c r="W550" s="20"/>
      <c r="X550" s="19"/>
      <c r="Y550" s="19"/>
      <c r="Z550" s="19"/>
      <c r="AA550" s="23"/>
    </row>
    <row r="551" spans="1:27" ht="15.75" customHeight="1" x14ac:dyDescent="0.2">
      <c r="A551" s="34"/>
      <c r="B551" s="34"/>
      <c r="C551" s="34"/>
      <c r="D551" s="34"/>
      <c r="E551" s="19"/>
      <c r="F551" s="19"/>
      <c r="G551" s="19"/>
      <c r="H551" s="19"/>
      <c r="I551" s="19"/>
      <c r="J551" s="19"/>
      <c r="K551" s="19"/>
      <c r="L551" s="19"/>
      <c r="M551" s="19"/>
      <c r="N551" s="19"/>
      <c r="O551" s="19"/>
      <c r="P551" s="19"/>
      <c r="Q551" s="20"/>
      <c r="R551" s="20"/>
      <c r="S551" s="22"/>
      <c r="T551" s="22"/>
      <c r="U551" s="20"/>
      <c r="V551" s="20"/>
      <c r="W551" s="20"/>
      <c r="X551" s="19"/>
      <c r="Y551" s="19"/>
      <c r="Z551" s="19"/>
      <c r="AA551" s="23"/>
    </row>
    <row r="552" spans="1:27" ht="15.75" customHeight="1" x14ac:dyDescent="0.2">
      <c r="A552" s="34"/>
      <c r="B552" s="34"/>
      <c r="C552" s="34"/>
      <c r="D552" s="34"/>
      <c r="E552" s="19"/>
      <c r="F552" s="19"/>
      <c r="G552" s="19"/>
      <c r="H552" s="19"/>
      <c r="I552" s="19"/>
      <c r="J552" s="19"/>
      <c r="K552" s="19"/>
      <c r="L552" s="19"/>
      <c r="M552" s="19"/>
      <c r="N552" s="19"/>
      <c r="O552" s="19"/>
      <c r="P552" s="19"/>
      <c r="Q552" s="20"/>
      <c r="R552" s="20"/>
      <c r="S552" s="22"/>
      <c r="T552" s="22"/>
      <c r="U552" s="20"/>
      <c r="V552" s="20"/>
      <c r="W552" s="20"/>
      <c r="X552" s="19"/>
      <c r="Y552" s="19"/>
      <c r="Z552" s="19"/>
      <c r="AA552" s="23"/>
    </row>
    <row r="553" spans="1:27" ht="15.75" customHeight="1" x14ac:dyDescent="0.2">
      <c r="A553" s="34"/>
      <c r="B553" s="34"/>
      <c r="C553" s="34"/>
      <c r="D553" s="34"/>
      <c r="E553" s="19"/>
      <c r="F553" s="19"/>
      <c r="G553" s="19"/>
      <c r="H553" s="19"/>
      <c r="I553" s="19"/>
      <c r="J553" s="19"/>
      <c r="K553" s="19"/>
      <c r="L553" s="19"/>
      <c r="M553" s="19"/>
      <c r="N553" s="19"/>
      <c r="O553" s="19"/>
      <c r="P553" s="19"/>
      <c r="Q553" s="20"/>
      <c r="R553" s="20"/>
      <c r="S553" s="22"/>
      <c r="T553" s="22"/>
      <c r="U553" s="20"/>
      <c r="V553" s="20"/>
      <c r="W553" s="20"/>
      <c r="X553" s="19"/>
      <c r="Y553" s="19"/>
      <c r="Z553" s="19"/>
      <c r="AA553" s="23"/>
    </row>
    <row r="554" spans="1:27" ht="15.75" customHeight="1" x14ac:dyDescent="0.2">
      <c r="A554" s="34"/>
      <c r="B554" s="34"/>
      <c r="C554" s="34"/>
      <c r="D554" s="34"/>
      <c r="E554" s="19"/>
      <c r="F554" s="19"/>
      <c r="G554" s="19"/>
      <c r="H554" s="19"/>
      <c r="I554" s="19"/>
      <c r="J554" s="19"/>
      <c r="K554" s="19"/>
      <c r="L554" s="19"/>
      <c r="M554" s="19"/>
      <c r="N554" s="19"/>
      <c r="O554" s="19"/>
      <c r="P554" s="19"/>
      <c r="Q554" s="20"/>
      <c r="R554" s="20"/>
      <c r="S554" s="22"/>
      <c r="T554" s="22"/>
      <c r="U554" s="20"/>
      <c r="V554" s="20"/>
      <c r="W554" s="20"/>
      <c r="X554" s="19"/>
      <c r="Y554" s="19"/>
      <c r="Z554" s="19"/>
      <c r="AA554" s="23"/>
    </row>
    <row r="555" spans="1:27" ht="15.75" customHeight="1" x14ac:dyDescent="0.2">
      <c r="A555" s="34"/>
      <c r="B555" s="34"/>
      <c r="C555" s="34"/>
      <c r="D555" s="34"/>
      <c r="E555" s="19"/>
      <c r="F555" s="19"/>
      <c r="G555" s="19"/>
      <c r="H555" s="19"/>
      <c r="I555" s="19"/>
      <c r="J555" s="19"/>
      <c r="K555" s="19"/>
      <c r="L555" s="19"/>
      <c r="M555" s="19"/>
      <c r="N555" s="19"/>
      <c r="O555" s="19"/>
      <c r="P555" s="19"/>
      <c r="Q555" s="20"/>
      <c r="R555" s="20"/>
      <c r="S555" s="22"/>
      <c r="T555" s="22"/>
      <c r="U555" s="20"/>
      <c r="V555" s="20"/>
      <c r="W555" s="20"/>
      <c r="X555" s="19"/>
      <c r="Y555" s="19"/>
      <c r="Z555" s="19"/>
      <c r="AA555" s="23"/>
    </row>
    <row r="556" spans="1:27" ht="15.75" customHeight="1" x14ac:dyDescent="0.2">
      <c r="A556" s="34"/>
      <c r="B556" s="34"/>
      <c r="C556" s="34"/>
      <c r="D556" s="34"/>
      <c r="E556" s="19"/>
      <c r="F556" s="19"/>
      <c r="G556" s="19"/>
      <c r="H556" s="19"/>
      <c r="I556" s="19"/>
      <c r="J556" s="19"/>
      <c r="K556" s="19"/>
      <c r="L556" s="19"/>
      <c r="M556" s="19"/>
      <c r="N556" s="19"/>
      <c r="O556" s="19"/>
      <c r="P556" s="19"/>
      <c r="Q556" s="20"/>
      <c r="R556" s="20"/>
      <c r="S556" s="22"/>
      <c r="T556" s="22"/>
      <c r="U556" s="20"/>
      <c r="V556" s="20"/>
      <c r="W556" s="20"/>
      <c r="X556" s="19"/>
      <c r="Y556" s="19"/>
      <c r="Z556" s="19"/>
      <c r="AA556" s="23"/>
    </row>
    <row r="557" spans="1:27" ht="15.75" customHeight="1" x14ac:dyDescent="0.2">
      <c r="A557" s="34"/>
      <c r="B557" s="34"/>
      <c r="C557" s="34"/>
      <c r="D557" s="34"/>
      <c r="E557" s="19"/>
      <c r="F557" s="19"/>
      <c r="G557" s="19"/>
      <c r="H557" s="19"/>
      <c r="I557" s="19"/>
      <c r="J557" s="19"/>
      <c r="K557" s="19"/>
      <c r="L557" s="19"/>
      <c r="M557" s="19"/>
      <c r="N557" s="19"/>
      <c r="O557" s="19"/>
      <c r="P557" s="19"/>
      <c r="Q557" s="20"/>
      <c r="R557" s="20"/>
      <c r="S557" s="22"/>
      <c r="T557" s="22"/>
      <c r="U557" s="20"/>
      <c r="V557" s="20"/>
      <c r="W557" s="20"/>
      <c r="X557" s="19"/>
      <c r="Y557" s="19"/>
      <c r="Z557" s="19"/>
      <c r="AA557" s="23"/>
    </row>
    <row r="558" spans="1:27" ht="15.75" customHeight="1" x14ac:dyDescent="0.2">
      <c r="A558" s="34"/>
      <c r="B558" s="34"/>
      <c r="C558" s="34"/>
      <c r="D558" s="34"/>
      <c r="E558" s="19"/>
      <c r="F558" s="19"/>
      <c r="G558" s="19"/>
      <c r="H558" s="19"/>
      <c r="I558" s="19"/>
      <c r="J558" s="19"/>
      <c r="K558" s="19"/>
      <c r="L558" s="19"/>
      <c r="M558" s="19"/>
      <c r="N558" s="19"/>
      <c r="O558" s="19"/>
      <c r="P558" s="19"/>
      <c r="Q558" s="20"/>
      <c r="R558" s="20"/>
      <c r="S558" s="22"/>
      <c r="T558" s="22"/>
      <c r="U558" s="20"/>
      <c r="V558" s="20"/>
      <c r="W558" s="20"/>
      <c r="X558" s="19"/>
      <c r="Y558" s="19"/>
      <c r="Z558" s="19"/>
      <c r="AA558" s="23"/>
    </row>
    <row r="559" spans="1:27" ht="15.75" customHeight="1" x14ac:dyDescent="0.2">
      <c r="A559" s="34"/>
      <c r="B559" s="34"/>
      <c r="C559" s="34"/>
      <c r="D559" s="34"/>
      <c r="E559" s="19"/>
      <c r="F559" s="19"/>
      <c r="G559" s="19"/>
      <c r="H559" s="19"/>
      <c r="I559" s="19"/>
      <c r="J559" s="19"/>
      <c r="K559" s="19"/>
      <c r="L559" s="19"/>
      <c r="M559" s="19"/>
      <c r="N559" s="19"/>
      <c r="O559" s="19"/>
      <c r="P559" s="19"/>
      <c r="Q559" s="20"/>
      <c r="R559" s="20"/>
      <c r="S559" s="22"/>
      <c r="T559" s="22"/>
      <c r="U559" s="20"/>
      <c r="V559" s="20"/>
      <c r="W559" s="20"/>
      <c r="X559" s="19"/>
      <c r="Y559" s="19"/>
      <c r="Z559" s="19"/>
      <c r="AA559" s="23"/>
    </row>
    <row r="560" spans="1:27" ht="15.75" customHeight="1" x14ac:dyDescent="0.2">
      <c r="A560" s="34"/>
      <c r="B560" s="34"/>
      <c r="C560" s="34"/>
      <c r="D560" s="34"/>
      <c r="E560" s="19"/>
      <c r="F560" s="19"/>
      <c r="G560" s="19"/>
      <c r="H560" s="19"/>
      <c r="I560" s="19"/>
      <c r="J560" s="19"/>
      <c r="K560" s="19"/>
      <c r="L560" s="19"/>
      <c r="M560" s="19"/>
      <c r="N560" s="19"/>
      <c r="O560" s="19"/>
      <c r="P560" s="19"/>
      <c r="Q560" s="20"/>
      <c r="R560" s="20"/>
      <c r="S560" s="22"/>
      <c r="T560" s="22"/>
      <c r="U560" s="20"/>
      <c r="V560" s="20"/>
      <c r="W560" s="20"/>
      <c r="X560" s="19"/>
      <c r="Y560" s="19"/>
      <c r="Z560" s="19"/>
      <c r="AA560" s="23"/>
    </row>
    <row r="561" spans="1:27" ht="15.75" customHeight="1" x14ac:dyDescent="0.2">
      <c r="A561" s="34"/>
      <c r="B561" s="34"/>
      <c r="C561" s="34"/>
      <c r="D561" s="34"/>
      <c r="E561" s="19"/>
      <c r="F561" s="19"/>
      <c r="G561" s="19"/>
      <c r="H561" s="19"/>
      <c r="I561" s="19"/>
      <c r="J561" s="19"/>
      <c r="K561" s="19"/>
      <c r="L561" s="19"/>
      <c r="M561" s="19"/>
      <c r="N561" s="19"/>
      <c r="O561" s="19"/>
      <c r="P561" s="19"/>
      <c r="Q561" s="20"/>
      <c r="R561" s="20"/>
      <c r="S561" s="22"/>
      <c r="T561" s="22"/>
      <c r="U561" s="20"/>
      <c r="V561" s="20"/>
      <c r="W561" s="20"/>
      <c r="X561" s="19"/>
      <c r="Y561" s="19"/>
      <c r="Z561" s="19"/>
      <c r="AA561" s="23"/>
    </row>
    <row r="562" spans="1:27" ht="15.75" customHeight="1" x14ac:dyDescent="0.2">
      <c r="A562" s="34"/>
      <c r="B562" s="34"/>
      <c r="C562" s="34"/>
      <c r="D562" s="34"/>
      <c r="E562" s="19"/>
      <c r="F562" s="19"/>
      <c r="G562" s="19"/>
      <c r="H562" s="19"/>
      <c r="I562" s="19"/>
      <c r="J562" s="19"/>
      <c r="K562" s="19"/>
      <c r="L562" s="19"/>
      <c r="M562" s="19"/>
      <c r="N562" s="19"/>
      <c r="O562" s="19"/>
      <c r="P562" s="19"/>
      <c r="Q562" s="20"/>
      <c r="R562" s="20"/>
      <c r="S562" s="22"/>
      <c r="T562" s="22"/>
      <c r="U562" s="20"/>
      <c r="V562" s="20"/>
      <c r="W562" s="20"/>
      <c r="X562" s="19"/>
      <c r="Y562" s="19"/>
      <c r="Z562" s="19"/>
      <c r="AA562" s="23"/>
    </row>
    <row r="563" spans="1:27" ht="15.75" customHeight="1" x14ac:dyDescent="0.2">
      <c r="A563" s="34"/>
      <c r="B563" s="34"/>
      <c r="C563" s="34"/>
      <c r="D563" s="34"/>
      <c r="E563" s="19"/>
      <c r="F563" s="19"/>
      <c r="G563" s="19"/>
      <c r="H563" s="19"/>
      <c r="I563" s="19"/>
      <c r="J563" s="19"/>
      <c r="K563" s="19"/>
      <c r="L563" s="19"/>
      <c r="M563" s="19"/>
      <c r="N563" s="19"/>
      <c r="O563" s="19"/>
      <c r="P563" s="19"/>
      <c r="Q563" s="20"/>
      <c r="R563" s="20"/>
      <c r="S563" s="22"/>
      <c r="T563" s="22"/>
      <c r="U563" s="20"/>
      <c r="V563" s="20"/>
      <c r="W563" s="20"/>
      <c r="X563" s="19"/>
      <c r="Y563" s="19"/>
      <c r="Z563" s="19"/>
      <c r="AA563" s="23"/>
    </row>
    <row r="564" spans="1:27" ht="15.75" customHeight="1" x14ac:dyDescent="0.2">
      <c r="A564" s="34"/>
      <c r="B564" s="34"/>
      <c r="C564" s="34"/>
      <c r="D564" s="34"/>
      <c r="E564" s="19"/>
      <c r="F564" s="19"/>
      <c r="G564" s="19"/>
      <c r="H564" s="19"/>
      <c r="I564" s="19"/>
      <c r="J564" s="19"/>
      <c r="K564" s="19"/>
      <c r="L564" s="19"/>
      <c r="M564" s="19"/>
      <c r="N564" s="19"/>
      <c r="O564" s="19"/>
      <c r="P564" s="19"/>
      <c r="Q564" s="20"/>
      <c r="R564" s="20"/>
      <c r="S564" s="22"/>
      <c r="T564" s="22"/>
      <c r="U564" s="20"/>
      <c r="V564" s="20"/>
      <c r="W564" s="20"/>
      <c r="X564" s="19"/>
      <c r="Y564" s="19"/>
      <c r="Z564" s="19"/>
      <c r="AA564" s="23"/>
    </row>
    <row r="565" spans="1:27" ht="15.75" customHeight="1" x14ac:dyDescent="0.2">
      <c r="A565" s="34"/>
      <c r="B565" s="34"/>
      <c r="C565" s="34"/>
      <c r="D565" s="34"/>
      <c r="E565" s="19"/>
      <c r="F565" s="19"/>
      <c r="G565" s="19"/>
      <c r="H565" s="19"/>
      <c r="I565" s="19"/>
      <c r="J565" s="19"/>
      <c r="K565" s="19"/>
      <c r="L565" s="19"/>
      <c r="M565" s="19"/>
      <c r="N565" s="19"/>
      <c r="O565" s="19"/>
      <c r="P565" s="19"/>
      <c r="Q565" s="20"/>
      <c r="R565" s="20"/>
      <c r="S565" s="22"/>
      <c r="T565" s="22"/>
      <c r="U565" s="20"/>
      <c r="V565" s="20"/>
      <c r="W565" s="20"/>
      <c r="X565" s="19"/>
      <c r="Y565" s="19"/>
      <c r="Z565" s="19"/>
      <c r="AA565" s="23"/>
    </row>
    <row r="566" spans="1:27" ht="15.75" customHeight="1" x14ac:dyDescent="0.2">
      <c r="A566" s="34"/>
      <c r="B566" s="34"/>
      <c r="C566" s="34"/>
      <c r="D566" s="34"/>
      <c r="E566" s="19"/>
      <c r="F566" s="19"/>
      <c r="G566" s="19"/>
      <c r="H566" s="19"/>
      <c r="I566" s="19"/>
      <c r="J566" s="19"/>
      <c r="K566" s="19"/>
      <c r="L566" s="19"/>
      <c r="M566" s="19"/>
      <c r="N566" s="19"/>
      <c r="O566" s="19"/>
      <c r="P566" s="19"/>
      <c r="Q566" s="20"/>
      <c r="R566" s="20"/>
      <c r="S566" s="22"/>
      <c r="T566" s="22"/>
      <c r="U566" s="20"/>
      <c r="V566" s="20"/>
      <c r="W566" s="20"/>
      <c r="X566" s="19"/>
      <c r="Y566" s="19"/>
      <c r="Z566" s="19"/>
      <c r="AA566" s="23"/>
    </row>
    <row r="567" spans="1:27" ht="15.75" customHeight="1" x14ac:dyDescent="0.2">
      <c r="A567" s="34"/>
      <c r="B567" s="34"/>
      <c r="C567" s="34"/>
      <c r="D567" s="34"/>
      <c r="E567" s="19"/>
      <c r="F567" s="19"/>
      <c r="G567" s="19"/>
      <c r="H567" s="19"/>
      <c r="I567" s="19"/>
      <c r="J567" s="19"/>
      <c r="K567" s="19"/>
      <c r="L567" s="19"/>
      <c r="M567" s="19"/>
      <c r="N567" s="19"/>
      <c r="O567" s="19"/>
      <c r="P567" s="19"/>
      <c r="Q567" s="20"/>
      <c r="R567" s="20"/>
      <c r="S567" s="22"/>
      <c r="T567" s="22"/>
      <c r="U567" s="20"/>
      <c r="V567" s="20"/>
      <c r="W567" s="20"/>
      <c r="X567" s="19"/>
      <c r="Y567" s="19"/>
      <c r="Z567" s="19"/>
      <c r="AA567" s="23"/>
    </row>
    <row r="568" spans="1:27" ht="15.75" customHeight="1" x14ac:dyDescent="0.2">
      <c r="A568" s="34"/>
      <c r="B568" s="34"/>
      <c r="C568" s="34"/>
      <c r="D568" s="34"/>
      <c r="E568" s="19"/>
      <c r="F568" s="19"/>
      <c r="G568" s="19"/>
      <c r="H568" s="19"/>
      <c r="I568" s="19"/>
      <c r="J568" s="19"/>
      <c r="K568" s="19"/>
      <c r="L568" s="19"/>
      <c r="M568" s="19"/>
      <c r="N568" s="19"/>
      <c r="O568" s="19"/>
      <c r="P568" s="19"/>
      <c r="Q568" s="20"/>
      <c r="R568" s="20"/>
      <c r="S568" s="22"/>
      <c r="T568" s="22"/>
      <c r="U568" s="20"/>
      <c r="V568" s="20"/>
      <c r="W568" s="20"/>
      <c r="X568" s="19"/>
      <c r="Y568" s="19"/>
      <c r="Z568" s="19"/>
      <c r="AA568" s="23"/>
    </row>
    <row r="569" spans="1:27" ht="15.75" customHeight="1" x14ac:dyDescent="0.2">
      <c r="A569" s="34"/>
      <c r="B569" s="34"/>
      <c r="C569" s="34"/>
      <c r="D569" s="34"/>
      <c r="E569" s="19"/>
      <c r="F569" s="19"/>
      <c r="G569" s="19"/>
      <c r="H569" s="19"/>
      <c r="I569" s="19"/>
      <c r="J569" s="19"/>
      <c r="K569" s="19"/>
      <c r="L569" s="19"/>
      <c r="M569" s="19"/>
      <c r="N569" s="19"/>
      <c r="O569" s="19"/>
      <c r="P569" s="19"/>
      <c r="Q569" s="20"/>
      <c r="R569" s="20"/>
      <c r="S569" s="22"/>
      <c r="T569" s="22"/>
      <c r="U569" s="20"/>
      <c r="V569" s="20"/>
      <c r="W569" s="20"/>
      <c r="X569" s="19"/>
      <c r="Y569" s="19"/>
      <c r="Z569" s="19"/>
      <c r="AA569" s="23"/>
    </row>
    <row r="570" spans="1:27" ht="15.75" customHeight="1" x14ac:dyDescent="0.2">
      <c r="A570" s="34"/>
      <c r="B570" s="34"/>
      <c r="C570" s="34"/>
      <c r="D570" s="34"/>
      <c r="E570" s="19"/>
      <c r="F570" s="19"/>
      <c r="G570" s="19"/>
      <c r="H570" s="19"/>
      <c r="I570" s="19"/>
      <c r="J570" s="19"/>
      <c r="K570" s="19"/>
      <c r="L570" s="19"/>
      <c r="M570" s="19"/>
      <c r="N570" s="19"/>
      <c r="O570" s="19"/>
      <c r="P570" s="19"/>
      <c r="Q570" s="20"/>
      <c r="R570" s="20"/>
      <c r="S570" s="22"/>
      <c r="T570" s="22"/>
      <c r="U570" s="20"/>
      <c r="V570" s="20"/>
      <c r="W570" s="20"/>
      <c r="X570" s="19"/>
      <c r="Y570" s="19"/>
      <c r="Z570" s="19"/>
      <c r="AA570" s="23"/>
    </row>
    <row r="571" spans="1:27" ht="15.75" customHeight="1" x14ac:dyDescent="0.2">
      <c r="A571" s="34"/>
      <c r="B571" s="34"/>
      <c r="C571" s="34"/>
      <c r="D571" s="34"/>
      <c r="E571" s="19"/>
      <c r="F571" s="19"/>
      <c r="G571" s="19"/>
      <c r="H571" s="19"/>
      <c r="I571" s="19"/>
      <c r="J571" s="19"/>
      <c r="K571" s="19"/>
      <c r="L571" s="19"/>
      <c r="M571" s="19"/>
      <c r="N571" s="19"/>
      <c r="O571" s="19"/>
      <c r="P571" s="19"/>
      <c r="Q571" s="20"/>
      <c r="R571" s="20"/>
      <c r="S571" s="22"/>
      <c r="T571" s="22"/>
      <c r="U571" s="20"/>
      <c r="V571" s="20"/>
      <c r="W571" s="20"/>
      <c r="X571" s="19"/>
      <c r="Y571" s="19"/>
      <c r="Z571" s="19"/>
      <c r="AA571" s="23"/>
    </row>
    <row r="572" spans="1:27" ht="15.75" customHeight="1" x14ac:dyDescent="0.2">
      <c r="A572" s="34"/>
      <c r="B572" s="34"/>
      <c r="C572" s="34"/>
      <c r="D572" s="34"/>
      <c r="E572" s="19"/>
      <c r="F572" s="19"/>
      <c r="G572" s="19"/>
      <c r="H572" s="19"/>
      <c r="I572" s="19"/>
      <c r="J572" s="19"/>
      <c r="K572" s="19"/>
      <c r="L572" s="19"/>
      <c r="M572" s="19"/>
      <c r="N572" s="19"/>
      <c r="O572" s="19"/>
      <c r="P572" s="19"/>
      <c r="Q572" s="20"/>
      <c r="R572" s="20"/>
      <c r="S572" s="22"/>
      <c r="T572" s="22"/>
      <c r="U572" s="20"/>
      <c r="V572" s="20"/>
      <c r="W572" s="20"/>
      <c r="X572" s="19"/>
      <c r="Y572" s="19"/>
      <c r="Z572" s="19"/>
      <c r="AA572" s="23"/>
    </row>
    <row r="573" spans="1:27" ht="15.75" customHeight="1" x14ac:dyDescent="0.2">
      <c r="A573" s="34"/>
      <c r="B573" s="34"/>
      <c r="C573" s="34"/>
      <c r="D573" s="34"/>
      <c r="E573" s="19"/>
      <c r="F573" s="19"/>
      <c r="G573" s="19"/>
      <c r="H573" s="19"/>
      <c r="I573" s="19"/>
      <c r="J573" s="19"/>
      <c r="K573" s="19"/>
      <c r="L573" s="19"/>
      <c r="M573" s="19"/>
      <c r="N573" s="19"/>
      <c r="O573" s="19"/>
      <c r="P573" s="19"/>
      <c r="Q573" s="20"/>
      <c r="R573" s="20"/>
      <c r="S573" s="22"/>
      <c r="T573" s="22"/>
      <c r="U573" s="20"/>
      <c r="V573" s="20"/>
      <c r="W573" s="20"/>
      <c r="X573" s="19"/>
      <c r="Y573" s="19"/>
      <c r="Z573" s="19"/>
      <c r="AA573" s="23"/>
    </row>
    <row r="574" spans="1:27" ht="15.75" customHeight="1" x14ac:dyDescent="0.2">
      <c r="A574" s="34"/>
      <c r="B574" s="34"/>
      <c r="C574" s="34"/>
      <c r="D574" s="34"/>
      <c r="E574" s="19"/>
      <c r="F574" s="19"/>
      <c r="G574" s="19"/>
      <c r="H574" s="19"/>
      <c r="I574" s="19"/>
      <c r="J574" s="19"/>
      <c r="K574" s="19"/>
      <c r="L574" s="19"/>
      <c r="M574" s="19"/>
      <c r="N574" s="19"/>
      <c r="O574" s="19"/>
      <c r="P574" s="19"/>
      <c r="Q574" s="20"/>
      <c r="R574" s="20"/>
      <c r="S574" s="22"/>
      <c r="T574" s="22"/>
      <c r="U574" s="20"/>
      <c r="V574" s="20"/>
      <c r="W574" s="20"/>
      <c r="X574" s="19"/>
      <c r="Y574" s="19"/>
      <c r="Z574" s="19"/>
      <c r="AA574" s="23"/>
    </row>
    <row r="575" spans="1:27" ht="15.75" customHeight="1" x14ac:dyDescent="0.2">
      <c r="A575" s="34"/>
      <c r="B575" s="34"/>
      <c r="C575" s="34"/>
      <c r="D575" s="34"/>
      <c r="E575" s="19"/>
      <c r="F575" s="19"/>
      <c r="G575" s="19"/>
      <c r="H575" s="19"/>
      <c r="I575" s="19"/>
      <c r="J575" s="19"/>
      <c r="K575" s="19"/>
      <c r="L575" s="19"/>
      <c r="M575" s="19"/>
      <c r="N575" s="19"/>
      <c r="O575" s="19"/>
      <c r="P575" s="19"/>
      <c r="Q575" s="20"/>
      <c r="R575" s="20"/>
      <c r="S575" s="22"/>
      <c r="T575" s="22"/>
      <c r="U575" s="20"/>
      <c r="V575" s="20"/>
      <c r="W575" s="20"/>
      <c r="X575" s="19"/>
      <c r="Y575" s="19"/>
      <c r="Z575" s="19"/>
      <c r="AA575" s="23"/>
    </row>
    <row r="576" spans="1:27" ht="15.75" customHeight="1" x14ac:dyDescent="0.2">
      <c r="A576" s="34"/>
      <c r="B576" s="34"/>
      <c r="C576" s="34"/>
      <c r="D576" s="34"/>
      <c r="E576" s="19"/>
      <c r="F576" s="19"/>
      <c r="G576" s="19"/>
      <c r="H576" s="19"/>
      <c r="I576" s="19"/>
      <c r="J576" s="19"/>
      <c r="K576" s="19"/>
      <c r="L576" s="19"/>
      <c r="M576" s="19"/>
      <c r="N576" s="19"/>
      <c r="O576" s="19"/>
      <c r="P576" s="19"/>
      <c r="Q576" s="20"/>
      <c r="R576" s="20"/>
      <c r="S576" s="22"/>
      <c r="T576" s="22"/>
      <c r="U576" s="20"/>
      <c r="V576" s="20"/>
      <c r="W576" s="20"/>
      <c r="X576" s="19"/>
      <c r="Y576" s="19"/>
      <c r="Z576" s="19"/>
      <c r="AA576" s="23"/>
    </row>
    <row r="577" spans="1:27" ht="15.75" customHeight="1" x14ac:dyDescent="0.2">
      <c r="A577" s="34"/>
      <c r="B577" s="34"/>
      <c r="C577" s="34"/>
      <c r="D577" s="34"/>
      <c r="E577" s="19"/>
      <c r="F577" s="19"/>
      <c r="G577" s="19"/>
      <c r="H577" s="19"/>
      <c r="I577" s="19"/>
      <c r="J577" s="19"/>
      <c r="K577" s="19"/>
      <c r="L577" s="19"/>
      <c r="M577" s="19"/>
      <c r="N577" s="19"/>
      <c r="O577" s="19"/>
      <c r="P577" s="19"/>
      <c r="Q577" s="20"/>
      <c r="R577" s="20"/>
      <c r="S577" s="22"/>
      <c r="T577" s="22"/>
      <c r="U577" s="20"/>
      <c r="V577" s="20"/>
      <c r="W577" s="20"/>
      <c r="X577" s="19"/>
      <c r="Y577" s="19"/>
      <c r="Z577" s="19"/>
      <c r="AA577" s="23"/>
    </row>
    <row r="578" spans="1:27" ht="15.75" customHeight="1" x14ac:dyDescent="0.2">
      <c r="A578" s="34"/>
      <c r="B578" s="34"/>
      <c r="C578" s="34"/>
      <c r="D578" s="34"/>
      <c r="E578" s="19"/>
      <c r="F578" s="19"/>
      <c r="G578" s="19"/>
      <c r="H578" s="19"/>
      <c r="I578" s="19"/>
      <c r="J578" s="19"/>
      <c r="K578" s="19"/>
      <c r="L578" s="19"/>
      <c r="M578" s="19"/>
      <c r="N578" s="19"/>
      <c r="O578" s="19"/>
      <c r="P578" s="19"/>
      <c r="Q578" s="20"/>
      <c r="R578" s="20"/>
      <c r="S578" s="22"/>
      <c r="T578" s="22"/>
      <c r="U578" s="20"/>
      <c r="V578" s="20"/>
      <c r="W578" s="20"/>
      <c r="X578" s="19"/>
      <c r="Y578" s="19"/>
      <c r="Z578" s="19"/>
      <c r="AA578" s="23"/>
    </row>
    <row r="579" spans="1:27" ht="15.75" customHeight="1" x14ac:dyDescent="0.2">
      <c r="A579" s="34"/>
      <c r="B579" s="34"/>
      <c r="C579" s="34"/>
      <c r="D579" s="34"/>
      <c r="E579" s="19"/>
      <c r="F579" s="19"/>
      <c r="G579" s="19"/>
      <c r="H579" s="19"/>
      <c r="I579" s="19"/>
      <c r="J579" s="19"/>
      <c r="K579" s="19"/>
      <c r="L579" s="19"/>
      <c r="M579" s="19"/>
      <c r="N579" s="19"/>
      <c r="O579" s="19"/>
      <c r="P579" s="19"/>
      <c r="Q579" s="20"/>
      <c r="R579" s="20"/>
      <c r="S579" s="22"/>
      <c r="T579" s="22"/>
      <c r="U579" s="20"/>
      <c r="V579" s="20"/>
      <c r="W579" s="20"/>
      <c r="X579" s="19"/>
      <c r="Y579" s="19"/>
      <c r="Z579" s="19"/>
      <c r="AA579" s="23"/>
    </row>
    <row r="580" spans="1:27" ht="15.75" customHeight="1" x14ac:dyDescent="0.2">
      <c r="A580" s="34"/>
      <c r="B580" s="34"/>
      <c r="C580" s="34"/>
      <c r="D580" s="34"/>
      <c r="E580" s="19"/>
      <c r="F580" s="19"/>
      <c r="G580" s="19"/>
      <c r="H580" s="19"/>
      <c r="I580" s="19"/>
      <c r="J580" s="19"/>
      <c r="K580" s="19"/>
      <c r="L580" s="19"/>
      <c r="M580" s="19"/>
      <c r="N580" s="19"/>
      <c r="O580" s="19"/>
      <c r="P580" s="19"/>
      <c r="Q580" s="20"/>
      <c r="R580" s="20"/>
      <c r="S580" s="22"/>
      <c r="T580" s="22"/>
      <c r="U580" s="20"/>
      <c r="V580" s="20"/>
      <c r="W580" s="20"/>
      <c r="X580" s="19"/>
      <c r="Y580" s="19"/>
      <c r="Z580" s="19"/>
      <c r="AA580" s="23"/>
    </row>
    <row r="581" spans="1:27" ht="15.75" customHeight="1" x14ac:dyDescent="0.2">
      <c r="A581" s="34"/>
      <c r="B581" s="34"/>
      <c r="C581" s="34"/>
      <c r="D581" s="34"/>
      <c r="E581" s="19"/>
      <c r="F581" s="19"/>
      <c r="G581" s="19"/>
      <c r="H581" s="19"/>
      <c r="I581" s="19"/>
      <c r="J581" s="19"/>
      <c r="K581" s="19"/>
      <c r="L581" s="19"/>
      <c r="M581" s="19"/>
      <c r="N581" s="19"/>
      <c r="O581" s="19"/>
      <c r="P581" s="19"/>
      <c r="Q581" s="20"/>
      <c r="R581" s="20"/>
      <c r="S581" s="22"/>
      <c r="T581" s="22"/>
      <c r="U581" s="20"/>
      <c r="V581" s="20"/>
      <c r="W581" s="20"/>
      <c r="X581" s="19"/>
      <c r="Y581" s="19"/>
      <c r="Z581" s="19"/>
      <c r="AA581" s="23"/>
    </row>
    <row r="582" spans="1:27" ht="15.75" customHeight="1" x14ac:dyDescent="0.2">
      <c r="A582" s="34"/>
      <c r="B582" s="34"/>
      <c r="C582" s="34"/>
      <c r="D582" s="34"/>
      <c r="E582" s="19"/>
      <c r="F582" s="19"/>
      <c r="G582" s="19"/>
      <c r="H582" s="19"/>
      <c r="I582" s="19"/>
      <c r="J582" s="19"/>
      <c r="K582" s="19"/>
      <c r="L582" s="19"/>
      <c r="M582" s="19"/>
      <c r="N582" s="19"/>
      <c r="O582" s="19"/>
      <c r="P582" s="19"/>
      <c r="Q582" s="20"/>
      <c r="R582" s="20"/>
      <c r="S582" s="22"/>
      <c r="T582" s="22"/>
      <c r="U582" s="20"/>
      <c r="V582" s="20"/>
      <c r="W582" s="20"/>
      <c r="X582" s="19"/>
      <c r="Y582" s="19"/>
      <c r="Z582" s="19"/>
      <c r="AA582" s="23"/>
    </row>
    <row r="583" spans="1:27" ht="15.75" customHeight="1" x14ac:dyDescent="0.2">
      <c r="A583" s="34"/>
      <c r="B583" s="34"/>
      <c r="C583" s="34"/>
      <c r="D583" s="34"/>
      <c r="E583" s="19"/>
      <c r="F583" s="19"/>
      <c r="G583" s="19"/>
      <c r="H583" s="19"/>
      <c r="I583" s="19"/>
      <c r="J583" s="19"/>
      <c r="K583" s="19"/>
      <c r="L583" s="19"/>
      <c r="M583" s="19"/>
      <c r="N583" s="19"/>
      <c r="O583" s="19"/>
      <c r="P583" s="19"/>
      <c r="Q583" s="20"/>
      <c r="R583" s="20"/>
      <c r="S583" s="22"/>
      <c r="T583" s="22"/>
      <c r="U583" s="20"/>
      <c r="V583" s="20"/>
      <c r="W583" s="20"/>
      <c r="X583" s="19"/>
      <c r="Y583" s="19"/>
      <c r="Z583" s="19"/>
      <c r="AA583" s="23"/>
    </row>
    <row r="584" spans="1:27" ht="15.75" customHeight="1" x14ac:dyDescent="0.2">
      <c r="A584" s="34"/>
      <c r="B584" s="34"/>
      <c r="C584" s="34"/>
      <c r="D584" s="34"/>
      <c r="E584" s="19"/>
      <c r="F584" s="19"/>
      <c r="G584" s="19"/>
      <c r="H584" s="19"/>
      <c r="I584" s="19"/>
      <c r="J584" s="19"/>
      <c r="K584" s="19"/>
      <c r="L584" s="19"/>
      <c r="M584" s="19"/>
      <c r="N584" s="19"/>
      <c r="O584" s="19"/>
      <c r="P584" s="19"/>
      <c r="Q584" s="20"/>
      <c r="R584" s="20"/>
      <c r="S584" s="22"/>
      <c r="T584" s="22"/>
      <c r="U584" s="20"/>
      <c r="V584" s="20"/>
      <c r="W584" s="20"/>
      <c r="X584" s="19"/>
      <c r="Y584" s="19"/>
      <c r="Z584" s="19"/>
      <c r="AA584" s="23"/>
    </row>
    <row r="585" spans="1:27" ht="15.75" customHeight="1" x14ac:dyDescent="0.2">
      <c r="A585" s="34"/>
      <c r="B585" s="34"/>
      <c r="C585" s="34"/>
      <c r="D585" s="34"/>
      <c r="E585" s="19"/>
      <c r="F585" s="19"/>
      <c r="G585" s="19"/>
      <c r="H585" s="19"/>
      <c r="I585" s="19"/>
      <c r="J585" s="19"/>
      <c r="K585" s="19"/>
      <c r="L585" s="19"/>
      <c r="M585" s="19"/>
      <c r="N585" s="19"/>
      <c r="O585" s="19"/>
      <c r="P585" s="19"/>
      <c r="Q585" s="20"/>
      <c r="R585" s="20"/>
      <c r="S585" s="22"/>
      <c r="T585" s="22"/>
      <c r="U585" s="20"/>
      <c r="V585" s="20"/>
      <c r="W585" s="20"/>
      <c r="X585" s="19"/>
      <c r="Y585" s="19"/>
      <c r="Z585" s="19"/>
      <c r="AA585" s="23"/>
    </row>
    <row r="586" spans="1:27" ht="15.75" customHeight="1" x14ac:dyDescent="0.2">
      <c r="A586" s="34"/>
      <c r="B586" s="34"/>
      <c r="C586" s="34"/>
      <c r="D586" s="34"/>
      <c r="E586" s="19"/>
      <c r="F586" s="19"/>
      <c r="G586" s="19"/>
      <c r="H586" s="19"/>
      <c r="I586" s="19"/>
      <c r="J586" s="19"/>
      <c r="K586" s="19"/>
      <c r="L586" s="19"/>
      <c r="M586" s="19"/>
      <c r="N586" s="19"/>
      <c r="O586" s="19"/>
      <c r="P586" s="19"/>
      <c r="Q586" s="20"/>
      <c r="R586" s="20"/>
      <c r="S586" s="22"/>
      <c r="T586" s="22"/>
      <c r="U586" s="20"/>
      <c r="V586" s="20"/>
      <c r="W586" s="20"/>
      <c r="X586" s="19"/>
      <c r="Y586" s="19"/>
      <c r="Z586" s="19"/>
      <c r="AA586" s="23"/>
    </row>
    <row r="587" spans="1:27" ht="15.75" customHeight="1" x14ac:dyDescent="0.2">
      <c r="A587" s="34"/>
      <c r="B587" s="34"/>
      <c r="C587" s="34"/>
      <c r="D587" s="34"/>
      <c r="E587" s="19"/>
      <c r="F587" s="19"/>
      <c r="G587" s="19"/>
      <c r="H587" s="19"/>
      <c r="I587" s="19"/>
      <c r="J587" s="19"/>
      <c r="K587" s="19"/>
      <c r="L587" s="19"/>
      <c r="M587" s="19"/>
      <c r="N587" s="19"/>
      <c r="O587" s="19"/>
      <c r="P587" s="19"/>
      <c r="Q587" s="20"/>
      <c r="R587" s="20"/>
      <c r="S587" s="22"/>
      <c r="T587" s="22"/>
      <c r="U587" s="20"/>
      <c r="V587" s="20"/>
      <c r="W587" s="20"/>
      <c r="X587" s="19"/>
      <c r="Y587" s="19"/>
      <c r="Z587" s="19"/>
      <c r="AA587" s="23"/>
    </row>
    <row r="588" spans="1:27" ht="15.75" customHeight="1" x14ac:dyDescent="0.2">
      <c r="A588" s="34"/>
      <c r="B588" s="34"/>
      <c r="C588" s="34"/>
      <c r="D588" s="34"/>
      <c r="E588" s="19"/>
      <c r="F588" s="19"/>
      <c r="G588" s="19"/>
      <c r="H588" s="19"/>
      <c r="I588" s="19"/>
      <c r="J588" s="19"/>
      <c r="K588" s="19"/>
      <c r="L588" s="19"/>
      <c r="M588" s="19"/>
      <c r="N588" s="19"/>
      <c r="O588" s="19"/>
      <c r="P588" s="19"/>
      <c r="Q588" s="20"/>
      <c r="R588" s="20"/>
      <c r="S588" s="22"/>
      <c r="T588" s="22"/>
      <c r="U588" s="20"/>
      <c r="V588" s="20"/>
      <c r="W588" s="20"/>
      <c r="X588" s="19"/>
      <c r="Y588" s="19"/>
      <c r="Z588" s="19"/>
      <c r="AA588" s="23"/>
    </row>
    <row r="589" spans="1:27" ht="15.75" customHeight="1" x14ac:dyDescent="0.2">
      <c r="A589" s="34"/>
      <c r="B589" s="34"/>
      <c r="C589" s="34"/>
      <c r="D589" s="34"/>
      <c r="E589" s="19"/>
      <c r="F589" s="19"/>
      <c r="G589" s="19"/>
      <c r="H589" s="19"/>
      <c r="I589" s="19"/>
      <c r="J589" s="19"/>
      <c r="K589" s="19"/>
      <c r="L589" s="19"/>
      <c r="M589" s="19"/>
      <c r="N589" s="19"/>
      <c r="O589" s="19"/>
      <c r="P589" s="19"/>
      <c r="Q589" s="20"/>
      <c r="R589" s="20"/>
      <c r="S589" s="22"/>
      <c r="T589" s="22"/>
      <c r="U589" s="20"/>
      <c r="V589" s="20"/>
      <c r="W589" s="20"/>
      <c r="X589" s="19"/>
      <c r="Y589" s="19"/>
      <c r="Z589" s="19"/>
      <c r="AA589" s="23"/>
    </row>
    <row r="590" spans="1:27" ht="15.75" customHeight="1" x14ac:dyDescent="0.2">
      <c r="A590" s="34"/>
      <c r="B590" s="34"/>
      <c r="C590" s="34"/>
      <c r="D590" s="34"/>
      <c r="E590" s="19"/>
      <c r="F590" s="19"/>
      <c r="G590" s="19"/>
      <c r="H590" s="19"/>
      <c r="I590" s="19"/>
      <c r="J590" s="19"/>
      <c r="K590" s="19"/>
      <c r="L590" s="19"/>
      <c r="M590" s="19"/>
      <c r="N590" s="19"/>
      <c r="O590" s="19"/>
      <c r="P590" s="19"/>
      <c r="Q590" s="20"/>
      <c r="R590" s="20"/>
      <c r="S590" s="22"/>
      <c r="T590" s="22"/>
      <c r="U590" s="20"/>
      <c r="V590" s="20"/>
      <c r="W590" s="20"/>
      <c r="X590" s="19"/>
      <c r="Y590" s="19"/>
      <c r="Z590" s="19"/>
      <c r="AA590" s="23"/>
    </row>
    <row r="591" spans="1:27" ht="15.75" customHeight="1" x14ac:dyDescent="0.2">
      <c r="A591" s="34"/>
      <c r="B591" s="34"/>
      <c r="C591" s="34"/>
      <c r="D591" s="34"/>
      <c r="E591" s="19"/>
      <c r="F591" s="19"/>
      <c r="G591" s="19"/>
      <c r="H591" s="19"/>
      <c r="I591" s="19"/>
      <c r="J591" s="19"/>
      <c r="K591" s="19"/>
      <c r="L591" s="19"/>
      <c r="M591" s="19"/>
      <c r="N591" s="19"/>
      <c r="O591" s="19"/>
      <c r="P591" s="19"/>
      <c r="Q591" s="20"/>
      <c r="R591" s="20"/>
      <c r="S591" s="22"/>
      <c r="T591" s="22"/>
      <c r="U591" s="20"/>
      <c r="V591" s="20"/>
      <c r="W591" s="20"/>
      <c r="X591" s="19"/>
      <c r="Y591" s="19"/>
      <c r="Z591" s="19"/>
      <c r="AA591" s="23"/>
    </row>
    <row r="592" spans="1:27" ht="15.75" customHeight="1" x14ac:dyDescent="0.2">
      <c r="A592" s="34"/>
      <c r="B592" s="34"/>
      <c r="C592" s="34"/>
      <c r="D592" s="34"/>
      <c r="E592" s="19"/>
      <c r="F592" s="19"/>
      <c r="G592" s="19"/>
      <c r="H592" s="19"/>
      <c r="I592" s="19"/>
      <c r="J592" s="19"/>
      <c r="K592" s="19"/>
      <c r="L592" s="19"/>
      <c r="M592" s="19"/>
      <c r="N592" s="19"/>
      <c r="O592" s="19"/>
      <c r="P592" s="19"/>
      <c r="Q592" s="20"/>
      <c r="R592" s="20"/>
      <c r="S592" s="22"/>
      <c r="T592" s="22"/>
      <c r="U592" s="20"/>
      <c r="V592" s="20"/>
      <c r="W592" s="20"/>
      <c r="X592" s="19"/>
      <c r="Y592" s="19"/>
      <c r="Z592" s="19"/>
      <c r="AA592" s="23"/>
    </row>
    <row r="593" spans="1:27" ht="15.75" customHeight="1" x14ac:dyDescent="0.2">
      <c r="A593" s="34"/>
      <c r="B593" s="34"/>
      <c r="C593" s="34"/>
      <c r="D593" s="34"/>
      <c r="E593" s="19"/>
      <c r="F593" s="19"/>
      <c r="G593" s="19"/>
      <c r="H593" s="19"/>
      <c r="I593" s="19"/>
      <c r="J593" s="19"/>
      <c r="K593" s="19"/>
      <c r="L593" s="19"/>
      <c r="M593" s="19"/>
      <c r="N593" s="19"/>
      <c r="O593" s="19"/>
      <c r="P593" s="19"/>
      <c r="Q593" s="20"/>
      <c r="R593" s="20"/>
      <c r="S593" s="22"/>
      <c r="T593" s="22"/>
      <c r="U593" s="20"/>
      <c r="V593" s="20"/>
      <c r="W593" s="20"/>
      <c r="X593" s="19"/>
      <c r="Y593" s="19"/>
      <c r="Z593" s="19"/>
      <c r="AA593" s="23"/>
    </row>
    <row r="594" spans="1:27" ht="15.75" customHeight="1" x14ac:dyDescent="0.2">
      <c r="A594" s="34"/>
      <c r="B594" s="34"/>
      <c r="C594" s="34"/>
      <c r="D594" s="34"/>
      <c r="E594" s="19"/>
      <c r="F594" s="19"/>
      <c r="G594" s="19"/>
      <c r="H594" s="19"/>
      <c r="I594" s="19"/>
      <c r="J594" s="19"/>
      <c r="K594" s="19"/>
      <c r="L594" s="19"/>
      <c r="M594" s="19"/>
      <c r="N594" s="19"/>
      <c r="O594" s="19"/>
      <c r="P594" s="19"/>
      <c r="Q594" s="20"/>
      <c r="R594" s="20"/>
      <c r="S594" s="22"/>
      <c r="T594" s="22"/>
      <c r="U594" s="20"/>
      <c r="V594" s="20"/>
      <c r="W594" s="20"/>
      <c r="X594" s="19"/>
      <c r="Y594" s="19"/>
      <c r="Z594" s="19"/>
      <c r="AA594" s="23"/>
    </row>
    <row r="595" spans="1:27" ht="15.75" customHeight="1" x14ac:dyDescent="0.2">
      <c r="A595" s="34"/>
      <c r="B595" s="34"/>
      <c r="C595" s="34"/>
      <c r="D595" s="34"/>
      <c r="E595" s="19"/>
      <c r="F595" s="19"/>
      <c r="G595" s="19"/>
      <c r="H595" s="19"/>
      <c r="I595" s="19"/>
      <c r="J595" s="19"/>
      <c r="K595" s="19"/>
      <c r="L595" s="19"/>
      <c r="M595" s="19"/>
      <c r="N595" s="19"/>
      <c r="O595" s="19"/>
      <c r="P595" s="19"/>
      <c r="Q595" s="20"/>
      <c r="R595" s="20"/>
      <c r="S595" s="22"/>
      <c r="T595" s="22"/>
      <c r="U595" s="20"/>
      <c r="V595" s="20"/>
      <c r="W595" s="20"/>
      <c r="X595" s="19"/>
      <c r="Y595" s="19"/>
      <c r="Z595" s="19"/>
      <c r="AA595" s="23"/>
    </row>
    <row r="596" spans="1:27" ht="15.75" customHeight="1" x14ac:dyDescent="0.2">
      <c r="A596" s="34"/>
      <c r="B596" s="34"/>
      <c r="C596" s="34"/>
      <c r="D596" s="34"/>
      <c r="E596" s="19"/>
      <c r="F596" s="19"/>
      <c r="G596" s="19"/>
      <c r="H596" s="19"/>
      <c r="I596" s="19"/>
      <c r="J596" s="19"/>
      <c r="K596" s="19"/>
      <c r="L596" s="19"/>
      <c r="M596" s="19"/>
      <c r="N596" s="19"/>
      <c r="O596" s="19"/>
      <c r="P596" s="19"/>
      <c r="Q596" s="20"/>
      <c r="R596" s="20"/>
      <c r="S596" s="22"/>
      <c r="T596" s="22"/>
      <c r="U596" s="20"/>
      <c r="V596" s="20"/>
      <c r="W596" s="20"/>
      <c r="X596" s="19"/>
      <c r="Y596" s="19"/>
      <c r="Z596" s="19"/>
      <c r="AA596" s="23"/>
    </row>
    <row r="597" spans="1:27" ht="15.75" customHeight="1" x14ac:dyDescent="0.2">
      <c r="A597" s="34"/>
      <c r="B597" s="34"/>
      <c r="C597" s="34"/>
      <c r="D597" s="34"/>
      <c r="E597" s="19"/>
      <c r="F597" s="19"/>
      <c r="G597" s="19"/>
      <c r="H597" s="19"/>
      <c r="I597" s="19"/>
      <c r="J597" s="19"/>
      <c r="K597" s="19"/>
      <c r="L597" s="19"/>
      <c r="M597" s="19"/>
      <c r="N597" s="19"/>
      <c r="O597" s="19"/>
      <c r="P597" s="19"/>
      <c r="Q597" s="20"/>
      <c r="R597" s="20"/>
      <c r="S597" s="22"/>
      <c r="T597" s="22"/>
      <c r="U597" s="20"/>
      <c r="V597" s="20"/>
      <c r="W597" s="20"/>
      <c r="X597" s="19"/>
      <c r="Y597" s="19"/>
      <c r="Z597" s="19"/>
      <c r="AA597" s="23"/>
    </row>
    <row r="598" spans="1:27" ht="15.75" customHeight="1" x14ac:dyDescent="0.2">
      <c r="A598" s="34"/>
      <c r="B598" s="34"/>
      <c r="C598" s="34"/>
      <c r="D598" s="34"/>
      <c r="E598" s="19"/>
      <c r="F598" s="19"/>
      <c r="G598" s="19"/>
      <c r="H598" s="19"/>
      <c r="I598" s="19"/>
      <c r="J598" s="19"/>
      <c r="K598" s="19"/>
      <c r="L598" s="19"/>
      <c r="M598" s="19"/>
      <c r="N598" s="19"/>
      <c r="O598" s="19"/>
      <c r="P598" s="19"/>
      <c r="Q598" s="20"/>
      <c r="R598" s="20"/>
      <c r="S598" s="22"/>
      <c r="T598" s="22"/>
      <c r="U598" s="20"/>
      <c r="V598" s="20"/>
      <c r="W598" s="20"/>
      <c r="X598" s="19"/>
      <c r="Y598" s="19"/>
      <c r="Z598" s="19"/>
      <c r="AA598" s="23"/>
    </row>
    <row r="599" spans="1:27" ht="15.75" customHeight="1" x14ac:dyDescent="0.2">
      <c r="A599" s="34"/>
      <c r="B599" s="34"/>
      <c r="C599" s="34"/>
      <c r="D599" s="34"/>
      <c r="E599" s="19"/>
      <c r="F599" s="19"/>
      <c r="G599" s="19"/>
      <c r="H599" s="19"/>
      <c r="I599" s="19"/>
      <c r="J599" s="19"/>
      <c r="K599" s="19"/>
      <c r="L599" s="19"/>
      <c r="M599" s="19"/>
      <c r="N599" s="19"/>
      <c r="O599" s="19"/>
      <c r="P599" s="19"/>
      <c r="Q599" s="20"/>
      <c r="R599" s="20"/>
      <c r="S599" s="22"/>
      <c r="T599" s="22"/>
      <c r="U599" s="20"/>
      <c r="V599" s="20"/>
      <c r="W599" s="20"/>
      <c r="X599" s="19"/>
      <c r="Y599" s="19"/>
      <c r="Z599" s="19"/>
      <c r="AA599" s="23"/>
    </row>
    <row r="600" spans="1:27" ht="15.75" customHeight="1" x14ac:dyDescent="0.2">
      <c r="A600" s="34"/>
      <c r="B600" s="34"/>
      <c r="C600" s="34"/>
      <c r="D600" s="34"/>
      <c r="E600" s="19"/>
      <c r="F600" s="19"/>
      <c r="G600" s="19"/>
      <c r="H600" s="19"/>
      <c r="I600" s="19"/>
      <c r="J600" s="19"/>
      <c r="K600" s="19"/>
      <c r="L600" s="19"/>
      <c r="M600" s="19"/>
      <c r="N600" s="19"/>
      <c r="O600" s="19"/>
      <c r="P600" s="19"/>
      <c r="Q600" s="20"/>
      <c r="R600" s="20"/>
      <c r="S600" s="22"/>
      <c r="T600" s="22"/>
      <c r="U600" s="20"/>
      <c r="V600" s="20"/>
      <c r="W600" s="20"/>
      <c r="X600" s="19"/>
      <c r="Y600" s="19"/>
      <c r="Z600" s="19"/>
      <c r="AA600" s="23"/>
    </row>
    <row r="601" spans="1:27" ht="15.75" customHeight="1" x14ac:dyDescent="0.2">
      <c r="A601" s="34"/>
      <c r="B601" s="34"/>
      <c r="C601" s="34"/>
      <c r="D601" s="34"/>
      <c r="E601" s="19"/>
      <c r="F601" s="19"/>
      <c r="G601" s="19"/>
      <c r="H601" s="19"/>
      <c r="I601" s="19"/>
      <c r="J601" s="19"/>
      <c r="K601" s="19"/>
      <c r="L601" s="19"/>
      <c r="M601" s="19"/>
      <c r="N601" s="19"/>
      <c r="O601" s="19"/>
      <c r="P601" s="19"/>
      <c r="Q601" s="20"/>
      <c r="R601" s="20"/>
      <c r="S601" s="22"/>
      <c r="T601" s="22"/>
      <c r="U601" s="20"/>
      <c r="V601" s="20"/>
      <c r="W601" s="20"/>
      <c r="X601" s="19"/>
      <c r="Y601" s="19"/>
      <c r="Z601" s="19"/>
      <c r="AA601" s="23"/>
    </row>
    <row r="602" spans="1:27" ht="15.75" customHeight="1" x14ac:dyDescent="0.2">
      <c r="A602" s="34"/>
      <c r="B602" s="34"/>
      <c r="C602" s="34"/>
      <c r="D602" s="34"/>
      <c r="E602" s="19"/>
      <c r="F602" s="19"/>
      <c r="G602" s="19"/>
      <c r="H602" s="19"/>
      <c r="I602" s="19"/>
      <c r="J602" s="19"/>
      <c r="K602" s="19"/>
      <c r="L602" s="19"/>
      <c r="M602" s="19"/>
      <c r="N602" s="19"/>
      <c r="O602" s="19"/>
      <c r="P602" s="19"/>
      <c r="Q602" s="20"/>
      <c r="R602" s="20"/>
      <c r="S602" s="22"/>
      <c r="T602" s="22"/>
      <c r="U602" s="20"/>
      <c r="V602" s="20"/>
      <c r="W602" s="20"/>
      <c r="X602" s="19"/>
      <c r="Y602" s="19"/>
      <c r="Z602" s="19"/>
      <c r="AA602" s="23"/>
    </row>
    <row r="603" spans="1:27" ht="15.75" customHeight="1" x14ac:dyDescent="0.2">
      <c r="A603" s="34"/>
      <c r="B603" s="34"/>
      <c r="C603" s="34"/>
      <c r="D603" s="34"/>
      <c r="E603" s="19"/>
      <c r="F603" s="19"/>
      <c r="G603" s="19"/>
      <c r="H603" s="19"/>
      <c r="I603" s="19"/>
      <c r="J603" s="19"/>
      <c r="K603" s="19"/>
      <c r="L603" s="19"/>
      <c r="M603" s="19"/>
      <c r="N603" s="19"/>
      <c r="O603" s="19"/>
      <c r="P603" s="19"/>
      <c r="Q603" s="20"/>
      <c r="R603" s="20"/>
      <c r="S603" s="22"/>
      <c r="T603" s="22"/>
      <c r="U603" s="20"/>
      <c r="V603" s="20"/>
      <c r="W603" s="20"/>
      <c r="X603" s="19"/>
      <c r="Y603" s="19"/>
      <c r="Z603" s="19"/>
      <c r="AA603" s="23"/>
    </row>
    <row r="604" spans="1:27" ht="15.75" customHeight="1" x14ac:dyDescent="0.2">
      <c r="A604" s="34"/>
      <c r="B604" s="34"/>
      <c r="C604" s="34"/>
      <c r="D604" s="34"/>
      <c r="E604" s="19"/>
      <c r="F604" s="19"/>
      <c r="G604" s="19"/>
      <c r="H604" s="19"/>
      <c r="I604" s="19"/>
      <c r="J604" s="19"/>
      <c r="K604" s="19"/>
      <c r="L604" s="19"/>
      <c r="M604" s="19"/>
      <c r="N604" s="19"/>
      <c r="O604" s="19"/>
      <c r="P604" s="19"/>
      <c r="Q604" s="20"/>
      <c r="R604" s="20"/>
      <c r="S604" s="22"/>
      <c r="T604" s="22"/>
      <c r="U604" s="20"/>
      <c r="V604" s="20"/>
      <c r="W604" s="20"/>
      <c r="X604" s="19"/>
      <c r="Y604" s="19"/>
      <c r="Z604" s="19"/>
      <c r="AA604" s="23"/>
    </row>
    <row r="605" spans="1:27" ht="15.75" customHeight="1" x14ac:dyDescent="0.2">
      <c r="A605" s="34"/>
      <c r="B605" s="34"/>
      <c r="C605" s="34"/>
      <c r="D605" s="34"/>
      <c r="E605" s="19"/>
      <c r="F605" s="19"/>
      <c r="G605" s="19"/>
      <c r="H605" s="19"/>
      <c r="I605" s="19"/>
      <c r="J605" s="19"/>
      <c r="K605" s="19"/>
      <c r="L605" s="19"/>
      <c r="M605" s="19"/>
      <c r="N605" s="19"/>
      <c r="O605" s="19"/>
      <c r="P605" s="19"/>
      <c r="Q605" s="20"/>
      <c r="R605" s="20"/>
      <c r="S605" s="22"/>
      <c r="T605" s="22"/>
      <c r="U605" s="20"/>
      <c r="V605" s="20"/>
      <c r="W605" s="20"/>
      <c r="X605" s="19"/>
      <c r="Y605" s="19"/>
      <c r="Z605" s="19"/>
      <c r="AA605" s="23"/>
    </row>
    <row r="606" spans="1:27" ht="15.75" customHeight="1" x14ac:dyDescent="0.2">
      <c r="A606" s="34"/>
      <c r="B606" s="34"/>
      <c r="C606" s="34"/>
      <c r="D606" s="34"/>
      <c r="E606" s="19"/>
      <c r="F606" s="19"/>
      <c r="G606" s="19"/>
      <c r="H606" s="19"/>
      <c r="I606" s="19"/>
      <c r="J606" s="19"/>
      <c r="K606" s="19"/>
      <c r="L606" s="19"/>
      <c r="M606" s="19"/>
      <c r="N606" s="19"/>
      <c r="O606" s="19"/>
      <c r="P606" s="19"/>
      <c r="Q606" s="20"/>
      <c r="R606" s="20"/>
      <c r="S606" s="22"/>
      <c r="T606" s="22"/>
      <c r="U606" s="20"/>
      <c r="V606" s="20"/>
      <c r="W606" s="20"/>
      <c r="X606" s="19"/>
      <c r="Y606" s="19"/>
      <c r="Z606" s="19"/>
      <c r="AA606" s="23"/>
    </row>
    <row r="607" spans="1:27" ht="15.75" customHeight="1" x14ac:dyDescent="0.2">
      <c r="A607" s="34"/>
      <c r="B607" s="34"/>
      <c r="C607" s="34"/>
      <c r="D607" s="34"/>
      <c r="E607" s="19"/>
      <c r="F607" s="19"/>
      <c r="G607" s="19"/>
      <c r="H607" s="19"/>
      <c r="I607" s="19"/>
      <c r="J607" s="19"/>
      <c r="K607" s="19"/>
      <c r="L607" s="19"/>
      <c r="M607" s="19"/>
      <c r="N607" s="19"/>
      <c r="O607" s="19"/>
      <c r="P607" s="19"/>
      <c r="Q607" s="20"/>
      <c r="R607" s="20"/>
      <c r="S607" s="22"/>
      <c r="T607" s="22"/>
      <c r="U607" s="20"/>
      <c r="V607" s="20"/>
      <c r="W607" s="20"/>
      <c r="X607" s="19"/>
      <c r="Y607" s="19"/>
      <c r="Z607" s="19"/>
      <c r="AA607" s="23"/>
    </row>
    <row r="608" spans="1:27" ht="15.75" customHeight="1" x14ac:dyDescent="0.2">
      <c r="A608" s="34"/>
      <c r="B608" s="34"/>
      <c r="C608" s="34"/>
      <c r="D608" s="34"/>
      <c r="E608" s="19"/>
      <c r="F608" s="19"/>
      <c r="G608" s="19"/>
      <c r="H608" s="19"/>
      <c r="I608" s="19"/>
      <c r="J608" s="19"/>
      <c r="K608" s="19"/>
      <c r="L608" s="19"/>
      <c r="M608" s="19"/>
      <c r="N608" s="19"/>
      <c r="O608" s="19"/>
      <c r="P608" s="19"/>
      <c r="Q608" s="20"/>
      <c r="R608" s="20"/>
      <c r="S608" s="22"/>
      <c r="T608" s="22"/>
      <c r="U608" s="20"/>
      <c r="V608" s="20"/>
      <c r="W608" s="20"/>
      <c r="X608" s="19"/>
      <c r="Y608" s="19"/>
      <c r="Z608" s="19"/>
      <c r="AA608" s="23"/>
    </row>
    <row r="609" spans="1:27" ht="15.75" customHeight="1" x14ac:dyDescent="0.2">
      <c r="A609" s="34"/>
      <c r="B609" s="34"/>
      <c r="C609" s="34"/>
      <c r="D609" s="34"/>
      <c r="E609" s="19"/>
      <c r="F609" s="19"/>
      <c r="G609" s="19"/>
      <c r="H609" s="19"/>
      <c r="I609" s="19"/>
      <c r="J609" s="19"/>
      <c r="K609" s="19"/>
      <c r="L609" s="19"/>
      <c r="M609" s="19"/>
      <c r="N609" s="19"/>
      <c r="O609" s="19"/>
      <c r="P609" s="19"/>
      <c r="Q609" s="20"/>
      <c r="R609" s="20"/>
      <c r="S609" s="22"/>
      <c r="T609" s="22"/>
      <c r="U609" s="20"/>
      <c r="V609" s="20"/>
      <c r="W609" s="20"/>
      <c r="X609" s="19"/>
      <c r="Y609" s="19"/>
      <c r="Z609" s="19"/>
      <c r="AA609" s="23"/>
    </row>
    <row r="610" spans="1:27" ht="15.75" customHeight="1" x14ac:dyDescent="0.2">
      <c r="A610" s="34"/>
      <c r="B610" s="34"/>
      <c r="C610" s="34"/>
      <c r="D610" s="34"/>
      <c r="E610" s="19"/>
      <c r="F610" s="19"/>
      <c r="G610" s="19"/>
      <c r="H610" s="19"/>
      <c r="I610" s="19"/>
      <c r="J610" s="19"/>
      <c r="K610" s="19"/>
      <c r="L610" s="19"/>
      <c r="M610" s="19"/>
      <c r="N610" s="19"/>
      <c r="O610" s="19"/>
      <c r="P610" s="19"/>
      <c r="Q610" s="20"/>
      <c r="R610" s="20"/>
      <c r="S610" s="22"/>
      <c r="T610" s="22"/>
      <c r="U610" s="20"/>
      <c r="V610" s="20"/>
      <c r="W610" s="20"/>
      <c r="X610" s="19"/>
      <c r="Y610" s="19"/>
      <c r="Z610" s="19"/>
      <c r="AA610" s="23"/>
    </row>
    <row r="611" spans="1:27" ht="15.75" customHeight="1" x14ac:dyDescent="0.2">
      <c r="A611" s="34"/>
      <c r="B611" s="34"/>
      <c r="C611" s="34"/>
      <c r="D611" s="34"/>
      <c r="E611" s="19"/>
      <c r="F611" s="19"/>
      <c r="G611" s="19"/>
      <c r="H611" s="19"/>
      <c r="I611" s="19"/>
      <c r="J611" s="19"/>
      <c r="K611" s="19"/>
      <c r="L611" s="19"/>
      <c r="M611" s="19"/>
      <c r="N611" s="19"/>
      <c r="O611" s="19"/>
      <c r="P611" s="19"/>
      <c r="Q611" s="20"/>
      <c r="R611" s="20"/>
      <c r="S611" s="22"/>
      <c r="T611" s="22"/>
      <c r="U611" s="20"/>
      <c r="V611" s="20"/>
      <c r="W611" s="20"/>
      <c r="X611" s="19"/>
      <c r="Y611" s="19"/>
      <c r="Z611" s="19"/>
      <c r="AA611" s="23"/>
    </row>
    <row r="612" spans="1:27" ht="15.75" customHeight="1" x14ac:dyDescent="0.2">
      <c r="A612" s="34"/>
      <c r="B612" s="34"/>
      <c r="C612" s="34"/>
      <c r="D612" s="34"/>
      <c r="E612" s="19"/>
      <c r="F612" s="19"/>
      <c r="G612" s="19"/>
      <c r="H612" s="19"/>
      <c r="I612" s="19"/>
      <c r="J612" s="19"/>
      <c r="K612" s="19"/>
      <c r="L612" s="19"/>
      <c r="M612" s="19"/>
      <c r="N612" s="19"/>
      <c r="O612" s="19"/>
      <c r="P612" s="19"/>
      <c r="Q612" s="20"/>
      <c r="R612" s="20"/>
      <c r="S612" s="22"/>
      <c r="T612" s="22"/>
      <c r="U612" s="20"/>
      <c r="V612" s="20"/>
      <c r="W612" s="20"/>
      <c r="X612" s="19"/>
      <c r="Y612" s="19"/>
      <c r="Z612" s="19"/>
      <c r="AA612" s="23"/>
    </row>
    <row r="613" spans="1:27" ht="15.75" customHeight="1" x14ac:dyDescent="0.2">
      <c r="A613" s="34"/>
      <c r="B613" s="34"/>
      <c r="C613" s="34"/>
      <c r="D613" s="34"/>
      <c r="E613" s="19"/>
      <c r="F613" s="19"/>
      <c r="G613" s="19"/>
      <c r="H613" s="19"/>
      <c r="I613" s="19"/>
      <c r="J613" s="19"/>
      <c r="K613" s="19"/>
      <c r="L613" s="19"/>
      <c r="M613" s="19"/>
      <c r="N613" s="19"/>
      <c r="O613" s="19"/>
      <c r="P613" s="19"/>
      <c r="Q613" s="20"/>
      <c r="R613" s="20"/>
      <c r="S613" s="22"/>
      <c r="T613" s="22"/>
      <c r="U613" s="20"/>
      <c r="V613" s="20"/>
      <c r="W613" s="20"/>
      <c r="X613" s="19"/>
      <c r="Y613" s="19"/>
      <c r="Z613" s="19"/>
      <c r="AA613" s="23"/>
    </row>
    <row r="614" spans="1:27" ht="15.75" customHeight="1" x14ac:dyDescent="0.2">
      <c r="A614" s="34"/>
      <c r="B614" s="34"/>
      <c r="C614" s="34"/>
      <c r="D614" s="34"/>
      <c r="E614" s="19"/>
      <c r="F614" s="19"/>
      <c r="G614" s="19"/>
      <c r="H614" s="19"/>
      <c r="I614" s="19"/>
      <c r="J614" s="19"/>
      <c r="K614" s="19"/>
      <c r="L614" s="19"/>
      <c r="M614" s="19"/>
      <c r="N614" s="19"/>
      <c r="O614" s="19"/>
      <c r="P614" s="19"/>
      <c r="Q614" s="20"/>
      <c r="R614" s="20"/>
      <c r="S614" s="22"/>
      <c r="T614" s="22"/>
      <c r="U614" s="20"/>
      <c r="V614" s="20"/>
      <c r="W614" s="20"/>
      <c r="X614" s="19"/>
      <c r="Y614" s="19"/>
      <c r="Z614" s="19"/>
      <c r="AA614" s="23"/>
    </row>
    <row r="615" spans="1:27" ht="15.75" customHeight="1" x14ac:dyDescent="0.2">
      <c r="A615" s="34"/>
      <c r="B615" s="34"/>
      <c r="C615" s="34"/>
      <c r="D615" s="34"/>
      <c r="E615" s="19"/>
      <c r="F615" s="19"/>
      <c r="G615" s="19"/>
      <c r="H615" s="19"/>
      <c r="I615" s="19"/>
      <c r="J615" s="19"/>
      <c r="K615" s="19"/>
      <c r="L615" s="19"/>
      <c r="M615" s="19"/>
      <c r="N615" s="19"/>
      <c r="O615" s="19"/>
      <c r="P615" s="19"/>
      <c r="Q615" s="20"/>
      <c r="R615" s="20"/>
      <c r="S615" s="22"/>
      <c r="T615" s="22"/>
      <c r="U615" s="20"/>
      <c r="V615" s="20"/>
      <c r="W615" s="20"/>
      <c r="X615" s="19"/>
      <c r="Y615" s="19"/>
      <c r="Z615" s="19"/>
      <c r="AA615" s="23"/>
    </row>
    <row r="616" spans="1:27" ht="15.75" customHeight="1" x14ac:dyDescent="0.2">
      <c r="A616" s="34"/>
      <c r="B616" s="34"/>
      <c r="C616" s="34"/>
      <c r="D616" s="34"/>
      <c r="E616" s="19"/>
      <c r="F616" s="19"/>
      <c r="G616" s="19"/>
      <c r="H616" s="19"/>
      <c r="I616" s="19"/>
      <c r="J616" s="19"/>
      <c r="K616" s="19"/>
      <c r="L616" s="19"/>
      <c r="M616" s="19"/>
      <c r="N616" s="19"/>
      <c r="O616" s="19"/>
      <c r="P616" s="19"/>
      <c r="Q616" s="20"/>
      <c r="R616" s="20"/>
      <c r="S616" s="22"/>
      <c r="T616" s="22"/>
      <c r="U616" s="20"/>
      <c r="V616" s="20"/>
      <c r="W616" s="20"/>
      <c r="X616" s="19"/>
      <c r="Y616" s="19"/>
      <c r="Z616" s="19"/>
      <c r="AA616" s="23"/>
    </row>
    <row r="617" spans="1:27" ht="15.75" customHeight="1" x14ac:dyDescent="0.2">
      <c r="A617" s="34"/>
      <c r="B617" s="34"/>
      <c r="C617" s="34"/>
      <c r="D617" s="34"/>
      <c r="E617" s="19"/>
      <c r="F617" s="19"/>
      <c r="G617" s="19"/>
      <c r="H617" s="19"/>
      <c r="I617" s="19"/>
      <c r="J617" s="19"/>
      <c r="K617" s="19"/>
      <c r="L617" s="19"/>
      <c r="M617" s="19"/>
      <c r="N617" s="19"/>
      <c r="O617" s="19"/>
      <c r="P617" s="19"/>
      <c r="Q617" s="20"/>
      <c r="R617" s="20"/>
      <c r="S617" s="22"/>
      <c r="T617" s="22"/>
      <c r="U617" s="20"/>
      <c r="V617" s="20"/>
      <c r="W617" s="20"/>
      <c r="X617" s="19"/>
      <c r="Y617" s="19"/>
      <c r="Z617" s="19"/>
      <c r="AA617" s="23"/>
    </row>
    <row r="618" spans="1:27" ht="15.75" customHeight="1" x14ac:dyDescent="0.2">
      <c r="A618" s="34"/>
      <c r="B618" s="34"/>
      <c r="C618" s="34"/>
      <c r="D618" s="34"/>
      <c r="E618" s="19"/>
      <c r="F618" s="19"/>
      <c r="G618" s="19"/>
      <c r="H618" s="19"/>
      <c r="I618" s="19"/>
      <c r="J618" s="19"/>
      <c r="K618" s="19"/>
      <c r="L618" s="19"/>
      <c r="M618" s="19"/>
      <c r="N618" s="19"/>
      <c r="O618" s="19"/>
      <c r="P618" s="19"/>
      <c r="Q618" s="20"/>
      <c r="R618" s="20"/>
      <c r="S618" s="22"/>
      <c r="T618" s="22"/>
      <c r="U618" s="20"/>
      <c r="V618" s="20"/>
      <c r="W618" s="20"/>
      <c r="X618" s="19"/>
      <c r="Y618" s="19"/>
      <c r="Z618" s="19"/>
      <c r="AA618" s="23"/>
    </row>
    <row r="619" spans="1:27" ht="15.75" customHeight="1" x14ac:dyDescent="0.2">
      <c r="A619" s="34"/>
      <c r="B619" s="34"/>
      <c r="C619" s="34"/>
      <c r="D619" s="34"/>
      <c r="E619" s="19"/>
      <c r="F619" s="19"/>
      <c r="G619" s="19"/>
      <c r="H619" s="19"/>
      <c r="I619" s="19"/>
      <c r="J619" s="19"/>
      <c r="K619" s="19"/>
      <c r="L619" s="19"/>
      <c r="M619" s="19"/>
      <c r="N619" s="19"/>
      <c r="O619" s="19"/>
      <c r="P619" s="19"/>
      <c r="Q619" s="20"/>
      <c r="R619" s="20"/>
      <c r="S619" s="22"/>
      <c r="T619" s="22"/>
      <c r="U619" s="20"/>
      <c r="V619" s="20"/>
      <c r="W619" s="20"/>
      <c r="X619" s="19"/>
      <c r="Y619" s="19"/>
      <c r="Z619" s="19"/>
      <c r="AA619" s="23"/>
    </row>
    <row r="620" spans="1:27" ht="15.75" customHeight="1" x14ac:dyDescent="0.2">
      <c r="A620" s="34"/>
      <c r="B620" s="34"/>
      <c r="C620" s="34"/>
      <c r="D620" s="34"/>
      <c r="E620" s="19"/>
      <c r="F620" s="19"/>
      <c r="G620" s="19"/>
      <c r="H620" s="19"/>
      <c r="I620" s="19"/>
      <c r="J620" s="19"/>
      <c r="K620" s="19"/>
      <c r="L620" s="19"/>
      <c r="M620" s="19"/>
      <c r="N620" s="19"/>
      <c r="O620" s="19"/>
      <c r="P620" s="19"/>
      <c r="Q620" s="20"/>
      <c r="R620" s="20"/>
      <c r="S620" s="22"/>
      <c r="T620" s="22"/>
      <c r="U620" s="20"/>
      <c r="V620" s="20"/>
      <c r="W620" s="20"/>
      <c r="X620" s="19"/>
      <c r="Y620" s="19"/>
      <c r="Z620" s="19"/>
      <c r="AA620" s="23"/>
    </row>
    <row r="621" spans="1:27" ht="15.75" customHeight="1" x14ac:dyDescent="0.2">
      <c r="A621" s="34"/>
      <c r="B621" s="34"/>
      <c r="C621" s="34"/>
      <c r="D621" s="34"/>
      <c r="E621" s="19"/>
      <c r="F621" s="19"/>
      <c r="G621" s="19"/>
      <c r="H621" s="19"/>
      <c r="I621" s="19"/>
      <c r="J621" s="19"/>
      <c r="K621" s="19"/>
      <c r="L621" s="19"/>
      <c r="M621" s="19"/>
      <c r="N621" s="19"/>
      <c r="O621" s="19"/>
      <c r="P621" s="19"/>
      <c r="Q621" s="20"/>
      <c r="R621" s="20"/>
      <c r="S621" s="22"/>
      <c r="T621" s="22"/>
      <c r="U621" s="20"/>
      <c r="V621" s="20"/>
      <c r="W621" s="20"/>
      <c r="X621" s="19"/>
      <c r="Y621" s="19"/>
      <c r="Z621" s="19"/>
      <c r="AA621" s="23"/>
    </row>
    <row r="622" spans="1:27" ht="15.75" customHeight="1" x14ac:dyDescent="0.2">
      <c r="A622" s="34"/>
      <c r="B622" s="34"/>
      <c r="C622" s="34"/>
      <c r="D622" s="34"/>
      <c r="E622" s="19"/>
      <c r="F622" s="19"/>
      <c r="G622" s="19"/>
      <c r="H622" s="19"/>
      <c r="I622" s="19"/>
      <c r="J622" s="19"/>
      <c r="K622" s="19"/>
      <c r="L622" s="19"/>
      <c r="M622" s="19"/>
      <c r="N622" s="19"/>
      <c r="O622" s="19"/>
      <c r="P622" s="19"/>
      <c r="Q622" s="20"/>
      <c r="R622" s="20"/>
      <c r="S622" s="22"/>
      <c r="T622" s="22"/>
      <c r="U622" s="20"/>
      <c r="V622" s="20"/>
      <c r="W622" s="20"/>
      <c r="X622" s="19"/>
      <c r="Y622" s="19"/>
      <c r="Z622" s="19"/>
      <c r="AA622" s="23"/>
    </row>
    <row r="623" spans="1:27" ht="15.75" customHeight="1" x14ac:dyDescent="0.2">
      <c r="A623" s="34"/>
      <c r="B623" s="34"/>
      <c r="C623" s="34"/>
      <c r="D623" s="34"/>
      <c r="E623" s="19"/>
      <c r="F623" s="19"/>
      <c r="G623" s="19"/>
      <c r="H623" s="19"/>
      <c r="I623" s="19"/>
      <c r="J623" s="19"/>
      <c r="K623" s="19"/>
      <c r="L623" s="19"/>
      <c r="M623" s="19"/>
      <c r="N623" s="19"/>
      <c r="O623" s="19"/>
      <c r="P623" s="19"/>
      <c r="Q623" s="20"/>
      <c r="R623" s="20"/>
      <c r="S623" s="22"/>
      <c r="T623" s="22"/>
      <c r="U623" s="20"/>
      <c r="V623" s="20"/>
      <c r="W623" s="20"/>
      <c r="X623" s="19"/>
      <c r="Y623" s="19"/>
      <c r="Z623" s="19"/>
      <c r="AA623" s="23"/>
    </row>
    <row r="624" spans="1:27" ht="15.75" customHeight="1" x14ac:dyDescent="0.2">
      <c r="A624" s="34"/>
      <c r="B624" s="34"/>
      <c r="C624" s="34"/>
      <c r="D624" s="34"/>
      <c r="E624" s="19"/>
      <c r="F624" s="19"/>
      <c r="G624" s="19"/>
      <c r="H624" s="19"/>
      <c r="I624" s="19"/>
      <c r="J624" s="19"/>
      <c r="K624" s="19"/>
      <c r="L624" s="19"/>
      <c r="M624" s="19"/>
      <c r="N624" s="19"/>
      <c r="O624" s="19"/>
      <c r="P624" s="19"/>
      <c r="Q624" s="20"/>
      <c r="R624" s="20"/>
      <c r="S624" s="22"/>
      <c r="T624" s="22"/>
      <c r="U624" s="20"/>
      <c r="V624" s="20"/>
      <c r="W624" s="20"/>
      <c r="X624" s="19"/>
      <c r="Y624" s="19"/>
      <c r="Z624" s="19"/>
      <c r="AA624" s="23"/>
    </row>
    <row r="625" spans="1:27" ht="15.75" customHeight="1" x14ac:dyDescent="0.2">
      <c r="A625" s="34"/>
      <c r="B625" s="34"/>
      <c r="C625" s="34"/>
      <c r="D625" s="34"/>
      <c r="E625" s="19"/>
      <c r="F625" s="19"/>
      <c r="G625" s="19"/>
      <c r="H625" s="19"/>
      <c r="I625" s="19"/>
      <c r="J625" s="19"/>
      <c r="K625" s="19"/>
      <c r="L625" s="19"/>
      <c r="M625" s="19"/>
      <c r="N625" s="19"/>
      <c r="O625" s="19"/>
      <c r="P625" s="19"/>
      <c r="Q625" s="20"/>
      <c r="R625" s="20"/>
      <c r="S625" s="22"/>
      <c r="T625" s="22"/>
      <c r="U625" s="20"/>
      <c r="V625" s="20"/>
      <c r="W625" s="20"/>
      <c r="X625" s="19"/>
      <c r="Y625" s="19"/>
      <c r="Z625" s="19"/>
      <c r="AA625" s="23"/>
    </row>
    <row r="626" spans="1:27" ht="15.75" customHeight="1" x14ac:dyDescent="0.2">
      <c r="A626" s="34"/>
      <c r="B626" s="34"/>
      <c r="C626" s="34"/>
      <c r="D626" s="34"/>
      <c r="E626" s="19"/>
      <c r="F626" s="19"/>
      <c r="G626" s="19"/>
      <c r="H626" s="19"/>
      <c r="I626" s="19"/>
      <c r="J626" s="19"/>
      <c r="K626" s="19"/>
      <c r="L626" s="19"/>
      <c r="M626" s="19"/>
      <c r="N626" s="19"/>
      <c r="O626" s="19"/>
      <c r="P626" s="19"/>
      <c r="Q626" s="20"/>
      <c r="R626" s="20"/>
      <c r="S626" s="22"/>
      <c r="T626" s="22"/>
      <c r="U626" s="20"/>
      <c r="V626" s="20"/>
      <c r="W626" s="20"/>
      <c r="X626" s="19"/>
      <c r="Y626" s="19"/>
      <c r="Z626" s="19"/>
      <c r="AA626" s="23"/>
    </row>
    <row r="627" spans="1:27" ht="15.75" customHeight="1" x14ac:dyDescent="0.2">
      <c r="A627" s="34"/>
      <c r="B627" s="34"/>
      <c r="C627" s="34"/>
      <c r="D627" s="34"/>
      <c r="E627" s="19"/>
      <c r="F627" s="19"/>
      <c r="G627" s="19"/>
      <c r="H627" s="19"/>
      <c r="I627" s="19"/>
      <c r="J627" s="19"/>
      <c r="K627" s="19"/>
      <c r="L627" s="19"/>
      <c r="M627" s="19"/>
      <c r="N627" s="19"/>
      <c r="O627" s="19"/>
      <c r="P627" s="19"/>
      <c r="Q627" s="20"/>
      <c r="R627" s="20"/>
      <c r="S627" s="22"/>
      <c r="T627" s="22"/>
      <c r="U627" s="20"/>
      <c r="V627" s="20"/>
      <c r="W627" s="20"/>
      <c r="X627" s="19"/>
      <c r="Y627" s="19"/>
      <c r="Z627" s="19"/>
      <c r="AA627" s="23"/>
    </row>
    <row r="628" spans="1:27" ht="15.75" customHeight="1" x14ac:dyDescent="0.2">
      <c r="A628" s="34"/>
      <c r="B628" s="34"/>
      <c r="C628" s="34"/>
      <c r="D628" s="34"/>
      <c r="E628" s="19"/>
      <c r="F628" s="19"/>
      <c r="G628" s="19"/>
      <c r="H628" s="19"/>
      <c r="I628" s="19"/>
      <c r="J628" s="19"/>
      <c r="K628" s="19"/>
      <c r="L628" s="19"/>
      <c r="M628" s="19"/>
      <c r="N628" s="19"/>
      <c r="O628" s="19"/>
      <c r="P628" s="19"/>
      <c r="Q628" s="20"/>
      <c r="R628" s="20"/>
      <c r="S628" s="22"/>
      <c r="T628" s="22"/>
      <c r="U628" s="20"/>
      <c r="V628" s="20"/>
      <c r="W628" s="20"/>
      <c r="X628" s="19"/>
      <c r="Y628" s="19"/>
      <c r="Z628" s="19"/>
      <c r="AA628" s="23"/>
    </row>
    <row r="629" spans="1:27" ht="15.75" customHeight="1" x14ac:dyDescent="0.2">
      <c r="A629" s="34"/>
      <c r="B629" s="34"/>
      <c r="C629" s="34"/>
      <c r="D629" s="34"/>
      <c r="E629" s="19"/>
      <c r="F629" s="19"/>
      <c r="G629" s="19"/>
      <c r="H629" s="19"/>
      <c r="I629" s="19"/>
      <c r="J629" s="19"/>
      <c r="K629" s="19"/>
      <c r="L629" s="19"/>
      <c r="M629" s="19"/>
      <c r="N629" s="19"/>
      <c r="O629" s="19"/>
      <c r="P629" s="19"/>
      <c r="Q629" s="20"/>
      <c r="R629" s="20"/>
      <c r="S629" s="22"/>
      <c r="T629" s="22"/>
      <c r="U629" s="20"/>
      <c r="V629" s="20"/>
      <c r="W629" s="20"/>
      <c r="X629" s="19"/>
      <c r="Y629" s="19"/>
      <c r="Z629" s="19"/>
      <c r="AA629" s="23"/>
    </row>
    <row r="630" spans="1:27" ht="15.75" customHeight="1" x14ac:dyDescent="0.2">
      <c r="A630" s="34"/>
      <c r="B630" s="34"/>
      <c r="C630" s="34"/>
      <c r="D630" s="34"/>
      <c r="E630" s="19"/>
      <c r="F630" s="19"/>
      <c r="G630" s="19"/>
      <c r="H630" s="19"/>
      <c r="I630" s="19"/>
      <c r="J630" s="19"/>
      <c r="K630" s="19"/>
      <c r="L630" s="19"/>
      <c r="M630" s="19"/>
      <c r="N630" s="19"/>
      <c r="O630" s="19"/>
      <c r="P630" s="19"/>
      <c r="Q630" s="20"/>
      <c r="R630" s="20"/>
      <c r="S630" s="22"/>
      <c r="T630" s="22"/>
      <c r="U630" s="20"/>
      <c r="V630" s="20"/>
      <c r="W630" s="20"/>
      <c r="X630" s="19"/>
      <c r="Y630" s="19"/>
      <c r="Z630" s="19"/>
      <c r="AA630" s="23"/>
    </row>
    <row r="631" spans="1:27" ht="15.75" customHeight="1" x14ac:dyDescent="0.2">
      <c r="A631" s="34"/>
      <c r="B631" s="34"/>
      <c r="C631" s="34"/>
      <c r="D631" s="34"/>
      <c r="E631" s="19"/>
      <c r="F631" s="19"/>
      <c r="G631" s="19"/>
      <c r="H631" s="19"/>
      <c r="I631" s="19"/>
      <c r="J631" s="19"/>
      <c r="K631" s="19"/>
      <c r="L631" s="19"/>
      <c r="M631" s="19"/>
      <c r="N631" s="19"/>
      <c r="O631" s="19"/>
      <c r="P631" s="19"/>
      <c r="Q631" s="20"/>
      <c r="R631" s="20"/>
      <c r="S631" s="22"/>
      <c r="T631" s="22"/>
      <c r="U631" s="20"/>
      <c r="V631" s="20"/>
      <c r="W631" s="20"/>
      <c r="X631" s="19"/>
      <c r="Y631" s="19"/>
      <c r="Z631" s="19"/>
      <c r="AA631" s="23"/>
    </row>
    <row r="632" spans="1:27" ht="15.75" customHeight="1" x14ac:dyDescent="0.2">
      <c r="A632" s="34"/>
      <c r="B632" s="34"/>
      <c r="C632" s="34"/>
      <c r="D632" s="34"/>
      <c r="E632" s="19"/>
      <c r="F632" s="19"/>
      <c r="G632" s="19"/>
      <c r="H632" s="19"/>
      <c r="I632" s="19"/>
      <c r="J632" s="19"/>
      <c r="K632" s="19"/>
      <c r="L632" s="19"/>
      <c r="M632" s="19"/>
      <c r="N632" s="19"/>
      <c r="O632" s="19"/>
      <c r="P632" s="19"/>
      <c r="Q632" s="20"/>
      <c r="R632" s="20"/>
      <c r="S632" s="22"/>
      <c r="T632" s="22"/>
      <c r="U632" s="20"/>
      <c r="V632" s="20"/>
      <c r="W632" s="20"/>
      <c r="X632" s="19"/>
      <c r="Y632" s="19"/>
      <c r="Z632" s="19"/>
      <c r="AA632" s="23"/>
    </row>
    <row r="633" spans="1:27" ht="15.75" customHeight="1" x14ac:dyDescent="0.2">
      <c r="A633" s="34"/>
      <c r="B633" s="34"/>
      <c r="C633" s="34"/>
      <c r="D633" s="34"/>
      <c r="E633" s="19"/>
      <c r="F633" s="19"/>
      <c r="G633" s="19"/>
      <c r="H633" s="19"/>
      <c r="I633" s="19"/>
      <c r="J633" s="19"/>
      <c r="K633" s="19"/>
      <c r="L633" s="19"/>
      <c r="M633" s="19"/>
      <c r="N633" s="19"/>
      <c r="O633" s="19"/>
      <c r="P633" s="19"/>
      <c r="Q633" s="20"/>
      <c r="R633" s="20"/>
      <c r="S633" s="22"/>
      <c r="T633" s="22"/>
      <c r="U633" s="20"/>
      <c r="V633" s="20"/>
      <c r="W633" s="20"/>
      <c r="X633" s="19"/>
      <c r="Y633" s="19"/>
      <c r="Z633" s="19"/>
      <c r="AA633" s="23"/>
    </row>
    <row r="634" spans="1:27" ht="15.75" customHeight="1" x14ac:dyDescent="0.2">
      <c r="A634" s="34"/>
      <c r="B634" s="34"/>
      <c r="C634" s="34"/>
      <c r="D634" s="34"/>
      <c r="E634" s="19"/>
      <c r="F634" s="19"/>
      <c r="G634" s="19"/>
      <c r="H634" s="19"/>
      <c r="I634" s="19"/>
      <c r="J634" s="19"/>
      <c r="K634" s="19"/>
      <c r="L634" s="19"/>
      <c r="M634" s="19"/>
      <c r="N634" s="19"/>
      <c r="O634" s="19"/>
      <c r="P634" s="19"/>
      <c r="Q634" s="20"/>
      <c r="R634" s="20"/>
      <c r="S634" s="22"/>
      <c r="T634" s="22"/>
      <c r="U634" s="20"/>
      <c r="V634" s="20"/>
      <c r="W634" s="20"/>
      <c r="X634" s="19"/>
      <c r="Y634" s="19"/>
      <c r="Z634" s="19"/>
      <c r="AA634" s="23"/>
    </row>
    <row r="635" spans="1:27" ht="15.75" customHeight="1" x14ac:dyDescent="0.2">
      <c r="A635" s="34"/>
      <c r="B635" s="34"/>
      <c r="C635" s="34"/>
      <c r="D635" s="34"/>
      <c r="E635" s="19"/>
      <c r="F635" s="19"/>
      <c r="G635" s="19"/>
      <c r="H635" s="19"/>
      <c r="I635" s="19"/>
      <c r="J635" s="19"/>
      <c r="K635" s="19"/>
      <c r="L635" s="19"/>
      <c r="M635" s="19"/>
      <c r="N635" s="19"/>
      <c r="O635" s="19"/>
      <c r="P635" s="19"/>
      <c r="Q635" s="20"/>
      <c r="R635" s="20"/>
      <c r="S635" s="22"/>
      <c r="T635" s="22"/>
      <c r="U635" s="20"/>
      <c r="V635" s="20"/>
      <c r="W635" s="20"/>
      <c r="X635" s="19"/>
      <c r="Y635" s="19"/>
      <c r="Z635" s="19"/>
      <c r="AA635" s="23"/>
    </row>
    <row r="636" spans="1:27" ht="15.75" customHeight="1" x14ac:dyDescent="0.2">
      <c r="A636" s="34"/>
      <c r="B636" s="34"/>
      <c r="C636" s="34"/>
      <c r="D636" s="34"/>
      <c r="E636" s="19"/>
      <c r="F636" s="19"/>
      <c r="G636" s="19"/>
      <c r="H636" s="19"/>
      <c r="I636" s="19"/>
      <c r="J636" s="19"/>
      <c r="K636" s="19"/>
      <c r="L636" s="19"/>
      <c r="M636" s="19"/>
      <c r="N636" s="19"/>
      <c r="O636" s="19"/>
      <c r="P636" s="19"/>
      <c r="Q636" s="20"/>
      <c r="R636" s="20"/>
      <c r="S636" s="22"/>
      <c r="T636" s="22"/>
      <c r="U636" s="20"/>
      <c r="V636" s="20"/>
      <c r="W636" s="20"/>
      <c r="X636" s="19"/>
      <c r="Y636" s="19"/>
      <c r="Z636" s="19"/>
      <c r="AA636" s="23"/>
    </row>
    <row r="637" spans="1:27" ht="15.75" customHeight="1" x14ac:dyDescent="0.2">
      <c r="A637" s="34"/>
      <c r="B637" s="34"/>
      <c r="C637" s="34"/>
      <c r="D637" s="34"/>
      <c r="E637" s="19"/>
      <c r="F637" s="19"/>
      <c r="G637" s="19"/>
      <c r="H637" s="19"/>
      <c r="I637" s="19"/>
      <c r="J637" s="19"/>
      <c r="K637" s="19"/>
      <c r="L637" s="19"/>
      <c r="M637" s="19"/>
      <c r="N637" s="19"/>
      <c r="O637" s="19"/>
      <c r="P637" s="19"/>
      <c r="Q637" s="20"/>
      <c r="R637" s="20"/>
      <c r="S637" s="22"/>
      <c r="T637" s="22"/>
      <c r="U637" s="20"/>
      <c r="V637" s="20"/>
      <c r="W637" s="20"/>
      <c r="X637" s="19"/>
      <c r="Y637" s="19"/>
      <c r="Z637" s="19"/>
      <c r="AA637" s="23"/>
    </row>
    <row r="638" spans="1:27" ht="15.75" customHeight="1" x14ac:dyDescent="0.2">
      <c r="A638" s="34"/>
      <c r="B638" s="34"/>
      <c r="C638" s="34"/>
      <c r="D638" s="34"/>
      <c r="E638" s="19"/>
      <c r="F638" s="19"/>
      <c r="G638" s="19"/>
      <c r="H638" s="19"/>
      <c r="I638" s="19"/>
      <c r="J638" s="19"/>
      <c r="K638" s="19"/>
      <c r="L638" s="19"/>
      <c r="M638" s="19"/>
      <c r="N638" s="19"/>
      <c r="O638" s="19"/>
      <c r="P638" s="19"/>
      <c r="Q638" s="20"/>
      <c r="R638" s="20"/>
      <c r="S638" s="22"/>
      <c r="T638" s="22"/>
      <c r="U638" s="20"/>
      <c r="V638" s="20"/>
      <c r="W638" s="20"/>
      <c r="X638" s="19"/>
      <c r="Y638" s="19"/>
      <c r="Z638" s="19"/>
      <c r="AA638" s="23"/>
    </row>
    <row r="639" spans="1:27" ht="15.75" customHeight="1" x14ac:dyDescent="0.2">
      <c r="A639" s="34"/>
      <c r="B639" s="34"/>
      <c r="C639" s="34"/>
      <c r="D639" s="34"/>
      <c r="E639" s="19"/>
      <c r="F639" s="19"/>
      <c r="G639" s="19"/>
      <c r="H639" s="19"/>
      <c r="I639" s="19"/>
      <c r="J639" s="19"/>
      <c r="K639" s="19"/>
      <c r="L639" s="19"/>
      <c r="M639" s="19"/>
      <c r="N639" s="19"/>
      <c r="O639" s="19"/>
      <c r="P639" s="19"/>
      <c r="Q639" s="20"/>
      <c r="R639" s="20"/>
      <c r="S639" s="22"/>
      <c r="T639" s="22"/>
      <c r="U639" s="20"/>
      <c r="V639" s="20"/>
      <c r="W639" s="20"/>
      <c r="X639" s="19"/>
      <c r="Y639" s="19"/>
      <c r="Z639" s="19"/>
      <c r="AA639" s="23"/>
    </row>
    <row r="640" spans="1:27" ht="15.75" customHeight="1" x14ac:dyDescent="0.2">
      <c r="A640" s="34"/>
      <c r="B640" s="34"/>
      <c r="C640" s="34"/>
      <c r="D640" s="34"/>
      <c r="E640" s="19"/>
      <c r="F640" s="19"/>
      <c r="G640" s="19"/>
      <c r="H640" s="19"/>
      <c r="I640" s="19"/>
      <c r="J640" s="19"/>
      <c r="K640" s="19"/>
      <c r="L640" s="19"/>
      <c r="M640" s="19"/>
      <c r="N640" s="19"/>
      <c r="O640" s="19"/>
      <c r="P640" s="19"/>
      <c r="Q640" s="20"/>
      <c r="R640" s="20"/>
      <c r="S640" s="22"/>
      <c r="T640" s="22"/>
      <c r="U640" s="20"/>
      <c r="V640" s="20"/>
      <c r="W640" s="20"/>
      <c r="X640" s="19"/>
      <c r="Y640" s="19"/>
      <c r="Z640" s="19"/>
      <c r="AA640" s="23"/>
    </row>
    <row r="641" spans="1:27" ht="15.75" customHeight="1" x14ac:dyDescent="0.2">
      <c r="A641" s="34"/>
      <c r="B641" s="34"/>
      <c r="C641" s="34"/>
      <c r="D641" s="34"/>
      <c r="E641" s="19"/>
      <c r="F641" s="19"/>
      <c r="G641" s="19"/>
      <c r="H641" s="19"/>
      <c r="I641" s="19"/>
      <c r="J641" s="19"/>
      <c r="K641" s="19"/>
      <c r="L641" s="19"/>
      <c r="M641" s="19"/>
      <c r="N641" s="19"/>
      <c r="O641" s="19"/>
      <c r="P641" s="19"/>
      <c r="Q641" s="20"/>
      <c r="R641" s="20"/>
      <c r="S641" s="22"/>
      <c r="T641" s="22"/>
      <c r="U641" s="20"/>
      <c r="V641" s="20"/>
      <c r="W641" s="20"/>
      <c r="X641" s="19"/>
      <c r="Y641" s="19"/>
      <c r="Z641" s="19"/>
      <c r="AA641" s="23"/>
    </row>
    <row r="642" spans="1:27" ht="15.75" customHeight="1" x14ac:dyDescent="0.2">
      <c r="A642" s="34"/>
      <c r="B642" s="34"/>
      <c r="C642" s="34"/>
      <c r="D642" s="34"/>
      <c r="E642" s="19"/>
      <c r="F642" s="19"/>
      <c r="G642" s="19"/>
      <c r="H642" s="19"/>
      <c r="I642" s="19"/>
      <c r="J642" s="19"/>
      <c r="K642" s="19"/>
      <c r="L642" s="19"/>
      <c r="M642" s="19"/>
      <c r="N642" s="19"/>
      <c r="O642" s="19"/>
      <c r="P642" s="19"/>
      <c r="Q642" s="20"/>
      <c r="R642" s="20"/>
      <c r="S642" s="22"/>
      <c r="T642" s="22"/>
      <c r="U642" s="20"/>
      <c r="V642" s="20"/>
      <c r="W642" s="20"/>
      <c r="X642" s="19"/>
      <c r="Y642" s="19"/>
      <c r="Z642" s="19"/>
      <c r="AA642" s="23"/>
    </row>
    <row r="643" spans="1:27" ht="15.75" customHeight="1" x14ac:dyDescent="0.2">
      <c r="A643" s="34"/>
      <c r="B643" s="34"/>
      <c r="C643" s="34"/>
      <c r="D643" s="34"/>
      <c r="E643" s="19"/>
      <c r="F643" s="19"/>
      <c r="G643" s="19"/>
      <c r="H643" s="19"/>
      <c r="I643" s="19"/>
      <c r="J643" s="19"/>
      <c r="K643" s="19"/>
      <c r="L643" s="19"/>
      <c r="M643" s="19"/>
      <c r="N643" s="19"/>
      <c r="O643" s="19"/>
      <c r="P643" s="19"/>
      <c r="Q643" s="20"/>
      <c r="R643" s="20"/>
      <c r="S643" s="22"/>
      <c r="T643" s="22"/>
      <c r="U643" s="20"/>
      <c r="V643" s="20"/>
      <c r="W643" s="20"/>
      <c r="X643" s="19"/>
      <c r="Y643" s="19"/>
      <c r="Z643" s="19"/>
      <c r="AA643" s="23"/>
    </row>
    <row r="644" spans="1:27" ht="15.75" customHeight="1" x14ac:dyDescent="0.2">
      <c r="A644" s="34"/>
      <c r="B644" s="34"/>
      <c r="C644" s="34"/>
      <c r="D644" s="34"/>
      <c r="E644" s="19"/>
      <c r="F644" s="19"/>
      <c r="G644" s="19"/>
      <c r="H644" s="19"/>
      <c r="I644" s="19"/>
      <c r="J644" s="19"/>
      <c r="K644" s="19"/>
      <c r="L644" s="19"/>
      <c r="M644" s="19"/>
      <c r="N644" s="19"/>
      <c r="O644" s="19"/>
      <c r="P644" s="19"/>
      <c r="Q644" s="20"/>
      <c r="R644" s="20"/>
      <c r="S644" s="22"/>
      <c r="T644" s="22"/>
      <c r="U644" s="20"/>
      <c r="V644" s="20"/>
      <c r="W644" s="20"/>
      <c r="X644" s="19"/>
      <c r="Y644" s="19"/>
      <c r="Z644" s="19"/>
      <c r="AA644" s="23"/>
    </row>
    <row r="645" spans="1:27" ht="15.75" customHeight="1" x14ac:dyDescent="0.2">
      <c r="A645" s="34"/>
      <c r="B645" s="34"/>
      <c r="C645" s="34"/>
      <c r="D645" s="34"/>
      <c r="E645" s="19"/>
      <c r="F645" s="19"/>
      <c r="G645" s="19"/>
      <c r="H645" s="19"/>
      <c r="I645" s="19"/>
      <c r="J645" s="19"/>
      <c r="K645" s="19"/>
      <c r="L645" s="19"/>
      <c r="M645" s="19"/>
      <c r="N645" s="19"/>
      <c r="O645" s="19"/>
      <c r="P645" s="19"/>
      <c r="Q645" s="20"/>
      <c r="R645" s="20"/>
      <c r="S645" s="22"/>
      <c r="T645" s="22"/>
      <c r="U645" s="20"/>
      <c r="V645" s="20"/>
      <c r="W645" s="20"/>
      <c r="X645" s="19"/>
      <c r="Y645" s="19"/>
      <c r="Z645" s="19"/>
      <c r="AA645" s="23"/>
    </row>
    <row r="646" spans="1:27" ht="15.75" customHeight="1" x14ac:dyDescent="0.2">
      <c r="A646" s="34"/>
      <c r="B646" s="34"/>
      <c r="C646" s="34"/>
      <c r="D646" s="34"/>
      <c r="E646" s="19"/>
      <c r="F646" s="19"/>
      <c r="G646" s="19"/>
      <c r="H646" s="19"/>
      <c r="I646" s="19"/>
      <c r="J646" s="19"/>
      <c r="K646" s="19"/>
      <c r="L646" s="19"/>
      <c r="M646" s="19"/>
      <c r="N646" s="19"/>
      <c r="O646" s="19"/>
      <c r="P646" s="19"/>
      <c r="Q646" s="20"/>
      <c r="R646" s="20"/>
      <c r="S646" s="22"/>
      <c r="T646" s="22"/>
      <c r="U646" s="20"/>
      <c r="V646" s="20"/>
      <c r="W646" s="20"/>
      <c r="X646" s="19"/>
      <c r="Y646" s="19"/>
      <c r="Z646" s="19"/>
      <c r="AA646" s="23"/>
    </row>
    <row r="647" spans="1:27" ht="15.75" customHeight="1" x14ac:dyDescent="0.2">
      <c r="A647" s="34"/>
      <c r="B647" s="34"/>
      <c r="C647" s="34"/>
      <c r="D647" s="34"/>
      <c r="E647" s="19"/>
      <c r="F647" s="19"/>
      <c r="G647" s="19"/>
      <c r="H647" s="19"/>
      <c r="I647" s="19"/>
      <c r="J647" s="19"/>
      <c r="K647" s="19"/>
      <c r="L647" s="19"/>
      <c r="M647" s="19"/>
      <c r="N647" s="19"/>
      <c r="O647" s="19"/>
      <c r="P647" s="19"/>
      <c r="Q647" s="20"/>
      <c r="R647" s="20"/>
      <c r="S647" s="22"/>
      <c r="T647" s="22"/>
      <c r="U647" s="20"/>
      <c r="V647" s="20"/>
      <c r="W647" s="20"/>
      <c r="X647" s="19"/>
      <c r="Y647" s="19"/>
      <c r="Z647" s="19"/>
      <c r="AA647" s="23"/>
    </row>
    <row r="648" spans="1:27" ht="15.75" customHeight="1" x14ac:dyDescent="0.2">
      <c r="A648" s="34"/>
      <c r="B648" s="34"/>
      <c r="C648" s="34"/>
      <c r="D648" s="34"/>
      <c r="E648" s="19"/>
      <c r="F648" s="19"/>
      <c r="G648" s="19"/>
      <c r="H648" s="19"/>
      <c r="I648" s="19"/>
      <c r="J648" s="19"/>
      <c r="K648" s="19"/>
      <c r="L648" s="19"/>
      <c r="M648" s="19"/>
      <c r="N648" s="19"/>
      <c r="O648" s="19"/>
      <c r="P648" s="19"/>
      <c r="Q648" s="20"/>
      <c r="R648" s="20"/>
      <c r="S648" s="22"/>
      <c r="T648" s="22"/>
      <c r="U648" s="20"/>
      <c r="V648" s="20"/>
      <c r="W648" s="20"/>
      <c r="X648" s="19"/>
      <c r="Y648" s="19"/>
      <c r="Z648" s="19"/>
      <c r="AA648" s="23"/>
    </row>
    <row r="649" spans="1:27" ht="15.75" customHeight="1" x14ac:dyDescent="0.2">
      <c r="A649" s="34"/>
      <c r="B649" s="34"/>
      <c r="C649" s="34"/>
      <c r="D649" s="34"/>
      <c r="E649" s="19"/>
      <c r="F649" s="19"/>
      <c r="G649" s="19"/>
      <c r="H649" s="19"/>
      <c r="I649" s="19"/>
      <c r="J649" s="19"/>
      <c r="K649" s="19"/>
      <c r="L649" s="19"/>
      <c r="M649" s="19"/>
      <c r="N649" s="19"/>
      <c r="O649" s="19"/>
      <c r="P649" s="19"/>
      <c r="Q649" s="20"/>
      <c r="R649" s="20"/>
      <c r="S649" s="22"/>
      <c r="T649" s="22"/>
      <c r="U649" s="20"/>
      <c r="V649" s="20"/>
      <c r="W649" s="20"/>
      <c r="X649" s="19"/>
      <c r="Y649" s="19"/>
      <c r="Z649" s="19"/>
      <c r="AA649" s="23"/>
    </row>
    <row r="650" spans="1:27" ht="15.75" customHeight="1" x14ac:dyDescent="0.2">
      <c r="A650" s="34"/>
      <c r="B650" s="34"/>
      <c r="C650" s="34"/>
      <c r="D650" s="34"/>
      <c r="E650" s="19"/>
      <c r="F650" s="19"/>
      <c r="G650" s="19"/>
      <c r="H650" s="19"/>
      <c r="I650" s="19"/>
      <c r="J650" s="19"/>
      <c r="K650" s="19"/>
      <c r="L650" s="19"/>
      <c r="M650" s="19"/>
      <c r="N650" s="19"/>
      <c r="O650" s="19"/>
      <c r="P650" s="19"/>
      <c r="Q650" s="20"/>
      <c r="R650" s="20"/>
      <c r="S650" s="22"/>
      <c r="T650" s="22"/>
      <c r="U650" s="20"/>
      <c r="V650" s="20"/>
      <c r="W650" s="20"/>
      <c r="X650" s="19"/>
      <c r="Y650" s="19"/>
      <c r="Z650" s="19"/>
      <c r="AA650" s="23"/>
    </row>
    <row r="651" spans="1:27" ht="15.75" customHeight="1" x14ac:dyDescent="0.2">
      <c r="A651" s="34"/>
      <c r="B651" s="34"/>
      <c r="C651" s="34"/>
      <c r="D651" s="34"/>
      <c r="E651" s="19"/>
      <c r="F651" s="19"/>
      <c r="G651" s="19"/>
      <c r="H651" s="19"/>
      <c r="I651" s="19"/>
      <c r="J651" s="19"/>
      <c r="K651" s="19"/>
      <c r="L651" s="19"/>
      <c r="M651" s="19"/>
      <c r="N651" s="19"/>
      <c r="O651" s="19"/>
      <c r="P651" s="19"/>
      <c r="Q651" s="20"/>
      <c r="R651" s="20"/>
      <c r="S651" s="22"/>
      <c r="T651" s="22"/>
      <c r="U651" s="20"/>
      <c r="V651" s="20"/>
      <c r="W651" s="20"/>
      <c r="X651" s="19"/>
      <c r="Y651" s="19"/>
      <c r="Z651" s="19"/>
      <c r="AA651" s="23"/>
    </row>
    <row r="652" spans="1:27" ht="15.75" customHeight="1" x14ac:dyDescent="0.2">
      <c r="A652" s="34"/>
      <c r="B652" s="34"/>
      <c r="C652" s="34"/>
      <c r="D652" s="34"/>
      <c r="E652" s="19"/>
      <c r="F652" s="19"/>
      <c r="G652" s="19"/>
      <c r="H652" s="19"/>
      <c r="I652" s="19"/>
      <c r="J652" s="19"/>
      <c r="K652" s="19"/>
      <c r="L652" s="19"/>
      <c r="M652" s="19"/>
      <c r="N652" s="19"/>
      <c r="O652" s="19"/>
      <c r="P652" s="19"/>
      <c r="Q652" s="20"/>
      <c r="R652" s="20"/>
      <c r="S652" s="22"/>
      <c r="T652" s="22"/>
      <c r="U652" s="20"/>
      <c r="V652" s="20"/>
      <c r="W652" s="20"/>
      <c r="X652" s="19"/>
      <c r="Y652" s="19"/>
      <c r="Z652" s="19"/>
      <c r="AA652" s="23"/>
    </row>
    <row r="653" spans="1:27" ht="15.75" customHeight="1" x14ac:dyDescent="0.2">
      <c r="A653" s="34"/>
      <c r="B653" s="34"/>
      <c r="C653" s="34"/>
      <c r="D653" s="34"/>
      <c r="E653" s="19"/>
      <c r="F653" s="19"/>
      <c r="G653" s="19"/>
      <c r="H653" s="19"/>
      <c r="I653" s="19"/>
      <c r="J653" s="19"/>
      <c r="K653" s="19"/>
      <c r="L653" s="19"/>
      <c r="M653" s="19"/>
      <c r="N653" s="19"/>
      <c r="O653" s="19"/>
      <c r="P653" s="19"/>
      <c r="Q653" s="20"/>
      <c r="R653" s="20"/>
      <c r="S653" s="22"/>
      <c r="T653" s="22"/>
      <c r="U653" s="20"/>
      <c r="V653" s="20"/>
      <c r="W653" s="20"/>
      <c r="X653" s="19"/>
      <c r="Y653" s="19"/>
      <c r="Z653" s="19"/>
      <c r="AA653" s="23"/>
    </row>
    <row r="654" spans="1:27" ht="15.75" customHeight="1" x14ac:dyDescent="0.2">
      <c r="A654" s="34"/>
      <c r="B654" s="34"/>
      <c r="C654" s="34"/>
      <c r="D654" s="34"/>
      <c r="E654" s="19"/>
      <c r="F654" s="19"/>
      <c r="G654" s="19"/>
      <c r="H654" s="19"/>
      <c r="I654" s="19"/>
      <c r="J654" s="19"/>
      <c r="K654" s="19"/>
      <c r="L654" s="19"/>
      <c r="M654" s="19"/>
      <c r="N654" s="19"/>
      <c r="O654" s="19"/>
      <c r="P654" s="19"/>
      <c r="Q654" s="20"/>
      <c r="R654" s="20"/>
      <c r="S654" s="22"/>
      <c r="T654" s="22"/>
      <c r="U654" s="20"/>
      <c r="V654" s="20"/>
      <c r="W654" s="20"/>
      <c r="X654" s="19"/>
      <c r="Y654" s="19"/>
      <c r="Z654" s="19"/>
      <c r="AA654" s="23"/>
    </row>
    <row r="655" spans="1:27" ht="15.75" customHeight="1" x14ac:dyDescent="0.2">
      <c r="A655" s="34"/>
      <c r="B655" s="34"/>
      <c r="C655" s="34"/>
      <c r="D655" s="34"/>
      <c r="E655" s="19"/>
      <c r="F655" s="19"/>
      <c r="G655" s="19"/>
      <c r="H655" s="19"/>
      <c r="I655" s="19"/>
      <c r="J655" s="19"/>
      <c r="K655" s="19"/>
      <c r="L655" s="19"/>
      <c r="M655" s="19"/>
      <c r="N655" s="19"/>
      <c r="O655" s="19"/>
      <c r="P655" s="19"/>
      <c r="Q655" s="20"/>
      <c r="R655" s="20"/>
      <c r="S655" s="22"/>
      <c r="T655" s="22"/>
      <c r="U655" s="20"/>
      <c r="V655" s="20"/>
      <c r="W655" s="20"/>
      <c r="X655" s="19"/>
      <c r="Y655" s="19"/>
      <c r="Z655" s="19"/>
      <c r="AA655" s="23"/>
    </row>
    <row r="656" spans="1:27" ht="15.75" customHeight="1" x14ac:dyDescent="0.2">
      <c r="A656" s="34"/>
      <c r="B656" s="34"/>
      <c r="C656" s="34"/>
      <c r="D656" s="34"/>
      <c r="E656" s="19"/>
      <c r="F656" s="19"/>
      <c r="G656" s="19"/>
      <c r="H656" s="19"/>
      <c r="I656" s="19"/>
      <c r="J656" s="19"/>
      <c r="K656" s="19"/>
      <c r="L656" s="19"/>
      <c r="M656" s="19"/>
      <c r="N656" s="19"/>
      <c r="O656" s="19"/>
      <c r="P656" s="19"/>
      <c r="Q656" s="20"/>
      <c r="R656" s="20"/>
      <c r="S656" s="22"/>
      <c r="T656" s="22"/>
      <c r="U656" s="20"/>
      <c r="V656" s="20"/>
      <c r="W656" s="20"/>
      <c r="X656" s="19"/>
      <c r="Y656" s="19"/>
      <c r="Z656" s="19"/>
      <c r="AA656" s="23"/>
    </row>
    <row r="657" spans="1:27" ht="15.75" customHeight="1" x14ac:dyDescent="0.2">
      <c r="A657" s="34"/>
      <c r="B657" s="34"/>
      <c r="C657" s="34"/>
      <c r="D657" s="34"/>
      <c r="E657" s="19"/>
      <c r="F657" s="19"/>
      <c r="G657" s="19"/>
      <c r="H657" s="19"/>
      <c r="I657" s="19"/>
      <c r="J657" s="19"/>
      <c r="K657" s="19"/>
      <c r="L657" s="19"/>
      <c r="M657" s="19"/>
      <c r="N657" s="19"/>
      <c r="O657" s="19"/>
      <c r="P657" s="19"/>
      <c r="Q657" s="20"/>
      <c r="R657" s="20"/>
      <c r="S657" s="22"/>
      <c r="T657" s="22"/>
      <c r="U657" s="20"/>
      <c r="V657" s="20"/>
      <c r="W657" s="20"/>
      <c r="X657" s="19"/>
      <c r="Y657" s="19"/>
      <c r="Z657" s="19"/>
      <c r="AA657" s="23"/>
    </row>
    <row r="658" spans="1:27" ht="15.75" customHeight="1" x14ac:dyDescent="0.2">
      <c r="A658" s="34"/>
      <c r="B658" s="34"/>
      <c r="C658" s="34"/>
      <c r="D658" s="34"/>
      <c r="E658" s="19"/>
      <c r="F658" s="19"/>
      <c r="G658" s="19"/>
      <c r="H658" s="19"/>
      <c r="I658" s="19"/>
      <c r="J658" s="19"/>
      <c r="K658" s="19"/>
      <c r="L658" s="19"/>
      <c r="M658" s="19"/>
      <c r="N658" s="19"/>
      <c r="O658" s="19"/>
      <c r="P658" s="19"/>
      <c r="Q658" s="20"/>
      <c r="R658" s="20"/>
      <c r="S658" s="22"/>
      <c r="T658" s="22"/>
      <c r="U658" s="20"/>
      <c r="V658" s="20"/>
      <c r="W658" s="20"/>
      <c r="X658" s="19"/>
      <c r="Y658" s="19"/>
      <c r="Z658" s="19"/>
      <c r="AA658" s="23"/>
    </row>
    <row r="659" spans="1:27" ht="15.75" customHeight="1" x14ac:dyDescent="0.2">
      <c r="A659" s="34"/>
      <c r="B659" s="34"/>
      <c r="C659" s="34"/>
      <c r="D659" s="34"/>
      <c r="E659" s="19"/>
      <c r="F659" s="19"/>
      <c r="G659" s="19"/>
      <c r="H659" s="19"/>
      <c r="I659" s="19"/>
      <c r="J659" s="19"/>
      <c r="K659" s="19"/>
      <c r="L659" s="19"/>
      <c r="M659" s="19"/>
      <c r="N659" s="19"/>
      <c r="O659" s="19"/>
      <c r="P659" s="19"/>
      <c r="Q659" s="20"/>
      <c r="R659" s="20"/>
      <c r="S659" s="22"/>
      <c r="T659" s="22"/>
      <c r="U659" s="20"/>
      <c r="V659" s="20"/>
      <c r="W659" s="20"/>
      <c r="X659" s="19"/>
      <c r="Y659" s="19"/>
      <c r="Z659" s="19"/>
      <c r="AA659" s="23"/>
    </row>
    <row r="660" spans="1:27" ht="15.75" customHeight="1" x14ac:dyDescent="0.2">
      <c r="A660" s="34"/>
      <c r="B660" s="34"/>
      <c r="C660" s="34"/>
      <c r="D660" s="34"/>
      <c r="E660" s="19"/>
      <c r="F660" s="19"/>
      <c r="G660" s="19"/>
      <c r="H660" s="19"/>
      <c r="I660" s="19"/>
      <c r="J660" s="19"/>
      <c r="K660" s="19"/>
      <c r="L660" s="19"/>
      <c r="M660" s="19"/>
      <c r="N660" s="19"/>
      <c r="O660" s="19"/>
      <c r="P660" s="19"/>
      <c r="Q660" s="20"/>
      <c r="R660" s="20"/>
      <c r="S660" s="22"/>
      <c r="T660" s="22"/>
      <c r="U660" s="20"/>
      <c r="V660" s="20"/>
      <c r="W660" s="20"/>
      <c r="X660" s="19"/>
      <c r="Y660" s="19"/>
      <c r="Z660" s="19"/>
      <c r="AA660" s="23"/>
    </row>
    <row r="661" spans="1:27" ht="15.75" customHeight="1" x14ac:dyDescent="0.2">
      <c r="A661" s="34"/>
      <c r="B661" s="34"/>
      <c r="C661" s="34"/>
      <c r="D661" s="34"/>
      <c r="E661" s="19"/>
      <c r="F661" s="19"/>
      <c r="G661" s="19"/>
      <c r="H661" s="19"/>
      <c r="I661" s="19"/>
      <c r="J661" s="19"/>
      <c r="K661" s="19"/>
      <c r="L661" s="19"/>
      <c r="M661" s="19"/>
      <c r="N661" s="19"/>
      <c r="O661" s="19"/>
      <c r="P661" s="19"/>
      <c r="Q661" s="20"/>
      <c r="R661" s="20"/>
      <c r="S661" s="22"/>
      <c r="T661" s="22"/>
      <c r="U661" s="20"/>
      <c r="V661" s="20"/>
      <c r="W661" s="20"/>
      <c r="X661" s="19"/>
      <c r="Y661" s="19"/>
      <c r="Z661" s="19"/>
      <c r="AA661" s="23"/>
    </row>
    <row r="662" spans="1:27" ht="15.75" customHeight="1" x14ac:dyDescent="0.2">
      <c r="A662" s="34"/>
      <c r="B662" s="34"/>
      <c r="C662" s="34"/>
      <c r="D662" s="34"/>
      <c r="E662" s="19"/>
      <c r="F662" s="19"/>
      <c r="G662" s="19"/>
      <c r="H662" s="19"/>
      <c r="I662" s="19"/>
      <c r="J662" s="19"/>
      <c r="K662" s="19"/>
      <c r="L662" s="19"/>
      <c r="M662" s="19"/>
      <c r="N662" s="19"/>
      <c r="O662" s="19"/>
      <c r="P662" s="19"/>
      <c r="Q662" s="20"/>
      <c r="R662" s="20"/>
      <c r="S662" s="22"/>
      <c r="T662" s="22"/>
      <c r="U662" s="20"/>
      <c r="V662" s="20"/>
      <c r="W662" s="20"/>
      <c r="X662" s="19"/>
      <c r="Y662" s="19"/>
      <c r="Z662" s="19"/>
      <c r="AA662" s="23"/>
    </row>
    <row r="663" spans="1:27" ht="15.75" customHeight="1" x14ac:dyDescent="0.2">
      <c r="A663" s="34"/>
      <c r="B663" s="34"/>
      <c r="C663" s="34"/>
      <c r="D663" s="34"/>
      <c r="E663" s="19"/>
      <c r="F663" s="19"/>
      <c r="G663" s="19"/>
      <c r="H663" s="19"/>
      <c r="I663" s="19"/>
      <c r="J663" s="19"/>
      <c r="K663" s="19"/>
      <c r="L663" s="19"/>
      <c r="M663" s="19"/>
      <c r="N663" s="19"/>
      <c r="O663" s="19"/>
      <c r="P663" s="19"/>
      <c r="Q663" s="20"/>
      <c r="R663" s="20"/>
      <c r="S663" s="22"/>
      <c r="T663" s="22"/>
      <c r="U663" s="20"/>
      <c r="V663" s="20"/>
      <c r="W663" s="20"/>
      <c r="X663" s="19"/>
      <c r="Y663" s="19"/>
      <c r="Z663" s="19"/>
      <c r="AA663" s="23"/>
    </row>
    <row r="664" spans="1:27" ht="15.75" customHeight="1" x14ac:dyDescent="0.2">
      <c r="A664" s="34"/>
      <c r="B664" s="34"/>
      <c r="C664" s="34"/>
      <c r="D664" s="34"/>
      <c r="E664" s="19"/>
      <c r="F664" s="19"/>
      <c r="G664" s="19"/>
      <c r="H664" s="19"/>
      <c r="I664" s="19"/>
      <c r="J664" s="19"/>
      <c r="K664" s="19"/>
      <c r="L664" s="19"/>
      <c r="M664" s="19"/>
      <c r="N664" s="19"/>
      <c r="O664" s="19"/>
      <c r="P664" s="19"/>
      <c r="Q664" s="20"/>
      <c r="R664" s="20"/>
      <c r="S664" s="22"/>
      <c r="T664" s="22"/>
      <c r="U664" s="20"/>
      <c r="V664" s="20"/>
      <c r="W664" s="20"/>
      <c r="X664" s="19"/>
      <c r="Y664" s="19"/>
      <c r="Z664" s="19"/>
      <c r="AA664" s="23"/>
    </row>
    <row r="665" spans="1:27" ht="15.75" customHeight="1" x14ac:dyDescent="0.2">
      <c r="A665" s="34"/>
      <c r="B665" s="34"/>
      <c r="C665" s="34"/>
      <c r="D665" s="34"/>
      <c r="E665" s="19"/>
      <c r="F665" s="19"/>
      <c r="G665" s="19"/>
      <c r="H665" s="19"/>
      <c r="I665" s="19"/>
      <c r="J665" s="19"/>
      <c r="K665" s="19"/>
      <c r="L665" s="19"/>
      <c r="M665" s="19"/>
      <c r="N665" s="19"/>
      <c r="O665" s="19"/>
      <c r="P665" s="19"/>
      <c r="Q665" s="20"/>
      <c r="R665" s="20"/>
      <c r="S665" s="22"/>
      <c r="T665" s="22"/>
      <c r="U665" s="20"/>
      <c r="V665" s="20"/>
      <c r="W665" s="20"/>
      <c r="X665" s="19"/>
      <c r="Y665" s="19"/>
      <c r="Z665" s="19"/>
      <c r="AA665" s="23"/>
    </row>
    <row r="666" spans="1:27" ht="15.75" customHeight="1" x14ac:dyDescent="0.2">
      <c r="A666" s="34"/>
      <c r="B666" s="34"/>
      <c r="C666" s="34"/>
      <c r="D666" s="34"/>
      <c r="E666" s="19"/>
      <c r="F666" s="19"/>
      <c r="G666" s="19"/>
      <c r="H666" s="19"/>
      <c r="I666" s="19"/>
      <c r="J666" s="19"/>
      <c r="K666" s="19"/>
      <c r="L666" s="19"/>
      <c r="M666" s="19"/>
      <c r="N666" s="19"/>
      <c r="O666" s="19"/>
      <c r="P666" s="19"/>
      <c r="Q666" s="20"/>
      <c r="R666" s="20"/>
      <c r="S666" s="22"/>
      <c r="T666" s="22"/>
      <c r="U666" s="20"/>
      <c r="V666" s="20"/>
      <c r="W666" s="20"/>
      <c r="X666" s="19"/>
      <c r="Y666" s="19"/>
      <c r="Z666" s="19"/>
      <c r="AA666" s="23"/>
    </row>
    <row r="667" spans="1:27" ht="15.75" customHeight="1" x14ac:dyDescent="0.2">
      <c r="A667" s="34"/>
      <c r="B667" s="34"/>
      <c r="C667" s="34"/>
      <c r="D667" s="34"/>
      <c r="E667" s="19"/>
      <c r="F667" s="19"/>
      <c r="G667" s="19"/>
      <c r="H667" s="19"/>
      <c r="I667" s="19"/>
      <c r="J667" s="19"/>
      <c r="K667" s="19"/>
      <c r="L667" s="19"/>
      <c r="M667" s="19"/>
      <c r="N667" s="19"/>
      <c r="O667" s="19"/>
      <c r="P667" s="19"/>
      <c r="Q667" s="20"/>
      <c r="R667" s="20"/>
      <c r="S667" s="22"/>
      <c r="T667" s="22"/>
      <c r="U667" s="20"/>
      <c r="V667" s="20"/>
      <c r="W667" s="20"/>
      <c r="X667" s="19"/>
      <c r="Y667" s="19"/>
      <c r="Z667" s="19"/>
      <c r="AA667" s="23"/>
    </row>
    <row r="668" spans="1:27" ht="15.75" customHeight="1" x14ac:dyDescent="0.2">
      <c r="A668" s="34"/>
      <c r="B668" s="34"/>
      <c r="C668" s="34"/>
      <c r="D668" s="34"/>
      <c r="E668" s="19"/>
      <c r="F668" s="19"/>
      <c r="G668" s="19"/>
      <c r="H668" s="19"/>
      <c r="I668" s="19"/>
      <c r="J668" s="19"/>
      <c r="K668" s="19"/>
      <c r="L668" s="19"/>
      <c r="M668" s="19"/>
      <c r="N668" s="19"/>
      <c r="O668" s="19"/>
      <c r="P668" s="19"/>
      <c r="Q668" s="20"/>
      <c r="R668" s="20"/>
      <c r="S668" s="22"/>
      <c r="T668" s="22"/>
      <c r="U668" s="20"/>
      <c r="V668" s="20"/>
      <c r="W668" s="20"/>
      <c r="X668" s="19"/>
      <c r="Y668" s="19"/>
      <c r="Z668" s="19"/>
      <c r="AA668" s="23"/>
    </row>
    <row r="669" spans="1:27" ht="15.75" customHeight="1" x14ac:dyDescent="0.2">
      <c r="A669" s="34"/>
      <c r="B669" s="34"/>
      <c r="C669" s="34"/>
      <c r="D669" s="34"/>
      <c r="E669" s="19"/>
      <c r="F669" s="19"/>
      <c r="G669" s="19"/>
      <c r="H669" s="19"/>
      <c r="I669" s="19"/>
      <c r="J669" s="19"/>
      <c r="K669" s="19"/>
      <c r="L669" s="19"/>
      <c r="M669" s="19"/>
      <c r="N669" s="19"/>
      <c r="O669" s="19"/>
      <c r="P669" s="19"/>
      <c r="Q669" s="20"/>
      <c r="R669" s="20"/>
      <c r="S669" s="22"/>
      <c r="T669" s="22"/>
      <c r="U669" s="20"/>
      <c r="V669" s="20"/>
      <c r="W669" s="20"/>
      <c r="X669" s="19"/>
      <c r="Y669" s="19"/>
      <c r="Z669" s="19"/>
      <c r="AA669" s="23"/>
    </row>
    <row r="670" spans="1:27" ht="15.75" customHeight="1" x14ac:dyDescent="0.2">
      <c r="A670" s="34"/>
      <c r="B670" s="34"/>
      <c r="C670" s="34"/>
      <c r="D670" s="34"/>
      <c r="E670" s="19"/>
      <c r="F670" s="19"/>
      <c r="G670" s="19"/>
      <c r="H670" s="19"/>
      <c r="I670" s="19"/>
      <c r="J670" s="19"/>
      <c r="K670" s="19"/>
      <c r="L670" s="19"/>
      <c r="M670" s="19"/>
      <c r="N670" s="19"/>
      <c r="O670" s="19"/>
      <c r="P670" s="19"/>
      <c r="Q670" s="20"/>
      <c r="R670" s="20"/>
      <c r="S670" s="22"/>
      <c r="T670" s="22"/>
      <c r="U670" s="20"/>
      <c r="V670" s="20"/>
      <c r="W670" s="20"/>
      <c r="X670" s="19"/>
      <c r="Y670" s="19"/>
      <c r="Z670" s="19"/>
      <c r="AA670" s="23"/>
    </row>
    <row r="671" spans="1:27" ht="15.75" customHeight="1" x14ac:dyDescent="0.2">
      <c r="A671" s="34"/>
      <c r="B671" s="34"/>
      <c r="C671" s="34"/>
      <c r="D671" s="34"/>
      <c r="E671" s="19"/>
      <c r="F671" s="19"/>
      <c r="G671" s="19"/>
      <c r="H671" s="19"/>
      <c r="I671" s="19"/>
      <c r="J671" s="19"/>
      <c r="K671" s="19"/>
      <c r="L671" s="19"/>
      <c r="M671" s="19"/>
      <c r="N671" s="19"/>
      <c r="O671" s="19"/>
      <c r="P671" s="19"/>
      <c r="Q671" s="20"/>
      <c r="R671" s="20"/>
      <c r="S671" s="22"/>
      <c r="T671" s="22"/>
      <c r="U671" s="20"/>
      <c r="V671" s="20"/>
      <c r="W671" s="20"/>
      <c r="X671" s="19"/>
      <c r="Y671" s="19"/>
      <c r="Z671" s="19"/>
      <c r="AA671" s="23"/>
    </row>
    <row r="672" spans="1:27" ht="15.75" customHeight="1" x14ac:dyDescent="0.2">
      <c r="A672" s="34"/>
      <c r="B672" s="34"/>
      <c r="C672" s="34"/>
      <c r="D672" s="34"/>
      <c r="E672" s="19"/>
      <c r="F672" s="19"/>
      <c r="G672" s="19"/>
      <c r="H672" s="19"/>
      <c r="I672" s="19"/>
      <c r="J672" s="19"/>
      <c r="K672" s="19"/>
      <c r="L672" s="19"/>
      <c r="M672" s="19"/>
      <c r="N672" s="19"/>
      <c r="O672" s="19"/>
      <c r="P672" s="19"/>
      <c r="Q672" s="20"/>
      <c r="R672" s="20"/>
      <c r="S672" s="22"/>
      <c r="T672" s="22"/>
      <c r="U672" s="20"/>
      <c r="V672" s="20"/>
      <c r="W672" s="20"/>
      <c r="X672" s="19"/>
      <c r="Y672" s="19"/>
      <c r="Z672" s="19"/>
      <c r="AA672" s="23"/>
    </row>
    <row r="673" spans="1:27" ht="15.75" customHeight="1" x14ac:dyDescent="0.2">
      <c r="A673" s="34"/>
      <c r="B673" s="34"/>
      <c r="C673" s="34"/>
      <c r="D673" s="34"/>
      <c r="E673" s="19"/>
      <c r="F673" s="19"/>
      <c r="G673" s="19"/>
      <c r="H673" s="19"/>
      <c r="I673" s="19"/>
      <c r="J673" s="19"/>
      <c r="K673" s="19"/>
      <c r="L673" s="19"/>
      <c r="M673" s="19"/>
      <c r="N673" s="19"/>
      <c r="O673" s="19"/>
      <c r="P673" s="19"/>
      <c r="Q673" s="20"/>
      <c r="R673" s="20"/>
      <c r="S673" s="22"/>
      <c r="T673" s="22"/>
      <c r="U673" s="20"/>
      <c r="V673" s="20"/>
      <c r="W673" s="20"/>
      <c r="X673" s="19"/>
      <c r="Y673" s="19"/>
      <c r="Z673" s="19"/>
      <c r="AA673" s="23"/>
    </row>
    <row r="674" spans="1:27" ht="15.75" customHeight="1" x14ac:dyDescent="0.2">
      <c r="A674" s="34"/>
      <c r="B674" s="34"/>
      <c r="C674" s="34"/>
      <c r="D674" s="34"/>
      <c r="E674" s="19"/>
      <c r="F674" s="19"/>
      <c r="G674" s="19"/>
      <c r="H674" s="19"/>
      <c r="I674" s="19"/>
      <c r="J674" s="19"/>
      <c r="K674" s="19"/>
      <c r="L674" s="19"/>
      <c r="M674" s="19"/>
      <c r="N674" s="19"/>
      <c r="O674" s="19"/>
      <c r="P674" s="19"/>
      <c r="Q674" s="20"/>
      <c r="R674" s="20"/>
      <c r="S674" s="22"/>
      <c r="T674" s="22"/>
      <c r="U674" s="20"/>
      <c r="V674" s="20"/>
      <c r="W674" s="20"/>
      <c r="X674" s="19"/>
      <c r="Y674" s="19"/>
      <c r="Z674" s="19"/>
      <c r="AA674" s="23"/>
    </row>
    <row r="675" spans="1:27" ht="15.75" customHeight="1" x14ac:dyDescent="0.2">
      <c r="A675" s="34"/>
      <c r="B675" s="34"/>
      <c r="C675" s="34"/>
      <c r="D675" s="34"/>
      <c r="E675" s="19"/>
      <c r="F675" s="19"/>
      <c r="G675" s="19"/>
      <c r="H675" s="19"/>
      <c r="I675" s="19"/>
      <c r="J675" s="19"/>
      <c r="K675" s="19"/>
      <c r="L675" s="19"/>
      <c r="M675" s="19"/>
      <c r="N675" s="19"/>
      <c r="O675" s="19"/>
      <c r="P675" s="19"/>
      <c r="Q675" s="20"/>
      <c r="R675" s="20"/>
      <c r="S675" s="22"/>
      <c r="T675" s="22"/>
      <c r="U675" s="20"/>
      <c r="V675" s="20"/>
      <c r="W675" s="20"/>
      <c r="X675" s="19"/>
      <c r="Y675" s="19"/>
      <c r="Z675" s="19"/>
      <c r="AA675" s="23"/>
    </row>
    <row r="676" spans="1:27" ht="15.75" customHeight="1" x14ac:dyDescent="0.2">
      <c r="A676" s="34"/>
      <c r="B676" s="34"/>
      <c r="C676" s="34"/>
      <c r="D676" s="34"/>
      <c r="E676" s="19"/>
      <c r="F676" s="19"/>
      <c r="G676" s="19"/>
      <c r="H676" s="19"/>
      <c r="I676" s="19"/>
      <c r="J676" s="19"/>
      <c r="K676" s="19"/>
      <c r="L676" s="19"/>
      <c r="M676" s="19"/>
      <c r="N676" s="19"/>
      <c r="O676" s="19"/>
      <c r="P676" s="19"/>
      <c r="Q676" s="20"/>
      <c r="R676" s="20"/>
      <c r="S676" s="22"/>
      <c r="T676" s="22"/>
      <c r="U676" s="20"/>
      <c r="V676" s="20"/>
      <c r="W676" s="20"/>
      <c r="X676" s="19"/>
      <c r="Y676" s="19"/>
      <c r="Z676" s="19"/>
      <c r="AA676" s="23"/>
    </row>
    <row r="677" spans="1:27" ht="15.75" customHeight="1" x14ac:dyDescent="0.2">
      <c r="A677" s="34"/>
      <c r="B677" s="34"/>
      <c r="C677" s="34"/>
      <c r="D677" s="34"/>
      <c r="E677" s="19"/>
      <c r="F677" s="19"/>
      <c r="G677" s="19"/>
      <c r="H677" s="19"/>
      <c r="I677" s="19"/>
      <c r="J677" s="19"/>
      <c r="K677" s="19"/>
      <c r="L677" s="19"/>
      <c r="M677" s="19"/>
      <c r="N677" s="19"/>
      <c r="O677" s="19"/>
      <c r="P677" s="19"/>
      <c r="Q677" s="20"/>
      <c r="R677" s="20"/>
      <c r="S677" s="22"/>
      <c r="T677" s="22"/>
      <c r="U677" s="20"/>
      <c r="V677" s="20"/>
      <c r="W677" s="20"/>
      <c r="X677" s="19"/>
      <c r="Y677" s="19"/>
      <c r="Z677" s="19"/>
      <c r="AA677" s="23"/>
    </row>
    <row r="678" spans="1:27" ht="15.75" customHeight="1" x14ac:dyDescent="0.2">
      <c r="A678" s="34"/>
      <c r="B678" s="34"/>
      <c r="C678" s="34"/>
      <c r="D678" s="34"/>
      <c r="E678" s="19"/>
      <c r="F678" s="19"/>
      <c r="G678" s="19"/>
      <c r="H678" s="19"/>
      <c r="I678" s="19"/>
      <c r="J678" s="19"/>
      <c r="K678" s="19"/>
      <c r="L678" s="19"/>
      <c r="M678" s="19"/>
      <c r="N678" s="19"/>
      <c r="O678" s="19"/>
      <c r="P678" s="19"/>
      <c r="Q678" s="20"/>
      <c r="R678" s="20"/>
      <c r="S678" s="22"/>
      <c r="T678" s="22"/>
      <c r="U678" s="20"/>
      <c r="V678" s="20"/>
      <c r="W678" s="20"/>
      <c r="X678" s="19"/>
      <c r="Y678" s="19"/>
      <c r="Z678" s="19"/>
      <c r="AA678" s="23"/>
    </row>
    <row r="679" spans="1:27" ht="15.75" customHeight="1" x14ac:dyDescent="0.2">
      <c r="A679" s="34"/>
      <c r="B679" s="34"/>
      <c r="C679" s="34"/>
      <c r="D679" s="34"/>
      <c r="E679" s="19"/>
      <c r="F679" s="19"/>
      <c r="G679" s="19"/>
      <c r="H679" s="19"/>
      <c r="I679" s="19"/>
      <c r="J679" s="19"/>
      <c r="K679" s="19"/>
      <c r="L679" s="19"/>
      <c r="M679" s="19"/>
      <c r="N679" s="19"/>
      <c r="O679" s="19"/>
      <c r="P679" s="19"/>
      <c r="Q679" s="20"/>
      <c r="R679" s="20"/>
      <c r="S679" s="22"/>
      <c r="T679" s="22"/>
      <c r="U679" s="20"/>
      <c r="V679" s="20"/>
      <c r="W679" s="20"/>
      <c r="X679" s="19"/>
      <c r="Y679" s="19"/>
      <c r="Z679" s="19"/>
      <c r="AA679" s="23"/>
    </row>
    <row r="680" spans="1:27" ht="15.75" customHeight="1" x14ac:dyDescent="0.2">
      <c r="A680" s="34"/>
      <c r="B680" s="34"/>
      <c r="C680" s="34"/>
      <c r="D680" s="34"/>
      <c r="E680" s="19"/>
      <c r="F680" s="19"/>
      <c r="G680" s="19"/>
      <c r="H680" s="19"/>
      <c r="I680" s="19"/>
      <c r="J680" s="19"/>
      <c r="K680" s="19"/>
      <c r="L680" s="19"/>
      <c r="M680" s="19"/>
      <c r="N680" s="19"/>
      <c r="O680" s="19"/>
      <c r="P680" s="19"/>
      <c r="Q680" s="20"/>
      <c r="R680" s="20"/>
      <c r="S680" s="22"/>
      <c r="T680" s="22"/>
      <c r="U680" s="20"/>
      <c r="V680" s="20"/>
      <c r="W680" s="20"/>
      <c r="X680" s="19"/>
      <c r="Y680" s="19"/>
      <c r="Z680" s="19"/>
      <c r="AA680" s="23"/>
    </row>
    <row r="681" spans="1:27" ht="15.75" customHeight="1" x14ac:dyDescent="0.2">
      <c r="A681" s="34"/>
      <c r="B681" s="34"/>
      <c r="C681" s="34"/>
      <c r="D681" s="34"/>
      <c r="E681" s="19"/>
      <c r="F681" s="19"/>
      <c r="G681" s="19"/>
      <c r="H681" s="19"/>
      <c r="I681" s="19"/>
      <c r="J681" s="19"/>
      <c r="K681" s="19"/>
      <c r="L681" s="19"/>
      <c r="M681" s="19"/>
      <c r="N681" s="19"/>
      <c r="O681" s="19"/>
      <c r="P681" s="19"/>
      <c r="Q681" s="20"/>
      <c r="R681" s="20"/>
      <c r="S681" s="22"/>
      <c r="T681" s="22"/>
      <c r="U681" s="20"/>
      <c r="V681" s="20"/>
      <c r="W681" s="20"/>
      <c r="X681" s="19"/>
      <c r="Y681" s="19"/>
      <c r="Z681" s="19"/>
      <c r="AA681" s="23"/>
    </row>
    <row r="682" spans="1:27" ht="15.75" customHeight="1" x14ac:dyDescent="0.2">
      <c r="A682" s="34"/>
      <c r="B682" s="34"/>
      <c r="C682" s="34"/>
      <c r="D682" s="34"/>
      <c r="E682" s="19"/>
      <c r="F682" s="19"/>
      <c r="G682" s="19"/>
      <c r="H682" s="19"/>
      <c r="I682" s="19"/>
      <c r="J682" s="19"/>
      <c r="K682" s="19"/>
      <c r="L682" s="19"/>
      <c r="M682" s="19"/>
      <c r="N682" s="19"/>
      <c r="O682" s="19"/>
      <c r="P682" s="19"/>
      <c r="Q682" s="20"/>
      <c r="R682" s="20"/>
      <c r="S682" s="22"/>
      <c r="T682" s="22"/>
      <c r="U682" s="20"/>
      <c r="V682" s="20"/>
      <c r="W682" s="20"/>
      <c r="X682" s="19"/>
      <c r="Y682" s="19"/>
      <c r="Z682" s="19"/>
      <c r="AA682" s="23"/>
    </row>
    <row r="683" spans="1:27" ht="15.75" customHeight="1" x14ac:dyDescent="0.2">
      <c r="A683" s="34"/>
      <c r="B683" s="34"/>
      <c r="C683" s="34"/>
      <c r="D683" s="34"/>
      <c r="E683" s="19"/>
      <c r="F683" s="19"/>
      <c r="G683" s="19"/>
      <c r="H683" s="19"/>
      <c r="I683" s="19"/>
      <c r="J683" s="19"/>
      <c r="K683" s="19"/>
      <c r="L683" s="19"/>
      <c r="M683" s="19"/>
      <c r="N683" s="19"/>
      <c r="O683" s="19"/>
      <c r="P683" s="19"/>
      <c r="Q683" s="20"/>
      <c r="R683" s="20"/>
      <c r="S683" s="22"/>
      <c r="T683" s="22"/>
      <c r="U683" s="20"/>
      <c r="V683" s="20"/>
      <c r="W683" s="20"/>
      <c r="X683" s="19"/>
      <c r="Y683" s="19"/>
      <c r="Z683" s="19"/>
      <c r="AA683" s="23"/>
    </row>
    <row r="684" spans="1:27" ht="15.75" customHeight="1" x14ac:dyDescent="0.2">
      <c r="A684" s="34"/>
      <c r="B684" s="34"/>
      <c r="C684" s="34"/>
      <c r="D684" s="34"/>
      <c r="E684" s="19"/>
      <c r="F684" s="19"/>
      <c r="G684" s="19"/>
      <c r="H684" s="19"/>
      <c r="I684" s="19"/>
      <c r="J684" s="19"/>
      <c r="K684" s="19"/>
      <c r="L684" s="19"/>
      <c r="M684" s="19"/>
      <c r="N684" s="19"/>
      <c r="O684" s="19"/>
      <c r="P684" s="19"/>
      <c r="Q684" s="20"/>
      <c r="R684" s="20"/>
      <c r="S684" s="22"/>
      <c r="T684" s="22"/>
      <c r="U684" s="20"/>
      <c r="V684" s="20"/>
      <c r="W684" s="20"/>
      <c r="X684" s="19"/>
      <c r="Y684" s="19"/>
      <c r="Z684" s="19"/>
      <c r="AA684" s="23"/>
    </row>
    <row r="685" spans="1:27" ht="15.75" customHeight="1" x14ac:dyDescent="0.2">
      <c r="A685" s="34"/>
      <c r="B685" s="34"/>
      <c r="C685" s="34"/>
      <c r="D685" s="34"/>
      <c r="E685" s="19"/>
      <c r="F685" s="19"/>
      <c r="G685" s="19"/>
      <c r="H685" s="19"/>
      <c r="I685" s="19"/>
      <c r="J685" s="19"/>
      <c r="K685" s="19"/>
      <c r="L685" s="19"/>
      <c r="M685" s="19"/>
      <c r="N685" s="19"/>
      <c r="O685" s="19"/>
      <c r="P685" s="19"/>
      <c r="Q685" s="20"/>
      <c r="R685" s="20"/>
      <c r="S685" s="22"/>
      <c r="T685" s="22"/>
      <c r="U685" s="20"/>
      <c r="V685" s="20"/>
      <c r="W685" s="20"/>
      <c r="X685" s="19"/>
      <c r="Y685" s="19"/>
      <c r="Z685" s="19"/>
      <c r="AA685" s="23"/>
    </row>
    <row r="686" spans="1:27" ht="15.75" customHeight="1" x14ac:dyDescent="0.2">
      <c r="A686" s="34"/>
      <c r="B686" s="34"/>
      <c r="C686" s="34"/>
      <c r="D686" s="34"/>
      <c r="E686" s="19"/>
      <c r="F686" s="19"/>
      <c r="G686" s="19"/>
      <c r="H686" s="19"/>
      <c r="I686" s="19"/>
      <c r="J686" s="19"/>
      <c r="K686" s="19"/>
      <c r="L686" s="19"/>
      <c r="M686" s="19"/>
      <c r="N686" s="19"/>
      <c r="O686" s="19"/>
      <c r="P686" s="19"/>
      <c r="Q686" s="20"/>
      <c r="R686" s="20"/>
      <c r="S686" s="22"/>
      <c r="T686" s="22"/>
      <c r="U686" s="20"/>
      <c r="V686" s="20"/>
      <c r="W686" s="20"/>
      <c r="X686" s="19"/>
      <c r="Y686" s="19"/>
      <c r="Z686" s="19"/>
      <c r="AA686" s="23"/>
    </row>
    <row r="687" spans="1:27" ht="15.75" customHeight="1" x14ac:dyDescent="0.2">
      <c r="A687" s="34"/>
      <c r="B687" s="34"/>
      <c r="C687" s="34"/>
      <c r="D687" s="34"/>
      <c r="E687" s="19"/>
      <c r="F687" s="19"/>
      <c r="G687" s="19"/>
      <c r="H687" s="19"/>
      <c r="I687" s="19"/>
      <c r="J687" s="19"/>
      <c r="K687" s="19"/>
      <c r="L687" s="19"/>
      <c r="M687" s="19"/>
      <c r="N687" s="19"/>
      <c r="O687" s="19"/>
      <c r="P687" s="19"/>
      <c r="Q687" s="20"/>
      <c r="R687" s="20"/>
      <c r="S687" s="22"/>
      <c r="T687" s="22"/>
      <c r="U687" s="20"/>
      <c r="V687" s="20"/>
      <c r="W687" s="20"/>
      <c r="X687" s="19"/>
      <c r="Y687" s="19"/>
      <c r="Z687" s="19"/>
      <c r="AA687" s="23"/>
    </row>
    <row r="688" spans="1:27" ht="15.75" customHeight="1" x14ac:dyDescent="0.2">
      <c r="A688" s="34"/>
      <c r="B688" s="34"/>
      <c r="C688" s="34"/>
      <c r="D688" s="34"/>
      <c r="E688" s="19"/>
      <c r="F688" s="19"/>
      <c r="G688" s="19"/>
      <c r="H688" s="19"/>
      <c r="I688" s="19"/>
      <c r="J688" s="19"/>
      <c r="K688" s="19"/>
      <c r="L688" s="19"/>
      <c r="M688" s="19"/>
      <c r="N688" s="19"/>
      <c r="O688" s="19"/>
      <c r="P688" s="19"/>
      <c r="Q688" s="20"/>
      <c r="R688" s="20"/>
      <c r="S688" s="22"/>
      <c r="T688" s="22"/>
      <c r="U688" s="20"/>
      <c r="V688" s="20"/>
      <c r="W688" s="20"/>
      <c r="X688" s="19"/>
      <c r="Y688" s="19"/>
      <c r="Z688" s="19"/>
      <c r="AA688" s="23"/>
    </row>
    <row r="689" spans="1:27" ht="15.75" customHeight="1" x14ac:dyDescent="0.2">
      <c r="A689" s="34"/>
      <c r="B689" s="34"/>
      <c r="C689" s="34"/>
      <c r="D689" s="34"/>
      <c r="E689" s="19"/>
      <c r="F689" s="19"/>
      <c r="G689" s="19"/>
      <c r="H689" s="19"/>
      <c r="I689" s="19"/>
      <c r="J689" s="19"/>
      <c r="K689" s="19"/>
      <c r="L689" s="19"/>
      <c r="M689" s="19"/>
      <c r="N689" s="19"/>
      <c r="O689" s="19"/>
      <c r="P689" s="19"/>
      <c r="Q689" s="20"/>
      <c r="R689" s="20"/>
      <c r="S689" s="22"/>
      <c r="T689" s="22"/>
      <c r="U689" s="20"/>
      <c r="V689" s="20"/>
      <c r="W689" s="20"/>
      <c r="X689" s="19"/>
      <c r="Y689" s="19"/>
      <c r="Z689" s="19"/>
      <c r="AA689" s="23"/>
    </row>
    <row r="690" spans="1:27" ht="15.75" customHeight="1" x14ac:dyDescent="0.2">
      <c r="A690" s="34"/>
      <c r="B690" s="34"/>
      <c r="C690" s="34"/>
      <c r="D690" s="34"/>
      <c r="E690" s="19"/>
      <c r="F690" s="19"/>
      <c r="G690" s="19"/>
      <c r="H690" s="19"/>
      <c r="I690" s="19"/>
      <c r="J690" s="19"/>
      <c r="K690" s="19"/>
      <c r="L690" s="19"/>
      <c r="M690" s="19"/>
      <c r="N690" s="19"/>
      <c r="O690" s="19"/>
      <c r="P690" s="19"/>
      <c r="Q690" s="20"/>
      <c r="R690" s="20"/>
      <c r="S690" s="22"/>
      <c r="T690" s="22"/>
      <c r="U690" s="20"/>
      <c r="V690" s="20"/>
      <c r="W690" s="20"/>
      <c r="X690" s="19"/>
      <c r="Y690" s="19"/>
      <c r="Z690" s="19"/>
      <c r="AA690" s="23"/>
    </row>
    <row r="691" spans="1:27" ht="15.75" customHeight="1" x14ac:dyDescent="0.2">
      <c r="A691" s="34"/>
      <c r="B691" s="34"/>
      <c r="C691" s="34"/>
      <c r="D691" s="34"/>
      <c r="E691" s="19"/>
      <c r="F691" s="19"/>
      <c r="G691" s="19"/>
      <c r="H691" s="19"/>
      <c r="I691" s="19"/>
      <c r="J691" s="19"/>
      <c r="K691" s="19"/>
      <c r="L691" s="19"/>
      <c r="M691" s="19"/>
      <c r="N691" s="19"/>
      <c r="O691" s="19"/>
      <c r="P691" s="19"/>
      <c r="Q691" s="20"/>
      <c r="R691" s="20"/>
      <c r="S691" s="22"/>
      <c r="T691" s="22"/>
      <c r="U691" s="20"/>
      <c r="V691" s="20"/>
      <c r="W691" s="20"/>
      <c r="X691" s="19"/>
      <c r="Y691" s="19"/>
      <c r="Z691" s="19"/>
      <c r="AA691" s="23"/>
    </row>
    <row r="692" spans="1:27" ht="15.75" customHeight="1" x14ac:dyDescent="0.2">
      <c r="A692" s="34"/>
      <c r="B692" s="34"/>
      <c r="C692" s="34"/>
      <c r="D692" s="34"/>
      <c r="E692" s="19"/>
      <c r="F692" s="19"/>
      <c r="G692" s="19"/>
      <c r="H692" s="19"/>
      <c r="I692" s="19"/>
      <c r="J692" s="19"/>
      <c r="K692" s="19"/>
      <c r="L692" s="19"/>
      <c r="M692" s="19"/>
      <c r="N692" s="19"/>
      <c r="O692" s="19"/>
      <c r="P692" s="19"/>
      <c r="Q692" s="20"/>
      <c r="R692" s="20"/>
      <c r="S692" s="22"/>
      <c r="T692" s="22"/>
      <c r="U692" s="20"/>
      <c r="V692" s="20"/>
      <c r="W692" s="20"/>
      <c r="X692" s="19"/>
      <c r="Y692" s="19"/>
      <c r="Z692" s="19"/>
      <c r="AA692" s="23"/>
    </row>
    <row r="693" spans="1:27" ht="15.75" customHeight="1" x14ac:dyDescent="0.2">
      <c r="A693" s="34"/>
      <c r="B693" s="34"/>
      <c r="C693" s="34"/>
      <c r="D693" s="34"/>
      <c r="E693" s="19"/>
      <c r="F693" s="19"/>
      <c r="G693" s="19"/>
      <c r="H693" s="19"/>
      <c r="I693" s="19"/>
      <c r="J693" s="19"/>
      <c r="K693" s="19"/>
      <c r="L693" s="19"/>
      <c r="M693" s="19"/>
      <c r="N693" s="19"/>
      <c r="O693" s="19"/>
      <c r="P693" s="19"/>
      <c r="Q693" s="20"/>
      <c r="R693" s="20"/>
      <c r="S693" s="22"/>
      <c r="T693" s="22"/>
      <c r="U693" s="20"/>
      <c r="V693" s="20"/>
      <c r="W693" s="20"/>
      <c r="X693" s="19"/>
      <c r="Y693" s="19"/>
      <c r="Z693" s="19"/>
      <c r="AA693" s="23"/>
    </row>
    <row r="694" spans="1:27" ht="15.75" customHeight="1" x14ac:dyDescent="0.2">
      <c r="A694" s="34"/>
      <c r="B694" s="34"/>
      <c r="C694" s="34"/>
      <c r="D694" s="34"/>
      <c r="E694" s="19"/>
      <c r="F694" s="19"/>
      <c r="G694" s="19"/>
      <c r="H694" s="19"/>
      <c r="I694" s="19"/>
      <c r="J694" s="19"/>
      <c r="K694" s="19"/>
      <c r="L694" s="19"/>
      <c r="M694" s="19"/>
      <c r="N694" s="19"/>
      <c r="O694" s="19"/>
      <c r="P694" s="19"/>
      <c r="Q694" s="20"/>
      <c r="R694" s="20"/>
      <c r="S694" s="22"/>
      <c r="T694" s="22"/>
      <c r="U694" s="20"/>
      <c r="V694" s="20"/>
      <c r="W694" s="20"/>
      <c r="X694" s="19"/>
      <c r="Y694" s="19"/>
      <c r="Z694" s="19"/>
      <c r="AA694" s="23"/>
    </row>
    <row r="695" spans="1:27" ht="15.75" customHeight="1" x14ac:dyDescent="0.2">
      <c r="A695" s="34"/>
      <c r="B695" s="34"/>
      <c r="C695" s="34"/>
      <c r="D695" s="34"/>
      <c r="E695" s="19"/>
      <c r="F695" s="19"/>
      <c r="G695" s="19"/>
      <c r="H695" s="19"/>
      <c r="I695" s="19"/>
      <c r="J695" s="19"/>
      <c r="K695" s="19"/>
      <c r="L695" s="19"/>
      <c r="M695" s="19"/>
      <c r="N695" s="19"/>
      <c r="O695" s="19"/>
      <c r="P695" s="19"/>
      <c r="Q695" s="20"/>
      <c r="R695" s="20"/>
      <c r="S695" s="22"/>
      <c r="T695" s="22"/>
      <c r="U695" s="20"/>
      <c r="V695" s="20"/>
      <c r="W695" s="20"/>
      <c r="X695" s="19"/>
      <c r="Y695" s="19"/>
      <c r="Z695" s="19"/>
      <c r="AA695" s="23"/>
    </row>
    <row r="696" spans="1:27" ht="15.75" customHeight="1" x14ac:dyDescent="0.2">
      <c r="A696" s="34"/>
      <c r="B696" s="34"/>
      <c r="C696" s="34"/>
      <c r="D696" s="34"/>
      <c r="E696" s="19"/>
      <c r="F696" s="19"/>
      <c r="G696" s="19"/>
      <c r="H696" s="19"/>
      <c r="I696" s="19"/>
      <c r="J696" s="19"/>
      <c r="K696" s="19"/>
      <c r="L696" s="19"/>
      <c r="M696" s="19"/>
      <c r="N696" s="19"/>
      <c r="O696" s="19"/>
      <c r="P696" s="19"/>
      <c r="Q696" s="20"/>
      <c r="R696" s="20"/>
      <c r="S696" s="22"/>
      <c r="T696" s="22"/>
      <c r="U696" s="20"/>
      <c r="V696" s="20"/>
      <c r="W696" s="20"/>
      <c r="X696" s="19"/>
      <c r="Y696" s="19"/>
      <c r="Z696" s="19"/>
      <c r="AA696" s="23"/>
    </row>
    <row r="697" spans="1:27" ht="15.75" customHeight="1" x14ac:dyDescent="0.2">
      <c r="A697" s="34"/>
      <c r="B697" s="34"/>
      <c r="C697" s="34"/>
      <c r="D697" s="34"/>
      <c r="E697" s="19"/>
      <c r="F697" s="19"/>
      <c r="G697" s="19"/>
      <c r="H697" s="19"/>
      <c r="I697" s="19"/>
      <c r="J697" s="19"/>
      <c r="K697" s="19"/>
      <c r="L697" s="19"/>
      <c r="M697" s="19"/>
      <c r="N697" s="19"/>
      <c r="O697" s="19"/>
      <c r="P697" s="19"/>
      <c r="Q697" s="20"/>
      <c r="R697" s="20"/>
      <c r="S697" s="22"/>
      <c r="T697" s="22"/>
      <c r="U697" s="20"/>
      <c r="V697" s="20"/>
      <c r="W697" s="20"/>
      <c r="X697" s="19"/>
      <c r="Y697" s="19"/>
      <c r="Z697" s="19"/>
      <c r="AA697" s="23"/>
    </row>
    <row r="698" spans="1:27" ht="15.75" customHeight="1" x14ac:dyDescent="0.2">
      <c r="A698" s="34"/>
      <c r="B698" s="34"/>
      <c r="C698" s="34"/>
      <c r="D698" s="34"/>
      <c r="E698" s="19"/>
      <c r="F698" s="19"/>
      <c r="G698" s="19"/>
      <c r="H698" s="19"/>
      <c r="I698" s="19"/>
      <c r="J698" s="19"/>
      <c r="K698" s="19"/>
      <c r="L698" s="19"/>
      <c r="M698" s="19"/>
      <c r="N698" s="19"/>
      <c r="O698" s="19"/>
      <c r="P698" s="19"/>
      <c r="Q698" s="20"/>
      <c r="R698" s="20"/>
      <c r="S698" s="22"/>
      <c r="T698" s="22"/>
      <c r="U698" s="20"/>
      <c r="V698" s="20"/>
      <c r="W698" s="20"/>
      <c r="X698" s="19"/>
      <c r="Y698" s="19"/>
      <c r="Z698" s="19"/>
      <c r="AA698" s="23"/>
    </row>
    <row r="699" spans="1:27" ht="15.75" customHeight="1" x14ac:dyDescent="0.2">
      <c r="A699" s="34"/>
      <c r="B699" s="34"/>
      <c r="C699" s="34"/>
      <c r="D699" s="34"/>
      <c r="E699" s="19"/>
      <c r="F699" s="19"/>
      <c r="G699" s="19"/>
      <c r="H699" s="19"/>
      <c r="I699" s="19"/>
      <c r="J699" s="19"/>
      <c r="K699" s="19"/>
      <c r="L699" s="19"/>
      <c r="M699" s="19"/>
      <c r="N699" s="19"/>
      <c r="O699" s="19"/>
      <c r="P699" s="19"/>
      <c r="Q699" s="20"/>
      <c r="R699" s="20"/>
      <c r="S699" s="22"/>
      <c r="T699" s="22"/>
      <c r="U699" s="20"/>
      <c r="V699" s="20"/>
      <c r="W699" s="20"/>
      <c r="X699" s="19"/>
      <c r="Y699" s="19"/>
      <c r="Z699" s="19"/>
      <c r="AA699" s="23"/>
    </row>
    <row r="700" spans="1:27" ht="15.75" customHeight="1" x14ac:dyDescent="0.2">
      <c r="A700" s="34"/>
      <c r="B700" s="34"/>
      <c r="C700" s="34"/>
      <c r="D700" s="34"/>
      <c r="E700" s="19"/>
      <c r="F700" s="19"/>
      <c r="G700" s="19"/>
      <c r="H700" s="19"/>
      <c r="I700" s="19"/>
      <c r="J700" s="19"/>
      <c r="K700" s="19"/>
      <c r="L700" s="19"/>
      <c r="M700" s="19"/>
      <c r="N700" s="19"/>
      <c r="O700" s="19"/>
      <c r="P700" s="19"/>
      <c r="Q700" s="20"/>
      <c r="R700" s="20"/>
      <c r="S700" s="22"/>
      <c r="T700" s="22"/>
      <c r="U700" s="20"/>
      <c r="V700" s="20"/>
      <c r="W700" s="20"/>
      <c r="X700" s="19"/>
      <c r="Y700" s="19"/>
      <c r="Z700" s="19"/>
      <c r="AA700" s="23"/>
    </row>
    <row r="701" spans="1:27" ht="15.75" customHeight="1" x14ac:dyDescent="0.2">
      <c r="A701" s="34"/>
      <c r="B701" s="34"/>
      <c r="C701" s="34"/>
      <c r="D701" s="34"/>
      <c r="E701" s="19"/>
      <c r="F701" s="19"/>
      <c r="G701" s="19"/>
      <c r="H701" s="19"/>
      <c r="I701" s="19"/>
      <c r="J701" s="19"/>
      <c r="K701" s="19"/>
      <c r="L701" s="19"/>
      <c r="M701" s="19"/>
      <c r="N701" s="19"/>
      <c r="O701" s="19"/>
      <c r="P701" s="19"/>
      <c r="Q701" s="20"/>
      <c r="R701" s="20"/>
      <c r="S701" s="22"/>
      <c r="T701" s="22"/>
      <c r="U701" s="20"/>
      <c r="V701" s="20"/>
      <c r="W701" s="20"/>
      <c r="X701" s="19"/>
      <c r="Y701" s="19"/>
      <c r="Z701" s="19"/>
      <c r="AA701" s="23"/>
    </row>
    <row r="702" spans="1:27" ht="15.75" customHeight="1" x14ac:dyDescent="0.2">
      <c r="A702" s="34"/>
      <c r="B702" s="34"/>
      <c r="C702" s="34"/>
      <c r="D702" s="34"/>
      <c r="E702" s="19"/>
      <c r="F702" s="19"/>
      <c r="G702" s="19"/>
      <c r="H702" s="19"/>
      <c r="I702" s="19"/>
      <c r="J702" s="19"/>
      <c r="K702" s="19"/>
      <c r="L702" s="19"/>
      <c r="M702" s="19"/>
      <c r="N702" s="19"/>
      <c r="O702" s="19"/>
      <c r="P702" s="19"/>
      <c r="Q702" s="20"/>
      <c r="R702" s="20"/>
      <c r="S702" s="22"/>
      <c r="T702" s="22"/>
      <c r="U702" s="20"/>
      <c r="V702" s="20"/>
      <c r="W702" s="20"/>
      <c r="X702" s="19"/>
      <c r="Y702" s="19"/>
      <c r="Z702" s="19"/>
      <c r="AA702" s="23"/>
    </row>
    <row r="703" spans="1:27" ht="15.75" customHeight="1" x14ac:dyDescent="0.2">
      <c r="A703" s="34"/>
      <c r="B703" s="34"/>
      <c r="C703" s="34"/>
      <c r="D703" s="34"/>
      <c r="E703" s="19"/>
      <c r="F703" s="19"/>
      <c r="G703" s="19"/>
      <c r="H703" s="19"/>
      <c r="I703" s="19"/>
      <c r="J703" s="19"/>
      <c r="K703" s="19"/>
      <c r="L703" s="19"/>
      <c r="M703" s="19"/>
      <c r="N703" s="19"/>
      <c r="O703" s="19"/>
      <c r="P703" s="19"/>
      <c r="Q703" s="20"/>
      <c r="R703" s="20"/>
      <c r="S703" s="22"/>
      <c r="T703" s="22"/>
      <c r="U703" s="20"/>
      <c r="V703" s="20"/>
      <c r="W703" s="20"/>
      <c r="X703" s="19"/>
      <c r="Y703" s="19"/>
      <c r="Z703" s="19"/>
      <c r="AA703" s="23"/>
    </row>
    <row r="704" spans="1:27" ht="15.75" customHeight="1" x14ac:dyDescent="0.2">
      <c r="A704" s="34"/>
      <c r="B704" s="34"/>
      <c r="C704" s="34"/>
      <c r="D704" s="34"/>
      <c r="E704" s="19"/>
      <c r="F704" s="19"/>
      <c r="G704" s="19"/>
      <c r="H704" s="19"/>
      <c r="I704" s="19"/>
      <c r="J704" s="19"/>
      <c r="K704" s="19"/>
      <c r="L704" s="19"/>
      <c r="M704" s="19"/>
      <c r="N704" s="19"/>
      <c r="O704" s="19"/>
      <c r="P704" s="19"/>
      <c r="Q704" s="20"/>
      <c r="R704" s="20"/>
      <c r="S704" s="22"/>
      <c r="T704" s="22"/>
      <c r="U704" s="20"/>
      <c r="V704" s="20"/>
      <c r="W704" s="20"/>
      <c r="X704" s="19"/>
      <c r="Y704" s="19"/>
      <c r="Z704" s="19"/>
      <c r="AA704" s="23"/>
    </row>
    <row r="705" spans="1:27" ht="15.75" customHeight="1" x14ac:dyDescent="0.2">
      <c r="A705" s="34"/>
      <c r="B705" s="34"/>
      <c r="C705" s="34"/>
      <c r="D705" s="34"/>
      <c r="E705" s="19"/>
      <c r="F705" s="19"/>
      <c r="G705" s="19"/>
      <c r="H705" s="19"/>
      <c r="I705" s="19"/>
      <c r="J705" s="19"/>
      <c r="K705" s="19"/>
      <c r="L705" s="19"/>
      <c r="M705" s="19"/>
      <c r="N705" s="19"/>
      <c r="O705" s="19"/>
      <c r="P705" s="19"/>
      <c r="Q705" s="20"/>
      <c r="R705" s="20"/>
      <c r="S705" s="22"/>
      <c r="T705" s="22"/>
      <c r="U705" s="20"/>
      <c r="V705" s="20"/>
      <c r="W705" s="20"/>
      <c r="X705" s="19"/>
      <c r="Y705" s="19"/>
      <c r="Z705" s="19"/>
      <c r="AA705" s="23"/>
    </row>
    <row r="706" spans="1:27" ht="15.75" customHeight="1" x14ac:dyDescent="0.2">
      <c r="A706" s="34"/>
      <c r="B706" s="34"/>
      <c r="C706" s="34"/>
      <c r="D706" s="34"/>
      <c r="E706" s="19"/>
      <c r="F706" s="19"/>
      <c r="G706" s="19"/>
      <c r="H706" s="19"/>
      <c r="I706" s="19"/>
      <c r="J706" s="19"/>
      <c r="K706" s="19"/>
      <c r="L706" s="19"/>
      <c r="M706" s="19"/>
      <c r="N706" s="19"/>
      <c r="O706" s="19"/>
      <c r="P706" s="19"/>
      <c r="Q706" s="20"/>
      <c r="R706" s="20"/>
      <c r="S706" s="22"/>
      <c r="T706" s="22"/>
      <c r="U706" s="20"/>
      <c r="V706" s="20"/>
      <c r="W706" s="20"/>
      <c r="X706" s="19"/>
      <c r="Y706" s="19"/>
      <c r="Z706" s="19"/>
      <c r="AA706" s="23"/>
    </row>
    <row r="707" spans="1:27" ht="15.75" customHeight="1" x14ac:dyDescent="0.2">
      <c r="A707" s="34"/>
      <c r="B707" s="34"/>
      <c r="C707" s="34"/>
      <c r="D707" s="34"/>
      <c r="E707" s="19"/>
      <c r="F707" s="19"/>
      <c r="G707" s="19"/>
      <c r="H707" s="19"/>
      <c r="I707" s="19"/>
      <c r="J707" s="19"/>
      <c r="K707" s="19"/>
      <c r="L707" s="19"/>
      <c r="M707" s="19"/>
      <c r="N707" s="19"/>
      <c r="O707" s="19"/>
      <c r="P707" s="19"/>
      <c r="Q707" s="20"/>
      <c r="R707" s="20"/>
      <c r="S707" s="22"/>
      <c r="T707" s="22"/>
      <c r="U707" s="20"/>
      <c r="V707" s="20"/>
      <c r="W707" s="20"/>
      <c r="X707" s="19"/>
      <c r="Y707" s="19"/>
      <c r="Z707" s="19"/>
      <c r="AA707" s="23"/>
    </row>
    <row r="708" spans="1:27" ht="15.75" customHeight="1" x14ac:dyDescent="0.2">
      <c r="A708" s="34"/>
      <c r="B708" s="34"/>
      <c r="C708" s="34"/>
      <c r="D708" s="34"/>
      <c r="E708" s="19"/>
      <c r="F708" s="19"/>
      <c r="G708" s="19"/>
      <c r="H708" s="19"/>
      <c r="I708" s="19"/>
      <c r="J708" s="19"/>
      <c r="K708" s="19"/>
      <c r="L708" s="19"/>
      <c r="M708" s="19"/>
      <c r="N708" s="19"/>
      <c r="O708" s="19"/>
      <c r="P708" s="19"/>
      <c r="Q708" s="20"/>
      <c r="R708" s="20"/>
      <c r="S708" s="22"/>
      <c r="T708" s="22"/>
      <c r="U708" s="20"/>
      <c r="V708" s="20"/>
      <c r="W708" s="20"/>
      <c r="X708" s="19"/>
      <c r="Y708" s="19"/>
      <c r="Z708" s="19"/>
      <c r="AA708" s="23"/>
    </row>
    <row r="709" spans="1:27" ht="15.75" customHeight="1" x14ac:dyDescent="0.2">
      <c r="A709" s="34"/>
      <c r="B709" s="34"/>
      <c r="C709" s="34"/>
      <c r="D709" s="34"/>
      <c r="E709" s="19"/>
      <c r="F709" s="19"/>
      <c r="G709" s="19"/>
      <c r="H709" s="19"/>
      <c r="I709" s="19"/>
      <c r="J709" s="19"/>
      <c r="K709" s="19"/>
      <c r="L709" s="19"/>
      <c r="M709" s="19"/>
      <c r="N709" s="19"/>
      <c r="O709" s="19"/>
      <c r="P709" s="19"/>
      <c r="Q709" s="20"/>
      <c r="R709" s="20"/>
      <c r="S709" s="22"/>
      <c r="T709" s="22"/>
      <c r="U709" s="20"/>
      <c r="V709" s="20"/>
      <c r="W709" s="20"/>
      <c r="X709" s="19"/>
      <c r="Y709" s="19"/>
      <c r="Z709" s="19"/>
      <c r="AA709" s="23"/>
    </row>
    <row r="710" spans="1:27" ht="15.75" customHeight="1" x14ac:dyDescent="0.2">
      <c r="A710" s="34"/>
      <c r="B710" s="34"/>
      <c r="C710" s="34"/>
      <c r="D710" s="34"/>
      <c r="E710" s="19"/>
      <c r="F710" s="19"/>
      <c r="G710" s="19"/>
      <c r="H710" s="19"/>
      <c r="I710" s="19"/>
      <c r="J710" s="19"/>
      <c r="K710" s="19"/>
      <c r="L710" s="19"/>
      <c r="M710" s="19"/>
      <c r="N710" s="19"/>
      <c r="O710" s="19"/>
      <c r="P710" s="19"/>
      <c r="Q710" s="20"/>
      <c r="R710" s="20"/>
      <c r="S710" s="22"/>
      <c r="T710" s="22"/>
      <c r="U710" s="20"/>
      <c r="V710" s="20"/>
      <c r="W710" s="20"/>
      <c r="X710" s="19"/>
      <c r="Y710" s="19"/>
      <c r="Z710" s="19"/>
      <c r="AA710" s="23"/>
    </row>
    <row r="711" spans="1:27" ht="15.75" customHeight="1" x14ac:dyDescent="0.2">
      <c r="A711" s="34"/>
      <c r="B711" s="34"/>
      <c r="C711" s="34"/>
      <c r="D711" s="34"/>
      <c r="E711" s="19"/>
      <c r="F711" s="19"/>
      <c r="G711" s="19"/>
      <c r="H711" s="19"/>
      <c r="I711" s="19"/>
      <c r="J711" s="19"/>
      <c r="K711" s="19"/>
      <c r="L711" s="19"/>
      <c r="M711" s="19"/>
      <c r="N711" s="19"/>
      <c r="O711" s="19"/>
      <c r="P711" s="19"/>
      <c r="Q711" s="20"/>
      <c r="R711" s="20"/>
      <c r="S711" s="22"/>
      <c r="T711" s="22"/>
      <c r="U711" s="20"/>
      <c r="V711" s="20"/>
      <c r="W711" s="20"/>
      <c r="X711" s="19"/>
      <c r="Y711" s="19"/>
      <c r="Z711" s="19"/>
      <c r="AA711" s="23"/>
    </row>
    <row r="712" spans="1:27" ht="15.75" customHeight="1" x14ac:dyDescent="0.2">
      <c r="A712" s="34"/>
      <c r="B712" s="34"/>
      <c r="C712" s="34"/>
      <c r="D712" s="34"/>
      <c r="E712" s="19"/>
      <c r="F712" s="19"/>
      <c r="G712" s="19"/>
      <c r="H712" s="19"/>
      <c r="I712" s="19"/>
      <c r="J712" s="19"/>
      <c r="K712" s="19"/>
      <c r="L712" s="19"/>
      <c r="M712" s="19"/>
      <c r="N712" s="19"/>
      <c r="O712" s="19"/>
      <c r="P712" s="19"/>
      <c r="Q712" s="20"/>
      <c r="R712" s="20"/>
      <c r="S712" s="22"/>
      <c r="T712" s="22"/>
      <c r="U712" s="20"/>
      <c r="V712" s="20"/>
      <c r="W712" s="20"/>
      <c r="X712" s="19"/>
      <c r="Y712" s="19"/>
      <c r="Z712" s="19"/>
      <c r="AA712" s="23"/>
    </row>
    <row r="713" spans="1:27" ht="15.75" customHeight="1" x14ac:dyDescent="0.2">
      <c r="A713" s="34"/>
      <c r="B713" s="34"/>
      <c r="C713" s="34"/>
      <c r="D713" s="34"/>
      <c r="E713" s="19"/>
      <c r="F713" s="19"/>
      <c r="G713" s="19"/>
      <c r="H713" s="19"/>
      <c r="I713" s="19"/>
      <c r="J713" s="19"/>
      <c r="K713" s="19"/>
      <c r="L713" s="19"/>
      <c r="M713" s="19"/>
      <c r="N713" s="19"/>
      <c r="O713" s="19"/>
      <c r="P713" s="19"/>
      <c r="Q713" s="20"/>
      <c r="R713" s="20"/>
      <c r="S713" s="22"/>
      <c r="T713" s="22"/>
      <c r="U713" s="20"/>
      <c r="V713" s="20"/>
      <c r="W713" s="20"/>
      <c r="X713" s="19"/>
      <c r="Y713" s="19"/>
      <c r="Z713" s="19"/>
      <c r="AA713" s="23"/>
    </row>
    <row r="714" spans="1:27" ht="15.75" customHeight="1" x14ac:dyDescent="0.2">
      <c r="A714" s="34"/>
      <c r="B714" s="34"/>
      <c r="C714" s="34"/>
      <c r="D714" s="34"/>
      <c r="E714" s="19"/>
      <c r="F714" s="19"/>
      <c r="G714" s="19"/>
      <c r="H714" s="19"/>
      <c r="I714" s="19"/>
      <c r="J714" s="19"/>
      <c r="K714" s="19"/>
      <c r="L714" s="19"/>
      <c r="M714" s="19"/>
      <c r="N714" s="19"/>
      <c r="O714" s="19"/>
      <c r="P714" s="19"/>
      <c r="Q714" s="20"/>
      <c r="R714" s="20"/>
      <c r="S714" s="22"/>
      <c r="T714" s="22"/>
      <c r="U714" s="20"/>
      <c r="V714" s="20"/>
      <c r="W714" s="20"/>
      <c r="X714" s="19"/>
      <c r="Y714" s="19"/>
      <c r="Z714" s="19"/>
      <c r="AA714" s="23"/>
    </row>
    <row r="715" spans="1:27" ht="15.75" customHeight="1" x14ac:dyDescent="0.2">
      <c r="A715" s="34"/>
      <c r="B715" s="34"/>
      <c r="C715" s="34"/>
      <c r="D715" s="34"/>
      <c r="E715" s="19"/>
      <c r="F715" s="19"/>
      <c r="G715" s="19"/>
      <c r="H715" s="19"/>
      <c r="I715" s="19"/>
      <c r="J715" s="19"/>
      <c r="K715" s="19"/>
      <c r="L715" s="19"/>
      <c r="M715" s="19"/>
      <c r="N715" s="19"/>
      <c r="O715" s="19"/>
      <c r="P715" s="19"/>
      <c r="Q715" s="20"/>
      <c r="R715" s="20"/>
      <c r="S715" s="22"/>
      <c r="T715" s="22"/>
      <c r="U715" s="20"/>
      <c r="V715" s="20"/>
      <c r="W715" s="20"/>
      <c r="X715" s="19"/>
      <c r="Y715" s="19"/>
      <c r="Z715" s="19"/>
      <c r="AA715" s="23"/>
    </row>
    <row r="716" spans="1:27" ht="15.75" customHeight="1" x14ac:dyDescent="0.2">
      <c r="A716" s="34"/>
      <c r="B716" s="34"/>
      <c r="C716" s="34"/>
      <c r="D716" s="34"/>
      <c r="E716" s="19"/>
      <c r="F716" s="19"/>
      <c r="G716" s="19"/>
      <c r="H716" s="19"/>
      <c r="I716" s="19"/>
      <c r="J716" s="19"/>
      <c r="K716" s="19"/>
      <c r="L716" s="19"/>
      <c r="M716" s="19"/>
      <c r="N716" s="19"/>
      <c r="O716" s="19"/>
      <c r="P716" s="19"/>
      <c r="Q716" s="20"/>
      <c r="R716" s="20"/>
      <c r="S716" s="22"/>
      <c r="T716" s="22"/>
      <c r="U716" s="20"/>
      <c r="V716" s="20"/>
      <c r="W716" s="20"/>
      <c r="X716" s="19"/>
      <c r="Y716" s="19"/>
      <c r="Z716" s="19"/>
      <c r="AA716" s="23"/>
    </row>
    <row r="717" spans="1:27" ht="15.75" customHeight="1" x14ac:dyDescent="0.2">
      <c r="A717" s="34"/>
      <c r="B717" s="34"/>
      <c r="C717" s="34"/>
      <c r="D717" s="34"/>
      <c r="E717" s="19"/>
      <c r="F717" s="19"/>
      <c r="G717" s="19"/>
      <c r="H717" s="19"/>
      <c r="I717" s="19"/>
      <c r="J717" s="19"/>
      <c r="K717" s="19"/>
      <c r="L717" s="19"/>
      <c r="M717" s="19"/>
      <c r="N717" s="19"/>
      <c r="O717" s="19"/>
      <c r="P717" s="19"/>
      <c r="Q717" s="20"/>
      <c r="R717" s="20"/>
      <c r="S717" s="22"/>
      <c r="T717" s="22"/>
      <c r="U717" s="20"/>
      <c r="V717" s="20"/>
      <c r="W717" s="20"/>
      <c r="X717" s="19"/>
      <c r="Y717" s="19"/>
      <c r="Z717" s="19"/>
      <c r="AA717" s="23"/>
    </row>
    <row r="718" spans="1:27" ht="15.75" customHeight="1" x14ac:dyDescent="0.2">
      <c r="A718" s="34"/>
      <c r="B718" s="34"/>
      <c r="C718" s="34"/>
      <c r="D718" s="34"/>
      <c r="E718" s="19"/>
      <c r="F718" s="19"/>
      <c r="G718" s="19"/>
      <c r="H718" s="19"/>
      <c r="I718" s="19"/>
      <c r="J718" s="19"/>
      <c r="K718" s="19"/>
      <c r="L718" s="19"/>
      <c r="M718" s="19"/>
      <c r="N718" s="19"/>
      <c r="O718" s="19"/>
      <c r="P718" s="19"/>
      <c r="Q718" s="20"/>
      <c r="R718" s="20"/>
      <c r="S718" s="22"/>
      <c r="T718" s="22"/>
      <c r="U718" s="20"/>
      <c r="V718" s="20"/>
      <c r="W718" s="20"/>
      <c r="X718" s="19"/>
      <c r="Y718" s="19"/>
      <c r="Z718" s="19"/>
      <c r="AA718" s="23"/>
    </row>
    <row r="719" spans="1:27" ht="15.75" customHeight="1" x14ac:dyDescent="0.2">
      <c r="A719" s="34"/>
      <c r="B719" s="34"/>
      <c r="C719" s="34"/>
      <c r="D719" s="34"/>
      <c r="E719" s="19"/>
      <c r="F719" s="19"/>
      <c r="G719" s="19"/>
      <c r="H719" s="19"/>
      <c r="I719" s="19"/>
      <c r="J719" s="19"/>
      <c r="K719" s="19"/>
      <c r="L719" s="19"/>
      <c r="M719" s="19"/>
      <c r="N719" s="19"/>
      <c r="O719" s="19"/>
      <c r="P719" s="19"/>
      <c r="Q719" s="20"/>
      <c r="R719" s="20"/>
      <c r="S719" s="22"/>
      <c r="T719" s="22"/>
      <c r="U719" s="20"/>
      <c r="V719" s="20"/>
      <c r="W719" s="20"/>
      <c r="X719" s="19"/>
      <c r="Y719" s="19"/>
      <c r="Z719" s="19"/>
      <c r="AA719" s="23"/>
    </row>
    <row r="720" spans="1:27" ht="15.75" customHeight="1" x14ac:dyDescent="0.2">
      <c r="A720" s="34"/>
      <c r="B720" s="34"/>
      <c r="C720" s="34"/>
      <c r="D720" s="34"/>
      <c r="E720" s="19"/>
      <c r="F720" s="19"/>
      <c r="G720" s="19"/>
      <c r="H720" s="19"/>
      <c r="I720" s="19"/>
      <c r="J720" s="19"/>
      <c r="K720" s="19"/>
      <c r="L720" s="19"/>
      <c r="M720" s="19"/>
      <c r="N720" s="19"/>
      <c r="O720" s="19"/>
      <c r="P720" s="19"/>
      <c r="Q720" s="20"/>
      <c r="R720" s="20"/>
      <c r="S720" s="22"/>
      <c r="T720" s="22"/>
      <c r="U720" s="20"/>
      <c r="V720" s="20"/>
      <c r="W720" s="20"/>
      <c r="X720" s="19"/>
      <c r="Y720" s="19"/>
      <c r="Z720" s="19"/>
      <c r="AA720" s="23"/>
    </row>
    <row r="721" spans="1:27" ht="15.75" customHeight="1" x14ac:dyDescent="0.2">
      <c r="A721" s="34"/>
      <c r="B721" s="34"/>
      <c r="C721" s="34"/>
      <c r="D721" s="34"/>
      <c r="E721" s="19"/>
      <c r="F721" s="19"/>
      <c r="G721" s="19"/>
      <c r="H721" s="19"/>
      <c r="I721" s="19"/>
      <c r="J721" s="19"/>
      <c r="K721" s="19"/>
      <c r="L721" s="19"/>
      <c r="M721" s="19"/>
      <c r="N721" s="19"/>
      <c r="O721" s="19"/>
      <c r="P721" s="19"/>
      <c r="Q721" s="20"/>
      <c r="R721" s="20"/>
      <c r="S721" s="22"/>
      <c r="T721" s="22"/>
      <c r="U721" s="20"/>
      <c r="V721" s="20"/>
      <c r="W721" s="20"/>
      <c r="X721" s="19"/>
      <c r="Y721" s="19"/>
      <c r="Z721" s="19"/>
      <c r="AA721" s="23"/>
    </row>
    <row r="722" spans="1:27" ht="15.75" customHeight="1" x14ac:dyDescent="0.2">
      <c r="A722" s="34"/>
      <c r="B722" s="34"/>
      <c r="C722" s="34"/>
      <c r="D722" s="34"/>
      <c r="E722" s="19"/>
      <c r="F722" s="19"/>
      <c r="G722" s="19"/>
      <c r="H722" s="19"/>
      <c r="I722" s="19"/>
      <c r="J722" s="19"/>
      <c r="K722" s="19"/>
      <c r="L722" s="19"/>
      <c r="M722" s="19"/>
      <c r="N722" s="19"/>
      <c r="O722" s="19"/>
      <c r="P722" s="19"/>
      <c r="Q722" s="20"/>
      <c r="R722" s="20"/>
      <c r="S722" s="22"/>
      <c r="T722" s="22"/>
      <c r="U722" s="20"/>
      <c r="V722" s="20"/>
      <c r="W722" s="20"/>
      <c r="X722" s="19"/>
      <c r="Y722" s="19"/>
      <c r="Z722" s="19"/>
      <c r="AA722" s="23"/>
    </row>
    <row r="723" spans="1:27" ht="15.75" customHeight="1" x14ac:dyDescent="0.2">
      <c r="A723" s="34"/>
      <c r="B723" s="34"/>
      <c r="C723" s="34"/>
      <c r="D723" s="34"/>
      <c r="E723" s="19"/>
      <c r="F723" s="19"/>
      <c r="G723" s="19"/>
      <c r="H723" s="19"/>
      <c r="I723" s="19"/>
      <c r="J723" s="19"/>
      <c r="K723" s="19"/>
      <c r="L723" s="19"/>
      <c r="M723" s="19"/>
      <c r="N723" s="19"/>
      <c r="O723" s="19"/>
      <c r="P723" s="19"/>
      <c r="Q723" s="20"/>
      <c r="R723" s="20"/>
      <c r="S723" s="22"/>
      <c r="T723" s="22"/>
      <c r="U723" s="20"/>
      <c r="V723" s="20"/>
      <c r="W723" s="20"/>
      <c r="X723" s="19"/>
      <c r="Y723" s="19"/>
      <c r="Z723" s="19"/>
      <c r="AA723" s="23"/>
    </row>
    <row r="724" spans="1:27" ht="15.75" customHeight="1" x14ac:dyDescent="0.2">
      <c r="A724" s="34"/>
      <c r="B724" s="34"/>
      <c r="C724" s="34"/>
      <c r="D724" s="34"/>
      <c r="E724" s="19"/>
      <c r="F724" s="19"/>
      <c r="G724" s="19"/>
      <c r="H724" s="19"/>
      <c r="I724" s="19"/>
      <c r="J724" s="19"/>
      <c r="K724" s="19"/>
      <c r="L724" s="19"/>
      <c r="M724" s="19"/>
      <c r="N724" s="19"/>
      <c r="O724" s="19"/>
      <c r="P724" s="19"/>
      <c r="Q724" s="20"/>
      <c r="R724" s="20"/>
      <c r="S724" s="22"/>
      <c r="T724" s="22"/>
      <c r="U724" s="20"/>
      <c r="V724" s="20"/>
      <c r="W724" s="20"/>
      <c r="X724" s="19"/>
      <c r="Y724" s="19"/>
      <c r="Z724" s="19"/>
      <c r="AA724" s="23"/>
    </row>
    <row r="725" spans="1:27" ht="15.75" customHeight="1" x14ac:dyDescent="0.2">
      <c r="A725" s="34"/>
      <c r="B725" s="34"/>
      <c r="C725" s="34"/>
      <c r="D725" s="34"/>
      <c r="E725" s="19"/>
      <c r="F725" s="19"/>
      <c r="G725" s="19"/>
      <c r="H725" s="19"/>
      <c r="I725" s="19"/>
      <c r="J725" s="19"/>
      <c r="K725" s="19"/>
      <c r="L725" s="19"/>
      <c r="M725" s="19"/>
      <c r="N725" s="19"/>
      <c r="O725" s="19"/>
      <c r="P725" s="19"/>
      <c r="Q725" s="20"/>
      <c r="R725" s="20"/>
      <c r="S725" s="22"/>
      <c r="T725" s="22"/>
      <c r="U725" s="20"/>
      <c r="V725" s="20"/>
      <c r="W725" s="20"/>
      <c r="X725" s="19"/>
      <c r="Y725" s="19"/>
      <c r="Z725" s="19"/>
      <c r="AA725" s="23"/>
    </row>
    <row r="726" spans="1:27" ht="15.75" customHeight="1" x14ac:dyDescent="0.2">
      <c r="A726" s="34"/>
      <c r="B726" s="34"/>
      <c r="C726" s="34"/>
      <c r="D726" s="34"/>
      <c r="E726" s="19"/>
      <c r="F726" s="19"/>
      <c r="G726" s="19"/>
      <c r="H726" s="19"/>
      <c r="I726" s="19"/>
      <c r="J726" s="19"/>
      <c r="K726" s="19"/>
      <c r="L726" s="19"/>
      <c r="M726" s="19"/>
      <c r="N726" s="19"/>
      <c r="O726" s="19"/>
      <c r="P726" s="19"/>
      <c r="Q726" s="20"/>
      <c r="R726" s="20"/>
      <c r="S726" s="22"/>
      <c r="T726" s="22"/>
      <c r="U726" s="20"/>
      <c r="V726" s="20"/>
      <c r="W726" s="20"/>
      <c r="X726" s="19"/>
      <c r="Y726" s="19"/>
      <c r="Z726" s="19"/>
      <c r="AA726" s="23"/>
    </row>
    <row r="727" spans="1:27" ht="15.75" customHeight="1" x14ac:dyDescent="0.2">
      <c r="A727" s="34"/>
      <c r="B727" s="34"/>
      <c r="C727" s="34"/>
      <c r="D727" s="34"/>
      <c r="E727" s="19"/>
      <c r="F727" s="19"/>
      <c r="G727" s="19"/>
      <c r="H727" s="19"/>
      <c r="I727" s="19"/>
      <c r="J727" s="19"/>
      <c r="K727" s="19"/>
      <c r="L727" s="19"/>
      <c r="M727" s="19"/>
      <c r="N727" s="19"/>
      <c r="O727" s="19"/>
      <c r="P727" s="19"/>
      <c r="Q727" s="20"/>
      <c r="R727" s="20"/>
      <c r="S727" s="22"/>
      <c r="T727" s="22"/>
      <c r="U727" s="20"/>
      <c r="V727" s="20"/>
      <c r="W727" s="20"/>
      <c r="X727" s="19"/>
      <c r="Y727" s="19"/>
      <c r="Z727" s="19"/>
      <c r="AA727" s="23"/>
    </row>
    <row r="728" spans="1:27" ht="15.75" customHeight="1" x14ac:dyDescent="0.2">
      <c r="A728" s="34"/>
      <c r="B728" s="34"/>
      <c r="C728" s="34"/>
      <c r="D728" s="34"/>
      <c r="E728" s="19"/>
      <c r="F728" s="19"/>
      <c r="G728" s="19"/>
      <c r="H728" s="19"/>
      <c r="I728" s="19"/>
      <c r="J728" s="19"/>
      <c r="K728" s="19"/>
      <c r="L728" s="19"/>
      <c r="M728" s="19"/>
      <c r="N728" s="19"/>
      <c r="O728" s="19"/>
      <c r="P728" s="19"/>
      <c r="Q728" s="20"/>
      <c r="R728" s="20"/>
      <c r="S728" s="22"/>
      <c r="T728" s="22"/>
      <c r="U728" s="20"/>
      <c r="V728" s="20"/>
      <c r="W728" s="20"/>
      <c r="X728" s="19"/>
      <c r="Y728" s="19"/>
      <c r="Z728" s="19"/>
      <c r="AA728" s="23"/>
    </row>
    <row r="729" spans="1:27" ht="15.75" customHeight="1" x14ac:dyDescent="0.2">
      <c r="A729" s="34"/>
      <c r="B729" s="34"/>
      <c r="C729" s="34"/>
      <c r="D729" s="34"/>
      <c r="E729" s="19"/>
      <c r="F729" s="19"/>
      <c r="G729" s="19"/>
      <c r="H729" s="19"/>
      <c r="I729" s="19"/>
      <c r="J729" s="19"/>
      <c r="K729" s="19"/>
      <c r="L729" s="19"/>
      <c r="M729" s="19"/>
      <c r="N729" s="19"/>
      <c r="O729" s="19"/>
      <c r="P729" s="19"/>
      <c r="Q729" s="20"/>
      <c r="R729" s="20"/>
      <c r="S729" s="22"/>
      <c r="T729" s="22"/>
      <c r="U729" s="20"/>
      <c r="V729" s="20"/>
      <c r="W729" s="20"/>
      <c r="X729" s="19"/>
      <c r="Y729" s="19"/>
      <c r="Z729" s="19"/>
      <c r="AA729" s="23"/>
    </row>
    <row r="730" spans="1:27" ht="15.75" customHeight="1" x14ac:dyDescent="0.2">
      <c r="A730" s="34"/>
      <c r="B730" s="34"/>
      <c r="C730" s="34"/>
      <c r="D730" s="34"/>
      <c r="E730" s="19"/>
      <c r="F730" s="19"/>
      <c r="G730" s="19"/>
      <c r="H730" s="19"/>
      <c r="I730" s="19"/>
      <c r="J730" s="19"/>
      <c r="K730" s="19"/>
      <c r="L730" s="19"/>
      <c r="M730" s="19"/>
      <c r="N730" s="19"/>
      <c r="O730" s="19"/>
      <c r="P730" s="19"/>
      <c r="Q730" s="20"/>
      <c r="R730" s="20"/>
      <c r="S730" s="22"/>
      <c r="T730" s="22"/>
      <c r="U730" s="20"/>
      <c r="V730" s="20"/>
      <c r="W730" s="20"/>
      <c r="X730" s="19"/>
      <c r="Y730" s="19"/>
      <c r="Z730" s="19"/>
      <c r="AA730" s="23"/>
    </row>
    <row r="731" spans="1:27" ht="15.75" customHeight="1" x14ac:dyDescent="0.2">
      <c r="A731" s="34"/>
      <c r="B731" s="34"/>
      <c r="C731" s="34"/>
      <c r="D731" s="34"/>
      <c r="E731" s="19"/>
      <c r="F731" s="19"/>
      <c r="G731" s="19"/>
      <c r="H731" s="19"/>
      <c r="I731" s="19"/>
      <c r="J731" s="19"/>
      <c r="K731" s="19"/>
      <c r="L731" s="19"/>
      <c r="M731" s="19"/>
      <c r="N731" s="19"/>
      <c r="O731" s="19"/>
      <c r="P731" s="19"/>
      <c r="Q731" s="20"/>
      <c r="R731" s="20"/>
      <c r="S731" s="22"/>
      <c r="T731" s="22"/>
      <c r="U731" s="20"/>
      <c r="V731" s="20"/>
      <c r="W731" s="20"/>
      <c r="X731" s="19"/>
      <c r="Y731" s="19"/>
      <c r="Z731" s="19"/>
      <c r="AA731" s="23"/>
    </row>
    <row r="732" spans="1:27" ht="15.75" customHeight="1" x14ac:dyDescent="0.2">
      <c r="A732" s="34"/>
      <c r="B732" s="34"/>
      <c r="C732" s="34"/>
      <c r="D732" s="34"/>
      <c r="E732" s="19"/>
      <c r="F732" s="19"/>
      <c r="G732" s="19"/>
      <c r="H732" s="19"/>
      <c r="I732" s="19"/>
      <c r="J732" s="19"/>
      <c r="K732" s="19"/>
      <c r="L732" s="19"/>
      <c r="M732" s="19"/>
      <c r="N732" s="19"/>
      <c r="O732" s="19"/>
      <c r="P732" s="19"/>
      <c r="Q732" s="20"/>
      <c r="R732" s="20"/>
      <c r="S732" s="22"/>
      <c r="T732" s="22"/>
      <c r="U732" s="20"/>
      <c r="V732" s="20"/>
      <c r="W732" s="20"/>
      <c r="X732" s="19"/>
      <c r="Y732" s="19"/>
      <c r="Z732" s="19"/>
      <c r="AA732" s="23"/>
    </row>
    <row r="733" spans="1:27" ht="15.75" customHeight="1" x14ac:dyDescent="0.2">
      <c r="A733" s="34"/>
      <c r="B733" s="34"/>
      <c r="C733" s="34"/>
      <c r="D733" s="34"/>
      <c r="E733" s="19"/>
      <c r="F733" s="19"/>
      <c r="G733" s="19"/>
      <c r="H733" s="19"/>
      <c r="I733" s="19"/>
      <c r="J733" s="19"/>
      <c r="K733" s="19"/>
      <c r="L733" s="19"/>
      <c r="M733" s="19"/>
      <c r="N733" s="19"/>
      <c r="O733" s="19"/>
      <c r="P733" s="19"/>
      <c r="Q733" s="20"/>
      <c r="R733" s="20"/>
      <c r="S733" s="22"/>
      <c r="T733" s="22"/>
      <c r="U733" s="20"/>
      <c r="V733" s="20"/>
      <c r="W733" s="20"/>
      <c r="X733" s="19"/>
      <c r="Y733" s="19"/>
      <c r="Z733" s="19"/>
      <c r="AA733" s="23"/>
    </row>
    <row r="734" spans="1:27" ht="15.75" customHeight="1" x14ac:dyDescent="0.2">
      <c r="A734" s="34"/>
      <c r="B734" s="34"/>
      <c r="C734" s="34"/>
      <c r="D734" s="34"/>
      <c r="E734" s="19"/>
      <c r="F734" s="19"/>
      <c r="G734" s="19"/>
      <c r="H734" s="19"/>
      <c r="I734" s="19"/>
      <c r="J734" s="19"/>
      <c r="K734" s="19"/>
      <c r="L734" s="19"/>
      <c r="M734" s="19"/>
      <c r="N734" s="19"/>
      <c r="O734" s="19"/>
      <c r="P734" s="19"/>
      <c r="Q734" s="20"/>
      <c r="R734" s="20"/>
      <c r="S734" s="22"/>
      <c r="T734" s="22"/>
      <c r="U734" s="20"/>
      <c r="V734" s="20"/>
      <c r="W734" s="20"/>
      <c r="X734" s="19"/>
      <c r="Y734" s="19"/>
      <c r="Z734" s="19"/>
      <c r="AA734" s="23"/>
    </row>
    <row r="735" spans="1:27" ht="15.75" customHeight="1" x14ac:dyDescent="0.2">
      <c r="A735" s="34"/>
      <c r="B735" s="34"/>
      <c r="C735" s="34"/>
      <c r="D735" s="34"/>
      <c r="E735" s="19"/>
      <c r="F735" s="19"/>
      <c r="G735" s="19"/>
      <c r="H735" s="19"/>
      <c r="I735" s="19"/>
      <c r="J735" s="19"/>
      <c r="K735" s="19"/>
      <c r="L735" s="19"/>
      <c r="M735" s="19"/>
      <c r="N735" s="19"/>
      <c r="O735" s="19"/>
      <c r="P735" s="19"/>
      <c r="Q735" s="20"/>
      <c r="R735" s="20"/>
      <c r="S735" s="22"/>
      <c r="T735" s="22"/>
      <c r="U735" s="20"/>
      <c r="V735" s="20"/>
      <c r="W735" s="20"/>
      <c r="X735" s="19"/>
      <c r="Y735" s="19"/>
      <c r="Z735" s="19"/>
      <c r="AA735" s="23"/>
    </row>
    <row r="736" spans="1:27" ht="15.75" customHeight="1" x14ac:dyDescent="0.2">
      <c r="A736" s="34"/>
      <c r="B736" s="34"/>
      <c r="C736" s="34"/>
      <c r="D736" s="34"/>
      <c r="E736" s="19"/>
      <c r="F736" s="19"/>
      <c r="G736" s="19"/>
      <c r="H736" s="19"/>
      <c r="I736" s="19"/>
      <c r="J736" s="19"/>
      <c r="K736" s="19"/>
      <c r="L736" s="19"/>
      <c r="M736" s="19"/>
      <c r="N736" s="19"/>
      <c r="O736" s="19"/>
      <c r="P736" s="19"/>
      <c r="Q736" s="20"/>
      <c r="R736" s="20"/>
      <c r="S736" s="22"/>
      <c r="T736" s="22"/>
      <c r="U736" s="20"/>
      <c r="V736" s="20"/>
      <c r="W736" s="20"/>
      <c r="X736" s="19"/>
      <c r="Y736" s="19"/>
      <c r="Z736" s="19"/>
      <c r="AA736" s="23"/>
    </row>
    <row r="737" spans="1:27" ht="15.75" customHeight="1" x14ac:dyDescent="0.2">
      <c r="A737" s="34"/>
      <c r="B737" s="34"/>
      <c r="C737" s="34"/>
      <c r="D737" s="34"/>
      <c r="E737" s="19"/>
      <c r="F737" s="19"/>
      <c r="G737" s="19"/>
      <c r="H737" s="19"/>
      <c r="I737" s="19"/>
      <c r="J737" s="19"/>
      <c r="K737" s="19"/>
      <c r="L737" s="19"/>
      <c r="M737" s="19"/>
      <c r="N737" s="19"/>
      <c r="O737" s="19"/>
      <c r="P737" s="19"/>
      <c r="Q737" s="20"/>
      <c r="R737" s="20"/>
      <c r="S737" s="22"/>
      <c r="T737" s="22"/>
      <c r="U737" s="20"/>
      <c r="V737" s="20"/>
      <c r="W737" s="20"/>
      <c r="X737" s="19"/>
      <c r="Y737" s="19"/>
      <c r="Z737" s="19"/>
      <c r="AA737" s="23"/>
    </row>
    <row r="738" spans="1:27" ht="15.75" customHeight="1" x14ac:dyDescent="0.2">
      <c r="A738" s="34"/>
      <c r="B738" s="34"/>
      <c r="C738" s="34"/>
      <c r="D738" s="34"/>
      <c r="E738" s="19"/>
      <c r="F738" s="19"/>
      <c r="G738" s="19"/>
      <c r="H738" s="19"/>
      <c r="I738" s="19"/>
      <c r="J738" s="19"/>
      <c r="K738" s="19"/>
      <c r="L738" s="19"/>
      <c r="M738" s="19"/>
      <c r="N738" s="19"/>
      <c r="O738" s="19"/>
      <c r="P738" s="19"/>
      <c r="Q738" s="20"/>
      <c r="R738" s="20"/>
      <c r="S738" s="22"/>
      <c r="T738" s="22"/>
      <c r="U738" s="20"/>
      <c r="V738" s="20"/>
      <c r="W738" s="20"/>
      <c r="X738" s="19"/>
      <c r="Y738" s="19"/>
      <c r="Z738" s="19"/>
      <c r="AA738" s="23"/>
    </row>
    <row r="739" spans="1:27" ht="15.75" customHeight="1" x14ac:dyDescent="0.2">
      <c r="A739" s="34"/>
      <c r="B739" s="34"/>
      <c r="C739" s="34"/>
      <c r="D739" s="34"/>
      <c r="E739" s="19"/>
      <c r="F739" s="19"/>
      <c r="G739" s="19"/>
      <c r="H739" s="19"/>
      <c r="I739" s="19"/>
      <c r="J739" s="19"/>
      <c r="K739" s="19"/>
      <c r="L739" s="19"/>
      <c r="M739" s="19"/>
      <c r="N739" s="19"/>
      <c r="O739" s="19"/>
      <c r="P739" s="19"/>
      <c r="Q739" s="20"/>
      <c r="R739" s="20"/>
      <c r="S739" s="22"/>
      <c r="T739" s="22"/>
      <c r="U739" s="20"/>
      <c r="V739" s="20"/>
      <c r="W739" s="20"/>
      <c r="X739" s="19"/>
      <c r="Y739" s="19"/>
      <c r="Z739" s="19"/>
      <c r="AA739" s="23"/>
    </row>
    <row r="740" spans="1:27" ht="15.75" customHeight="1" x14ac:dyDescent="0.2">
      <c r="A740" s="34"/>
      <c r="B740" s="34"/>
      <c r="C740" s="34"/>
      <c r="D740" s="34"/>
      <c r="E740" s="19"/>
      <c r="F740" s="19"/>
      <c r="G740" s="19"/>
      <c r="H740" s="19"/>
      <c r="I740" s="19"/>
      <c r="J740" s="19"/>
      <c r="K740" s="19"/>
      <c r="L740" s="19"/>
      <c r="M740" s="19"/>
      <c r="N740" s="19"/>
      <c r="O740" s="19"/>
      <c r="P740" s="19"/>
      <c r="Q740" s="20"/>
      <c r="R740" s="20"/>
      <c r="S740" s="22"/>
      <c r="T740" s="22"/>
      <c r="U740" s="20"/>
      <c r="V740" s="20"/>
      <c r="W740" s="20"/>
      <c r="X740" s="19"/>
      <c r="Y740" s="19"/>
      <c r="Z740" s="19"/>
      <c r="AA740" s="23"/>
    </row>
    <row r="741" spans="1:27" ht="15.75" customHeight="1" x14ac:dyDescent="0.2">
      <c r="A741" s="34"/>
      <c r="B741" s="34"/>
      <c r="C741" s="34"/>
      <c r="D741" s="34"/>
      <c r="E741" s="19"/>
      <c r="F741" s="19"/>
      <c r="G741" s="19"/>
      <c r="H741" s="19"/>
      <c r="I741" s="19"/>
      <c r="J741" s="19"/>
      <c r="K741" s="19"/>
      <c r="L741" s="19"/>
      <c r="M741" s="19"/>
      <c r="N741" s="19"/>
      <c r="O741" s="19"/>
      <c r="P741" s="19"/>
      <c r="Q741" s="20"/>
      <c r="R741" s="20"/>
      <c r="S741" s="22"/>
      <c r="T741" s="22"/>
      <c r="U741" s="20"/>
      <c r="V741" s="20"/>
      <c r="W741" s="20"/>
      <c r="X741" s="19"/>
      <c r="Y741" s="19"/>
      <c r="Z741" s="19"/>
      <c r="AA741" s="23"/>
    </row>
    <row r="742" spans="1:27" ht="15.75" customHeight="1" x14ac:dyDescent="0.2">
      <c r="A742" s="34"/>
      <c r="B742" s="34"/>
      <c r="C742" s="34"/>
      <c r="D742" s="34"/>
      <c r="E742" s="19"/>
      <c r="F742" s="19"/>
      <c r="G742" s="19"/>
      <c r="H742" s="19"/>
      <c r="I742" s="19"/>
      <c r="J742" s="19"/>
      <c r="K742" s="19"/>
      <c r="L742" s="19"/>
      <c r="M742" s="19"/>
      <c r="N742" s="19"/>
      <c r="O742" s="19"/>
      <c r="P742" s="19"/>
      <c r="Q742" s="20"/>
      <c r="R742" s="20"/>
      <c r="S742" s="22"/>
      <c r="T742" s="22"/>
      <c r="U742" s="20"/>
      <c r="V742" s="20"/>
      <c r="W742" s="20"/>
      <c r="X742" s="19"/>
      <c r="Y742" s="19"/>
      <c r="Z742" s="19"/>
      <c r="AA742" s="23"/>
    </row>
    <row r="743" spans="1:27" ht="15.75" customHeight="1" x14ac:dyDescent="0.2">
      <c r="A743" s="34"/>
      <c r="B743" s="34"/>
      <c r="C743" s="34"/>
      <c r="D743" s="34"/>
      <c r="E743" s="19"/>
      <c r="F743" s="19"/>
      <c r="G743" s="19"/>
      <c r="H743" s="19"/>
      <c r="I743" s="19"/>
      <c r="J743" s="19"/>
      <c r="K743" s="19"/>
      <c r="L743" s="19"/>
      <c r="M743" s="19"/>
      <c r="N743" s="19"/>
      <c r="O743" s="19"/>
      <c r="P743" s="19"/>
      <c r="Q743" s="20"/>
      <c r="R743" s="20"/>
      <c r="S743" s="22"/>
      <c r="T743" s="22"/>
      <c r="U743" s="20"/>
      <c r="V743" s="20"/>
      <c r="W743" s="20"/>
      <c r="X743" s="19"/>
      <c r="Y743" s="19"/>
      <c r="Z743" s="19"/>
      <c r="AA743" s="23"/>
    </row>
    <row r="744" spans="1:27" ht="15.75" customHeight="1" x14ac:dyDescent="0.2">
      <c r="A744" s="34"/>
      <c r="B744" s="34"/>
      <c r="C744" s="34"/>
      <c r="D744" s="34"/>
      <c r="E744" s="19"/>
      <c r="F744" s="19"/>
      <c r="G744" s="19"/>
      <c r="H744" s="19"/>
      <c r="I744" s="19"/>
      <c r="J744" s="19"/>
      <c r="K744" s="19"/>
      <c r="L744" s="19"/>
      <c r="M744" s="19"/>
      <c r="N744" s="19"/>
      <c r="O744" s="19"/>
      <c r="P744" s="19"/>
      <c r="Q744" s="20"/>
      <c r="R744" s="20"/>
      <c r="S744" s="22"/>
      <c r="T744" s="22"/>
      <c r="U744" s="20"/>
      <c r="V744" s="20"/>
      <c r="W744" s="20"/>
      <c r="X744" s="19"/>
      <c r="Y744" s="19"/>
      <c r="Z744" s="19"/>
      <c r="AA744" s="23"/>
    </row>
    <row r="745" spans="1:27" ht="15.75" customHeight="1" x14ac:dyDescent="0.2">
      <c r="A745" s="34"/>
      <c r="B745" s="34"/>
      <c r="C745" s="34"/>
      <c r="D745" s="34"/>
      <c r="E745" s="19"/>
      <c r="F745" s="19"/>
      <c r="G745" s="19"/>
      <c r="H745" s="19"/>
      <c r="I745" s="19"/>
      <c r="J745" s="19"/>
      <c r="K745" s="19"/>
      <c r="L745" s="19"/>
      <c r="M745" s="19"/>
      <c r="N745" s="19"/>
      <c r="O745" s="19"/>
      <c r="P745" s="19"/>
      <c r="Q745" s="20"/>
      <c r="R745" s="20"/>
      <c r="S745" s="22"/>
      <c r="T745" s="22"/>
      <c r="U745" s="20"/>
      <c r="V745" s="20"/>
      <c r="W745" s="20"/>
      <c r="X745" s="19"/>
      <c r="Y745" s="19"/>
      <c r="Z745" s="19"/>
      <c r="AA745" s="23"/>
    </row>
    <row r="746" spans="1:27" ht="15.75" customHeight="1" x14ac:dyDescent="0.2">
      <c r="A746" s="34"/>
      <c r="B746" s="34"/>
      <c r="C746" s="34"/>
      <c r="D746" s="34"/>
      <c r="E746" s="19"/>
      <c r="F746" s="19"/>
      <c r="G746" s="19"/>
      <c r="H746" s="19"/>
      <c r="I746" s="19"/>
      <c r="J746" s="19"/>
      <c r="K746" s="19"/>
      <c r="L746" s="19"/>
      <c r="M746" s="19"/>
      <c r="N746" s="19"/>
      <c r="O746" s="19"/>
      <c r="P746" s="19"/>
      <c r="Q746" s="20"/>
      <c r="R746" s="20"/>
      <c r="S746" s="22"/>
      <c r="T746" s="22"/>
      <c r="U746" s="20"/>
      <c r="V746" s="20"/>
      <c r="W746" s="20"/>
      <c r="X746" s="19"/>
      <c r="Y746" s="19"/>
      <c r="Z746" s="19"/>
      <c r="AA746" s="23"/>
    </row>
    <row r="747" spans="1:27" ht="15.75" customHeight="1" x14ac:dyDescent="0.2">
      <c r="A747" s="34"/>
      <c r="B747" s="34"/>
      <c r="C747" s="34"/>
      <c r="D747" s="34"/>
      <c r="E747" s="19"/>
      <c r="F747" s="19"/>
      <c r="G747" s="19"/>
      <c r="H747" s="19"/>
      <c r="I747" s="19"/>
      <c r="J747" s="19"/>
      <c r="K747" s="19"/>
      <c r="L747" s="19"/>
      <c r="M747" s="19"/>
      <c r="N747" s="19"/>
      <c r="O747" s="19"/>
      <c r="P747" s="19"/>
      <c r="Q747" s="20"/>
      <c r="R747" s="20"/>
      <c r="S747" s="22"/>
      <c r="T747" s="22"/>
      <c r="U747" s="20"/>
      <c r="V747" s="20"/>
      <c r="W747" s="20"/>
      <c r="X747" s="19"/>
      <c r="Y747" s="19"/>
      <c r="Z747" s="19"/>
      <c r="AA747" s="23"/>
    </row>
    <row r="748" spans="1:27" ht="15.75" customHeight="1" x14ac:dyDescent="0.2">
      <c r="A748" s="34"/>
      <c r="B748" s="34"/>
      <c r="C748" s="34"/>
      <c r="D748" s="34"/>
      <c r="E748" s="19"/>
      <c r="F748" s="19"/>
      <c r="G748" s="19"/>
      <c r="H748" s="19"/>
      <c r="I748" s="19"/>
      <c r="J748" s="19"/>
      <c r="K748" s="19"/>
      <c r="L748" s="19"/>
      <c r="M748" s="19"/>
      <c r="N748" s="19"/>
      <c r="O748" s="19"/>
      <c r="P748" s="19"/>
      <c r="Q748" s="20"/>
      <c r="R748" s="20"/>
      <c r="S748" s="22"/>
      <c r="T748" s="22"/>
      <c r="U748" s="20"/>
      <c r="V748" s="20"/>
      <c r="W748" s="20"/>
      <c r="X748" s="19"/>
      <c r="Y748" s="19"/>
      <c r="Z748" s="19"/>
      <c r="AA748" s="23"/>
    </row>
    <row r="749" spans="1:27" ht="15.75" customHeight="1" x14ac:dyDescent="0.2">
      <c r="A749" s="34"/>
      <c r="B749" s="34"/>
      <c r="C749" s="34"/>
      <c r="D749" s="34"/>
      <c r="E749" s="19"/>
      <c r="F749" s="19"/>
      <c r="G749" s="19"/>
      <c r="H749" s="19"/>
      <c r="I749" s="19"/>
      <c r="J749" s="19"/>
      <c r="K749" s="19"/>
      <c r="L749" s="19"/>
      <c r="M749" s="19"/>
      <c r="N749" s="19"/>
      <c r="O749" s="19"/>
      <c r="P749" s="19"/>
      <c r="Q749" s="20"/>
      <c r="R749" s="20"/>
      <c r="S749" s="22"/>
      <c r="T749" s="22"/>
      <c r="U749" s="20"/>
      <c r="V749" s="20"/>
      <c r="W749" s="20"/>
      <c r="X749" s="19"/>
      <c r="Y749" s="19"/>
      <c r="Z749" s="19"/>
      <c r="AA749" s="23"/>
    </row>
    <row r="750" spans="1:27" ht="15.75" customHeight="1" x14ac:dyDescent="0.2">
      <c r="A750" s="34"/>
      <c r="B750" s="34"/>
      <c r="C750" s="34"/>
      <c r="D750" s="34"/>
      <c r="E750" s="19"/>
      <c r="F750" s="19"/>
      <c r="G750" s="19"/>
      <c r="H750" s="19"/>
      <c r="I750" s="19"/>
      <c r="J750" s="19"/>
      <c r="K750" s="19"/>
      <c r="L750" s="19"/>
      <c r="M750" s="19"/>
      <c r="N750" s="19"/>
      <c r="O750" s="19"/>
      <c r="P750" s="19"/>
      <c r="Q750" s="20"/>
      <c r="R750" s="20"/>
      <c r="S750" s="22"/>
      <c r="T750" s="22"/>
      <c r="U750" s="20"/>
      <c r="V750" s="20"/>
      <c r="W750" s="20"/>
      <c r="X750" s="19"/>
      <c r="Y750" s="19"/>
      <c r="Z750" s="19"/>
      <c r="AA750" s="23"/>
    </row>
    <row r="751" spans="1:27" ht="15.75" customHeight="1" x14ac:dyDescent="0.2">
      <c r="A751" s="34"/>
      <c r="B751" s="34"/>
      <c r="C751" s="34"/>
      <c r="D751" s="34"/>
      <c r="E751" s="19"/>
      <c r="F751" s="19"/>
      <c r="G751" s="19"/>
      <c r="H751" s="19"/>
      <c r="I751" s="19"/>
      <c r="J751" s="19"/>
      <c r="K751" s="19"/>
      <c r="L751" s="19"/>
      <c r="M751" s="19"/>
      <c r="N751" s="19"/>
      <c r="O751" s="19"/>
      <c r="P751" s="19"/>
      <c r="Q751" s="20"/>
      <c r="R751" s="20"/>
      <c r="S751" s="22"/>
      <c r="T751" s="22"/>
      <c r="U751" s="20"/>
      <c r="V751" s="20"/>
      <c r="W751" s="20"/>
      <c r="X751" s="19"/>
      <c r="Y751" s="19"/>
      <c r="Z751" s="19"/>
      <c r="AA751" s="23"/>
    </row>
    <row r="752" spans="1:27" ht="15.75" customHeight="1" x14ac:dyDescent="0.2">
      <c r="A752" s="34"/>
      <c r="B752" s="34"/>
      <c r="C752" s="34"/>
      <c r="D752" s="34"/>
      <c r="E752" s="19"/>
      <c r="F752" s="19"/>
      <c r="G752" s="19"/>
      <c r="H752" s="19"/>
      <c r="I752" s="19"/>
      <c r="J752" s="19"/>
      <c r="K752" s="19"/>
      <c r="L752" s="19"/>
      <c r="M752" s="19"/>
      <c r="N752" s="19"/>
      <c r="O752" s="19"/>
      <c r="P752" s="19"/>
      <c r="Q752" s="20"/>
      <c r="R752" s="20"/>
      <c r="S752" s="22"/>
      <c r="T752" s="22"/>
      <c r="U752" s="20"/>
      <c r="V752" s="20"/>
      <c r="W752" s="20"/>
      <c r="X752" s="19"/>
      <c r="Y752" s="19"/>
      <c r="Z752" s="19"/>
      <c r="AA752" s="23"/>
    </row>
    <row r="753" spans="1:27" ht="15.75" customHeight="1" x14ac:dyDescent="0.2">
      <c r="A753" s="34"/>
      <c r="B753" s="34"/>
      <c r="C753" s="34"/>
      <c r="D753" s="34"/>
      <c r="E753" s="19"/>
      <c r="F753" s="19"/>
      <c r="G753" s="19"/>
      <c r="H753" s="19"/>
      <c r="I753" s="19"/>
      <c r="J753" s="19"/>
      <c r="K753" s="19"/>
      <c r="L753" s="19"/>
      <c r="M753" s="19"/>
      <c r="N753" s="19"/>
      <c r="O753" s="19"/>
      <c r="P753" s="19"/>
      <c r="Q753" s="20"/>
      <c r="R753" s="20"/>
      <c r="S753" s="22"/>
      <c r="T753" s="22"/>
      <c r="U753" s="20"/>
      <c r="V753" s="20"/>
      <c r="W753" s="20"/>
      <c r="X753" s="19"/>
      <c r="Y753" s="19"/>
      <c r="Z753" s="19"/>
      <c r="AA753" s="23"/>
    </row>
    <row r="754" spans="1:27" ht="15.75" customHeight="1" x14ac:dyDescent="0.2">
      <c r="A754" s="34"/>
      <c r="B754" s="34"/>
      <c r="C754" s="34"/>
      <c r="D754" s="34"/>
      <c r="E754" s="19"/>
      <c r="F754" s="19"/>
      <c r="G754" s="19"/>
      <c r="H754" s="19"/>
      <c r="I754" s="19"/>
      <c r="J754" s="19"/>
      <c r="K754" s="19"/>
      <c r="L754" s="19"/>
      <c r="M754" s="19"/>
      <c r="N754" s="19"/>
      <c r="O754" s="19"/>
      <c r="P754" s="19"/>
      <c r="Q754" s="20"/>
      <c r="R754" s="20"/>
      <c r="S754" s="22"/>
      <c r="T754" s="22"/>
      <c r="U754" s="20"/>
      <c r="V754" s="20"/>
      <c r="W754" s="20"/>
      <c r="X754" s="19"/>
      <c r="Y754" s="19"/>
      <c r="Z754" s="19"/>
      <c r="AA754" s="23"/>
    </row>
    <row r="755" spans="1:27" ht="15.75" customHeight="1" x14ac:dyDescent="0.2">
      <c r="A755" s="34"/>
      <c r="B755" s="34"/>
      <c r="C755" s="34"/>
      <c r="D755" s="34"/>
      <c r="E755" s="19"/>
      <c r="F755" s="19"/>
      <c r="G755" s="19"/>
      <c r="H755" s="19"/>
      <c r="I755" s="19"/>
      <c r="J755" s="19"/>
      <c r="K755" s="19"/>
      <c r="L755" s="19"/>
      <c r="M755" s="19"/>
      <c r="N755" s="19"/>
      <c r="O755" s="19"/>
      <c r="P755" s="19"/>
      <c r="Q755" s="20"/>
      <c r="R755" s="20"/>
      <c r="S755" s="22"/>
      <c r="T755" s="22"/>
      <c r="U755" s="20"/>
      <c r="V755" s="20"/>
      <c r="W755" s="20"/>
      <c r="X755" s="19"/>
      <c r="Y755" s="19"/>
      <c r="Z755" s="19"/>
      <c r="AA755" s="23"/>
    </row>
    <row r="756" spans="1:27" ht="15.75" customHeight="1" x14ac:dyDescent="0.2">
      <c r="A756" s="34"/>
      <c r="B756" s="34"/>
      <c r="C756" s="34"/>
      <c r="D756" s="34"/>
      <c r="E756" s="19"/>
      <c r="F756" s="19"/>
      <c r="G756" s="19"/>
      <c r="H756" s="19"/>
      <c r="I756" s="19"/>
      <c r="J756" s="19"/>
      <c r="K756" s="19"/>
      <c r="L756" s="19"/>
      <c r="M756" s="19"/>
      <c r="N756" s="19"/>
      <c r="O756" s="19"/>
      <c r="P756" s="19"/>
      <c r="Q756" s="20"/>
      <c r="R756" s="20"/>
      <c r="S756" s="22"/>
      <c r="T756" s="22"/>
      <c r="U756" s="20"/>
      <c r="V756" s="20"/>
      <c r="W756" s="20"/>
      <c r="X756" s="19"/>
      <c r="Y756" s="19"/>
      <c r="Z756" s="19"/>
      <c r="AA756" s="23"/>
    </row>
    <row r="757" spans="1:27" ht="15.75" customHeight="1" x14ac:dyDescent="0.2">
      <c r="A757" s="34"/>
      <c r="B757" s="34"/>
      <c r="C757" s="34"/>
      <c r="D757" s="34"/>
      <c r="E757" s="19"/>
      <c r="F757" s="19"/>
      <c r="G757" s="19"/>
      <c r="H757" s="19"/>
      <c r="I757" s="19"/>
      <c r="J757" s="19"/>
      <c r="K757" s="19"/>
      <c r="L757" s="19"/>
      <c r="M757" s="19"/>
      <c r="N757" s="19"/>
      <c r="O757" s="19"/>
      <c r="P757" s="19"/>
      <c r="Q757" s="20"/>
      <c r="R757" s="20"/>
      <c r="S757" s="22"/>
      <c r="T757" s="22"/>
      <c r="U757" s="20"/>
      <c r="V757" s="20"/>
      <c r="W757" s="20"/>
      <c r="X757" s="19"/>
      <c r="Y757" s="19"/>
      <c r="Z757" s="19"/>
      <c r="AA757" s="23"/>
    </row>
    <row r="758" spans="1:27" ht="15.75" customHeight="1" x14ac:dyDescent="0.2">
      <c r="A758" s="34"/>
      <c r="B758" s="34"/>
      <c r="C758" s="34"/>
      <c r="D758" s="34"/>
      <c r="E758" s="19"/>
      <c r="F758" s="19"/>
      <c r="G758" s="19"/>
      <c r="H758" s="19"/>
      <c r="I758" s="19"/>
      <c r="J758" s="19"/>
      <c r="K758" s="19"/>
      <c r="L758" s="19"/>
      <c r="M758" s="19"/>
      <c r="N758" s="19"/>
      <c r="O758" s="19"/>
      <c r="P758" s="19"/>
      <c r="Q758" s="20"/>
      <c r="R758" s="20"/>
      <c r="S758" s="22"/>
      <c r="T758" s="22"/>
      <c r="U758" s="20"/>
      <c r="V758" s="20"/>
      <c r="W758" s="20"/>
      <c r="X758" s="19"/>
      <c r="Y758" s="19"/>
      <c r="Z758" s="19"/>
      <c r="AA758" s="23"/>
    </row>
    <row r="759" spans="1:27" ht="15.75" customHeight="1" x14ac:dyDescent="0.2">
      <c r="A759" s="34"/>
      <c r="B759" s="34"/>
      <c r="C759" s="34"/>
      <c r="D759" s="34"/>
      <c r="E759" s="19"/>
      <c r="F759" s="19"/>
      <c r="G759" s="19"/>
      <c r="H759" s="19"/>
      <c r="I759" s="19"/>
      <c r="J759" s="19"/>
      <c r="K759" s="19"/>
      <c r="L759" s="19"/>
      <c r="M759" s="19"/>
      <c r="N759" s="19"/>
      <c r="O759" s="19"/>
      <c r="P759" s="19"/>
      <c r="Q759" s="20"/>
      <c r="R759" s="20"/>
      <c r="S759" s="22"/>
      <c r="T759" s="22"/>
      <c r="U759" s="20"/>
      <c r="V759" s="20"/>
      <c r="W759" s="20"/>
      <c r="X759" s="19"/>
      <c r="Y759" s="19"/>
      <c r="Z759" s="19"/>
      <c r="AA759" s="23"/>
    </row>
    <row r="760" spans="1:27" ht="15.75" customHeight="1" x14ac:dyDescent="0.2">
      <c r="A760" s="34"/>
      <c r="B760" s="34"/>
      <c r="C760" s="34"/>
      <c r="D760" s="34"/>
      <c r="E760" s="19"/>
      <c r="F760" s="19"/>
      <c r="G760" s="19"/>
      <c r="H760" s="19"/>
      <c r="I760" s="19"/>
      <c r="J760" s="19"/>
      <c r="K760" s="19"/>
      <c r="L760" s="19"/>
      <c r="M760" s="19"/>
      <c r="N760" s="19"/>
      <c r="O760" s="19"/>
      <c r="P760" s="19"/>
      <c r="Q760" s="20"/>
      <c r="R760" s="20"/>
      <c r="S760" s="22"/>
      <c r="T760" s="22"/>
      <c r="U760" s="20"/>
      <c r="V760" s="20"/>
      <c r="W760" s="20"/>
      <c r="X760" s="19"/>
      <c r="Y760" s="19"/>
      <c r="Z760" s="19"/>
      <c r="AA760" s="23"/>
    </row>
    <row r="761" spans="1:27" ht="15.75" customHeight="1" x14ac:dyDescent="0.2">
      <c r="A761" s="34"/>
      <c r="B761" s="34"/>
      <c r="C761" s="34"/>
      <c r="D761" s="34"/>
      <c r="E761" s="19"/>
      <c r="F761" s="19"/>
      <c r="G761" s="19"/>
      <c r="H761" s="19"/>
      <c r="I761" s="19"/>
      <c r="J761" s="19"/>
      <c r="K761" s="19"/>
      <c r="L761" s="19"/>
      <c r="M761" s="19"/>
      <c r="N761" s="19"/>
      <c r="O761" s="19"/>
      <c r="P761" s="19"/>
      <c r="Q761" s="20"/>
      <c r="R761" s="20"/>
      <c r="S761" s="22"/>
      <c r="T761" s="22"/>
      <c r="U761" s="20"/>
      <c r="V761" s="20"/>
      <c r="W761" s="20"/>
      <c r="X761" s="19"/>
      <c r="Y761" s="19"/>
      <c r="Z761" s="19"/>
      <c r="AA761" s="23"/>
    </row>
    <row r="762" spans="1:27" ht="15.75" customHeight="1" x14ac:dyDescent="0.2">
      <c r="A762" s="34"/>
      <c r="B762" s="34"/>
      <c r="C762" s="34"/>
      <c r="D762" s="34"/>
      <c r="E762" s="19"/>
      <c r="F762" s="19"/>
      <c r="G762" s="19"/>
      <c r="H762" s="19"/>
      <c r="I762" s="19"/>
      <c r="J762" s="19"/>
      <c r="K762" s="19"/>
      <c r="L762" s="19"/>
      <c r="M762" s="19"/>
      <c r="N762" s="19"/>
      <c r="O762" s="19"/>
      <c r="P762" s="19"/>
      <c r="Q762" s="20"/>
      <c r="R762" s="20"/>
      <c r="S762" s="22"/>
      <c r="T762" s="22"/>
      <c r="U762" s="20"/>
      <c r="V762" s="20"/>
      <c r="W762" s="20"/>
      <c r="X762" s="19"/>
      <c r="Y762" s="19"/>
      <c r="Z762" s="19"/>
      <c r="AA762" s="23"/>
    </row>
    <row r="763" spans="1:27" ht="15.75" customHeight="1" x14ac:dyDescent="0.2">
      <c r="A763" s="34"/>
      <c r="B763" s="34"/>
      <c r="C763" s="34"/>
      <c r="D763" s="34"/>
      <c r="E763" s="19"/>
      <c r="F763" s="19"/>
      <c r="G763" s="19"/>
      <c r="H763" s="19"/>
      <c r="I763" s="19"/>
      <c r="J763" s="19"/>
      <c r="K763" s="19"/>
      <c r="L763" s="19"/>
      <c r="M763" s="19"/>
      <c r="N763" s="19"/>
      <c r="O763" s="19"/>
      <c r="P763" s="19"/>
      <c r="Q763" s="20"/>
      <c r="R763" s="20"/>
      <c r="S763" s="22"/>
      <c r="T763" s="22"/>
      <c r="U763" s="20"/>
      <c r="V763" s="20"/>
      <c r="W763" s="20"/>
      <c r="X763" s="19"/>
      <c r="Y763" s="19"/>
      <c r="Z763" s="19"/>
      <c r="AA763" s="23"/>
    </row>
    <row r="764" spans="1:27" ht="15.75" customHeight="1" x14ac:dyDescent="0.2">
      <c r="A764" s="34"/>
      <c r="B764" s="34"/>
      <c r="C764" s="34"/>
      <c r="D764" s="34"/>
      <c r="E764" s="19"/>
      <c r="F764" s="19"/>
      <c r="G764" s="19"/>
      <c r="H764" s="19"/>
      <c r="I764" s="19"/>
      <c r="J764" s="19"/>
      <c r="K764" s="19"/>
      <c r="L764" s="19"/>
      <c r="M764" s="19"/>
      <c r="N764" s="19"/>
      <c r="O764" s="19"/>
      <c r="P764" s="19"/>
      <c r="Q764" s="20"/>
      <c r="R764" s="20"/>
      <c r="S764" s="22"/>
      <c r="T764" s="22"/>
      <c r="U764" s="20"/>
      <c r="V764" s="20"/>
      <c r="W764" s="20"/>
      <c r="X764" s="19"/>
      <c r="Y764" s="19"/>
      <c r="Z764" s="19"/>
      <c r="AA764" s="23"/>
    </row>
    <row r="765" spans="1:27" ht="15.75" customHeight="1" x14ac:dyDescent="0.2">
      <c r="A765" s="34"/>
      <c r="B765" s="34"/>
      <c r="C765" s="34"/>
      <c r="D765" s="34"/>
      <c r="E765" s="19"/>
      <c r="F765" s="19"/>
      <c r="G765" s="19"/>
      <c r="H765" s="19"/>
      <c r="I765" s="19"/>
      <c r="J765" s="19"/>
      <c r="K765" s="19"/>
      <c r="L765" s="19"/>
      <c r="M765" s="19"/>
      <c r="N765" s="19"/>
      <c r="O765" s="19"/>
      <c r="P765" s="19"/>
      <c r="Q765" s="20"/>
      <c r="R765" s="20"/>
      <c r="S765" s="22"/>
      <c r="T765" s="22"/>
      <c r="U765" s="20"/>
      <c r="V765" s="20"/>
      <c r="W765" s="20"/>
      <c r="X765" s="19"/>
      <c r="Y765" s="19"/>
      <c r="Z765" s="19"/>
      <c r="AA765" s="23"/>
    </row>
    <row r="766" spans="1:27" ht="15.75" customHeight="1" x14ac:dyDescent="0.2">
      <c r="A766" s="34"/>
      <c r="B766" s="34"/>
      <c r="C766" s="34"/>
      <c r="D766" s="34"/>
      <c r="E766" s="19"/>
      <c r="F766" s="19"/>
      <c r="G766" s="19"/>
      <c r="H766" s="19"/>
      <c r="I766" s="19"/>
      <c r="J766" s="19"/>
      <c r="K766" s="19"/>
      <c r="L766" s="19"/>
      <c r="M766" s="19"/>
      <c r="N766" s="19"/>
      <c r="O766" s="19"/>
      <c r="P766" s="19"/>
      <c r="Q766" s="20"/>
      <c r="R766" s="20"/>
      <c r="S766" s="22"/>
      <c r="T766" s="22"/>
      <c r="U766" s="20"/>
      <c r="V766" s="20"/>
      <c r="W766" s="20"/>
      <c r="X766" s="19"/>
      <c r="Y766" s="19"/>
      <c r="Z766" s="19"/>
      <c r="AA766" s="23"/>
    </row>
    <row r="767" spans="1:27" ht="15.75" customHeight="1" x14ac:dyDescent="0.2">
      <c r="A767" s="34"/>
      <c r="B767" s="34"/>
      <c r="C767" s="34"/>
      <c r="D767" s="34"/>
      <c r="E767" s="19"/>
      <c r="F767" s="19"/>
      <c r="G767" s="19"/>
      <c r="H767" s="19"/>
      <c r="I767" s="19"/>
      <c r="J767" s="19"/>
      <c r="K767" s="19"/>
      <c r="L767" s="19"/>
      <c r="M767" s="19"/>
      <c r="N767" s="19"/>
      <c r="O767" s="19"/>
      <c r="P767" s="19"/>
      <c r="Q767" s="20"/>
      <c r="R767" s="20"/>
      <c r="S767" s="22"/>
      <c r="T767" s="22"/>
      <c r="U767" s="20"/>
      <c r="V767" s="20"/>
      <c r="W767" s="20"/>
      <c r="X767" s="19"/>
      <c r="Y767" s="19"/>
      <c r="Z767" s="19"/>
      <c r="AA767" s="23"/>
    </row>
    <row r="768" spans="1:27" ht="15.75" customHeight="1" x14ac:dyDescent="0.2">
      <c r="A768" s="34"/>
      <c r="B768" s="34"/>
      <c r="C768" s="34"/>
      <c r="D768" s="34"/>
      <c r="E768" s="19"/>
      <c r="F768" s="19"/>
      <c r="G768" s="19"/>
      <c r="H768" s="19"/>
      <c r="I768" s="19"/>
      <c r="J768" s="19"/>
      <c r="K768" s="19"/>
      <c r="L768" s="19"/>
      <c r="M768" s="19"/>
      <c r="N768" s="19"/>
      <c r="O768" s="19"/>
      <c r="P768" s="19"/>
      <c r="Q768" s="20"/>
      <c r="R768" s="20"/>
      <c r="S768" s="22"/>
      <c r="T768" s="22"/>
      <c r="U768" s="20"/>
      <c r="V768" s="20"/>
      <c r="W768" s="20"/>
      <c r="X768" s="19"/>
      <c r="Y768" s="19"/>
      <c r="Z768" s="19"/>
      <c r="AA768" s="23"/>
    </row>
    <row r="769" spans="1:27" ht="15.75" customHeight="1" x14ac:dyDescent="0.2">
      <c r="A769" s="34"/>
      <c r="B769" s="34"/>
      <c r="C769" s="34"/>
      <c r="D769" s="34"/>
      <c r="E769" s="19"/>
      <c r="F769" s="19"/>
      <c r="G769" s="19"/>
      <c r="H769" s="19"/>
      <c r="I769" s="19"/>
      <c r="J769" s="19"/>
      <c r="K769" s="19"/>
      <c r="L769" s="19"/>
      <c r="M769" s="19"/>
      <c r="N769" s="19"/>
      <c r="O769" s="19"/>
      <c r="P769" s="19"/>
      <c r="Q769" s="20"/>
      <c r="R769" s="20"/>
      <c r="S769" s="22"/>
      <c r="T769" s="22"/>
      <c r="U769" s="20"/>
      <c r="V769" s="20"/>
      <c r="W769" s="20"/>
      <c r="X769" s="19"/>
      <c r="Y769" s="19"/>
      <c r="Z769" s="19"/>
      <c r="AA769" s="23"/>
    </row>
    <row r="770" spans="1:27" ht="15.75" customHeight="1" x14ac:dyDescent="0.2">
      <c r="A770" s="34"/>
      <c r="B770" s="34"/>
      <c r="C770" s="34"/>
      <c r="D770" s="34"/>
      <c r="E770" s="19"/>
      <c r="F770" s="19"/>
      <c r="G770" s="19"/>
      <c r="H770" s="19"/>
      <c r="I770" s="19"/>
      <c r="J770" s="19"/>
      <c r="K770" s="19"/>
      <c r="L770" s="19"/>
      <c r="M770" s="19"/>
      <c r="N770" s="19"/>
      <c r="O770" s="19"/>
      <c r="P770" s="19"/>
      <c r="Q770" s="20"/>
      <c r="R770" s="20"/>
      <c r="S770" s="22"/>
      <c r="T770" s="22"/>
      <c r="U770" s="20"/>
      <c r="V770" s="20"/>
      <c r="W770" s="20"/>
      <c r="X770" s="19"/>
      <c r="Y770" s="19"/>
      <c r="Z770" s="19"/>
      <c r="AA770" s="23"/>
    </row>
    <row r="771" spans="1:27" ht="15.75" customHeight="1" x14ac:dyDescent="0.2">
      <c r="A771" s="34"/>
      <c r="B771" s="34"/>
      <c r="C771" s="34"/>
      <c r="D771" s="34"/>
      <c r="E771" s="19"/>
      <c r="F771" s="19"/>
      <c r="G771" s="19"/>
      <c r="H771" s="19"/>
      <c r="I771" s="19"/>
      <c r="J771" s="19"/>
      <c r="K771" s="19"/>
      <c r="L771" s="19"/>
      <c r="M771" s="19"/>
      <c r="N771" s="19"/>
      <c r="O771" s="19"/>
      <c r="P771" s="19"/>
      <c r="Q771" s="20"/>
      <c r="R771" s="20"/>
      <c r="S771" s="22"/>
      <c r="T771" s="22"/>
      <c r="U771" s="20"/>
      <c r="V771" s="20"/>
      <c r="W771" s="20"/>
      <c r="X771" s="19"/>
      <c r="Y771" s="19"/>
      <c r="Z771" s="19"/>
      <c r="AA771" s="23"/>
    </row>
    <row r="772" spans="1:27" ht="15.75" customHeight="1" x14ac:dyDescent="0.2">
      <c r="A772" s="34"/>
      <c r="B772" s="34"/>
      <c r="C772" s="34"/>
      <c r="D772" s="34"/>
      <c r="E772" s="19"/>
      <c r="F772" s="19"/>
      <c r="G772" s="19"/>
      <c r="H772" s="19"/>
      <c r="I772" s="19"/>
      <c r="J772" s="19"/>
      <c r="K772" s="19"/>
      <c r="L772" s="19"/>
      <c r="M772" s="19"/>
      <c r="N772" s="19"/>
      <c r="O772" s="19"/>
      <c r="P772" s="19"/>
      <c r="Q772" s="20"/>
      <c r="R772" s="20"/>
      <c r="S772" s="22"/>
      <c r="T772" s="22"/>
      <c r="U772" s="20"/>
      <c r="V772" s="20"/>
      <c r="W772" s="20"/>
      <c r="X772" s="19"/>
      <c r="Y772" s="19"/>
      <c r="Z772" s="19"/>
      <c r="AA772" s="23"/>
    </row>
    <row r="773" spans="1:27" ht="15.75" customHeight="1" x14ac:dyDescent="0.2">
      <c r="A773" s="34"/>
      <c r="B773" s="34"/>
      <c r="C773" s="34"/>
      <c r="D773" s="34"/>
      <c r="E773" s="19"/>
      <c r="F773" s="19"/>
      <c r="G773" s="19"/>
      <c r="H773" s="19"/>
      <c r="I773" s="19"/>
      <c r="J773" s="19"/>
      <c r="K773" s="19"/>
      <c r="L773" s="19"/>
      <c r="M773" s="19"/>
      <c r="N773" s="19"/>
      <c r="O773" s="19"/>
      <c r="P773" s="19"/>
      <c r="Q773" s="20"/>
      <c r="R773" s="20"/>
      <c r="S773" s="22"/>
      <c r="T773" s="22"/>
      <c r="U773" s="20"/>
      <c r="V773" s="20"/>
      <c r="W773" s="20"/>
      <c r="X773" s="19"/>
      <c r="Y773" s="19"/>
      <c r="Z773" s="19"/>
      <c r="AA773" s="23"/>
    </row>
    <row r="774" spans="1:27" ht="15.75" customHeight="1" x14ac:dyDescent="0.2">
      <c r="A774" s="34"/>
      <c r="B774" s="34"/>
      <c r="C774" s="34"/>
      <c r="D774" s="34"/>
      <c r="E774" s="19"/>
      <c r="F774" s="19"/>
      <c r="G774" s="19"/>
      <c r="H774" s="19"/>
      <c r="I774" s="19"/>
      <c r="J774" s="19"/>
      <c r="K774" s="19"/>
      <c r="L774" s="19"/>
      <c r="M774" s="19"/>
      <c r="N774" s="19"/>
      <c r="O774" s="19"/>
      <c r="P774" s="19"/>
      <c r="Q774" s="20"/>
      <c r="R774" s="20"/>
      <c r="S774" s="22"/>
      <c r="T774" s="22"/>
      <c r="U774" s="20"/>
      <c r="V774" s="20"/>
      <c r="W774" s="20"/>
      <c r="X774" s="19"/>
      <c r="Y774" s="19"/>
      <c r="Z774" s="19"/>
      <c r="AA774" s="23"/>
    </row>
    <row r="775" spans="1:27" ht="15.75" customHeight="1" x14ac:dyDescent="0.2">
      <c r="A775" s="34"/>
      <c r="B775" s="34"/>
      <c r="C775" s="34"/>
      <c r="D775" s="34"/>
      <c r="E775" s="19"/>
      <c r="F775" s="19"/>
      <c r="G775" s="19"/>
      <c r="H775" s="19"/>
      <c r="I775" s="19"/>
      <c r="J775" s="19"/>
      <c r="K775" s="19"/>
      <c r="L775" s="19"/>
      <c r="M775" s="19"/>
      <c r="N775" s="19"/>
      <c r="O775" s="19"/>
      <c r="P775" s="19"/>
      <c r="Q775" s="20"/>
      <c r="R775" s="20"/>
      <c r="S775" s="22"/>
      <c r="T775" s="22"/>
      <c r="U775" s="20"/>
      <c r="V775" s="20"/>
      <c r="W775" s="20"/>
      <c r="X775" s="19"/>
      <c r="Y775" s="19"/>
      <c r="Z775" s="19"/>
      <c r="AA775" s="23"/>
    </row>
    <row r="776" spans="1:27" ht="15.75" customHeight="1" x14ac:dyDescent="0.2">
      <c r="A776" s="34"/>
      <c r="B776" s="34"/>
      <c r="C776" s="34"/>
      <c r="D776" s="34"/>
      <c r="E776" s="19"/>
      <c r="F776" s="19"/>
      <c r="G776" s="19"/>
      <c r="H776" s="19"/>
      <c r="I776" s="19"/>
      <c r="J776" s="19"/>
      <c r="K776" s="19"/>
      <c r="L776" s="19"/>
      <c r="M776" s="19"/>
      <c r="N776" s="19"/>
      <c r="O776" s="19"/>
      <c r="P776" s="19"/>
      <c r="Q776" s="20"/>
      <c r="R776" s="20"/>
      <c r="S776" s="22"/>
      <c r="T776" s="22"/>
      <c r="U776" s="20"/>
      <c r="V776" s="20"/>
      <c r="W776" s="20"/>
      <c r="X776" s="19"/>
      <c r="Y776" s="19"/>
      <c r="Z776" s="19"/>
      <c r="AA776" s="23"/>
    </row>
    <row r="777" spans="1:27" ht="15.75" customHeight="1" x14ac:dyDescent="0.2">
      <c r="A777" s="34"/>
      <c r="B777" s="34"/>
      <c r="C777" s="34"/>
      <c r="D777" s="34"/>
      <c r="E777" s="19"/>
      <c r="F777" s="19"/>
      <c r="G777" s="19"/>
      <c r="H777" s="19"/>
      <c r="I777" s="19"/>
      <c r="J777" s="19"/>
      <c r="K777" s="19"/>
      <c r="L777" s="19"/>
      <c r="M777" s="19"/>
      <c r="N777" s="19"/>
      <c r="O777" s="19"/>
      <c r="P777" s="19"/>
      <c r="Q777" s="20"/>
      <c r="R777" s="20"/>
      <c r="S777" s="22"/>
      <c r="T777" s="22"/>
      <c r="U777" s="20"/>
      <c r="V777" s="20"/>
      <c r="W777" s="20"/>
      <c r="X777" s="19"/>
      <c r="Y777" s="19"/>
      <c r="Z777" s="19"/>
      <c r="AA777" s="23"/>
    </row>
    <row r="778" spans="1:27" ht="15.75" customHeight="1" x14ac:dyDescent="0.2">
      <c r="A778" s="34"/>
      <c r="B778" s="34"/>
      <c r="C778" s="34"/>
      <c r="D778" s="34"/>
      <c r="E778" s="19"/>
      <c r="F778" s="19"/>
      <c r="G778" s="19"/>
      <c r="H778" s="19"/>
      <c r="I778" s="19"/>
      <c r="J778" s="19"/>
      <c r="K778" s="19"/>
      <c r="L778" s="19"/>
      <c r="M778" s="19"/>
      <c r="N778" s="19"/>
      <c r="O778" s="19"/>
      <c r="P778" s="19"/>
      <c r="Q778" s="20"/>
      <c r="R778" s="20"/>
      <c r="S778" s="22"/>
      <c r="T778" s="22"/>
      <c r="U778" s="20"/>
      <c r="V778" s="20"/>
      <c r="W778" s="20"/>
      <c r="X778" s="19"/>
      <c r="Y778" s="19"/>
      <c r="Z778" s="19"/>
      <c r="AA778" s="23"/>
    </row>
    <row r="779" spans="1:27" ht="15.75" customHeight="1" x14ac:dyDescent="0.2">
      <c r="A779" s="34"/>
      <c r="B779" s="34"/>
      <c r="C779" s="34"/>
      <c r="D779" s="34"/>
      <c r="E779" s="19"/>
      <c r="F779" s="19"/>
      <c r="G779" s="19"/>
      <c r="H779" s="19"/>
      <c r="I779" s="19"/>
      <c r="J779" s="19"/>
      <c r="K779" s="19"/>
      <c r="L779" s="19"/>
      <c r="M779" s="19"/>
      <c r="N779" s="19"/>
      <c r="O779" s="19"/>
      <c r="P779" s="19"/>
      <c r="Q779" s="20"/>
      <c r="R779" s="20"/>
      <c r="S779" s="22"/>
      <c r="T779" s="22"/>
      <c r="U779" s="20"/>
      <c r="V779" s="20"/>
      <c r="W779" s="20"/>
      <c r="X779" s="19"/>
      <c r="Y779" s="19"/>
      <c r="Z779" s="19"/>
      <c r="AA779" s="23"/>
    </row>
    <row r="780" spans="1:27" ht="15.75" customHeight="1" x14ac:dyDescent="0.2">
      <c r="A780" s="34"/>
      <c r="B780" s="34"/>
      <c r="C780" s="34"/>
      <c r="D780" s="34"/>
      <c r="E780" s="19"/>
      <c r="F780" s="19"/>
      <c r="G780" s="19"/>
      <c r="H780" s="19"/>
      <c r="I780" s="19"/>
      <c r="J780" s="19"/>
      <c r="K780" s="19"/>
      <c r="L780" s="19"/>
      <c r="M780" s="19"/>
      <c r="N780" s="19"/>
      <c r="O780" s="19"/>
      <c r="P780" s="19"/>
      <c r="Q780" s="20"/>
      <c r="R780" s="20"/>
      <c r="S780" s="22"/>
      <c r="T780" s="22"/>
      <c r="U780" s="20"/>
      <c r="V780" s="20"/>
      <c r="W780" s="20"/>
      <c r="X780" s="19"/>
      <c r="Y780" s="19"/>
      <c r="Z780" s="19"/>
      <c r="AA780" s="23"/>
    </row>
    <row r="781" spans="1:27" ht="15.75" customHeight="1" x14ac:dyDescent="0.2">
      <c r="A781" s="34"/>
      <c r="B781" s="34"/>
      <c r="C781" s="34"/>
      <c r="D781" s="34"/>
      <c r="E781" s="19"/>
      <c r="F781" s="19"/>
      <c r="G781" s="19"/>
      <c r="H781" s="19"/>
      <c r="I781" s="19"/>
      <c r="J781" s="19"/>
      <c r="K781" s="19"/>
      <c r="L781" s="19"/>
      <c r="M781" s="19"/>
      <c r="N781" s="19"/>
      <c r="O781" s="19"/>
      <c r="P781" s="19"/>
      <c r="Q781" s="20"/>
      <c r="R781" s="20"/>
      <c r="S781" s="22"/>
      <c r="T781" s="22"/>
      <c r="U781" s="20"/>
      <c r="V781" s="20"/>
      <c r="W781" s="20"/>
      <c r="X781" s="19"/>
      <c r="Y781" s="19"/>
      <c r="Z781" s="19"/>
      <c r="AA781" s="23"/>
    </row>
    <row r="782" spans="1:27" ht="15.75" customHeight="1" x14ac:dyDescent="0.2">
      <c r="A782" s="34"/>
      <c r="B782" s="34"/>
      <c r="C782" s="34"/>
      <c r="D782" s="34"/>
      <c r="E782" s="19"/>
      <c r="F782" s="19"/>
      <c r="G782" s="19"/>
      <c r="H782" s="19"/>
      <c r="I782" s="19"/>
      <c r="J782" s="19"/>
      <c r="K782" s="19"/>
      <c r="L782" s="19"/>
      <c r="M782" s="19"/>
      <c r="N782" s="19"/>
      <c r="O782" s="19"/>
      <c r="P782" s="19"/>
      <c r="Q782" s="20"/>
      <c r="R782" s="20"/>
      <c r="S782" s="22"/>
      <c r="T782" s="22"/>
      <c r="U782" s="20"/>
      <c r="V782" s="20"/>
      <c r="W782" s="20"/>
      <c r="X782" s="19"/>
      <c r="Y782" s="19"/>
      <c r="Z782" s="19"/>
      <c r="AA782" s="23"/>
    </row>
    <row r="783" spans="1:27" ht="15.75" customHeight="1" x14ac:dyDescent="0.2">
      <c r="A783" s="34"/>
      <c r="B783" s="34"/>
      <c r="C783" s="34"/>
      <c r="D783" s="34"/>
      <c r="E783" s="19"/>
      <c r="F783" s="19"/>
      <c r="G783" s="19"/>
      <c r="H783" s="19"/>
      <c r="I783" s="19"/>
      <c r="J783" s="19"/>
      <c r="K783" s="19"/>
      <c r="L783" s="19"/>
      <c r="M783" s="19"/>
      <c r="N783" s="19"/>
      <c r="O783" s="19"/>
      <c r="P783" s="19"/>
      <c r="Q783" s="20"/>
      <c r="R783" s="20"/>
      <c r="S783" s="22"/>
      <c r="T783" s="22"/>
      <c r="U783" s="20"/>
      <c r="V783" s="20"/>
      <c r="W783" s="20"/>
      <c r="X783" s="19"/>
      <c r="Y783" s="19"/>
      <c r="Z783" s="19"/>
      <c r="AA783" s="23"/>
    </row>
    <row r="784" spans="1:27" ht="15.75" customHeight="1" x14ac:dyDescent="0.2">
      <c r="A784" s="34"/>
      <c r="B784" s="34"/>
      <c r="C784" s="34"/>
      <c r="D784" s="34"/>
      <c r="E784" s="19"/>
      <c r="F784" s="19"/>
      <c r="G784" s="19"/>
      <c r="H784" s="19"/>
      <c r="I784" s="19"/>
      <c r="J784" s="19"/>
      <c r="K784" s="19"/>
      <c r="L784" s="19"/>
      <c r="M784" s="19"/>
      <c r="N784" s="19"/>
      <c r="O784" s="19"/>
      <c r="P784" s="19"/>
      <c r="Q784" s="20"/>
      <c r="R784" s="20"/>
      <c r="S784" s="22"/>
      <c r="T784" s="22"/>
      <c r="U784" s="20"/>
      <c r="V784" s="20"/>
      <c r="W784" s="20"/>
      <c r="X784" s="19"/>
      <c r="Y784" s="19"/>
      <c r="Z784" s="19"/>
      <c r="AA784" s="23"/>
    </row>
    <row r="785" spans="1:27" ht="15.75" customHeight="1" x14ac:dyDescent="0.2">
      <c r="A785" s="34"/>
      <c r="B785" s="34"/>
      <c r="C785" s="34"/>
      <c r="D785" s="34"/>
      <c r="E785" s="19"/>
      <c r="F785" s="19"/>
      <c r="G785" s="19"/>
      <c r="H785" s="19"/>
      <c r="I785" s="19"/>
      <c r="J785" s="19"/>
      <c r="K785" s="19"/>
      <c r="L785" s="19"/>
      <c r="M785" s="19"/>
      <c r="N785" s="19"/>
      <c r="O785" s="19"/>
      <c r="P785" s="19"/>
      <c r="Q785" s="20"/>
      <c r="R785" s="20"/>
      <c r="S785" s="22"/>
      <c r="T785" s="22"/>
      <c r="U785" s="20"/>
      <c r="V785" s="20"/>
      <c r="W785" s="20"/>
      <c r="X785" s="19"/>
      <c r="Y785" s="19"/>
      <c r="Z785" s="19"/>
      <c r="AA785" s="23"/>
    </row>
    <row r="786" spans="1:27" ht="15.75" customHeight="1" x14ac:dyDescent="0.2">
      <c r="A786" s="34"/>
      <c r="B786" s="34"/>
      <c r="C786" s="34"/>
      <c r="D786" s="34"/>
      <c r="E786" s="19"/>
      <c r="F786" s="19"/>
      <c r="G786" s="19"/>
      <c r="H786" s="19"/>
      <c r="I786" s="19"/>
      <c r="J786" s="19"/>
      <c r="K786" s="19"/>
      <c r="L786" s="19"/>
      <c r="M786" s="19"/>
      <c r="N786" s="19"/>
      <c r="O786" s="19"/>
      <c r="P786" s="19"/>
      <c r="Q786" s="20"/>
      <c r="R786" s="20"/>
      <c r="S786" s="22"/>
      <c r="T786" s="22"/>
      <c r="U786" s="20"/>
      <c r="V786" s="20"/>
      <c r="W786" s="20"/>
      <c r="X786" s="19"/>
      <c r="Y786" s="19"/>
      <c r="Z786" s="19"/>
      <c r="AA786" s="23"/>
    </row>
    <row r="787" spans="1:27" ht="15.75" customHeight="1" x14ac:dyDescent="0.2">
      <c r="A787" s="34"/>
      <c r="B787" s="34"/>
      <c r="C787" s="34"/>
      <c r="D787" s="34"/>
      <c r="E787" s="19"/>
      <c r="F787" s="19"/>
      <c r="G787" s="19"/>
      <c r="H787" s="19"/>
      <c r="I787" s="19"/>
      <c r="J787" s="19"/>
      <c r="K787" s="19"/>
      <c r="L787" s="19"/>
      <c r="M787" s="19"/>
      <c r="N787" s="19"/>
      <c r="O787" s="19"/>
      <c r="P787" s="19"/>
      <c r="Q787" s="20"/>
      <c r="R787" s="20"/>
      <c r="S787" s="22"/>
      <c r="T787" s="22"/>
      <c r="U787" s="20"/>
      <c r="V787" s="20"/>
      <c r="W787" s="20"/>
      <c r="X787" s="19"/>
      <c r="Y787" s="19"/>
      <c r="Z787" s="19"/>
      <c r="AA787" s="23"/>
    </row>
    <row r="788" spans="1:27" ht="15.75" customHeight="1" x14ac:dyDescent="0.2">
      <c r="A788" s="34"/>
      <c r="B788" s="34"/>
      <c r="C788" s="34"/>
      <c r="D788" s="34"/>
      <c r="E788" s="19"/>
      <c r="F788" s="19"/>
      <c r="G788" s="19"/>
      <c r="H788" s="19"/>
      <c r="I788" s="19"/>
      <c r="J788" s="19"/>
      <c r="K788" s="19"/>
      <c r="L788" s="19"/>
      <c r="M788" s="19"/>
      <c r="N788" s="19"/>
      <c r="O788" s="19"/>
      <c r="P788" s="19"/>
      <c r="Q788" s="20"/>
      <c r="R788" s="20"/>
      <c r="S788" s="22"/>
      <c r="T788" s="22"/>
      <c r="U788" s="20"/>
      <c r="V788" s="20"/>
      <c r="W788" s="20"/>
      <c r="X788" s="19"/>
      <c r="Y788" s="19"/>
      <c r="Z788" s="19"/>
      <c r="AA788" s="23"/>
    </row>
    <row r="789" spans="1:27" ht="15.75" customHeight="1" x14ac:dyDescent="0.2">
      <c r="A789" s="34"/>
      <c r="B789" s="34"/>
      <c r="C789" s="34"/>
      <c r="D789" s="34"/>
      <c r="E789" s="19"/>
      <c r="F789" s="19"/>
      <c r="G789" s="19"/>
      <c r="H789" s="19"/>
      <c r="I789" s="19"/>
      <c r="J789" s="19"/>
      <c r="K789" s="19"/>
      <c r="L789" s="19"/>
      <c r="M789" s="19"/>
      <c r="N789" s="19"/>
      <c r="O789" s="19"/>
      <c r="P789" s="19"/>
      <c r="Q789" s="20"/>
      <c r="R789" s="20"/>
      <c r="S789" s="22"/>
      <c r="T789" s="22"/>
      <c r="U789" s="20"/>
      <c r="V789" s="20"/>
      <c r="W789" s="20"/>
      <c r="X789" s="19"/>
      <c r="Y789" s="19"/>
      <c r="Z789" s="19"/>
      <c r="AA789" s="23"/>
    </row>
    <row r="790" spans="1:27" ht="15.75" customHeight="1" x14ac:dyDescent="0.2">
      <c r="A790" s="34"/>
      <c r="B790" s="34"/>
      <c r="C790" s="34"/>
      <c r="D790" s="34"/>
      <c r="E790" s="19"/>
      <c r="F790" s="19"/>
      <c r="G790" s="19"/>
      <c r="H790" s="19"/>
      <c r="I790" s="19"/>
      <c r="J790" s="19"/>
      <c r="K790" s="19"/>
      <c r="L790" s="19"/>
      <c r="M790" s="19"/>
      <c r="N790" s="19"/>
      <c r="O790" s="19"/>
      <c r="P790" s="19"/>
      <c r="Q790" s="20"/>
      <c r="R790" s="20"/>
      <c r="S790" s="22"/>
      <c r="T790" s="22"/>
      <c r="U790" s="20"/>
      <c r="V790" s="20"/>
      <c r="W790" s="20"/>
      <c r="X790" s="19"/>
      <c r="Y790" s="19"/>
      <c r="Z790" s="19"/>
      <c r="AA790" s="23"/>
    </row>
    <row r="791" spans="1:27" ht="15.75" customHeight="1" x14ac:dyDescent="0.2">
      <c r="A791" s="34"/>
      <c r="B791" s="34"/>
      <c r="C791" s="34"/>
      <c r="D791" s="34"/>
      <c r="E791" s="19"/>
      <c r="F791" s="19"/>
      <c r="G791" s="19"/>
      <c r="H791" s="19"/>
      <c r="I791" s="19"/>
      <c r="J791" s="19"/>
      <c r="K791" s="19"/>
      <c r="L791" s="19"/>
      <c r="M791" s="19"/>
      <c r="N791" s="19"/>
      <c r="O791" s="19"/>
      <c r="P791" s="19"/>
      <c r="Q791" s="20"/>
      <c r="R791" s="20"/>
      <c r="S791" s="22"/>
      <c r="T791" s="22"/>
      <c r="U791" s="20"/>
      <c r="V791" s="20"/>
      <c r="W791" s="20"/>
      <c r="X791" s="19"/>
      <c r="Y791" s="19"/>
      <c r="Z791" s="19"/>
      <c r="AA791" s="23"/>
    </row>
    <row r="792" spans="1:27" ht="15.75" customHeight="1" x14ac:dyDescent="0.2">
      <c r="A792" s="34"/>
      <c r="B792" s="34"/>
      <c r="C792" s="34"/>
      <c r="D792" s="34"/>
      <c r="E792" s="19"/>
      <c r="F792" s="19"/>
      <c r="G792" s="19"/>
      <c r="H792" s="19"/>
      <c r="I792" s="19"/>
      <c r="J792" s="19"/>
      <c r="K792" s="19"/>
      <c r="L792" s="19"/>
      <c r="M792" s="19"/>
      <c r="N792" s="19"/>
      <c r="O792" s="19"/>
      <c r="P792" s="19"/>
      <c r="Q792" s="20"/>
      <c r="R792" s="20"/>
      <c r="S792" s="22"/>
      <c r="T792" s="22"/>
      <c r="U792" s="20"/>
      <c r="V792" s="20"/>
      <c r="W792" s="20"/>
      <c r="X792" s="19"/>
      <c r="Y792" s="19"/>
      <c r="Z792" s="19"/>
      <c r="AA792" s="23"/>
    </row>
    <row r="793" spans="1:27" ht="15.75" customHeight="1" x14ac:dyDescent="0.2">
      <c r="A793" s="34"/>
      <c r="B793" s="34"/>
      <c r="C793" s="34"/>
      <c r="D793" s="34"/>
      <c r="E793" s="19"/>
      <c r="F793" s="19"/>
      <c r="G793" s="19"/>
      <c r="H793" s="19"/>
      <c r="I793" s="19"/>
      <c r="J793" s="19"/>
      <c r="K793" s="19"/>
      <c r="L793" s="19"/>
      <c r="M793" s="19"/>
      <c r="N793" s="19"/>
      <c r="O793" s="19"/>
      <c r="P793" s="19"/>
      <c r="Q793" s="20"/>
      <c r="R793" s="20"/>
      <c r="S793" s="22"/>
      <c r="T793" s="22"/>
      <c r="U793" s="20"/>
      <c r="V793" s="20"/>
      <c r="W793" s="20"/>
      <c r="X793" s="19"/>
      <c r="Y793" s="19"/>
      <c r="Z793" s="19"/>
      <c r="AA793" s="23"/>
    </row>
    <row r="794" spans="1:27" ht="15.75" customHeight="1" x14ac:dyDescent="0.2">
      <c r="A794" s="34"/>
      <c r="B794" s="34"/>
      <c r="C794" s="34"/>
      <c r="D794" s="34"/>
      <c r="E794" s="19"/>
      <c r="F794" s="19"/>
      <c r="G794" s="19"/>
      <c r="H794" s="19"/>
      <c r="I794" s="19"/>
      <c r="J794" s="19"/>
      <c r="K794" s="19"/>
      <c r="L794" s="19"/>
      <c r="M794" s="19"/>
      <c r="N794" s="19"/>
      <c r="O794" s="19"/>
      <c r="P794" s="19"/>
      <c r="Q794" s="20"/>
      <c r="R794" s="20"/>
      <c r="S794" s="22"/>
      <c r="T794" s="22"/>
      <c r="U794" s="20"/>
      <c r="V794" s="20"/>
      <c r="W794" s="20"/>
      <c r="X794" s="19"/>
      <c r="Y794" s="19"/>
      <c r="Z794" s="19"/>
      <c r="AA794" s="23"/>
    </row>
    <row r="795" spans="1:27" ht="15.75" customHeight="1" x14ac:dyDescent="0.2">
      <c r="A795" s="34"/>
      <c r="B795" s="34"/>
      <c r="C795" s="34"/>
      <c r="D795" s="34"/>
      <c r="E795" s="19"/>
      <c r="F795" s="19"/>
      <c r="G795" s="19"/>
      <c r="H795" s="19"/>
      <c r="I795" s="19"/>
      <c r="J795" s="19"/>
      <c r="K795" s="19"/>
      <c r="L795" s="19"/>
      <c r="M795" s="19"/>
      <c r="N795" s="19"/>
      <c r="O795" s="19"/>
      <c r="P795" s="19"/>
      <c r="Q795" s="20"/>
      <c r="R795" s="20"/>
      <c r="S795" s="22"/>
      <c r="T795" s="22"/>
      <c r="U795" s="20"/>
      <c r="V795" s="20"/>
      <c r="W795" s="20"/>
      <c r="X795" s="19"/>
      <c r="Y795" s="19"/>
      <c r="Z795" s="19"/>
      <c r="AA795" s="23"/>
    </row>
    <row r="796" spans="1:27" ht="15.75" customHeight="1" x14ac:dyDescent="0.2">
      <c r="A796" s="34"/>
      <c r="B796" s="34"/>
      <c r="C796" s="34"/>
      <c r="D796" s="34"/>
      <c r="E796" s="19"/>
      <c r="F796" s="19"/>
      <c r="G796" s="19"/>
      <c r="H796" s="19"/>
      <c r="I796" s="19"/>
      <c r="J796" s="19"/>
      <c r="K796" s="19"/>
      <c r="L796" s="19"/>
      <c r="M796" s="19"/>
      <c r="N796" s="19"/>
      <c r="O796" s="19"/>
      <c r="P796" s="19"/>
      <c r="Q796" s="20"/>
      <c r="R796" s="20"/>
      <c r="S796" s="22"/>
      <c r="T796" s="22"/>
      <c r="U796" s="20"/>
      <c r="V796" s="20"/>
      <c r="W796" s="20"/>
      <c r="X796" s="19"/>
      <c r="Y796" s="19"/>
      <c r="Z796" s="19"/>
      <c r="AA796" s="23"/>
    </row>
    <row r="797" spans="1:27" ht="15.75" customHeight="1" x14ac:dyDescent="0.2">
      <c r="A797" s="34"/>
      <c r="B797" s="34"/>
      <c r="C797" s="34"/>
      <c r="D797" s="34"/>
      <c r="E797" s="19"/>
      <c r="F797" s="19"/>
      <c r="G797" s="19"/>
      <c r="H797" s="19"/>
      <c r="I797" s="19"/>
      <c r="J797" s="19"/>
      <c r="K797" s="19"/>
      <c r="L797" s="19"/>
      <c r="M797" s="19"/>
      <c r="N797" s="19"/>
      <c r="O797" s="19"/>
      <c r="P797" s="19"/>
      <c r="Q797" s="20"/>
      <c r="R797" s="20"/>
      <c r="S797" s="22"/>
      <c r="T797" s="22"/>
      <c r="U797" s="20"/>
      <c r="V797" s="20"/>
      <c r="W797" s="20"/>
      <c r="X797" s="19"/>
      <c r="Y797" s="19"/>
      <c r="Z797" s="19"/>
      <c r="AA797" s="23"/>
    </row>
    <row r="798" spans="1:27" ht="15.75" customHeight="1" x14ac:dyDescent="0.2">
      <c r="A798" s="34"/>
      <c r="B798" s="34"/>
      <c r="C798" s="34"/>
      <c r="D798" s="34"/>
      <c r="E798" s="19"/>
      <c r="F798" s="19"/>
      <c r="G798" s="19"/>
      <c r="H798" s="19"/>
      <c r="I798" s="19"/>
      <c r="J798" s="19"/>
      <c r="K798" s="19"/>
      <c r="L798" s="19"/>
      <c r="M798" s="19"/>
      <c r="N798" s="19"/>
      <c r="O798" s="19"/>
      <c r="P798" s="19"/>
      <c r="Q798" s="20"/>
      <c r="R798" s="20"/>
      <c r="S798" s="22"/>
      <c r="T798" s="22"/>
      <c r="U798" s="20"/>
      <c r="V798" s="20"/>
      <c r="W798" s="20"/>
      <c r="X798" s="19"/>
      <c r="Y798" s="19"/>
      <c r="Z798" s="19"/>
      <c r="AA798" s="23"/>
    </row>
    <row r="799" spans="1:27" ht="15.75" customHeight="1" x14ac:dyDescent="0.2">
      <c r="A799" s="34"/>
      <c r="B799" s="34"/>
      <c r="C799" s="34"/>
      <c r="D799" s="34"/>
      <c r="E799" s="19"/>
      <c r="F799" s="19"/>
      <c r="G799" s="19"/>
      <c r="H799" s="19"/>
      <c r="I799" s="19"/>
      <c r="J799" s="19"/>
      <c r="K799" s="19"/>
      <c r="L799" s="19"/>
      <c r="M799" s="19"/>
      <c r="N799" s="19"/>
      <c r="O799" s="19"/>
      <c r="P799" s="19"/>
      <c r="Q799" s="20"/>
      <c r="R799" s="20"/>
      <c r="S799" s="22"/>
      <c r="T799" s="22"/>
      <c r="U799" s="20"/>
      <c r="V799" s="20"/>
      <c r="W799" s="20"/>
      <c r="X799" s="19"/>
      <c r="Y799" s="19"/>
      <c r="Z799" s="19"/>
      <c r="AA799" s="23"/>
    </row>
    <row r="800" spans="1:27" ht="15.75" customHeight="1" x14ac:dyDescent="0.2">
      <c r="A800" s="34"/>
      <c r="B800" s="34"/>
      <c r="C800" s="34"/>
      <c r="D800" s="34"/>
      <c r="E800" s="19"/>
      <c r="F800" s="19"/>
      <c r="G800" s="19"/>
      <c r="H800" s="19"/>
      <c r="I800" s="19"/>
      <c r="J800" s="19"/>
      <c r="K800" s="19"/>
      <c r="L800" s="19"/>
      <c r="M800" s="19"/>
      <c r="N800" s="19"/>
      <c r="O800" s="19"/>
      <c r="P800" s="19"/>
      <c r="Q800" s="20"/>
      <c r="R800" s="20"/>
      <c r="S800" s="22"/>
      <c r="T800" s="22"/>
      <c r="U800" s="20"/>
      <c r="V800" s="20"/>
      <c r="W800" s="20"/>
      <c r="X800" s="19"/>
      <c r="Y800" s="19"/>
      <c r="Z800" s="19"/>
      <c r="AA800" s="23"/>
    </row>
    <row r="801" spans="1:27" ht="15.75" customHeight="1" x14ac:dyDescent="0.2">
      <c r="A801" s="34"/>
      <c r="B801" s="34"/>
      <c r="C801" s="34"/>
      <c r="D801" s="34"/>
      <c r="E801" s="19"/>
      <c r="F801" s="19"/>
      <c r="G801" s="19"/>
      <c r="H801" s="19"/>
      <c r="I801" s="19"/>
      <c r="J801" s="19"/>
      <c r="K801" s="19"/>
      <c r="L801" s="19"/>
      <c r="M801" s="19"/>
      <c r="N801" s="19"/>
      <c r="O801" s="19"/>
      <c r="P801" s="19"/>
      <c r="Q801" s="20"/>
      <c r="R801" s="20"/>
      <c r="S801" s="22"/>
      <c r="T801" s="22"/>
      <c r="U801" s="20"/>
      <c r="V801" s="20"/>
      <c r="W801" s="20"/>
      <c r="X801" s="19"/>
      <c r="Y801" s="19"/>
      <c r="Z801" s="19"/>
      <c r="AA801" s="23"/>
    </row>
    <row r="802" spans="1:27" ht="15.75" customHeight="1" x14ac:dyDescent="0.2">
      <c r="A802" s="34"/>
      <c r="B802" s="34"/>
      <c r="C802" s="34"/>
      <c r="D802" s="34"/>
      <c r="E802" s="19"/>
      <c r="F802" s="19"/>
      <c r="G802" s="19"/>
      <c r="H802" s="19"/>
      <c r="I802" s="19"/>
      <c r="J802" s="19"/>
      <c r="K802" s="19"/>
      <c r="L802" s="19"/>
      <c r="M802" s="19"/>
      <c r="N802" s="19"/>
      <c r="O802" s="19"/>
      <c r="P802" s="19"/>
      <c r="Q802" s="20"/>
      <c r="R802" s="20"/>
      <c r="S802" s="22"/>
      <c r="T802" s="22"/>
      <c r="U802" s="20"/>
      <c r="V802" s="20"/>
      <c r="W802" s="20"/>
      <c r="X802" s="19"/>
      <c r="Y802" s="19"/>
      <c r="Z802" s="19"/>
      <c r="AA802" s="23"/>
    </row>
    <row r="803" spans="1:27" ht="15.75" customHeight="1" x14ac:dyDescent="0.2">
      <c r="A803" s="34"/>
      <c r="B803" s="34"/>
      <c r="C803" s="34"/>
      <c r="D803" s="34"/>
      <c r="E803" s="19"/>
      <c r="F803" s="19"/>
      <c r="G803" s="19"/>
      <c r="H803" s="19"/>
      <c r="I803" s="19"/>
      <c r="J803" s="19"/>
      <c r="K803" s="19"/>
      <c r="L803" s="19"/>
      <c r="M803" s="19"/>
      <c r="N803" s="19"/>
      <c r="O803" s="19"/>
      <c r="P803" s="19"/>
      <c r="Q803" s="20"/>
      <c r="R803" s="20"/>
      <c r="S803" s="22"/>
      <c r="T803" s="22"/>
      <c r="U803" s="20"/>
      <c r="V803" s="20"/>
      <c r="W803" s="20"/>
      <c r="X803" s="19"/>
      <c r="Y803" s="19"/>
      <c r="Z803" s="19"/>
      <c r="AA803" s="23"/>
    </row>
    <row r="804" spans="1:27" ht="15.75" customHeight="1" x14ac:dyDescent="0.2">
      <c r="A804" s="34"/>
      <c r="B804" s="34"/>
      <c r="C804" s="34"/>
      <c r="D804" s="34"/>
      <c r="E804" s="19"/>
      <c r="F804" s="19"/>
      <c r="G804" s="19"/>
      <c r="H804" s="19"/>
      <c r="I804" s="19"/>
      <c r="J804" s="19"/>
      <c r="K804" s="19"/>
      <c r="L804" s="19"/>
      <c r="M804" s="19"/>
      <c r="N804" s="19"/>
      <c r="O804" s="19"/>
      <c r="P804" s="19"/>
      <c r="Q804" s="20"/>
      <c r="R804" s="20"/>
      <c r="S804" s="22"/>
      <c r="T804" s="22"/>
      <c r="U804" s="20"/>
      <c r="V804" s="20"/>
      <c r="W804" s="20"/>
      <c r="X804" s="19"/>
      <c r="Y804" s="19"/>
      <c r="Z804" s="19"/>
      <c r="AA804" s="23"/>
    </row>
    <row r="805" spans="1:27" ht="15.75" customHeight="1" x14ac:dyDescent="0.2">
      <c r="A805" s="34"/>
      <c r="B805" s="34"/>
      <c r="C805" s="34"/>
      <c r="D805" s="34"/>
      <c r="E805" s="19"/>
      <c r="F805" s="19"/>
      <c r="G805" s="19"/>
      <c r="H805" s="19"/>
      <c r="I805" s="19"/>
      <c r="J805" s="19"/>
      <c r="K805" s="19"/>
      <c r="L805" s="19"/>
      <c r="M805" s="19"/>
      <c r="N805" s="19"/>
      <c r="O805" s="19"/>
      <c r="P805" s="19"/>
      <c r="Q805" s="20"/>
      <c r="R805" s="20"/>
      <c r="S805" s="22"/>
      <c r="T805" s="22"/>
      <c r="U805" s="20"/>
      <c r="V805" s="20"/>
      <c r="W805" s="20"/>
      <c r="X805" s="19"/>
      <c r="Y805" s="19"/>
      <c r="Z805" s="19"/>
      <c r="AA805" s="23"/>
    </row>
    <row r="806" spans="1:27" ht="15.75" customHeight="1" x14ac:dyDescent="0.2">
      <c r="A806" s="34"/>
      <c r="B806" s="34"/>
      <c r="C806" s="34"/>
      <c r="D806" s="34"/>
      <c r="E806" s="19"/>
      <c r="F806" s="19"/>
      <c r="G806" s="19"/>
      <c r="H806" s="19"/>
      <c r="I806" s="19"/>
      <c r="J806" s="19"/>
      <c r="K806" s="19"/>
      <c r="L806" s="19"/>
      <c r="M806" s="19"/>
      <c r="N806" s="19"/>
      <c r="O806" s="19"/>
      <c r="P806" s="19"/>
      <c r="Q806" s="20"/>
      <c r="R806" s="20"/>
      <c r="S806" s="22"/>
      <c r="T806" s="22"/>
      <c r="U806" s="20"/>
      <c r="V806" s="20"/>
      <c r="W806" s="20"/>
      <c r="X806" s="19"/>
      <c r="Y806" s="19"/>
      <c r="Z806" s="19"/>
      <c r="AA806" s="23"/>
    </row>
    <row r="807" spans="1:27" ht="15.75" customHeight="1" x14ac:dyDescent="0.2">
      <c r="A807" s="34"/>
      <c r="B807" s="34"/>
      <c r="C807" s="34"/>
      <c r="D807" s="34"/>
      <c r="E807" s="19"/>
      <c r="F807" s="19"/>
      <c r="G807" s="19"/>
      <c r="H807" s="19"/>
      <c r="I807" s="19"/>
      <c r="J807" s="19"/>
      <c r="K807" s="19"/>
      <c r="L807" s="19"/>
      <c r="M807" s="19"/>
      <c r="N807" s="19"/>
      <c r="O807" s="19"/>
      <c r="P807" s="19"/>
      <c r="Q807" s="20"/>
      <c r="R807" s="20"/>
      <c r="S807" s="22"/>
      <c r="T807" s="22"/>
      <c r="U807" s="20"/>
      <c r="V807" s="20"/>
      <c r="W807" s="20"/>
      <c r="X807" s="19"/>
      <c r="Y807" s="19"/>
      <c r="Z807" s="19"/>
      <c r="AA807" s="23"/>
    </row>
    <row r="808" spans="1:27" ht="15.75" customHeight="1" x14ac:dyDescent="0.2">
      <c r="A808" s="34"/>
      <c r="B808" s="34"/>
      <c r="C808" s="34"/>
      <c r="D808" s="34"/>
      <c r="E808" s="19"/>
      <c r="F808" s="19"/>
      <c r="G808" s="19"/>
      <c r="H808" s="19"/>
      <c r="I808" s="19"/>
      <c r="J808" s="19"/>
      <c r="K808" s="19"/>
      <c r="L808" s="19"/>
      <c r="M808" s="19"/>
      <c r="N808" s="19"/>
      <c r="O808" s="19"/>
      <c r="P808" s="19"/>
      <c r="Q808" s="20"/>
      <c r="R808" s="20"/>
      <c r="S808" s="22"/>
      <c r="T808" s="22"/>
      <c r="U808" s="20"/>
      <c r="V808" s="20"/>
      <c r="W808" s="20"/>
      <c r="X808" s="19"/>
      <c r="Y808" s="19"/>
      <c r="Z808" s="19"/>
      <c r="AA808" s="23"/>
    </row>
    <row r="809" spans="1:27" ht="15.75" customHeight="1" x14ac:dyDescent="0.2">
      <c r="A809" s="34"/>
      <c r="B809" s="34"/>
      <c r="C809" s="34"/>
      <c r="D809" s="34"/>
      <c r="E809" s="19"/>
      <c r="F809" s="19"/>
      <c r="G809" s="19"/>
      <c r="H809" s="19"/>
      <c r="I809" s="19"/>
      <c r="J809" s="19"/>
      <c r="K809" s="19"/>
      <c r="L809" s="19"/>
      <c r="M809" s="19"/>
      <c r="N809" s="19"/>
      <c r="O809" s="19"/>
      <c r="P809" s="19"/>
      <c r="Q809" s="20"/>
      <c r="R809" s="20"/>
      <c r="S809" s="22"/>
      <c r="T809" s="22"/>
      <c r="U809" s="20"/>
      <c r="V809" s="20"/>
      <c r="W809" s="20"/>
      <c r="X809" s="19"/>
      <c r="Y809" s="19"/>
      <c r="Z809" s="19"/>
      <c r="AA809" s="23"/>
    </row>
    <row r="810" spans="1:27" ht="15.75" customHeight="1" x14ac:dyDescent="0.2">
      <c r="A810" s="34"/>
      <c r="B810" s="34"/>
      <c r="C810" s="34"/>
      <c r="D810" s="34"/>
      <c r="E810" s="19"/>
      <c r="F810" s="19"/>
      <c r="G810" s="19"/>
      <c r="H810" s="19"/>
      <c r="I810" s="19"/>
      <c r="J810" s="19"/>
      <c r="K810" s="19"/>
      <c r="L810" s="19"/>
      <c r="M810" s="19"/>
      <c r="N810" s="19"/>
      <c r="O810" s="19"/>
      <c r="P810" s="19"/>
      <c r="Q810" s="20"/>
      <c r="R810" s="20"/>
      <c r="S810" s="22"/>
      <c r="T810" s="22"/>
      <c r="U810" s="20"/>
      <c r="V810" s="20"/>
      <c r="W810" s="20"/>
      <c r="X810" s="19"/>
      <c r="Y810" s="19"/>
      <c r="Z810" s="19"/>
      <c r="AA810" s="23"/>
    </row>
    <row r="811" spans="1:27" ht="15.75" customHeight="1" x14ac:dyDescent="0.2">
      <c r="A811" s="34"/>
      <c r="B811" s="34"/>
      <c r="C811" s="34"/>
      <c r="D811" s="34"/>
      <c r="E811" s="19"/>
      <c r="F811" s="19"/>
      <c r="G811" s="19"/>
      <c r="H811" s="19"/>
      <c r="I811" s="19"/>
      <c r="J811" s="19"/>
      <c r="K811" s="19"/>
      <c r="L811" s="19"/>
      <c r="M811" s="19"/>
      <c r="N811" s="19"/>
      <c r="O811" s="19"/>
      <c r="P811" s="19"/>
      <c r="Q811" s="20"/>
      <c r="R811" s="20"/>
      <c r="S811" s="22"/>
      <c r="T811" s="22"/>
      <c r="U811" s="20"/>
      <c r="V811" s="20"/>
      <c r="W811" s="20"/>
      <c r="X811" s="19"/>
      <c r="Y811" s="19"/>
      <c r="Z811" s="19"/>
      <c r="AA811" s="23"/>
    </row>
    <row r="812" spans="1:27" ht="15.75" customHeight="1" x14ac:dyDescent="0.2">
      <c r="A812" s="34"/>
      <c r="B812" s="34"/>
      <c r="C812" s="34"/>
      <c r="D812" s="34"/>
      <c r="E812" s="19"/>
      <c r="F812" s="19"/>
      <c r="G812" s="19"/>
      <c r="H812" s="19"/>
      <c r="I812" s="19"/>
      <c r="J812" s="19"/>
      <c r="K812" s="19"/>
      <c r="L812" s="19"/>
      <c r="M812" s="19"/>
      <c r="N812" s="19"/>
      <c r="O812" s="19"/>
      <c r="P812" s="19"/>
      <c r="Q812" s="20"/>
      <c r="R812" s="20"/>
      <c r="S812" s="22"/>
      <c r="T812" s="22"/>
      <c r="U812" s="20"/>
      <c r="V812" s="20"/>
      <c r="W812" s="20"/>
      <c r="X812" s="19"/>
      <c r="Y812" s="19"/>
      <c r="Z812" s="19"/>
      <c r="AA812" s="23"/>
    </row>
    <row r="813" spans="1:27" ht="15.75" customHeight="1" x14ac:dyDescent="0.2">
      <c r="A813" s="34"/>
      <c r="B813" s="34"/>
      <c r="C813" s="34"/>
      <c r="D813" s="34"/>
      <c r="E813" s="19"/>
      <c r="F813" s="19"/>
      <c r="G813" s="19"/>
      <c r="H813" s="19"/>
      <c r="I813" s="19"/>
      <c r="J813" s="19"/>
      <c r="K813" s="19"/>
      <c r="L813" s="19"/>
      <c r="M813" s="19"/>
      <c r="N813" s="19"/>
      <c r="O813" s="19"/>
      <c r="P813" s="19"/>
      <c r="Q813" s="20"/>
      <c r="R813" s="20"/>
      <c r="S813" s="22"/>
      <c r="T813" s="22"/>
      <c r="U813" s="20"/>
      <c r="V813" s="20"/>
      <c r="W813" s="20"/>
      <c r="X813" s="19"/>
      <c r="Y813" s="19"/>
      <c r="Z813" s="19"/>
      <c r="AA813" s="23"/>
    </row>
    <row r="814" spans="1:27" ht="15.75" customHeight="1" x14ac:dyDescent="0.2">
      <c r="A814" s="34"/>
      <c r="B814" s="34"/>
      <c r="C814" s="34"/>
      <c r="D814" s="34"/>
      <c r="E814" s="19"/>
      <c r="F814" s="19"/>
      <c r="G814" s="19"/>
      <c r="H814" s="19"/>
      <c r="I814" s="19"/>
      <c r="J814" s="19"/>
      <c r="K814" s="19"/>
      <c r="L814" s="19"/>
      <c r="M814" s="19"/>
      <c r="N814" s="19"/>
      <c r="O814" s="19"/>
      <c r="P814" s="19"/>
      <c r="Q814" s="20"/>
      <c r="R814" s="20"/>
      <c r="S814" s="22"/>
      <c r="T814" s="22"/>
      <c r="U814" s="20"/>
      <c r="V814" s="20"/>
      <c r="W814" s="20"/>
      <c r="X814" s="19"/>
      <c r="Y814" s="19"/>
      <c r="Z814" s="19"/>
      <c r="AA814" s="23"/>
    </row>
    <row r="815" spans="1:27" ht="15.75" customHeight="1" x14ac:dyDescent="0.2">
      <c r="A815" s="34"/>
      <c r="B815" s="34"/>
      <c r="C815" s="34"/>
      <c r="D815" s="34"/>
      <c r="E815" s="19"/>
      <c r="F815" s="19"/>
      <c r="G815" s="19"/>
      <c r="H815" s="19"/>
      <c r="I815" s="19"/>
      <c r="J815" s="19"/>
      <c r="K815" s="19"/>
      <c r="L815" s="19"/>
      <c r="M815" s="19"/>
      <c r="N815" s="19"/>
      <c r="O815" s="19"/>
      <c r="P815" s="19"/>
      <c r="Q815" s="20"/>
      <c r="R815" s="20"/>
      <c r="S815" s="22"/>
      <c r="T815" s="22"/>
      <c r="U815" s="20"/>
      <c r="V815" s="20"/>
      <c r="W815" s="20"/>
      <c r="X815" s="19"/>
      <c r="Y815" s="19"/>
      <c r="Z815" s="19"/>
      <c r="AA815" s="23"/>
    </row>
    <row r="816" spans="1:27" ht="15.75" customHeight="1" x14ac:dyDescent="0.2">
      <c r="A816" s="34"/>
      <c r="B816" s="34"/>
      <c r="C816" s="34"/>
      <c r="D816" s="34"/>
      <c r="E816" s="19"/>
      <c r="F816" s="19"/>
      <c r="G816" s="19"/>
      <c r="H816" s="19"/>
      <c r="I816" s="19"/>
      <c r="J816" s="19"/>
      <c r="K816" s="19"/>
      <c r="L816" s="19"/>
      <c r="M816" s="19"/>
      <c r="N816" s="19"/>
      <c r="O816" s="19"/>
      <c r="P816" s="19"/>
      <c r="Q816" s="20"/>
      <c r="R816" s="20"/>
      <c r="S816" s="22"/>
      <c r="T816" s="22"/>
      <c r="U816" s="20"/>
      <c r="V816" s="20"/>
      <c r="W816" s="20"/>
      <c r="X816" s="19"/>
      <c r="Y816" s="19"/>
      <c r="Z816" s="19"/>
      <c r="AA816" s="23"/>
    </row>
    <row r="817" spans="1:27" ht="15.75" customHeight="1" x14ac:dyDescent="0.2">
      <c r="A817" s="34"/>
      <c r="B817" s="34"/>
      <c r="C817" s="34"/>
      <c r="D817" s="34"/>
      <c r="E817" s="19"/>
      <c r="F817" s="19"/>
      <c r="G817" s="19"/>
      <c r="H817" s="19"/>
      <c r="I817" s="19"/>
      <c r="J817" s="19"/>
      <c r="K817" s="19"/>
      <c r="L817" s="19"/>
      <c r="M817" s="19"/>
      <c r="N817" s="19"/>
      <c r="O817" s="19"/>
      <c r="P817" s="19"/>
      <c r="Q817" s="20"/>
      <c r="R817" s="20"/>
      <c r="S817" s="22"/>
      <c r="T817" s="22"/>
      <c r="U817" s="20"/>
      <c r="V817" s="20"/>
      <c r="W817" s="20"/>
      <c r="X817" s="19"/>
      <c r="Y817" s="19"/>
      <c r="Z817" s="19"/>
      <c r="AA817" s="23"/>
    </row>
    <row r="818" spans="1:27" ht="15.75" customHeight="1" x14ac:dyDescent="0.2">
      <c r="A818" s="34"/>
      <c r="B818" s="34"/>
      <c r="C818" s="34"/>
      <c r="D818" s="34"/>
      <c r="E818" s="19"/>
      <c r="F818" s="19"/>
      <c r="G818" s="19"/>
      <c r="H818" s="19"/>
      <c r="I818" s="19"/>
      <c r="J818" s="19"/>
      <c r="K818" s="19"/>
      <c r="L818" s="19"/>
      <c r="M818" s="19"/>
      <c r="N818" s="19"/>
      <c r="O818" s="19"/>
      <c r="P818" s="19"/>
      <c r="Q818" s="20"/>
      <c r="R818" s="20"/>
      <c r="S818" s="22"/>
      <c r="T818" s="22"/>
      <c r="U818" s="20"/>
      <c r="V818" s="20"/>
      <c r="W818" s="20"/>
      <c r="X818" s="19"/>
      <c r="Y818" s="19"/>
      <c r="Z818" s="19"/>
      <c r="AA818" s="23"/>
    </row>
    <row r="819" spans="1:27" ht="15.75" customHeight="1" x14ac:dyDescent="0.2">
      <c r="A819" s="34"/>
      <c r="B819" s="34"/>
      <c r="C819" s="34"/>
      <c r="D819" s="34"/>
      <c r="E819" s="19"/>
      <c r="F819" s="19"/>
      <c r="G819" s="19"/>
      <c r="H819" s="19"/>
      <c r="I819" s="19"/>
      <c r="J819" s="19"/>
      <c r="K819" s="19"/>
      <c r="L819" s="19"/>
      <c r="M819" s="19"/>
      <c r="N819" s="19"/>
      <c r="O819" s="19"/>
      <c r="P819" s="19"/>
      <c r="Q819" s="20"/>
      <c r="R819" s="20"/>
      <c r="S819" s="22"/>
      <c r="T819" s="22"/>
      <c r="U819" s="20"/>
      <c r="V819" s="20"/>
      <c r="W819" s="20"/>
      <c r="X819" s="19"/>
      <c r="Y819" s="19"/>
      <c r="Z819" s="19"/>
      <c r="AA819" s="23"/>
    </row>
    <row r="820" spans="1:27" ht="15.75" customHeight="1" x14ac:dyDescent="0.2">
      <c r="A820" s="34"/>
      <c r="B820" s="34"/>
      <c r="C820" s="34"/>
      <c r="D820" s="34"/>
      <c r="E820" s="19"/>
      <c r="F820" s="19"/>
      <c r="G820" s="19"/>
      <c r="H820" s="19"/>
      <c r="I820" s="19"/>
      <c r="J820" s="19"/>
      <c r="K820" s="19"/>
      <c r="L820" s="19"/>
      <c r="M820" s="19"/>
      <c r="N820" s="19"/>
      <c r="O820" s="19"/>
      <c r="P820" s="19"/>
      <c r="Q820" s="20"/>
      <c r="R820" s="20"/>
      <c r="S820" s="22"/>
      <c r="T820" s="22"/>
      <c r="U820" s="20"/>
      <c r="V820" s="20"/>
      <c r="W820" s="20"/>
      <c r="X820" s="19"/>
      <c r="Y820" s="19"/>
      <c r="Z820" s="19"/>
      <c r="AA820" s="23"/>
    </row>
    <row r="821" spans="1:27" ht="15.75" customHeight="1" x14ac:dyDescent="0.2">
      <c r="A821" s="34"/>
      <c r="B821" s="34"/>
      <c r="C821" s="34"/>
      <c r="D821" s="34"/>
      <c r="E821" s="19"/>
      <c r="F821" s="19"/>
      <c r="G821" s="19"/>
      <c r="H821" s="19"/>
      <c r="I821" s="19"/>
      <c r="J821" s="19"/>
      <c r="K821" s="19"/>
      <c r="L821" s="19"/>
      <c r="M821" s="19"/>
      <c r="N821" s="19"/>
      <c r="O821" s="19"/>
      <c r="P821" s="19"/>
      <c r="Q821" s="20"/>
      <c r="R821" s="20"/>
      <c r="S821" s="22"/>
      <c r="T821" s="22"/>
      <c r="U821" s="20"/>
      <c r="V821" s="20"/>
      <c r="W821" s="20"/>
      <c r="X821" s="19"/>
      <c r="Y821" s="19"/>
      <c r="Z821" s="19"/>
      <c r="AA821" s="23"/>
    </row>
    <row r="822" spans="1:27" ht="15.75" customHeight="1" x14ac:dyDescent="0.2">
      <c r="A822" s="34"/>
      <c r="B822" s="34"/>
      <c r="C822" s="34"/>
      <c r="D822" s="34"/>
      <c r="E822" s="19"/>
      <c r="F822" s="19"/>
      <c r="G822" s="19"/>
      <c r="H822" s="19"/>
      <c r="I822" s="19"/>
      <c r="J822" s="19"/>
      <c r="K822" s="19"/>
      <c r="L822" s="19"/>
      <c r="M822" s="19"/>
      <c r="N822" s="19"/>
      <c r="O822" s="19"/>
      <c r="P822" s="19"/>
      <c r="Q822" s="20"/>
      <c r="R822" s="20"/>
      <c r="S822" s="22"/>
      <c r="T822" s="22"/>
      <c r="U822" s="20"/>
      <c r="V822" s="20"/>
      <c r="W822" s="20"/>
      <c r="X822" s="19"/>
      <c r="Y822" s="19"/>
      <c r="Z822" s="19"/>
      <c r="AA822" s="23"/>
    </row>
    <row r="823" spans="1:27" ht="15.75" customHeight="1" x14ac:dyDescent="0.2">
      <c r="A823" s="34"/>
      <c r="B823" s="34"/>
      <c r="C823" s="34"/>
      <c r="D823" s="34"/>
      <c r="E823" s="19"/>
      <c r="F823" s="19"/>
      <c r="G823" s="19"/>
      <c r="H823" s="19"/>
      <c r="I823" s="19"/>
      <c r="J823" s="19"/>
      <c r="K823" s="19"/>
      <c r="L823" s="19"/>
      <c r="M823" s="19"/>
      <c r="N823" s="19"/>
      <c r="O823" s="19"/>
      <c r="P823" s="19"/>
      <c r="Q823" s="20"/>
      <c r="R823" s="20"/>
      <c r="S823" s="22"/>
      <c r="T823" s="22"/>
      <c r="U823" s="20"/>
      <c r="V823" s="20"/>
      <c r="W823" s="20"/>
      <c r="X823" s="19"/>
      <c r="Y823" s="19"/>
      <c r="Z823" s="19"/>
      <c r="AA823" s="23"/>
    </row>
    <row r="824" spans="1:27" ht="15.75" customHeight="1" x14ac:dyDescent="0.2">
      <c r="A824" s="34"/>
      <c r="B824" s="34"/>
      <c r="C824" s="34"/>
      <c r="D824" s="34"/>
      <c r="E824" s="19"/>
      <c r="F824" s="19"/>
      <c r="G824" s="19"/>
      <c r="H824" s="19"/>
      <c r="I824" s="19"/>
      <c r="J824" s="19"/>
      <c r="K824" s="19"/>
      <c r="L824" s="19"/>
      <c r="M824" s="19"/>
      <c r="N824" s="19"/>
      <c r="O824" s="19"/>
      <c r="P824" s="19"/>
      <c r="Q824" s="20"/>
      <c r="R824" s="20"/>
      <c r="S824" s="22"/>
      <c r="T824" s="22"/>
      <c r="U824" s="20"/>
      <c r="V824" s="20"/>
      <c r="W824" s="20"/>
      <c r="X824" s="19"/>
      <c r="Y824" s="19"/>
      <c r="Z824" s="19"/>
      <c r="AA824" s="23"/>
    </row>
    <row r="825" spans="1:27" ht="15.75" customHeight="1" x14ac:dyDescent="0.2">
      <c r="A825" s="34"/>
      <c r="B825" s="34"/>
      <c r="C825" s="34"/>
      <c r="D825" s="34"/>
      <c r="E825" s="19"/>
      <c r="F825" s="19"/>
      <c r="G825" s="19"/>
      <c r="H825" s="19"/>
      <c r="I825" s="19"/>
      <c r="J825" s="19"/>
      <c r="K825" s="19"/>
      <c r="L825" s="19"/>
      <c r="M825" s="19"/>
      <c r="N825" s="19"/>
      <c r="O825" s="19"/>
      <c r="P825" s="19"/>
      <c r="Q825" s="20"/>
      <c r="R825" s="20"/>
      <c r="S825" s="22"/>
      <c r="T825" s="22"/>
      <c r="U825" s="20"/>
      <c r="V825" s="20"/>
      <c r="W825" s="20"/>
      <c r="X825" s="19"/>
      <c r="Y825" s="19"/>
      <c r="Z825" s="19"/>
      <c r="AA825" s="23"/>
    </row>
    <row r="826" spans="1:27" ht="15.75" customHeight="1" x14ac:dyDescent="0.2">
      <c r="A826" s="34"/>
      <c r="B826" s="34"/>
      <c r="C826" s="34"/>
      <c r="D826" s="34"/>
      <c r="E826" s="19"/>
      <c r="F826" s="19"/>
      <c r="G826" s="19"/>
      <c r="H826" s="19"/>
      <c r="I826" s="19"/>
      <c r="J826" s="19"/>
      <c r="K826" s="19"/>
      <c r="L826" s="19"/>
      <c r="M826" s="19"/>
      <c r="N826" s="19"/>
      <c r="O826" s="19"/>
      <c r="P826" s="19"/>
      <c r="Q826" s="20"/>
      <c r="R826" s="20"/>
      <c r="S826" s="22"/>
      <c r="T826" s="22"/>
      <c r="U826" s="20"/>
      <c r="V826" s="20"/>
      <c r="W826" s="20"/>
      <c r="X826" s="19"/>
      <c r="Y826" s="19"/>
      <c r="Z826" s="19"/>
      <c r="AA826" s="23"/>
    </row>
    <row r="827" spans="1:27" ht="15.75" customHeight="1" x14ac:dyDescent="0.2">
      <c r="A827" s="34"/>
      <c r="B827" s="34"/>
      <c r="C827" s="34"/>
      <c r="D827" s="34"/>
      <c r="E827" s="19"/>
      <c r="F827" s="19"/>
      <c r="G827" s="19"/>
      <c r="H827" s="19"/>
      <c r="I827" s="19"/>
      <c r="J827" s="19"/>
      <c r="K827" s="19"/>
      <c r="L827" s="19"/>
      <c r="M827" s="19"/>
      <c r="N827" s="19"/>
      <c r="O827" s="19"/>
      <c r="P827" s="19"/>
      <c r="Q827" s="20"/>
      <c r="R827" s="20"/>
      <c r="S827" s="22"/>
      <c r="T827" s="22"/>
      <c r="U827" s="20"/>
      <c r="V827" s="20"/>
      <c r="W827" s="20"/>
      <c r="X827" s="19"/>
      <c r="Y827" s="19"/>
      <c r="Z827" s="19"/>
      <c r="AA827" s="23"/>
    </row>
    <row r="828" spans="1:27" ht="15.75" customHeight="1" x14ac:dyDescent="0.2">
      <c r="A828" s="34"/>
      <c r="B828" s="34"/>
      <c r="C828" s="34"/>
      <c r="D828" s="34"/>
      <c r="E828" s="19"/>
      <c r="F828" s="19"/>
      <c r="G828" s="19"/>
      <c r="H828" s="19"/>
      <c r="I828" s="19"/>
      <c r="J828" s="19"/>
      <c r="K828" s="19"/>
      <c r="L828" s="19"/>
      <c r="M828" s="19"/>
      <c r="N828" s="19"/>
      <c r="O828" s="19"/>
      <c r="P828" s="19"/>
      <c r="Q828" s="20"/>
      <c r="R828" s="20"/>
      <c r="S828" s="22"/>
      <c r="T828" s="22"/>
      <c r="U828" s="20"/>
      <c r="V828" s="20"/>
      <c r="W828" s="20"/>
      <c r="X828" s="19"/>
      <c r="Y828" s="19"/>
      <c r="Z828" s="19"/>
      <c r="AA828" s="23"/>
    </row>
    <row r="829" spans="1:27" ht="15.75" customHeight="1" x14ac:dyDescent="0.2">
      <c r="A829" s="34"/>
      <c r="B829" s="34"/>
      <c r="C829" s="34"/>
      <c r="D829" s="34"/>
      <c r="E829" s="19"/>
      <c r="F829" s="19"/>
      <c r="G829" s="19"/>
      <c r="H829" s="19"/>
      <c r="I829" s="19"/>
      <c r="J829" s="19"/>
      <c r="K829" s="19"/>
      <c r="L829" s="19"/>
      <c r="M829" s="19"/>
      <c r="N829" s="19"/>
      <c r="O829" s="19"/>
      <c r="P829" s="19"/>
      <c r="Q829" s="20"/>
      <c r="R829" s="20"/>
      <c r="S829" s="22"/>
      <c r="T829" s="22"/>
      <c r="U829" s="20"/>
      <c r="V829" s="20"/>
      <c r="W829" s="20"/>
      <c r="X829" s="19"/>
      <c r="Y829" s="19"/>
      <c r="Z829" s="19"/>
      <c r="AA829" s="23"/>
    </row>
    <row r="830" spans="1:27" ht="15.75" customHeight="1" x14ac:dyDescent="0.2">
      <c r="A830" s="34"/>
      <c r="B830" s="34"/>
      <c r="C830" s="34"/>
      <c r="D830" s="34"/>
      <c r="E830" s="19"/>
      <c r="F830" s="19"/>
      <c r="G830" s="19"/>
      <c r="H830" s="19"/>
      <c r="I830" s="19"/>
      <c r="J830" s="19"/>
      <c r="K830" s="19"/>
      <c r="L830" s="19"/>
      <c r="M830" s="19"/>
      <c r="N830" s="19"/>
      <c r="O830" s="19"/>
      <c r="P830" s="19"/>
      <c r="Q830" s="20"/>
      <c r="R830" s="20"/>
      <c r="S830" s="22"/>
      <c r="T830" s="22"/>
      <c r="U830" s="20"/>
      <c r="V830" s="20"/>
      <c r="W830" s="20"/>
      <c r="X830" s="19"/>
      <c r="Y830" s="19"/>
      <c r="Z830" s="19"/>
      <c r="AA830" s="23"/>
    </row>
    <row r="831" spans="1:27" ht="15.75" customHeight="1" x14ac:dyDescent="0.2">
      <c r="A831" s="34"/>
      <c r="B831" s="34"/>
      <c r="C831" s="34"/>
      <c r="D831" s="34"/>
      <c r="E831" s="19"/>
      <c r="F831" s="19"/>
      <c r="G831" s="19"/>
      <c r="H831" s="19"/>
      <c r="I831" s="19"/>
      <c r="J831" s="19"/>
      <c r="K831" s="19"/>
      <c r="L831" s="19"/>
      <c r="M831" s="19"/>
      <c r="N831" s="19"/>
      <c r="O831" s="19"/>
      <c r="P831" s="19"/>
      <c r="Q831" s="20"/>
      <c r="R831" s="20"/>
      <c r="S831" s="22"/>
      <c r="T831" s="22"/>
      <c r="U831" s="20"/>
      <c r="V831" s="20"/>
      <c r="W831" s="20"/>
      <c r="X831" s="19"/>
      <c r="Y831" s="19"/>
      <c r="Z831" s="19"/>
      <c r="AA831" s="23"/>
    </row>
    <row r="832" spans="1:27" ht="15.75" customHeight="1" x14ac:dyDescent="0.2">
      <c r="A832" s="34"/>
      <c r="B832" s="34"/>
      <c r="C832" s="34"/>
      <c r="D832" s="34"/>
      <c r="E832" s="19"/>
      <c r="F832" s="19"/>
      <c r="G832" s="19"/>
      <c r="H832" s="19"/>
      <c r="I832" s="19"/>
      <c r="J832" s="19"/>
      <c r="K832" s="19"/>
      <c r="L832" s="19"/>
      <c r="M832" s="19"/>
      <c r="N832" s="19"/>
      <c r="O832" s="19"/>
      <c r="P832" s="19"/>
      <c r="Q832" s="20"/>
      <c r="R832" s="20"/>
      <c r="S832" s="22"/>
      <c r="T832" s="22"/>
      <c r="U832" s="20"/>
      <c r="V832" s="20"/>
      <c r="W832" s="20"/>
      <c r="X832" s="19"/>
      <c r="Y832" s="19"/>
      <c r="Z832" s="19"/>
      <c r="AA832" s="23"/>
    </row>
    <row r="833" spans="1:27" ht="15.75" customHeight="1" x14ac:dyDescent="0.2">
      <c r="A833" s="34"/>
      <c r="B833" s="34"/>
      <c r="C833" s="34"/>
      <c r="D833" s="34"/>
      <c r="E833" s="19"/>
      <c r="F833" s="19"/>
      <c r="G833" s="19"/>
      <c r="H833" s="19"/>
      <c r="I833" s="19"/>
      <c r="J833" s="19"/>
      <c r="K833" s="19"/>
      <c r="L833" s="19"/>
      <c r="M833" s="19"/>
      <c r="N833" s="19"/>
      <c r="O833" s="19"/>
      <c r="P833" s="19"/>
      <c r="Q833" s="20"/>
      <c r="R833" s="20"/>
      <c r="S833" s="22"/>
      <c r="T833" s="22"/>
      <c r="U833" s="20"/>
      <c r="V833" s="20"/>
      <c r="W833" s="20"/>
      <c r="X833" s="19"/>
      <c r="Y833" s="19"/>
      <c r="Z833" s="19"/>
      <c r="AA833" s="23"/>
    </row>
    <row r="834" spans="1:27" ht="15.75" customHeight="1" x14ac:dyDescent="0.2">
      <c r="A834" s="34"/>
      <c r="B834" s="34"/>
      <c r="C834" s="34"/>
      <c r="D834" s="34"/>
      <c r="E834" s="19"/>
      <c r="F834" s="19"/>
      <c r="G834" s="19"/>
      <c r="H834" s="19"/>
      <c r="I834" s="19"/>
      <c r="J834" s="19"/>
      <c r="K834" s="19"/>
      <c r="L834" s="19"/>
      <c r="M834" s="19"/>
      <c r="N834" s="19"/>
      <c r="O834" s="19"/>
      <c r="P834" s="19"/>
      <c r="Q834" s="20"/>
      <c r="R834" s="20"/>
      <c r="S834" s="22"/>
      <c r="T834" s="22"/>
      <c r="U834" s="20"/>
      <c r="V834" s="20"/>
      <c r="W834" s="20"/>
      <c r="X834" s="19"/>
      <c r="Y834" s="19"/>
      <c r="Z834" s="19"/>
      <c r="AA834" s="23"/>
    </row>
    <row r="835" spans="1:27" ht="15.75" customHeight="1" x14ac:dyDescent="0.2">
      <c r="A835" s="34"/>
      <c r="B835" s="34"/>
      <c r="C835" s="34"/>
      <c r="D835" s="34"/>
      <c r="E835" s="19"/>
      <c r="F835" s="19"/>
      <c r="G835" s="19"/>
      <c r="H835" s="19"/>
      <c r="I835" s="19"/>
      <c r="J835" s="19"/>
      <c r="K835" s="19"/>
      <c r="L835" s="19"/>
      <c r="M835" s="19"/>
      <c r="N835" s="19"/>
      <c r="O835" s="19"/>
      <c r="P835" s="19"/>
      <c r="Q835" s="20"/>
      <c r="R835" s="20"/>
      <c r="S835" s="22"/>
      <c r="T835" s="22"/>
      <c r="U835" s="20"/>
      <c r="V835" s="20"/>
      <c r="W835" s="20"/>
      <c r="X835" s="19"/>
      <c r="Y835" s="19"/>
      <c r="Z835" s="19"/>
      <c r="AA835" s="23"/>
    </row>
    <row r="836" spans="1:27" ht="15.75" customHeight="1" x14ac:dyDescent="0.2">
      <c r="A836" s="34"/>
      <c r="B836" s="34"/>
      <c r="C836" s="34"/>
      <c r="D836" s="34"/>
      <c r="E836" s="19"/>
      <c r="F836" s="19"/>
      <c r="G836" s="19"/>
      <c r="H836" s="19"/>
      <c r="I836" s="19"/>
      <c r="J836" s="19"/>
      <c r="K836" s="19"/>
      <c r="L836" s="19"/>
      <c r="M836" s="19"/>
      <c r="N836" s="19"/>
      <c r="O836" s="19"/>
      <c r="P836" s="19"/>
      <c r="Q836" s="20"/>
      <c r="R836" s="20"/>
      <c r="S836" s="22"/>
      <c r="T836" s="22"/>
      <c r="U836" s="20"/>
      <c r="V836" s="20"/>
      <c r="W836" s="20"/>
      <c r="X836" s="19"/>
      <c r="Y836" s="19"/>
      <c r="Z836" s="19"/>
      <c r="AA836" s="23"/>
    </row>
    <row r="837" spans="1:27" ht="15.75" customHeight="1" x14ac:dyDescent="0.2">
      <c r="A837" s="34"/>
      <c r="B837" s="34"/>
      <c r="C837" s="34"/>
      <c r="D837" s="34"/>
      <c r="E837" s="19"/>
      <c r="F837" s="19"/>
      <c r="G837" s="19"/>
      <c r="H837" s="19"/>
      <c r="I837" s="19"/>
      <c r="J837" s="19"/>
      <c r="K837" s="19"/>
      <c r="L837" s="19"/>
      <c r="M837" s="19"/>
      <c r="N837" s="19"/>
      <c r="O837" s="19"/>
      <c r="P837" s="19"/>
      <c r="Q837" s="20"/>
      <c r="R837" s="20"/>
      <c r="S837" s="22"/>
      <c r="T837" s="22"/>
      <c r="U837" s="20"/>
      <c r="V837" s="20"/>
      <c r="W837" s="20"/>
      <c r="X837" s="19"/>
      <c r="Y837" s="19"/>
      <c r="Z837" s="19"/>
      <c r="AA837" s="23"/>
    </row>
    <row r="838" spans="1:27" ht="15.75" customHeight="1" x14ac:dyDescent="0.2">
      <c r="A838" s="34"/>
      <c r="B838" s="34"/>
      <c r="C838" s="34"/>
      <c r="D838" s="34"/>
      <c r="E838" s="19"/>
      <c r="F838" s="19"/>
      <c r="G838" s="19"/>
      <c r="H838" s="19"/>
      <c r="I838" s="19"/>
      <c r="J838" s="19"/>
      <c r="K838" s="19"/>
      <c r="L838" s="19"/>
      <c r="M838" s="19"/>
      <c r="N838" s="19"/>
      <c r="O838" s="19"/>
      <c r="P838" s="19"/>
      <c r="Q838" s="20"/>
      <c r="R838" s="20"/>
      <c r="S838" s="22"/>
      <c r="T838" s="22"/>
      <c r="U838" s="20"/>
      <c r="V838" s="20"/>
      <c r="W838" s="20"/>
      <c r="X838" s="19"/>
      <c r="Y838" s="19"/>
      <c r="Z838" s="19"/>
      <c r="AA838" s="23"/>
    </row>
    <row r="839" spans="1:27" ht="15.75" customHeight="1" x14ac:dyDescent="0.2">
      <c r="A839" s="34"/>
      <c r="B839" s="34"/>
      <c r="C839" s="34"/>
      <c r="D839" s="34"/>
      <c r="E839" s="19"/>
      <c r="F839" s="19"/>
      <c r="G839" s="19"/>
      <c r="H839" s="19"/>
      <c r="I839" s="19"/>
      <c r="J839" s="19"/>
      <c r="K839" s="19"/>
      <c r="L839" s="19"/>
      <c r="M839" s="19"/>
      <c r="N839" s="19"/>
      <c r="O839" s="19"/>
      <c r="P839" s="19"/>
      <c r="Q839" s="20"/>
      <c r="R839" s="20"/>
      <c r="S839" s="22"/>
      <c r="T839" s="22"/>
      <c r="U839" s="20"/>
      <c r="V839" s="20"/>
      <c r="W839" s="20"/>
      <c r="X839" s="19"/>
      <c r="Y839" s="19"/>
      <c r="Z839" s="19"/>
      <c r="AA839" s="23"/>
    </row>
    <row r="840" spans="1:27" ht="15.75" customHeight="1" x14ac:dyDescent="0.2">
      <c r="A840" s="34"/>
      <c r="B840" s="34"/>
      <c r="C840" s="34"/>
      <c r="D840" s="34"/>
      <c r="E840" s="19"/>
      <c r="F840" s="19"/>
      <c r="G840" s="19"/>
      <c r="H840" s="19"/>
      <c r="I840" s="19"/>
      <c r="J840" s="19"/>
      <c r="K840" s="19"/>
      <c r="L840" s="19"/>
      <c r="M840" s="19"/>
      <c r="N840" s="19"/>
      <c r="O840" s="19"/>
      <c r="P840" s="19"/>
      <c r="Q840" s="20"/>
      <c r="R840" s="20"/>
      <c r="S840" s="22"/>
      <c r="T840" s="22"/>
      <c r="U840" s="20"/>
      <c r="V840" s="20"/>
      <c r="W840" s="20"/>
      <c r="X840" s="19"/>
      <c r="Y840" s="19"/>
      <c r="Z840" s="19"/>
      <c r="AA840" s="23"/>
    </row>
    <row r="841" spans="1:27" ht="15.75" customHeight="1" x14ac:dyDescent="0.2">
      <c r="A841" s="34"/>
      <c r="B841" s="34"/>
      <c r="C841" s="34"/>
      <c r="D841" s="34"/>
      <c r="E841" s="19"/>
      <c r="F841" s="19"/>
      <c r="G841" s="19"/>
      <c r="H841" s="19"/>
      <c r="I841" s="19"/>
      <c r="J841" s="19"/>
      <c r="K841" s="19"/>
      <c r="L841" s="19"/>
      <c r="M841" s="19"/>
      <c r="N841" s="19"/>
      <c r="O841" s="19"/>
      <c r="P841" s="19"/>
      <c r="Q841" s="20"/>
      <c r="R841" s="20"/>
      <c r="S841" s="22"/>
      <c r="T841" s="22"/>
      <c r="U841" s="20"/>
      <c r="V841" s="20"/>
      <c r="W841" s="20"/>
      <c r="X841" s="19"/>
      <c r="Y841" s="19"/>
      <c r="Z841" s="19"/>
      <c r="AA841" s="23"/>
    </row>
    <row r="842" spans="1:27" ht="15.75" customHeight="1" x14ac:dyDescent="0.2">
      <c r="A842" s="34"/>
      <c r="B842" s="34"/>
      <c r="C842" s="34"/>
      <c r="D842" s="34"/>
      <c r="E842" s="19"/>
      <c r="F842" s="19"/>
      <c r="G842" s="19"/>
      <c r="H842" s="19"/>
      <c r="I842" s="19"/>
      <c r="J842" s="19"/>
      <c r="K842" s="19"/>
      <c r="L842" s="19"/>
      <c r="M842" s="19"/>
      <c r="N842" s="19"/>
      <c r="O842" s="19"/>
      <c r="P842" s="19"/>
      <c r="Q842" s="20"/>
      <c r="R842" s="20"/>
      <c r="S842" s="22"/>
      <c r="T842" s="22"/>
      <c r="U842" s="20"/>
      <c r="V842" s="20"/>
      <c r="W842" s="20"/>
      <c r="X842" s="19"/>
      <c r="Y842" s="19"/>
      <c r="Z842" s="19"/>
      <c r="AA842" s="23"/>
    </row>
    <row r="843" spans="1:27" ht="15.75" customHeight="1" x14ac:dyDescent="0.2">
      <c r="A843" s="34"/>
      <c r="B843" s="34"/>
      <c r="C843" s="34"/>
      <c r="D843" s="34"/>
      <c r="E843" s="19"/>
      <c r="F843" s="19"/>
      <c r="G843" s="19"/>
      <c r="H843" s="19"/>
      <c r="I843" s="19"/>
      <c r="J843" s="19"/>
      <c r="K843" s="19"/>
      <c r="L843" s="19"/>
      <c r="M843" s="19"/>
      <c r="N843" s="19"/>
      <c r="O843" s="19"/>
      <c r="P843" s="19"/>
      <c r="Q843" s="20"/>
      <c r="R843" s="20"/>
      <c r="S843" s="22"/>
      <c r="T843" s="22"/>
      <c r="U843" s="20"/>
      <c r="V843" s="20"/>
      <c r="W843" s="20"/>
      <c r="X843" s="19"/>
      <c r="Y843" s="19"/>
      <c r="Z843" s="19"/>
      <c r="AA843" s="23"/>
    </row>
    <row r="844" spans="1:27" ht="15.75" customHeight="1" x14ac:dyDescent="0.2">
      <c r="A844" s="34"/>
      <c r="B844" s="34"/>
      <c r="C844" s="34"/>
      <c r="D844" s="34"/>
      <c r="E844" s="19"/>
      <c r="F844" s="19"/>
      <c r="G844" s="19"/>
      <c r="H844" s="19"/>
      <c r="I844" s="19"/>
      <c r="J844" s="19"/>
      <c r="K844" s="19"/>
      <c r="L844" s="19"/>
      <c r="M844" s="19"/>
      <c r="N844" s="19"/>
      <c r="O844" s="19"/>
      <c r="P844" s="19"/>
      <c r="Q844" s="20"/>
      <c r="R844" s="20"/>
      <c r="S844" s="22"/>
      <c r="T844" s="22"/>
      <c r="U844" s="20"/>
      <c r="V844" s="20"/>
      <c r="W844" s="20"/>
      <c r="X844" s="19"/>
      <c r="Y844" s="19"/>
      <c r="Z844" s="19"/>
      <c r="AA844" s="23"/>
    </row>
    <row r="845" spans="1:27" ht="15.75" customHeight="1" x14ac:dyDescent="0.2">
      <c r="A845" s="34"/>
      <c r="B845" s="34"/>
      <c r="C845" s="34"/>
      <c r="D845" s="34"/>
      <c r="E845" s="19"/>
      <c r="F845" s="19"/>
      <c r="G845" s="19"/>
      <c r="H845" s="19"/>
      <c r="I845" s="19"/>
      <c r="J845" s="19"/>
      <c r="K845" s="19"/>
      <c r="L845" s="19"/>
      <c r="M845" s="19"/>
      <c r="N845" s="19"/>
      <c r="O845" s="19"/>
      <c r="P845" s="19"/>
      <c r="Q845" s="20"/>
      <c r="R845" s="20"/>
      <c r="S845" s="22"/>
      <c r="T845" s="22"/>
      <c r="U845" s="20"/>
      <c r="V845" s="20"/>
      <c r="W845" s="20"/>
      <c r="X845" s="19"/>
      <c r="Y845" s="19"/>
      <c r="Z845" s="19"/>
      <c r="AA845" s="23"/>
    </row>
    <row r="846" spans="1:27" ht="15.75" customHeight="1" x14ac:dyDescent="0.2">
      <c r="A846" s="34"/>
      <c r="B846" s="34"/>
      <c r="C846" s="34"/>
      <c r="D846" s="34"/>
      <c r="E846" s="19"/>
      <c r="F846" s="19"/>
      <c r="G846" s="19"/>
      <c r="H846" s="19"/>
      <c r="I846" s="19"/>
      <c r="J846" s="19"/>
      <c r="K846" s="19"/>
      <c r="L846" s="19"/>
      <c r="M846" s="19"/>
      <c r="N846" s="19"/>
      <c r="O846" s="19"/>
      <c r="P846" s="19"/>
      <c r="Q846" s="20"/>
      <c r="R846" s="20"/>
      <c r="S846" s="22"/>
      <c r="T846" s="22"/>
      <c r="U846" s="20"/>
      <c r="V846" s="20"/>
      <c r="W846" s="20"/>
      <c r="X846" s="19"/>
      <c r="Y846" s="19"/>
      <c r="Z846" s="19"/>
      <c r="AA846" s="23"/>
    </row>
    <row r="847" spans="1:27" ht="15.75" customHeight="1" x14ac:dyDescent="0.2">
      <c r="A847" s="34"/>
      <c r="B847" s="34"/>
      <c r="C847" s="34"/>
      <c r="D847" s="34"/>
      <c r="E847" s="19"/>
      <c r="F847" s="19"/>
      <c r="G847" s="19"/>
      <c r="H847" s="19"/>
      <c r="I847" s="19"/>
      <c r="J847" s="19"/>
      <c r="K847" s="19"/>
      <c r="L847" s="19"/>
      <c r="M847" s="19"/>
      <c r="N847" s="19"/>
      <c r="O847" s="19"/>
      <c r="P847" s="19"/>
      <c r="Q847" s="20"/>
      <c r="R847" s="20"/>
      <c r="S847" s="22"/>
      <c r="T847" s="22"/>
      <c r="U847" s="20"/>
      <c r="V847" s="20"/>
      <c r="W847" s="20"/>
      <c r="X847" s="19"/>
      <c r="Y847" s="19"/>
      <c r="Z847" s="19"/>
      <c r="AA847" s="23"/>
    </row>
    <row r="848" spans="1:27" ht="15.75" customHeight="1" x14ac:dyDescent="0.2">
      <c r="A848" s="34"/>
      <c r="B848" s="34"/>
      <c r="C848" s="34"/>
      <c r="D848" s="34"/>
      <c r="E848" s="19"/>
      <c r="F848" s="19"/>
      <c r="G848" s="19"/>
      <c r="H848" s="19"/>
      <c r="I848" s="19"/>
      <c r="J848" s="19"/>
      <c r="K848" s="19"/>
      <c r="L848" s="19"/>
      <c r="M848" s="19"/>
      <c r="N848" s="19"/>
      <c r="O848" s="19"/>
      <c r="P848" s="19"/>
      <c r="Q848" s="20"/>
      <c r="R848" s="20"/>
      <c r="S848" s="22"/>
      <c r="T848" s="22"/>
      <c r="U848" s="20"/>
      <c r="V848" s="20"/>
      <c r="W848" s="20"/>
      <c r="X848" s="19"/>
      <c r="Y848" s="19"/>
      <c r="Z848" s="19"/>
      <c r="AA848" s="23"/>
    </row>
    <row r="849" spans="1:27" ht="15.75" customHeight="1" x14ac:dyDescent="0.2">
      <c r="A849" s="34"/>
      <c r="B849" s="34"/>
      <c r="C849" s="34"/>
      <c r="D849" s="34"/>
      <c r="E849" s="19"/>
      <c r="F849" s="19"/>
      <c r="G849" s="19"/>
      <c r="H849" s="19"/>
      <c r="I849" s="19"/>
      <c r="J849" s="19"/>
      <c r="K849" s="19"/>
      <c r="L849" s="19"/>
      <c r="M849" s="19"/>
      <c r="N849" s="19"/>
      <c r="O849" s="19"/>
      <c r="P849" s="19"/>
      <c r="Q849" s="20"/>
      <c r="R849" s="20"/>
      <c r="S849" s="22"/>
      <c r="T849" s="22"/>
      <c r="U849" s="20"/>
      <c r="V849" s="20"/>
      <c r="W849" s="20"/>
      <c r="X849" s="19"/>
      <c r="Y849" s="19"/>
      <c r="Z849" s="19"/>
      <c r="AA849" s="23"/>
    </row>
    <row r="850" spans="1:27" ht="15.75" customHeight="1" x14ac:dyDescent="0.2">
      <c r="A850" s="34"/>
      <c r="B850" s="34"/>
      <c r="C850" s="34"/>
      <c r="D850" s="34"/>
      <c r="E850" s="19"/>
      <c r="F850" s="19"/>
      <c r="G850" s="19"/>
      <c r="H850" s="19"/>
      <c r="I850" s="19"/>
      <c r="J850" s="19"/>
      <c r="K850" s="19"/>
      <c r="L850" s="19"/>
      <c r="M850" s="19"/>
      <c r="N850" s="19"/>
      <c r="O850" s="19"/>
      <c r="P850" s="19"/>
      <c r="Q850" s="20"/>
      <c r="R850" s="20"/>
      <c r="S850" s="22"/>
      <c r="T850" s="22"/>
      <c r="U850" s="20"/>
      <c r="V850" s="20"/>
      <c r="W850" s="20"/>
      <c r="X850" s="19"/>
      <c r="Y850" s="19"/>
      <c r="Z850" s="19"/>
      <c r="AA850" s="23"/>
    </row>
    <row r="851" spans="1:27" ht="15.75" customHeight="1" x14ac:dyDescent="0.2">
      <c r="A851" s="34"/>
      <c r="B851" s="34"/>
      <c r="C851" s="34"/>
      <c r="D851" s="34"/>
      <c r="E851" s="19"/>
      <c r="F851" s="19"/>
      <c r="G851" s="19"/>
      <c r="H851" s="19"/>
      <c r="I851" s="19"/>
      <c r="J851" s="19"/>
      <c r="K851" s="19"/>
      <c r="L851" s="19"/>
      <c r="M851" s="19"/>
      <c r="N851" s="19"/>
      <c r="O851" s="19"/>
      <c r="P851" s="19"/>
      <c r="Q851" s="20"/>
      <c r="R851" s="20"/>
      <c r="S851" s="22"/>
      <c r="T851" s="22"/>
      <c r="U851" s="20"/>
      <c r="V851" s="20"/>
      <c r="W851" s="20"/>
      <c r="X851" s="19"/>
      <c r="Y851" s="19"/>
      <c r="Z851" s="19"/>
      <c r="AA851" s="23"/>
    </row>
    <row r="852" spans="1:27" ht="15.75" customHeight="1" x14ac:dyDescent="0.2">
      <c r="A852" s="34"/>
      <c r="B852" s="34"/>
      <c r="C852" s="34"/>
      <c r="D852" s="34"/>
      <c r="E852" s="19"/>
      <c r="F852" s="19"/>
      <c r="G852" s="19"/>
      <c r="H852" s="19"/>
      <c r="I852" s="19"/>
      <c r="J852" s="19"/>
      <c r="K852" s="19"/>
      <c r="L852" s="19"/>
      <c r="M852" s="19"/>
      <c r="N852" s="19"/>
      <c r="O852" s="19"/>
      <c r="P852" s="19"/>
      <c r="Q852" s="20"/>
      <c r="R852" s="20"/>
      <c r="S852" s="22"/>
      <c r="T852" s="22"/>
      <c r="U852" s="20"/>
      <c r="V852" s="20"/>
      <c r="W852" s="20"/>
      <c r="X852" s="19"/>
      <c r="Y852" s="19"/>
      <c r="Z852" s="19"/>
      <c r="AA852" s="23"/>
    </row>
    <row r="853" spans="1:27" ht="15.75" customHeight="1" x14ac:dyDescent="0.2">
      <c r="A853" s="34"/>
      <c r="B853" s="34"/>
      <c r="C853" s="34"/>
      <c r="D853" s="34"/>
      <c r="E853" s="19"/>
      <c r="F853" s="19"/>
      <c r="G853" s="19"/>
      <c r="H853" s="19"/>
      <c r="I853" s="19"/>
      <c r="J853" s="19"/>
      <c r="K853" s="19"/>
      <c r="L853" s="19"/>
      <c r="M853" s="19"/>
      <c r="N853" s="19"/>
      <c r="O853" s="19"/>
      <c r="P853" s="19"/>
      <c r="Q853" s="20"/>
      <c r="R853" s="20"/>
      <c r="S853" s="22"/>
      <c r="T853" s="22"/>
      <c r="U853" s="20"/>
      <c r="V853" s="20"/>
      <c r="W853" s="20"/>
      <c r="X853" s="19"/>
      <c r="Y853" s="19"/>
      <c r="Z853" s="19"/>
      <c r="AA853" s="23"/>
    </row>
    <row r="854" spans="1:27" ht="15.75" customHeight="1" x14ac:dyDescent="0.2">
      <c r="A854" s="34"/>
      <c r="B854" s="34"/>
      <c r="C854" s="34"/>
      <c r="D854" s="34"/>
      <c r="E854" s="19"/>
      <c r="F854" s="19"/>
      <c r="G854" s="19"/>
      <c r="H854" s="19"/>
      <c r="I854" s="19"/>
      <c r="J854" s="19"/>
      <c r="K854" s="19"/>
      <c r="L854" s="19"/>
      <c r="M854" s="19"/>
      <c r="N854" s="19"/>
      <c r="O854" s="19"/>
      <c r="P854" s="19"/>
      <c r="Q854" s="20"/>
      <c r="R854" s="20"/>
      <c r="S854" s="22"/>
      <c r="T854" s="22"/>
      <c r="U854" s="20"/>
      <c r="V854" s="20"/>
      <c r="W854" s="20"/>
      <c r="X854" s="19"/>
      <c r="Y854" s="19"/>
      <c r="Z854" s="19"/>
      <c r="AA854" s="23"/>
    </row>
    <row r="855" spans="1:27" ht="15.75" customHeight="1" x14ac:dyDescent="0.2">
      <c r="A855" s="34"/>
      <c r="B855" s="34"/>
      <c r="C855" s="34"/>
      <c r="D855" s="34"/>
      <c r="E855" s="19"/>
      <c r="F855" s="19"/>
      <c r="G855" s="19"/>
      <c r="H855" s="19"/>
      <c r="I855" s="19"/>
      <c r="J855" s="19"/>
      <c r="K855" s="19"/>
      <c r="L855" s="19"/>
      <c r="M855" s="19"/>
      <c r="N855" s="19"/>
      <c r="O855" s="19"/>
      <c r="P855" s="19"/>
      <c r="Q855" s="20"/>
      <c r="R855" s="20"/>
      <c r="S855" s="22"/>
      <c r="T855" s="22"/>
      <c r="U855" s="20"/>
      <c r="V855" s="20"/>
      <c r="W855" s="20"/>
      <c r="X855" s="19"/>
      <c r="Y855" s="19"/>
      <c r="Z855" s="19"/>
      <c r="AA855" s="23"/>
    </row>
    <row r="856" spans="1:27" ht="15.75" customHeight="1" x14ac:dyDescent="0.2">
      <c r="A856" s="34"/>
      <c r="B856" s="34"/>
      <c r="C856" s="34"/>
      <c r="D856" s="34"/>
      <c r="E856" s="19"/>
      <c r="F856" s="19"/>
      <c r="G856" s="19"/>
      <c r="H856" s="19"/>
      <c r="I856" s="19"/>
      <c r="J856" s="19"/>
      <c r="K856" s="19"/>
      <c r="L856" s="19"/>
      <c r="M856" s="19"/>
      <c r="N856" s="19"/>
      <c r="O856" s="19"/>
      <c r="P856" s="19"/>
      <c r="Q856" s="20"/>
      <c r="R856" s="20"/>
      <c r="S856" s="22"/>
      <c r="T856" s="22"/>
      <c r="U856" s="20"/>
      <c r="V856" s="20"/>
      <c r="W856" s="20"/>
      <c r="X856" s="19"/>
      <c r="Y856" s="19"/>
      <c r="Z856" s="19"/>
      <c r="AA856" s="23"/>
    </row>
    <row r="857" spans="1:27" ht="15.75" customHeight="1" x14ac:dyDescent="0.2">
      <c r="A857" s="34"/>
      <c r="B857" s="34"/>
      <c r="C857" s="34"/>
      <c r="D857" s="34"/>
      <c r="E857" s="19"/>
      <c r="F857" s="19"/>
      <c r="G857" s="19"/>
      <c r="H857" s="19"/>
      <c r="I857" s="19"/>
      <c r="J857" s="19"/>
      <c r="K857" s="19"/>
      <c r="L857" s="19"/>
      <c r="M857" s="19"/>
      <c r="N857" s="19"/>
      <c r="O857" s="19"/>
      <c r="P857" s="19"/>
      <c r="Q857" s="20"/>
      <c r="R857" s="20"/>
      <c r="S857" s="22"/>
      <c r="T857" s="22"/>
      <c r="U857" s="20"/>
      <c r="V857" s="20"/>
      <c r="W857" s="20"/>
      <c r="X857" s="19"/>
      <c r="Y857" s="19"/>
      <c r="Z857" s="19"/>
      <c r="AA857" s="23"/>
    </row>
    <row r="858" spans="1:27" ht="15.75" customHeight="1" x14ac:dyDescent="0.2">
      <c r="A858" s="34"/>
      <c r="B858" s="34"/>
      <c r="C858" s="34"/>
      <c r="D858" s="34"/>
      <c r="E858" s="19"/>
      <c r="F858" s="19"/>
      <c r="G858" s="19"/>
      <c r="H858" s="19"/>
      <c r="I858" s="19"/>
      <c r="J858" s="19"/>
      <c r="K858" s="19"/>
      <c r="L858" s="19"/>
      <c r="M858" s="19"/>
      <c r="N858" s="19"/>
      <c r="O858" s="19"/>
      <c r="P858" s="19"/>
      <c r="Q858" s="20"/>
      <c r="R858" s="20"/>
      <c r="S858" s="22"/>
      <c r="T858" s="22"/>
      <c r="U858" s="20"/>
      <c r="V858" s="20"/>
      <c r="W858" s="20"/>
      <c r="X858" s="19"/>
      <c r="Y858" s="19"/>
      <c r="Z858" s="19"/>
      <c r="AA858" s="23"/>
    </row>
    <row r="859" spans="1:27" ht="15.75" customHeight="1" x14ac:dyDescent="0.2">
      <c r="A859" s="34"/>
      <c r="B859" s="34"/>
      <c r="C859" s="34"/>
      <c r="D859" s="34"/>
      <c r="E859" s="19"/>
      <c r="F859" s="19"/>
      <c r="G859" s="19"/>
      <c r="H859" s="19"/>
      <c r="I859" s="19"/>
      <c r="J859" s="19"/>
      <c r="K859" s="19"/>
      <c r="L859" s="19"/>
      <c r="M859" s="19"/>
      <c r="N859" s="19"/>
      <c r="O859" s="19"/>
      <c r="P859" s="19"/>
      <c r="Q859" s="20"/>
      <c r="R859" s="20"/>
      <c r="S859" s="22"/>
      <c r="T859" s="22"/>
      <c r="U859" s="20"/>
      <c r="V859" s="20"/>
      <c r="W859" s="20"/>
      <c r="X859" s="19"/>
      <c r="Y859" s="19"/>
      <c r="Z859" s="19"/>
      <c r="AA859" s="23"/>
    </row>
    <row r="860" spans="1:27" ht="15.75" customHeight="1" x14ac:dyDescent="0.2">
      <c r="A860" s="34"/>
      <c r="B860" s="34"/>
      <c r="C860" s="34"/>
      <c r="D860" s="34"/>
      <c r="E860" s="19"/>
      <c r="F860" s="19"/>
      <c r="G860" s="19"/>
      <c r="H860" s="19"/>
      <c r="I860" s="19"/>
      <c r="J860" s="19"/>
      <c r="K860" s="19"/>
      <c r="L860" s="19"/>
      <c r="M860" s="19"/>
      <c r="N860" s="19"/>
      <c r="O860" s="19"/>
      <c r="P860" s="19"/>
      <c r="Q860" s="20"/>
      <c r="R860" s="20"/>
      <c r="S860" s="22"/>
      <c r="T860" s="22"/>
      <c r="U860" s="20"/>
      <c r="V860" s="20"/>
      <c r="W860" s="20"/>
      <c r="X860" s="19"/>
      <c r="Y860" s="19"/>
      <c r="Z860" s="19"/>
      <c r="AA860" s="23"/>
    </row>
    <row r="861" spans="1:27" ht="15.75" customHeight="1" x14ac:dyDescent="0.2">
      <c r="A861" s="34"/>
      <c r="B861" s="34"/>
      <c r="C861" s="34"/>
      <c r="D861" s="34"/>
      <c r="E861" s="19"/>
      <c r="F861" s="19"/>
      <c r="G861" s="19"/>
      <c r="H861" s="19"/>
      <c r="I861" s="19"/>
      <c r="J861" s="19"/>
      <c r="K861" s="19"/>
      <c r="L861" s="19"/>
      <c r="M861" s="19"/>
      <c r="N861" s="19"/>
      <c r="O861" s="19"/>
      <c r="P861" s="19"/>
      <c r="Q861" s="20"/>
      <c r="R861" s="20"/>
      <c r="S861" s="22"/>
      <c r="T861" s="22"/>
      <c r="U861" s="20"/>
      <c r="V861" s="20"/>
      <c r="W861" s="20"/>
      <c r="X861" s="19"/>
      <c r="Y861" s="19"/>
      <c r="Z861" s="19"/>
      <c r="AA861" s="23"/>
    </row>
    <row r="862" spans="1:27" ht="15.75" customHeight="1" x14ac:dyDescent="0.2">
      <c r="A862" s="34"/>
      <c r="B862" s="34"/>
      <c r="C862" s="34"/>
      <c r="D862" s="34"/>
      <c r="E862" s="19"/>
      <c r="F862" s="19"/>
      <c r="G862" s="19"/>
      <c r="H862" s="19"/>
      <c r="I862" s="19"/>
      <c r="J862" s="19"/>
      <c r="K862" s="19"/>
      <c r="L862" s="19"/>
      <c r="M862" s="19"/>
      <c r="N862" s="19"/>
      <c r="O862" s="19"/>
      <c r="P862" s="19"/>
      <c r="Q862" s="20"/>
      <c r="R862" s="20"/>
      <c r="S862" s="22"/>
      <c r="T862" s="22"/>
      <c r="U862" s="20"/>
      <c r="V862" s="20"/>
      <c r="W862" s="20"/>
      <c r="X862" s="19"/>
      <c r="Y862" s="19"/>
      <c r="Z862" s="19"/>
      <c r="AA862" s="23"/>
    </row>
    <row r="863" spans="1:27" ht="15.75" customHeight="1" x14ac:dyDescent="0.2">
      <c r="A863" s="34"/>
      <c r="B863" s="34"/>
      <c r="C863" s="34"/>
      <c r="D863" s="34"/>
      <c r="E863" s="19"/>
      <c r="F863" s="19"/>
      <c r="G863" s="19"/>
      <c r="H863" s="19"/>
      <c r="I863" s="19"/>
      <c r="J863" s="19"/>
      <c r="K863" s="19"/>
      <c r="L863" s="19"/>
      <c r="M863" s="19"/>
      <c r="N863" s="19"/>
      <c r="O863" s="19"/>
      <c r="P863" s="19"/>
      <c r="Q863" s="20"/>
      <c r="R863" s="20"/>
      <c r="S863" s="22"/>
      <c r="T863" s="22"/>
      <c r="U863" s="20"/>
      <c r="V863" s="20"/>
      <c r="W863" s="20"/>
      <c r="X863" s="19"/>
      <c r="Y863" s="19"/>
      <c r="Z863" s="19"/>
      <c r="AA863" s="23"/>
    </row>
    <row r="864" spans="1:27" ht="15.75" customHeight="1" x14ac:dyDescent="0.2">
      <c r="A864" s="34"/>
      <c r="B864" s="34"/>
      <c r="C864" s="34"/>
      <c r="D864" s="34"/>
      <c r="E864" s="19"/>
      <c r="F864" s="19"/>
      <c r="G864" s="19"/>
      <c r="H864" s="19"/>
      <c r="I864" s="19"/>
      <c r="J864" s="19"/>
      <c r="K864" s="19"/>
      <c r="L864" s="19"/>
      <c r="M864" s="19"/>
      <c r="N864" s="19"/>
      <c r="O864" s="19"/>
      <c r="P864" s="19"/>
      <c r="Q864" s="20"/>
      <c r="R864" s="20"/>
      <c r="S864" s="22"/>
      <c r="T864" s="22"/>
      <c r="U864" s="20"/>
      <c r="V864" s="20"/>
      <c r="W864" s="20"/>
      <c r="X864" s="19"/>
      <c r="Y864" s="19"/>
      <c r="Z864" s="19"/>
      <c r="AA864" s="23"/>
    </row>
    <row r="865" spans="1:27" ht="15.75" customHeight="1" x14ac:dyDescent="0.2">
      <c r="A865" s="34"/>
      <c r="B865" s="34"/>
      <c r="C865" s="34"/>
      <c r="D865" s="34"/>
      <c r="E865" s="19"/>
      <c r="F865" s="19"/>
      <c r="G865" s="19"/>
      <c r="H865" s="19"/>
      <c r="I865" s="19"/>
      <c r="J865" s="19"/>
      <c r="K865" s="19"/>
      <c r="L865" s="19"/>
      <c r="M865" s="19"/>
      <c r="N865" s="19"/>
      <c r="O865" s="19"/>
      <c r="P865" s="19"/>
      <c r="Q865" s="20"/>
      <c r="R865" s="20"/>
      <c r="S865" s="22"/>
      <c r="T865" s="22"/>
      <c r="U865" s="20"/>
      <c r="V865" s="20"/>
      <c r="W865" s="20"/>
      <c r="X865" s="19"/>
      <c r="Y865" s="19"/>
      <c r="Z865" s="19"/>
      <c r="AA865" s="23"/>
    </row>
    <row r="866" spans="1:27" ht="15.75" customHeight="1" x14ac:dyDescent="0.2">
      <c r="A866" s="34"/>
      <c r="B866" s="34"/>
      <c r="C866" s="34"/>
      <c r="D866" s="34"/>
      <c r="E866" s="19"/>
      <c r="F866" s="19"/>
      <c r="G866" s="19"/>
      <c r="H866" s="19"/>
      <c r="I866" s="19"/>
      <c r="J866" s="19"/>
      <c r="K866" s="19"/>
      <c r="L866" s="19"/>
      <c r="M866" s="19"/>
      <c r="N866" s="19"/>
      <c r="O866" s="19"/>
      <c r="P866" s="19"/>
      <c r="Q866" s="20"/>
      <c r="R866" s="20"/>
      <c r="S866" s="22"/>
      <c r="T866" s="22"/>
      <c r="U866" s="20"/>
      <c r="V866" s="20"/>
      <c r="W866" s="20"/>
      <c r="X866" s="19"/>
      <c r="Y866" s="19"/>
      <c r="Z866" s="19"/>
      <c r="AA866" s="23"/>
    </row>
    <row r="867" spans="1:27" ht="15.75" customHeight="1" x14ac:dyDescent="0.2">
      <c r="A867" s="34"/>
      <c r="B867" s="34"/>
      <c r="C867" s="34"/>
      <c r="D867" s="34"/>
      <c r="E867" s="19"/>
      <c r="F867" s="19"/>
      <c r="G867" s="19"/>
      <c r="H867" s="19"/>
      <c r="I867" s="19"/>
      <c r="J867" s="19"/>
      <c r="K867" s="19"/>
      <c r="L867" s="19"/>
      <c r="M867" s="19"/>
      <c r="N867" s="19"/>
      <c r="O867" s="19"/>
      <c r="P867" s="19"/>
      <c r="Q867" s="20"/>
      <c r="R867" s="20"/>
      <c r="S867" s="22"/>
      <c r="T867" s="22"/>
      <c r="U867" s="20"/>
      <c r="V867" s="20"/>
      <c r="W867" s="20"/>
      <c r="X867" s="19"/>
      <c r="Y867" s="19"/>
      <c r="Z867" s="19"/>
      <c r="AA867" s="23"/>
    </row>
    <row r="868" spans="1:27" ht="15.75" customHeight="1" x14ac:dyDescent="0.2">
      <c r="A868" s="34"/>
      <c r="B868" s="34"/>
      <c r="C868" s="34"/>
      <c r="D868" s="34"/>
      <c r="E868" s="19"/>
      <c r="F868" s="19"/>
      <c r="G868" s="19"/>
      <c r="H868" s="19"/>
      <c r="I868" s="19"/>
      <c r="J868" s="19"/>
      <c r="K868" s="19"/>
      <c r="L868" s="19"/>
      <c r="M868" s="19"/>
      <c r="N868" s="19"/>
      <c r="O868" s="19"/>
      <c r="P868" s="19"/>
      <c r="Q868" s="20"/>
      <c r="R868" s="20"/>
      <c r="S868" s="22"/>
      <c r="T868" s="22"/>
      <c r="U868" s="20"/>
      <c r="V868" s="20"/>
      <c r="W868" s="20"/>
      <c r="X868" s="19"/>
      <c r="Y868" s="19"/>
      <c r="Z868" s="19"/>
      <c r="AA868" s="23"/>
    </row>
    <row r="869" spans="1:27" ht="15.75" customHeight="1" x14ac:dyDescent="0.2">
      <c r="A869" s="34"/>
      <c r="B869" s="34"/>
      <c r="C869" s="34"/>
      <c r="D869" s="34"/>
      <c r="E869" s="19"/>
      <c r="F869" s="19"/>
      <c r="G869" s="19"/>
      <c r="H869" s="19"/>
      <c r="I869" s="19"/>
      <c r="J869" s="19"/>
      <c r="K869" s="19"/>
      <c r="L869" s="19"/>
      <c r="M869" s="19"/>
      <c r="N869" s="19"/>
      <c r="O869" s="19"/>
      <c r="P869" s="19"/>
      <c r="Q869" s="20"/>
      <c r="R869" s="20"/>
      <c r="S869" s="22"/>
      <c r="T869" s="22"/>
      <c r="U869" s="20"/>
      <c r="V869" s="20"/>
      <c r="W869" s="20"/>
      <c r="X869" s="19"/>
      <c r="Y869" s="19"/>
      <c r="Z869" s="19"/>
      <c r="AA869" s="23"/>
    </row>
    <row r="870" spans="1:27" ht="15.75" customHeight="1" x14ac:dyDescent="0.2">
      <c r="A870" s="34"/>
      <c r="B870" s="34"/>
      <c r="C870" s="34"/>
      <c r="D870" s="34"/>
      <c r="E870" s="19"/>
      <c r="F870" s="19"/>
      <c r="G870" s="19"/>
      <c r="H870" s="19"/>
      <c r="I870" s="19"/>
      <c r="J870" s="19"/>
      <c r="K870" s="19"/>
      <c r="L870" s="19"/>
      <c r="M870" s="19"/>
      <c r="N870" s="19"/>
      <c r="O870" s="19"/>
      <c r="P870" s="19"/>
      <c r="Q870" s="20"/>
      <c r="R870" s="20"/>
      <c r="S870" s="22"/>
      <c r="T870" s="22"/>
      <c r="U870" s="20"/>
      <c r="V870" s="20"/>
      <c r="W870" s="20"/>
      <c r="X870" s="19"/>
      <c r="Y870" s="19"/>
      <c r="Z870" s="19"/>
      <c r="AA870" s="23"/>
    </row>
    <row r="871" spans="1:27" ht="15.75" customHeight="1" x14ac:dyDescent="0.2">
      <c r="A871" s="34"/>
      <c r="B871" s="34"/>
      <c r="C871" s="34"/>
      <c r="D871" s="34"/>
      <c r="E871" s="19"/>
      <c r="F871" s="19"/>
      <c r="G871" s="19"/>
      <c r="H871" s="19"/>
      <c r="I871" s="19"/>
      <c r="J871" s="19"/>
      <c r="K871" s="19"/>
      <c r="L871" s="19"/>
      <c r="M871" s="19"/>
      <c r="N871" s="19"/>
      <c r="O871" s="19"/>
      <c r="P871" s="19"/>
      <c r="Q871" s="20"/>
      <c r="R871" s="20"/>
      <c r="S871" s="22"/>
      <c r="T871" s="22"/>
      <c r="U871" s="20"/>
      <c r="V871" s="20"/>
      <c r="W871" s="20"/>
      <c r="X871" s="19"/>
      <c r="Y871" s="19"/>
      <c r="Z871" s="19"/>
      <c r="AA871" s="23"/>
    </row>
    <row r="872" spans="1:27" ht="15.75" customHeight="1" x14ac:dyDescent="0.2">
      <c r="A872" s="34"/>
      <c r="B872" s="34"/>
      <c r="C872" s="34"/>
      <c r="D872" s="34"/>
      <c r="E872" s="19"/>
      <c r="F872" s="19"/>
      <c r="G872" s="19"/>
      <c r="H872" s="19"/>
      <c r="I872" s="19"/>
      <c r="J872" s="19"/>
      <c r="K872" s="19"/>
      <c r="L872" s="19"/>
      <c r="M872" s="19"/>
      <c r="N872" s="19"/>
      <c r="O872" s="19"/>
      <c r="P872" s="19"/>
      <c r="Q872" s="20"/>
      <c r="R872" s="20"/>
      <c r="S872" s="22"/>
      <c r="T872" s="22"/>
      <c r="U872" s="20"/>
      <c r="V872" s="20"/>
      <c r="W872" s="20"/>
      <c r="X872" s="19"/>
      <c r="Y872" s="19"/>
      <c r="Z872" s="19"/>
      <c r="AA872" s="23"/>
    </row>
    <row r="873" spans="1:27" ht="15.75" customHeight="1" x14ac:dyDescent="0.2">
      <c r="A873" s="34"/>
      <c r="B873" s="34"/>
      <c r="C873" s="34"/>
      <c r="D873" s="34"/>
      <c r="E873" s="19"/>
      <c r="F873" s="19"/>
      <c r="G873" s="19"/>
      <c r="H873" s="19"/>
      <c r="I873" s="19"/>
      <c r="J873" s="19"/>
      <c r="K873" s="19"/>
      <c r="L873" s="19"/>
      <c r="M873" s="19"/>
      <c r="N873" s="19"/>
      <c r="O873" s="19"/>
      <c r="P873" s="19"/>
      <c r="Q873" s="20"/>
      <c r="R873" s="20"/>
      <c r="S873" s="22"/>
      <c r="T873" s="22"/>
      <c r="U873" s="20"/>
      <c r="V873" s="20"/>
      <c r="W873" s="20"/>
      <c r="X873" s="19"/>
      <c r="Y873" s="19"/>
      <c r="Z873" s="19"/>
      <c r="AA873" s="23"/>
    </row>
    <row r="874" spans="1:27" ht="15.75" customHeight="1" x14ac:dyDescent="0.2">
      <c r="A874" s="34"/>
      <c r="B874" s="34"/>
      <c r="C874" s="34"/>
      <c r="D874" s="34"/>
      <c r="E874" s="19"/>
      <c r="F874" s="19"/>
      <c r="G874" s="19"/>
      <c r="H874" s="19"/>
      <c r="I874" s="19"/>
      <c r="J874" s="19"/>
      <c r="K874" s="19"/>
      <c r="L874" s="19"/>
      <c r="M874" s="19"/>
      <c r="N874" s="19"/>
      <c r="O874" s="19"/>
      <c r="P874" s="19"/>
      <c r="Q874" s="20"/>
      <c r="R874" s="20"/>
      <c r="S874" s="22"/>
      <c r="T874" s="22"/>
      <c r="U874" s="20"/>
      <c r="V874" s="20"/>
      <c r="W874" s="20"/>
      <c r="X874" s="19"/>
      <c r="Y874" s="19"/>
      <c r="Z874" s="19"/>
      <c r="AA874" s="23"/>
    </row>
    <row r="875" spans="1:27" ht="15.75" customHeight="1" x14ac:dyDescent="0.2">
      <c r="A875" s="34"/>
      <c r="B875" s="34"/>
      <c r="C875" s="34"/>
      <c r="D875" s="34"/>
      <c r="E875" s="19"/>
      <c r="F875" s="19"/>
      <c r="G875" s="19"/>
      <c r="H875" s="19"/>
      <c r="I875" s="19"/>
      <c r="J875" s="19"/>
      <c r="K875" s="19"/>
      <c r="L875" s="19"/>
      <c r="M875" s="19"/>
      <c r="N875" s="19"/>
      <c r="O875" s="19"/>
      <c r="P875" s="19"/>
      <c r="Q875" s="20"/>
      <c r="R875" s="20"/>
      <c r="S875" s="22"/>
      <c r="T875" s="22"/>
      <c r="U875" s="20"/>
      <c r="V875" s="20"/>
      <c r="W875" s="20"/>
      <c r="X875" s="19"/>
      <c r="Y875" s="19"/>
      <c r="Z875" s="19"/>
      <c r="AA875" s="23"/>
    </row>
    <row r="876" spans="1:27" ht="15.75" customHeight="1" x14ac:dyDescent="0.2">
      <c r="A876" s="34"/>
      <c r="B876" s="34"/>
      <c r="C876" s="34"/>
      <c r="D876" s="34"/>
      <c r="E876" s="19"/>
      <c r="F876" s="19"/>
      <c r="G876" s="19"/>
      <c r="H876" s="19"/>
      <c r="I876" s="19"/>
      <c r="J876" s="19"/>
      <c r="K876" s="19"/>
      <c r="L876" s="19"/>
      <c r="M876" s="19"/>
      <c r="N876" s="19"/>
      <c r="O876" s="19"/>
      <c r="P876" s="19"/>
      <c r="Q876" s="20"/>
      <c r="R876" s="20"/>
      <c r="S876" s="22"/>
      <c r="T876" s="22"/>
      <c r="U876" s="20"/>
      <c r="V876" s="20"/>
      <c r="W876" s="20"/>
      <c r="X876" s="19"/>
      <c r="Y876" s="19"/>
      <c r="Z876" s="19"/>
      <c r="AA876" s="23"/>
    </row>
    <row r="877" spans="1:27" ht="15.75" customHeight="1" x14ac:dyDescent="0.2">
      <c r="A877" s="34"/>
      <c r="B877" s="34"/>
      <c r="C877" s="34"/>
      <c r="D877" s="34"/>
      <c r="E877" s="19"/>
      <c r="F877" s="19"/>
      <c r="G877" s="19"/>
      <c r="H877" s="19"/>
      <c r="I877" s="19"/>
      <c r="J877" s="19"/>
      <c r="K877" s="19"/>
      <c r="L877" s="19"/>
      <c r="M877" s="19"/>
      <c r="N877" s="19"/>
      <c r="O877" s="19"/>
      <c r="P877" s="19"/>
      <c r="Q877" s="20"/>
      <c r="R877" s="20"/>
      <c r="S877" s="22"/>
      <c r="T877" s="22"/>
      <c r="U877" s="20"/>
      <c r="V877" s="20"/>
      <c r="W877" s="20"/>
      <c r="X877" s="19"/>
      <c r="Y877" s="19"/>
      <c r="Z877" s="19"/>
      <c r="AA877" s="23"/>
    </row>
    <row r="878" spans="1:27" ht="15.75" customHeight="1" x14ac:dyDescent="0.2">
      <c r="A878" s="34"/>
      <c r="B878" s="34"/>
      <c r="C878" s="34"/>
      <c r="D878" s="34"/>
      <c r="E878" s="19"/>
      <c r="F878" s="19"/>
      <c r="G878" s="19"/>
      <c r="H878" s="19"/>
      <c r="I878" s="19"/>
      <c r="J878" s="19"/>
      <c r="K878" s="19"/>
      <c r="L878" s="19"/>
      <c r="M878" s="19"/>
      <c r="N878" s="19"/>
      <c r="O878" s="19"/>
      <c r="P878" s="19"/>
      <c r="Q878" s="20"/>
      <c r="R878" s="20"/>
      <c r="S878" s="22"/>
      <c r="T878" s="22"/>
      <c r="U878" s="20"/>
      <c r="V878" s="20"/>
      <c r="W878" s="20"/>
      <c r="X878" s="19"/>
      <c r="Y878" s="19"/>
      <c r="Z878" s="19"/>
      <c r="AA878" s="23"/>
    </row>
    <row r="879" spans="1:27" ht="15.75" customHeight="1" x14ac:dyDescent="0.2">
      <c r="A879" s="34"/>
      <c r="B879" s="34"/>
      <c r="C879" s="34"/>
      <c r="D879" s="34"/>
      <c r="E879" s="19"/>
      <c r="F879" s="19"/>
      <c r="G879" s="19"/>
      <c r="H879" s="19"/>
      <c r="I879" s="19"/>
      <c r="J879" s="19"/>
      <c r="K879" s="19"/>
      <c r="L879" s="19"/>
      <c r="M879" s="19"/>
      <c r="N879" s="19"/>
      <c r="O879" s="19"/>
      <c r="P879" s="19"/>
      <c r="Q879" s="20"/>
      <c r="R879" s="20"/>
      <c r="S879" s="22"/>
      <c r="T879" s="22"/>
      <c r="U879" s="20"/>
      <c r="V879" s="20"/>
      <c r="W879" s="20"/>
      <c r="X879" s="19"/>
      <c r="Y879" s="19"/>
      <c r="Z879" s="19"/>
      <c r="AA879" s="23"/>
    </row>
    <row r="880" spans="1:27" ht="15.75" customHeight="1" x14ac:dyDescent="0.2">
      <c r="A880" s="34"/>
      <c r="B880" s="34"/>
      <c r="C880" s="34"/>
      <c r="D880" s="34"/>
      <c r="E880" s="19"/>
      <c r="F880" s="19"/>
      <c r="G880" s="19"/>
      <c r="H880" s="19"/>
      <c r="I880" s="19"/>
      <c r="J880" s="19"/>
      <c r="K880" s="19"/>
      <c r="L880" s="19"/>
      <c r="M880" s="19"/>
      <c r="N880" s="19"/>
      <c r="O880" s="19"/>
      <c r="P880" s="19"/>
      <c r="Q880" s="20"/>
      <c r="R880" s="20"/>
      <c r="S880" s="22"/>
      <c r="T880" s="22"/>
      <c r="U880" s="20"/>
      <c r="V880" s="20"/>
      <c r="W880" s="20"/>
      <c r="X880" s="19"/>
      <c r="Y880" s="19"/>
      <c r="Z880" s="19"/>
      <c r="AA880" s="23"/>
    </row>
    <row r="881" spans="1:27" ht="15.75" customHeight="1" x14ac:dyDescent="0.2">
      <c r="A881" s="34"/>
      <c r="B881" s="34"/>
      <c r="C881" s="34"/>
      <c r="D881" s="34"/>
      <c r="E881" s="19"/>
      <c r="F881" s="19"/>
      <c r="G881" s="19"/>
      <c r="H881" s="19"/>
      <c r="I881" s="19"/>
      <c r="J881" s="19"/>
      <c r="K881" s="19"/>
      <c r="L881" s="19"/>
      <c r="M881" s="19"/>
      <c r="N881" s="19"/>
      <c r="O881" s="19"/>
      <c r="P881" s="19"/>
      <c r="Q881" s="20"/>
      <c r="R881" s="20"/>
      <c r="S881" s="22"/>
      <c r="T881" s="22"/>
      <c r="U881" s="20"/>
      <c r="V881" s="20"/>
      <c r="W881" s="20"/>
      <c r="X881" s="19"/>
      <c r="Y881" s="19"/>
      <c r="Z881" s="19"/>
      <c r="AA881" s="23"/>
    </row>
    <row r="882" spans="1:27" ht="15.75" customHeight="1" x14ac:dyDescent="0.2">
      <c r="A882" s="34"/>
      <c r="B882" s="34"/>
      <c r="C882" s="34"/>
      <c r="D882" s="34"/>
      <c r="E882" s="19"/>
      <c r="F882" s="19"/>
      <c r="G882" s="19"/>
      <c r="H882" s="19"/>
      <c r="I882" s="19"/>
      <c r="J882" s="19"/>
      <c r="K882" s="19"/>
      <c r="L882" s="19"/>
      <c r="M882" s="19"/>
      <c r="N882" s="19"/>
      <c r="O882" s="19"/>
      <c r="P882" s="19"/>
      <c r="Q882" s="20"/>
      <c r="R882" s="20"/>
      <c r="S882" s="22"/>
      <c r="T882" s="22"/>
      <c r="U882" s="20"/>
      <c r="V882" s="20"/>
      <c r="W882" s="20"/>
      <c r="X882" s="19"/>
      <c r="Y882" s="19"/>
      <c r="Z882" s="19"/>
      <c r="AA882" s="23"/>
    </row>
    <row r="883" spans="1:27" ht="15.75" customHeight="1" x14ac:dyDescent="0.2">
      <c r="A883" s="34"/>
      <c r="B883" s="34"/>
      <c r="C883" s="34"/>
      <c r="D883" s="34"/>
      <c r="E883" s="19"/>
      <c r="F883" s="19"/>
      <c r="G883" s="19"/>
      <c r="H883" s="19"/>
      <c r="I883" s="19"/>
      <c r="J883" s="19"/>
      <c r="K883" s="19"/>
      <c r="L883" s="19"/>
      <c r="M883" s="19"/>
      <c r="N883" s="19"/>
      <c r="O883" s="19"/>
      <c r="P883" s="19"/>
      <c r="Q883" s="20"/>
      <c r="R883" s="20"/>
      <c r="S883" s="22"/>
      <c r="T883" s="22"/>
      <c r="U883" s="20"/>
      <c r="V883" s="20"/>
      <c r="W883" s="20"/>
      <c r="X883" s="19"/>
      <c r="Y883" s="19"/>
      <c r="Z883" s="19"/>
      <c r="AA883" s="23"/>
    </row>
    <row r="884" spans="1:27" ht="15.75" customHeight="1" x14ac:dyDescent="0.2">
      <c r="A884" s="34"/>
      <c r="B884" s="34"/>
      <c r="C884" s="34"/>
      <c r="D884" s="34"/>
      <c r="E884" s="19"/>
      <c r="F884" s="19"/>
      <c r="G884" s="19"/>
      <c r="H884" s="19"/>
      <c r="I884" s="19"/>
      <c r="J884" s="19"/>
      <c r="K884" s="19"/>
      <c r="L884" s="19"/>
      <c r="M884" s="19"/>
      <c r="N884" s="19"/>
      <c r="O884" s="19"/>
      <c r="P884" s="19"/>
      <c r="Q884" s="20"/>
      <c r="R884" s="20"/>
      <c r="S884" s="22"/>
      <c r="T884" s="22"/>
      <c r="U884" s="20"/>
      <c r="V884" s="20"/>
      <c r="W884" s="20"/>
      <c r="X884" s="19"/>
      <c r="Y884" s="19"/>
      <c r="Z884" s="19"/>
      <c r="AA884" s="23"/>
    </row>
    <row r="885" spans="1:27" ht="15.75" customHeight="1" x14ac:dyDescent="0.2">
      <c r="A885" s="34"/>
      <c r="B885" s="34"/>
      <c r="C885" s="34"/>
      <c r="D885" s="34"/>
      <c r="E885" s="19"/>
      <c r="F885" s="19"/>
      <c r="G885" s="19"/>
      <c r="H885" s="19"/>
      <c r="I885" s="19"/>
      <c r="J885" s="19"/>
      <c r="K885" s="19"/>
      <c r="L885" s="19"/>
      <c r="M885" s="19"/>
      <c r="N885" s="19"/>
      <c r="O885" s="19"/>
      <c r="P885" s="19"/>
      <c r="Q885" s="20"/>
      <c r="R885" s="20"/>
      <c r="S885" s="22"/>
      <c r="T885" s="22"/>
      <c r="U885" s="20"/>
      <c r="V885" s="20"/>
      <c r="W885" s="20"/>
      <c r="X885" s="19"/>
      <c r="Y885" s="19"/>
      <c r="Z885" s="19"/>
      <c r="AA885" s="23"/>
    </row>
    <row r="886" spans="1:27" ht="15.75" customHeight="1" x14ac:dyDescent="0.2">
      <c r="A886" s="34"/>
      <c r="B886" s="34"/>
      <c r="C886" s="34"/>
      <c r="D886" s="34"/>
      <c r="E886" s="19"/>
      <c r="F886" s="19"/>
      <c r="G886" s="19"/>
      <c r="H886" s="19"/>
      <c r="I886" s="19"/>
      <c r="J886" s="19"/>
      <c r="K886" s="19"/>
      <c r="L886" s="19"/>
      <c r="M886" s="19"/>
      <c r="N886" s="19"/>
      <c r="O886" s="19"/>
      <c r="P886" s="19"/>
      <c r="Q886" s="20"/>
      <c r="R886" s="20"/>
      <c r="S886" s="22"/>
      <c r="T886" s="22"/>
      <c r="U886" s="20"/>
      <c r="V886" s="20"/>
      <c r="W886" s="20"/>
      <c r="X886" s="19"/>
      <c r="Y886" s="19"/>
      <c r="Z886" s="19"/>
      <c r="AA886" s="23"/>
    </row>
    <row r="887" spans="1:27" ht="15.75" customHeight="1" x14ac:dyDescent="0.2">
      <c r="A887" s="34"/>
      <c r="B887" s="34"/>
      <c r="C887" s="34"/>
      <c r="D887" s="34"/>
      <c r="E887" s="19"/>
      <c r="F887" s="19"/>
      <c r="G887" s="19"/>
      <c r="H887" s="19"/>
      <c r="I887" s="19"/>
      <c r="J887" s="19"/>
      <c r="K887" s="19"/>
      <c r="L887" s="19"/>
      <c r="M887" s="19"/>
      <c r="N887" s="19"/>
      <c r="O887" s="19"/>
      <c r="P887" s="19"/>
      <c r="Q887" s="20"/>
      <c r="R887" s="20"/>
      <c r="S887" s="22"/>
      <c r="T887" s="22"/>
      <c r="U887" s="20"/>
      <c r="V887" s="20"/>
      <c r="W887" s="20"/>
      <c r="X887" s="19"/>
      <c r="Y887" s="19"/>
      <c r="Z887" s="19"/>
      <c r="AA887" s="23"/>
    </row>
    <row r="888" spans="1:27" ht="15.75" customHeight="1" x14ac:dyDescent="0.2">
      <c r="A888" s="34"/>
      <c r="B888" s="34"/>
      <c r="C888" s="34"/>
      <c r="D888" s="34"/>
      <c r="E888" s="19"/>
      <c r="F888" s="19"/>
      <c r="G888" s="19"/>
      <c r="H888" s="19"/>
      <c r="I888" s="19"/>
      <c r="J888" s="19"/>
      <c r="K888" s="19"/>
      <c r="L888" s="19"/>
      <c r="M888" s="19"/>
      <c r="N888" s="19"/>
      <c r="O888" s="19"/>
      <c r="P888" s="19"/>
      <c r="Q888" s="20"/>
      <c r="R888" s="20"/>
      <c r="S888" s="22"/>
      <c r="T888" s="22"/>
      <c r="U888" s="20"/>
      <c r="V888" s="20"/>
      <c r="W888" s="20"/>
      <c r="X888" s="19"/>
      <c r="Y888" s="19"/>
      <c r="Z888" s="19"/>
      <c r="AA888" s="23"/>
    </row>
    <row r="889" spans="1:27" ht="15.75" customHeight="1" x14ac:dyDescent="0.2">
      <c r="A889" s="34"/>
      <c r="B889" s="34"/>
      <c r="C889" s="34"/>
      <c r="D889" s="34"/>
      <c r="E889" s="19"/>
      <c r="F889" s="19"/>
      <c r="G889" s="19"/>
      <c r="H889" s="19"/>
      <c r="I889" s="19"/>
      <c r="J889" s="19"/>
      <c r="K889" s="19"/>
      <c r="L889" s="19"/>
      <c r="M889" s="19"/>
      <c r="N889" s="19"/>
      <c r="O889" s="19"/>
      <c r="P889" s="19"/>
      <c r="Q889" s="20"/>
      <c r="R889" s="20"/>
      <c r="S889" s="22"/>
      <c r="T889" s="22"/>
      <c r="U889" s="20"/>
      <c r="V889" s="20"/>
      <c r="W889" s="20"/>
      <c r="X889" s="19"/>
      <c r="Y889" s="19"/>
      <c r="Z889" s="19"/>
      <c r="AA889" s="23"/>
    </row>
    <row r="890" spans="1:27" ht="15.75" customHeight="1" x14ac:dyDescent="0.2">
      <c r="A890" s="34"/>
      <c r="B890" s="34"/>
      <c r="C890" s="34"/>
      <c r="D890" s="34"/>
      <c r="E890" s="19"/>
      <c r="F890" s="19"/>
      <c r="G890" s="19"/>
      <c r="H890" s="19"/>
      <c r="I890" s="19"/>
      <c r="J890" s="19"/>
      <c r="K890" s="19"/>
      <c r="L890" s="19"/>
      <c r="M890" s="19"/>
      <c r="N890" s="19"/>
      <c r="O890" s="19"/>
      <c r="P890" s="19"/>
      <c r="Q890" s="20"/>
      <c r="R890" s="20"/>
      <c r="S890" s="22"/>
      <c r="T890" s="22"/>
      <c r="U890" s="20"/>
      <c r="V890" s="20"/>
      <c r="W890" s="20"/>
      <c r="X890" s="19"/>
      <c r="Y890" s="19"/>
      <c r="Z890" s="19"/>
      <c r="AA890" s="23"/>
    </row>
    <row r="891" spans="1:27" ht="15.75" customHeight="1" x14ac:dyDescent="0.2">
      <c r="A891" s="34"/>
      <c r="B891" s="34"/>
      <c r="C891" s="34"/>
      <c r="D891" s="34"/>
      <c r="E891" s="19"/>
      <c r="F891" s="19"/>
      <c r="G891" s="19"/>
      <c r="H891" s="19"/>
      <c r="I891" s="19"/>
      <c r="J891" s="19"/>
      <c r="K891" s="19"/>
      <c r="L891" s="19"/>
      <c r="M891" s="19"/>
      <c r="N891" s="19"/>
      <c r="O891" s="19"/>
      <c r="P891" s="19"/>
      <c r="Q891" s="20"/>
      <c r="R891" s="20"/>
      <c r="S891" s="22"/>
      <c r="T891" s="22"/>
      <c r="U891" s="20"/>
      <c r="V891" s="20"/>
      <c r="W891" s="20"/>
      <c r="X891" s="19"/>
      <c r="Y891" s="19"/>
      <c r="Z891" s="19"/>
      <c r="AA891" s="23"/>
    </row>
    <row r="892" spans="1:27" ht="15.75" customHeight="1" x14ac:dyDescent="0.2">
      <c r="A892" s="34"/>
      <c r="B892" s="34"/>
      <c r="C892" s="34"/>
      <c r="D892" s="34"/>
      <c r="E892" s="19"/>
      <c r="F892" s="19"/>
      <c r="G892" s="19"/>
      <c r="H892" s="19"/>
      <c r="I892" s="19"/>
      <c r="J892" s="19"/>
      <c r="K892" s="19"/>
      <c r="L892" s="19"/>
      <c r="M892" s="19"/>
      <c r="N892" s="19"/>
      <c r="O892" s="19"/>
      <c r="P892" s="19"/>
      <c r="Q892" s="20"/>
      <c r="R892" s="20"/>
      <c r="S892" s="22"/>
      <c r="T892" s="22"/>
      <c r="U892" s="20"/>
      <c r="V892" s="20"/>
      <c r="W892" s="20"/>
      <c r="X892" s="19"/>
      <c r="Y892" s="19"/>
      <c r="Z892" s="19"/>
      <c r="AA892" s="23"/>
    </row>
    <row r="893" spans="1:27" ht="15.75" customHeight="1" x14ac:dyDescent="0.2">
      <c r="A893" s="34"/>
      <c r="B893" s="34"/>
      <c r="C893" s="34"/>
      <c r="D893" s="34"/>
      <c r="E893" s="19"/>
      <c r="F893" s="19"/>
      <c r="G893" s="19"/>
      <c r="H893" s="19"/>
      <c r="I893" s="19"/>
      <c r="J893" s="19"/>
      <c r="K893" s="19"/>
      <c r="L893" s="19"/>
      <c r="M893" s="19"/>
      <c r="N893" s="19"/>
      <c r="O893" s="19"/>
      <c r="P893" s="19"/>
      <c r="Q893" s="20"/>
      <c r="R893" s="20"/>
      <c r="S893" s="22"/>
      <c r="T893" s="22"/>
      <c r="U893" s="20"/>
      <c r="V893" s="20"/>
      <c r="W893" s="20"/>
      <c r="X893" s="19"/>
      <c r="Y893" s="19"/>
      <c r="Z893" s="19"/>
      <c r="AA893" s="23"/>
    </row>
    <row r="894" spans="1:27" ht="15.75" customHeight="1" x14ac:dyDescent="0.2">
      <c r="A894" s="34"/>
      <c r="B894" s="34"/>
      <c r="C894" s="34"/>
      <c r="D894" s="34"/>
      <c r="E894" s="19"/>
      <c r="F894" s="19"/>
      <c r="G894" s="19"/>
      <c r="H894" s="19"/>
      <c r="I894" s="19"/>
      <c r="J894" s="19"/>
      <c r="K894" s="19"/>
      <c r="L894" s="19"/>
      <c r="M894" s="19"/>
      <c r="N894" s="19"/>
      <c r="O894" s="19"/>
      <c r="P894" s="19"/>
      <c r="Q894" s="20"/>
      <c r="R894" s="20"/>
      <c r="S894" s="22"/>
      <c r="T894" s="22"/>
      <c r="U894" s="20"/>
      <c r="V894" s="20"/>
      <c r="W894" s="20"/>
      <c r="X894" s="19"/>
      <c r="Y894" s="19"/>
      <c r="Z894" s="19"/>
      <c r="AA894" s="23"/>
    </row>
    <row r="895" spans="1:27" ht="15.75" customHeight="1" x14ac:dyDescent="0.2">
      <c r="A895" s="34"/>
      <c r="B895" s="34"/>
      <c r="C895" s="34"/>
      <c r="D895" s="34"/>
      <c r="E895" s="19"/>
      <c r="F895" s="19"/>
      <c r="G895" s="19"/>
      <c r="H895" s="19"/>
      <c r="I895" s="19"/>
      <c r="J895" s="19"/>
      <c r="K895" s="19"/>
      <c r="L895" s="19"/>
      <c r="M895" s="19"/>
      <c r="N895" s="19"/>
      <c r="O895" s="19"/>
      <c r="P895" s="19"/>
      <c r="Q895" s="20"/>
      <c r="R895" s="20"/>
      <c r="S895" s="22"/>
      <c r="T895" s="22"/>
      <c r="U895" s="20"/>
      <c r="V895" s="20"/>
      <c r="W895" s="20"/>
      <c r="X895" s="19"/>
      <c r="Y895" s="19"/>
      <c r="Z895" s="19"/>
      <c r="AA895" s="23"/>
    </row>
    <row r="896" spans="1:27" ht="15.75" customHeight="1" x14ac:dyDescent="0.2">
      <c r="A896" s="34"/>
      <c r="B896" s="34"/>
      <c r="C896" s="34"/>
      <c r="D896" s="34"/>
      <c r="E896" s="19"/>
      <c r="F896" s="19"/>
      <c r="G896" s="19"/>
      <c r="H896" s="19"/>
      <c r="I896" s="19"/>
      <c r="J896" s="19"/>
      <c r="K896" s="19"/>
      <c r="L896" s="19"/>
      <c r="M896" s="19"/>
      <c r="N896" s="19"/>
      <c r="O896" s="19"/>
      <c r="P896" s="19"/>
      <c r="Q896" s="20"/>
      <c r="R896" s="20"/>
      <c r="S896" s="22"/>
      <c r="T896" s="22"/>
      <c r="U896" s="20"/>
      <c r="V896" s="20"/>
      <c r="W896" s="20"/>
      <c r="X896" s="19"/>
      <c r="Y896" s="19"/>
      <c r="Z896" s="19"/>
      <c r="AA896" s="23"/>
    </row>
    <row r="897" spans="1:27" ht="15.75" customHeight="1" x14ac:dyDescent="0.2">
      <c r="A897" s="34"/>
      <c r="B897" s="34"/>
      <c r="C897" s="34"/>
      <c r="D897" s="34"/>
      <c r="E897" s="19"/>
      <c r="F897" s="19"/>
      <c r="G897" s="19"/>
      <c r="H897" s="19"/>
      <c r="I897" s="19"/>
      <c r="J897" s="19"/>
      <c r="K897" s="19"/>
      <c r="L897" s="19"/>
      <c r="M897" s="19"/>
      <c r="N897" s="19"/>
      <c r="O897" s="19"/>
      <c r="P897" s="19"/>
      <c r="Q897" s="20"/>
      <c r="R897" s="20"/>
      <c r="S897" s="22"/>
      <c r="T897" s="22"/>
      <c r="U897" s="20"/>
      <c r="V897" s="20"/>
      <c r="W897" s="20"/>
      <c r="X897" s="19"/>
      <c r="Y897" s="19"/>
      <c r="Z897" s="19"/>
      <c r="AA897" s="23"/>
    </row>
    <row r="898" spans="1:27" ht="15.75" customHeight="1" x14ac:dyDescent="0.2">
      <c r="A898" s="34"/>
      <c r="B898" s="34"/>
      <c r="C898" s="34"/>
      <c r="D898" s="34"/>
      <c r="E898" s="19"/>
      <c r="F898" s="19"/>
      <c r="G898" s="19"/>
      <c r="H898" s="19"/>
      <c r="I898" s="19"/>
      <c r="J898" s="19"/>
      <c r="K898" s="19"/>
      <c r="L898" s="19"/>
      <c r="M898" s="19"/>
      <c r="N898" s="19"/>
      <c r="O898" s="19"/>
      <c r="P898" s="19"/>
      <c r="Q898" s="20"/>
      <c r="R898" s="20"/>
      <c r="S898" s="22"/>
      <c r="T898" s="22"/>
      <c r="U898" s="20"/>
      <c r="V898" s="20"/>
      <c r="W898" s="20"/>
      <c r="X898" s="19"/>
      <c r="Y898" s="19"/>
      <c r="Z898" s="19"/>
      <c r="AA898" s="23"/>
    </row>
    <row r="899" spans="1:27" ht="15.75" customHeight="1" x14ac:dyDescent="0.2">
      <c r="A899" s="34"/>
      <c r="B899" s="34"/>
      <c r="C899" s="34"/>
      <c r="D899" s="34"/>
      <c r="E899" s="19"/>
      <c r="F899" s="19"/>
      <c r="G899" s="19"/>
      <c r="H899" s="19"/>
      <c r="I899" s="19"/>
      <c r="J899" s="19"/>
      <c r="K899" s="19"/>
      <c r="L899" s="19"/>
      <c r="M899" s="19"/>
      <c r="N899" s="19"/>
      <c r="O899" s="19"/>
      <c r="P899" s="19"/>
      <c r="Q899" s="20"/>
      <c r="R899" s="20"/>
      <c r="S899" s="22"/>
      <c r="T899" s="22"/>
      <c r="U899" s="20"/>
      <c r="V899" s="20"/>
      <c r="W899" s="20"/>
      <c r="X899" s="19"/>
      <c r="Y899" s="19"/>
      <c r="Z899" s="19"/>
      <c r="AA899" s="23"/>
    </row>
    <row r="900" spans="1:27" ht="15.75" customHeight="1" x14ac:dyDescent="0.2">
      <c r="A900" s="34"/>
      <c r="B900" s="34"/>
      <c r="C900" s="34"/>
      <c r="D900" s="34"/>
      <c r="E900" s="19"/>
      <c r="F900" s="19"/>
      <c r="G900" s="19"/>
      <c r="H900" s="19"/>
      <c r="I900" s="19"/>
      <c r="J900" s="19"/>
      <c r="K900" s="19"/>
      <c r="L900" s="19"/>
      <c r="M900" s="19"/>
      <c r="N900" s="19"/>
      <c r="O900" s="19"/>
      <c r="P900" s="19"/>
      <c r="Q900" s="20"/>
      <c r="R900" s="20"/>
      <c r="S900" s="22"/>
      <c r="T900" s="22"/>
      <c r="U900" s="20"/>
      <c r="V900" s="20"/>
      <c r="W900" s="20"/>
      <c r="X900" s="19"/>
      <c r="Y900" s="19"/>
      <c r="Z900" s="19"/>
      <c r="AA900" s="23"/>
    </row>
    <row r="901" spans="1:27" ht="15.75" customHeight="1" x14ac:dyDescent="0.2">
      <c r="A901" s="34"/>
      <c r="B901" s="34"/>
      <c r="C901" s="34"/>
      <c r="D901" s="34"/>
      <c r="E901" s="19"/>
      <c r="F901" s="19"/>
      <c r="G901" s="19"/>
      <c r="H901" s="19"/>
      <c r="I901" s="19"/>
      <c r="J901" s="19"/>
      <c r="K901" s="19"/>
      <c r="L901" s="19"/>
      <c r="M901" s="19"/>
      <c r="N901" s="19"/>
      <c r="O901" s="19"/>
      <c r="P901" s="19"/>
      <c r="Q901" s="20"/>
      <c r="R901" s="20"/>
      <c r="S901" s="22"/>
      <c r="T901" s="22"/>
      <c r="U901" s="20"/>
      <c r="V901" s="20"/>
      <c r="W901" s="20"/>
      <c r="X901" s="19"/>
      <c r="Y901" s="19"/>
      <c r="Z901" s="19"/>
      <c r="AA901" s="23"/>
    </row>
    <row r="902" spans="1:27" ht="15.75" customHeight="1" x14ac:dyDescent="0.2">
      <c r="A902" s="34"/>
      <c r="B902" s="34"/>
      <c r="C902" s="34"/>
      <c r="D902" s="34"/>
      <c r="E902" s="19"/>
      <c r="F902" s="19"/>
      <c r="G902" s="19"/>
      <c r="H902" s="19"/>
      <c r="I902" s="19"/>
      <c r="J902" s="19"/>
      <c r="K902" s="19"/>
      <c r="L902" s="19"/>
      <c r="M902" s="19"/>
      <c r="N902" s="19"/>
      <c r="O902" s="19"/>
      <c r="P902" s="19"/>
      <c r="Q902" s="20"/>
      <c r="R902" s="20"/>
      <c r="S902" s="22"/>
      <c r="T902" s="22"/>
      <c r="U902" s="20"/>
      <c r="V902" s="20"/>
      <c r="W902" s="20"/>
      <c r="X902" s="19"/>
      <c r="Y902" s="19"/>
      <c r="Z902" s="19"/>
      <c r="AA902" s="23"/>
    </row>
    <row r="903" spans="1:27" ht="15.75" customHeight="1" x14ac:dyDescent="0.2">
      <c r="A903" s="34"/>
      <c r="B903" s="34"/>
      <c r="C903" s="34"/>
      <c r="D903" s="34"/>
      <c r="E903" s="19"/>
      <c r="F903" s="19"/>
      <c r="G903" s="19"/>
      <c r="H903" s="19"/>
      <c r="I903" s="19"/>
      <c r="J903" s="19"/>
      <c r="K903" s="19"/>
      <c r="L903" s="19"/>
      <c r="M903" s="19"/>
      <c r="N903" s="19"/>
      <c r="O903" s="19"/>
      <c r="P903" s="19"/>
      <c r="Q903" s="20"/>
      <c r="R903" s="20"/>
      <c r="S903" s="22"/>
      <c r="T903" s="22"/>
      <c r="U903" s="20"/>
      <c r="V903" s="20"/>
      <c r="W903" s="20"/>
      <c r="X903" s="19"/>
      <c r="Y903" s="19"/>
      <c r="Z903" s="19"/>
      <c r="AA903" s="23"/>
    </row>
    <row r="904" spans="1:27" ht="15.75" customHeight="1" x14ac:dyDescent="0.2">
      <c r="A904" s="34"/>
      <c r="B904" s="34"/>
      <c r="C904" s="34"/>
      <c r="D904" s="34"/>
      <c r="E904" s="19"/>
      <c r="F904" s="19"/>
      <c r="G904" s="19"/>
      <c r="H904" s="19"/>
      <c r="I904" s="19"/>
      <c r="J904" s="19"/>
      <c r="K904" s="19"/>
      <c r="L904" s="19"/>
      <c r="M904" s="19"/>
      <c r="N904" s="19"/>
      <c r="O904" s="19"/>
      <c r="P904" s="19"/>
      <c r="Q904" s="20"/>
      <c r="R904" s="20"/>
      <c r="S904" s="22"/>
      <c r="T904" s="22"/>
      <c r="U904" s="20"/>
      <c r="V904" s="20"/>
      <c r="W904" s="20"/>
      <c r="X904" s="19"/>
      <c r="Y904" s="19"/>
      <c r="Z904" s="19"/>
      <c r="AA904" s="23"/>
    </row>
    <row r="905" spans="1:27" ht="15.75" customHeight="1" x14ac:dyDescent="0.2">
      <c r="A905" s="34"/>
      <c r="B905" s="34"/>
      <c r="C905" s="34"/>
      <c r="D905" s="34"/>
      <c r="E905" s="19"/>
      <c r="F905" s="19"/>
      <c r="G905" s="19"/>
      <c r="H905" s="19"/>
      <c r="I905" s="19"/>
      <c r="J905" s="19"/>
      <c r="K905" s="19"/>
      <c r="L905" s="19"/>
      <c r="M905" s="19"/>
      <c r="N905" s="19"/>
      <c r="O905" s="19"/>
      <c r="P905" s="19"/>
      <c r="Q905" s="20"/>
      <c r="R905" s="20"/>
      <c r="S905" s="22"/>
      <c r="T905" s="22"/>
      <c r="U905" s="20"/>
      <c r="V905" s="20"/>
      <c r="W905" s="20"/>
      <c r="X905" s="19"/>
      <c r="Y905" s="19"/>
      <c r="Z905" s="19"/>
      <c r="AA905" s="23"/>
    </row>
    <row r="906" spans="1:27" ht="15.75" customHeight="1" x14ac:dyDescent="0.2">
      <c r="A906" s="34"/>
      <c r="B906" s="34"/>
      <c r="C906" s="34"/>
      <c r="D906" s="34"/>
      <c r="E906" s="19"/>
      <c r="F906" s="19"/>
      <c r="G906" s="19"/>
      <c r="H906" s="19"/>
      <c r="I906" s="19"/>
      <c r="J906" s="19"/>
      <c r="K906" s="19"/>
      <c r="L906" s="19"/>
      <c r="M906" s="19"/>
      <c r="N906" s="19"/>
      <c r="O906" s="19"/>
      <c r="P906" s="19"/>
      <c r="Q906" s="20"/>
      <c r="R906" s="20"/>
      <c r="S906" s="22"/>
      <c r="T906" s="22"/>
      <c r="U906" s="20"/>
      <c r="V906" s="20"/>
      <c r="W906" s="20"/>
      <c r="X906" s="19"/>
      <c r="Y906" s="19"/>
      <c r="Z906" s="19"/>
      <c r="AA906" s="23"/>
    </row>
    <row r="907" spans="1:27" ht="15.75" customHeight="1" x14ac:dyDescent="0.2">
      <c r="A907" s="34"/>
      <c r="B907" s="34"/>
      <c r="C907" s="34"/>
      <c r="D907" s="34"/>
      <c r="E907" s="19"/>
      <c r="F907" s="19"/>
      <c r="G907" s="19"/>
      <c r="H907" s="19"/>
      <c r="I907" s="19"/>
      <c r="J907" s="19"/>
      <c r="K907" s="19"/>
      <c r="L907" s="19"/>
      <c r="M907" s="19"/>
      <c r="N907" s="19"/>
      <c r="O907" s="19"/>
      <c r="P907" s="19"/>
      <c r="Q907" s="20"/>
      <c r="R907" s="20"/>
      <c r="S907" s="22"/>
      <c r="T907" s="22"/>
      <c r="U907" s="20"/>
      <c r="V907" s="20"/>
      <c r="W907" s="20"/>
      <c r="X907" s="19"/>
      <c r="Y907" s="19"/>
      <c r="Z907" s="19"/>
      <c r="AA907" s="23"/>
    </row>
    <row r="908" spans="1:27" ht="15.75" customHeight="1" x14ac:dyDescent="0.2">
      <c r="A908" s="34"/>
      <c r="B908" s="34"/>
      <c r="C908" s="34"/>
      <c r="D908" s="34"/>
      <c r="E908" s="19"/>
      <c r="F908" s="19"/>
      <c r="G908" s="19"/>
      <c r="H908" s="19"/>
      <c r="I908" s="19"/>
      <c r="J908" s="19"/>
      <c r="K908" s="19"/>
      <c r="L908" s="19"/>
      <c r="M908" s="19"/>
      <c r="N908" s="19"/>
      <c r="O908" s="19"/>
      <c r="P908" s="19"/>
      <c r="Q908" s="20"/>
      <c r="R908" s="20"/>
      <c r="S908" s="22"/>
      <c r="T908" s="22"/>
      <c r="U908" s="20"/>
      <c r="V908" s="20"/>
      <c r="W908" s="20"/>
      <c r="X908" s="19"/>
      <c r="Y908" s="19"/>
      <c r="Z908" s="19"/>
      <c r="AA908" s="23"/>
    </row>
    <row r="909" spans="1:27" ht="15.75" customHeight="1" x14ac:dyDescent="0.2">
      <c r="A909" s="34"/>
      <c r="B909" s="34"/>
      <c r="C909" s="34"/>
      <c r="D909" s="34"/>
      <c r="E909" s="19"/>
      <c r="F909" s="19"/>
      <c r="G909" s="19"/>
      <c r="H909" s="19"/>
      <c r="I909" s="19"/>
      <c r="J909" s="19"/>
      <c r="K909" s="19"/>
      <c r="L909" s="19"/>
      <c r="M909" s="19"/>
      <c r="N909" s="19"/>
      <c r="O909" s="19"/>
      <c r="P909" s="19"/>
      <c r="Q909" s="20"/>
      <c r="R909" s="20"/>
      <c r="S909" s="22"/>
      <c r="T909" s="22"/>
      <c r="U909" s="20"/>
      <c r="V909" s="20"/>
      <c r="W909" s="20"/>
      <c r="X909" s="19"/>
      <c r="Y909" s="19"/>
      <c r="Z909" s="19"/>
      <c r="AA909" s="23"/>
    </row>
    <row r="910" spans="1:27" ht="15.75" customHeight="1" x14ac:dyDescent="0.2">
      <c r="A910" s="34"/>
      <c r="B910" s="34"/>
      <c r="C910" s="34"/>
      <c r="D910" s="34"/>
      <c r="E910" s="19"/>
      <c r="F910" s="19"/>
      <c r="G910" s="19"/>
      <c r="H910" s="19"/>
      <c r="I910" s="19"/>
      <c r="J910" s="19"/>
      <c r="K910" s="19"/>
      <c r="L910" s="19"/>
      <c r="M910" s="19"/>
      <c r="N910" s="19"/>
      <c r="O910" s="19"/>
      <c r="P910" s="19"/>
      <c r="Q910" s="20"/>
      <c r="R910" s="20"/>
      <c r="S910" s="22"/>
      <c r="T910" s="22"/>
      <c r="U910" s="20"/>
      <c r="V910" s="20"/>
      <c r="W910" s="20"/>
      <c r="X910" s="19"/>
      <c r="Y910" s="19"/>
      <c r="Z910" s="19"/>
      <c r="AA910" s="23"/>
    </row>
    <row r="911" spans="1:27" ht="15.75" customHeight="1" x14ac:dyDescent="0.2">
      <c r="A911" s="34"/>
      <c r="B911" s="34"/>
      <c r="C911" s="34"/>
      <c r="D911" s="34"/>
      <c r="E911" s="19"/>
      <c r="F911" s="19"/>
      <c r="G911" s="19"/>
      <c r="H911" s="19"/>
      <c r="I911" s="19"/>
      <c r="J911" s="19"/>
      <c r="K911" s="19"/>
      <c r="L911" s="19"/>
      <c r="M911" s="19"/>
      <c r="N911" s="19"/>
      <c r="O911" s="19"/>
      <c r="P911" s="19"/>
      <c r="Q911" s="20"/>
      <c r="R911" s="20"/>
      <c r="S911" s="22"/>
      <c r="T911" s="22"/>
      <c r="U911" s="20"/>
      <c r="V911" s="20"/>
      <c r="W911" s="20"/>
      <c r="X911" s="19"/>
      <c r="Y911" s="19"/>
      <c r="Z911" s="19"/>
      <c r="AA911" s="23"/>
    </row>
    <row r="912" spans="1:27" ht="15.75" customHeight="1" x14ac:dyDescent="0.2">
      <c r="A912" s="34"/>
      <c r="B912" s="34"/>
      <c r="C912" s="34"/>
      <c r="D912" s="34"/>
      <c r="E912" s="19"/>
      <c r="F912" s="19"/>
      <c r="G912" s="19"/>
      <c r="H912" s="19"/>
      <c r="I912" s="19"/>
      <c r="J912" s="19"/>
      <c r="K912" s="19"/>
      <c r="L912" s="19"/>
      <c r="M912" s="19"/>
      <c r="N912" s="19"/>
      <c r="O912" s="19"/>
      <c r="P912" s="19"/>
      <c r="Q912" s="20"/>
      <c r="R912" s="20"/>
      <c r="S912" s="22"/>
      <c r="T912" s="22"/>
      <c r="U912" s="20"/>
      <c r="V912" s="20"/>
      <c r="W912" s="20"/>
      <c r="X912" s="19"/>
      <c r="Y912" s="19"/>
      <c r="Z912" s="19"/>
      <c r="AA912" s="23"/>
    </row>
    <row r="913" spans="1:27" ht="15.75" customHeight="1" x14ac:dyDescent="0.2">
      <c r="A913" s="34"/>
      <c r="B913" s="34"/>
      <c r="C913" s="34"/>
      <c r="D913" s="34"/>
      <c r="E913" s="19"/>
      <c r="F913" s="19"/>
      <c r="G913" s="19"/>
      <c r="H913" s="19"/>
      <c r="I913" s="19"/>
      <c r="J913" s="19"/>
      <c r="K913" s="19"/>
      <c r="L913" s="19"/>
      <c r="M913" s="19"/>
      <c r="N913" s="19"/>
      <c r="O913" s="19"/>
      <c r="P913" s="19"/>
      <c r="Q913" s="20"/>
      <c r="R913" s="20"/>
      <c r="S913" s="22"/>
      <c r="T913" s="22"/>
      <c r="U913" s="20"/>
      <c r="V913" s="20"/>
      <c r="W913" s="20"/>
      <c r="X913" s="19"/>
      <c r="Y913" s="19"/>
      <c r="Z913" s="19"/>
      <c r="AA913" s="23"/>
    </row>
    <row r="914" spans="1:27" ht="15.75" customHeight="1" x14ac:dyDescent="0.2">
      <c r="A914" s="34"/>
      <c r="B914" s="34"/>
      <c r="C914" s="34"/>
      <c r="D914" s="34"/>
      <c r="E914" s="19"/>
      <c r="F914" s="19"/>
      <c r="G914" s="19"/>
      <c r="H914" s="19"/>
      <c r="I914" s="19"/>
      <c r="J914" s="19"/>
      <c r="K914" s="19"/>
      <c r="L914" s="19"/>
      <c r="M914" s="19"/>
      <c r="N914" s="19"/>
      <c r="O914" s="19"/>
      <c r="P914" s="19"/>
      <c r="Q914" s="20"/>
      <c r="R914" s="20"/>
      <c r="S914" s="22"/>
      <c r="T914" s="22"/>
      <c r="U914" s="20"/>
      <c r="V914" s="20"/>
      <c r="W914" s="20"/>
      <c r="X914" s="19"/>
      <c r="Y914" s="19"/>
      <c r="Z914" s="19"/>
      <c r="AA914" s="23"/>
    </row>
    <row r="915" spans="1:27" ht="15.75" customHeight="1" x14ac:dyDescent="0.2">
      <c r="A915" s="34"/>
      <c r="B915" s="34"/>
      <c r="C915" s="34"/>
      <c r="D915" s="34"/>
      <c r="E915" s="19"/>
      <c r="F915" s="19"/>
      <c r="G915" s="19"/>
      <c r="H915" s="19"/>
      <c r="I915" s="19"/>
      <c r="J915" s="19"/>
      <c r="K915" s="19"/>
      <c r="L915" s="19"/>
      <c r="M915" s="19"/>
      <c r="N915" s="19"/>
      <c r="O915" s="19"/>
      <c r="P915" s="19"/>
      <c r="Q915" s="20"/>
      <c r="R915" s="20"/>
      <c r="S915" s="22"/>
      <c r="T915" s="22"/>
      <c r="U915" s="20"/>
      <c r="V915" s="20"/>
      <c r="W915" s="20"/>
      <c r="X915" s="19"/>
      <c r="Y915" s="19"/>
      <c r="Z915" s="19"/>
      <c r="AA915" s="23"/>
    </row>
    <row r="916" spans="1:27" ht="15.75" customHeight="1" x14ac:dyDescent="0.2">
      <c r="A916" s="34"/>
      <c r="B916" s="34"/>
      <c r="C916" s="34"/>
      <c r="D916" s="34"/>
      <c r="E916" s="19"/>
      <c r="F916" s="19"/>
      <c r="G916" s="19"/>
      <c r="H916" s="19"/>
      <c r="I916" s="19"/>
      <c r="J916" s="19"/>
      <c r="K916" s="19"/>
      <c r="L916" s="19"/>
      <c r="M916" s="19"/>
      <c r="N916" s="19"/>
      <c r="O916" s="19"/>
      <c r="P916" s="19"/>
      <c r="Q916" s="20"/>
      <c r="R916" s="20"/>
      <c r="S916" s="22"/>
      <c r="T916" s="22"/>
      <c r="U916" s="20"/>
      <c r="V916" s="20"/>
      <c r="W916" s="20"/>
      <c r="X916" s="19"/>
      <c r="Y916" s="19"/>
      <c r="Z916" s="19"/>
      <c r="AA916" s="23"/>
    </row>
    <row r="917" spans="1:27" ht="15.75" customHeight="1" x14ac:dyDescent="0.2">
      <c r="A917" s="34"/>
      <c r="B917" s="34"/>
      <c r="C917" s="34"/>
      <c r="D917" s="34"/>
      <c r="E917" s="19"/>
      <c r="F917" s="19"/>
      <c r="G917" s="19"/>
      <c r="H917" s="19"/>
      <c r="I917" s="19"/>
      <c r="J917" s="19"/>
      <c r="K917" s="19"/>
      <c r="L917" s="19"/>
      <c r="M917" s="19"/>
      <c r="N917" s="19"/>
      <c r="O917" s="19"/>
      <c r="P917" s="19"/>
      <c r="Q917" s="20"/>
      <c r="R917" s="20"/>
      <c r="S917" s="22"/>
      <c r="T917" s="22"/>
      <c r="U917" s="20"/>
      <c r="V917" s="20"/>
      <c r="W917" s="20"/>
      <c r="X917" s="19"/>
      <c r="Y917" s="19"/>
      <c r="Z917" s="19"/>
      <c r="AA917" s="23"/>
    </row>
    <row r="918" spans="1:27" ht="15.75" customHeight="1" x14ac:dyDescent="0.2">
      <c r="A918" s="34"/>
      <c r="B918" s="34"/>
      <c r="C918" s="34"/>
      <c r="D918" s="34"/>
      <c r="E918" s="19"/>
      <c r="F918" s="19"/>
      <c r="G918" s="19"/>
      <c r="H918" s="19"/>
      <c r="I918" s="19"/>
      <c r="J918" s="19"/>
      <c r="K918" s="19"/>
      <c r="L918" s="19"/>
      <c r="M918" s="19"/>
      <c r="N918" s="19"/>
      <c r="O918" s="19"/>
      <c r="P918" s="19"/>
      <c r="Q918" s="20"/>
      <c r="R918" s="20"/>
      <c r="S918" s="22"/>
      <c r="T918" s="22"/>
      <c r="U918" s="20"/>
      <c r="V918" s="20"/>
      <c r="W918" s="20"/>
      <c r="X918" s="19"/>
      <c r="Y918" s="19"/>
      <c r="Z918" s="19"/>
      <c r="AA918" s="23"/>
    </row>
    <row r="919" spans="1:27" ht="15.75" customHeight="1" x14ac:dyDescent="0.2">
      <c r="A919" s="34"/>
      <c r="B919" s="34"/>
      <c r="C919" s="34"/>
      <c r="D919" s="34"/>
      <c r="E919" s="19"/>
      <c r="F919" s="19"/>
      <c r="G919" s="19"/>
      <c r="H919" s="19"/>
      <c r="I919" s="19"/>
      <c r="J919" s="19"/>
      <c r="K919" s="19"/>
      <c r="L919" s="19"/>
      <c r="M919" s="19"/>
      <c r="N919" s="19"/>
      <c r="O919" s="19"/>
      <c r="P919" s="19"/>
      <c r="Q919" s="20"/>
      <c r="R919" s="20"/>
      <c r="S919" s="22"/>
      <c r="T919" s="22"/>
      <c r="U919" s="20"/>
      <c r="V919" s="20"/>
      <c r="W919" s="20"/>
      <c r="X919" s="19"/>
      <c r="Y919" s="19"/>
      <c r="Z919" s="19"/>
      <c r="AA919" s="23"/>
    </row>
    <row r="920" spans="1:27" ht="15.75" customHeight="1" x14ac:dyDescent="0.2">
      <c r="A920" s="34"/>
      <c r="B920" s="34"/>
      <c r="C920" s="34"/>
      <c r="D920" s="34"/>
      <c r="E920" s="19"/>
      <c r="F920" s="19"/>
      <c r="G920" s="19"/>
      <c r="H920" s="19"/>
      <c r="I920" s="19"/>
      <c r="J920" s="19"/>
      <c r="K920" s="19"/>
      <c r="L920" s="19"/>
      <c r="M920" s="19"/>
      <c r="N920" s="19"/>
      <c r="O920" s="19"/>
      <c r="P920" s="19"/>
      <c r="Q920" s="20"/>
      <c r="R920" s="20"/>
      <c r="S920" s="22"/>
      <c r="T920" s="22"/>
      <c r="U920" s="20"/>
      <c r="V920" s="20"/>
      <c r="W920" s="20"/>
      <c r="X920" s="19"/>
      <c r="Y920" s="19"/>
      <c r="Z920" s="19"/>
      <c r="AA920" s="23"/>
    </row>
    <row r="921" spans="1:27" ht="15.75" customHeight="1" x14ac:dyDescent="0.2">
      <c r="A921" s="34"/>
      <c r="B921" s="34"/>
      <c r="C921" s="34"/>
      <c r="D921" s="34"/>
      <c r="E921" s="19"/>
      <c r="F921" s="19"/>
      <c r="G921" s="19"/>
      <c r="H921" s="19"/>
      <c r="I921" s="19"/>
      <c r="J921" s="19"/>
      <c r="K921" s="19"/>
      <c r="L921" s="19"/>
      <c r="M921" s="19"/>
      <c r="N921" s="19"/>
      <c r="O921" s="19"/>
      <c r="P921" s="19"/>
      <c r="Q921" s="20"/>
      <c r="R921" s="20"/>
      <c r="S921" s="22"/>
      <c r="T921" s="22"/>
      <c r="U921" s="20"/>
      <c r="V921" s="20"/>
      <c r="W921" s="20"/>
      <c r="X921" s="19"/>
      <c r="Y921" s="19"/>
      <c r="Z921" s="19"/>
      <c r="AA921" s="23"/>
    </row>
    <row r="922" spans="1:27" ht="15.75" customHeight="1" x14ac:dyDescent="0.2">
      <c r="A922" s="34"/>
      <c r="B922" s="34"/>
      <c r="C922" s="34"/>
      <c r="D922" s="34"/>
      <c r="E922" s="19"/>
      <c r="F922" s="19"/>
      <c r="G922" s="19"/>
      <c r="H922" s="19"/>
      <c r="I922" s="19"/>
      <c r="J922" s="19"/>
      <c r="K922" s="19"/>
      <c r="L922" s="19"/>
      <c r="M922" s="19"/>
      <c r="N922" s="19"/>
      <c r="O922" s="19"/>
      <c r="P922" s="19"/>
      <c r="Q922" s="20"/>
      <c r="R922" s="20"/>
      <c r="S922" s="22"/>
      <c r="T922" s="22"/>
      <c r="U922" s="20"/>
      <c r="V922" s="20"/>
      <c r="W922" s="20"/>
      <c r="X922" s="19"/>
      <c r="Y922" s="19"/>
      <c r="Z922" s="19"/>
      <c r="AA922" s="23"/>
    </row>
    <row r="923" spans="1:27" ht="15.75" customHeight="1" x14ac:dyDescent="0.2">
      <c r="A923" s="34"/>
      <c r="B923" s="34"/>
      <c r="C923" s="34"/>
      <c r="D923" s="34"/>
      <c r="E923" s="19"/>
      <c r="F923" s="19"/>
      <c r="G923" s="19"/>
      <c r="H923" s="19"/>
      <c r="I923" s="19"/>
      <c r="J923" s="19"/>
      <c r="K923" s="19"/>
      <c r="L923" s="19"/>
      <c r="M923" s="19"/>
      <c r="N923" s="19"/>
      <c r="O923" s="19"/>
      <c r="P923" s="19"/>
      <c r="Q923" s="20"/>
      <c r="R923" s="20"/>
      <c r="S923" s="22"/>
      <c r="T923" s="22"/>
      <c r="U923" s="20"/>
      <c r="V923" s="20"/>
      <c r="W923" s="20"/>
      <c r="X923" s="19"/>
      <c r="Y923" s="19"/>
      <c r="Z923" s="19"/>
      <c r="AA923" s="23"/>
    </row>
    <row r="924" spans="1:27" ht="15.75" customHeight="1" x14ac:dyDescent="0.2">
      <c r="A924" s="34"/>
      <c r="B924" s="34"/>
      <c r="C924" s="34"/>
      <c r="D924" s="34"/>
      <c r="E924" s="19"/>
      <c r="F924" s="19"/>
      <c r="G924" s="19"/>
      <c r="H924" s="19"/>
      <c r="I924" s="19"/>
      <c r="J924" s="19"/>
      <c r="K924" s="19"/>
      <c r="L924" s="19"/>
      <c r="M924" s="19"/>
      <c r="N924" s="19"/>
      <c r="O924" s="19"/>
      <c r="P924" s="19"/>
      <c r="Q924" s="20"/>
      <c r="R924" s="20"/>
      <c r="S924" s="22"/>
      <c r="T924" s="22"/>
      <c r="U924" s="20"/>
      <c r="V924" s="20"/>
      <c r="W924" s="20"/>
      <c r="X924" s="19"/>
      <c r="Y924" s="19"/>
      <c r="Z924" s="19"/>
      <c r="AA924" s="23"/>
    </row>
    <row r="925" spans="1:27" ht="15.75" customHeight="1" x14ac:dyDescent="0.2">
      <c r="A925" s="34"/>
      <c r="B925" s="34"/>
      <c r="C925" s="34"/>
      <c r="D925" s="34"/>
      <c r="E925" s="19"/>
      <c r="F925" s="19"/>
      <c r="G925" s="19"/>
      <c r="H925" s="19"/>
      <c r="I925" s="19"/>
      <c r="J925" s="19"/>
      <c r="K925" s="19"/>
      <c r="L925" s="19"/>
      <c r="M925" s="19"/>
      <c r="N925" s="19"/>
      <c r="O925" s="19"/>
      <c r="P925" s="19"/>
      <c r="Q925" s="20"/>
      <c r="R925" s="20"/>
      <c r="S925" s="22"/>
      <c r="T925" s="22"/>
      <c r="U925" s="20"/>
      <c r="V925" s="20"/>
      <c r="W925" s="20"/>
      <c r="X925" s="19"/>
      <c r="Y925" s="19"/>
      <c r="Z925" s="19"/>
      <c r="AA925" s="23"/>
    </row>
    <row r="926" spans="1:27" ht="15.75" customHeight="1" x14ac:dyDescent="0.2">
      <c r="A926" s="34"/>
      <c r="B926" s="34"/>
      <c r="C926" s="34"/>
      <c r="D926" s="34"/>
      <c r="E926" s="19"/>
      <c r="F926" s="19"/>
      <c r="G926" s="19"/>
      <c r="H926" s="19"/>
      <c r="I926" s="19"/>
      <c r="J926" s="19"/>
      <c r="K926" s="19"/>
      <c r="L926" s="19"/>
      <c r="M926" s="19"/>
      <c r="N926" s="19"/>
      <c r="O926" s="19"/>
      <c r="P926" s="19"/>
      <c r="Q926" s="20"/>
      <c r="R926" s="20"/>
      <c r="S926" s="22"/>
      <c r="T926" s="22"/>
      <c r="U926" s="20"/>
      <c r="V926" s="20"/>
      <c r="W926" s="20"/>
      <c r="X926" s="19"/>
      <c r="Y926" s="19"/>
      <c r="Z926" s="19"/>
      <c r="AA926" s="23"/>
    </row>
    <row r="927" spans="1:27" ht="15.75" customHeight="1" x14ac:dyDescent="0.2">
      <c r="A927" s="34"/>
      <c r="B927" s="34"/>
      <c r="C927" s="34"/>
      <c r="D927" s="34"/>
      <c r="E927" s="19"/>
      <c r="F927" s="19"/>
      <c r="G927" s="19"/>
      <c r="H927" s="19"/>
      <c r="I927" s="19"/>
      <c r="J927" s="19"/>
      <c r="K927" s="19"/>
      <c r="L927" s="19"/>
      <c r="M927" s="19"/>
      <c r="N927" s="19"/>
      <c r="O927" s="19"/>
      <c r="P927" s="19"/>
      <c r="Q927" s="20"/>
      <c r="R927" s="20"/>
      <c r="S927" s="22"/>
      <c r="T927" s="22"/>
      <c r="U927" s="20"/>
      <c r="V927" s="20"/>
      <c r="W927" s="20"/>
      <c r="X927" s="19"/>
      <c r="Y927" s="19"/>
      <c r="Z927" s="19"/>
      <c r="AA927" s="23"/>
    </row>
    <row r="928" spans="1:27" ht="15.75" customHeight="1" x14ac:dyDescent="0.2">
      <c r="A928" s="34"/>
      <c r="B928" s="34"/>
      <c r="C928" s="34"/>
      <c r="D928" s="34"/>
      <c r="E928" s="19"/>
      <c r="F928" s="19"/>
      <c r="G928" s="19"/>
      <c r="H928" s="19"/>
      <c r="I928" s="19"/>
      <c r="J928" s="19"/>
      <c r="K928" s="19"/>
      <c r="L928" s="19"/>
      <c r="M928" s="19"/>
      <c r="N928" s="19"/>
      <c r="O928" s="19"/>
      <c r="P928" s="19"/>
      <c r="Q928" s="20"/>
      <c r="R928" s="20"/>
      <c r="S928" s="22"/>
      <c r="T928" s="22"/>
      <c r="U928" s="20"/>
      <c r="V928" s="20"/>
      <c r="W928" s="20"/>
      <c r="X928" s="19"/>
      <c r="Y928" s="19"/>
      <c r="Z928" s="19"/>
      <c r="AA928" s="23"/>
    </row>
    <row r="929" spans="1:27" ht="15.75" customHeight="1" x14ac:dyDescent="0.2">
      <c r="A929" s="34"/>
      <c r="B929" s="34"/>
      <c r="C929" s="34"/>
      <c r="D929" s="34"/>
      <c r="E929" s="19"/>
      <c r="F929" s="19"/>
      <c r="G929" s="19"/>
      <c r="H929" s="19"/>
      <c r="I929" s="19"/>
      <c r="J929" s="19"/>
      <c r="K929" s="19"/>
      <c r="L929" s="19"/>
      <c r="M929" s="19"/>
      <c r="N929" s="19"/>
      <c r="O929" s="19"/>
      <c r="P929" s="19"/>
      <c r="Q929" s="20"/>
      <c r="R929" s="20"/>
      <c r="S929" s="22"/>
      <c r="T929" s="22"/>
      <c r="U929" s="20"/>
      <c r="V929" s="20"/>
      <c r="W929" s="20"/>
      <c r="X929" s="19"/>
      <c r="Y929" s="19"/>
      <c r="Z929" s="19"/>
      <c r="AA929" s="23"/>
    </row>
    <row r="930" spans="1:27" ht="15.75" customHeight="1" x14ac:dyDescent="0.2">
      <c r="A930" s="34"/>
      <c r="B930" s="34"/>
      <c r="C930" s="34"/>
      <c r="D930" s="34"/>
      <c r="E930" s="19"/>
      <c r="F930" s="19"/>
      <c r="G930" s="19"/>
      <c r="H930" s="19"/>
      <c r="I930" s="19"/>
      <c r="J930" s="19"/>
      <c r="K930" s="19"/>
      <c r="L930" s="19"/>
      <c r="M930" s="19"/>
      <c r="N930" s="19"/>
      <c r="O930" s="19"/>
      <c r="P930" s="19"/>
      <c r="Q930" s="20"/>
      <c r="R930" s="20"/>
      <c r="S930" s="22"/>
      <c r="T930" s="22"/>
      <c r="U930" s="20"/>
      <c r="V930" s="20"/>
      <c r="W930" s="20"/>
      <c r="X930" s="19"/>
      <c r="Y930" s="19"/>
      <c r="Z930" s="19"/>
      <c r="AA930" s="23"/>
    </row>
    <row r="931" spans="1:27" ht="15.75" customHeight="1" x14ac:dyDescent="0.2">
      <c r="A931" s="34"/>
      <c r="B931" s="34"/>
      <c r="C931" s="34"/>
      <c r="D931" s="34"/>
      <c r="E931" s="19"/>
      <c r="F931" s="19"/>
      <c r="G931" s="19"/>
      <c r="H931" s="19"/>
      <c r="I931" s="19"/>
      <c r="J931" s="19"/>
      <c r="K931" s="19"/>
      <c r="L931" s="19"/>
      <c r="M931" s="19"/>
      <c r="N931" s="19"/>
      <c r="O931" s="19"/>
      <c r="P931" s="19"/>
      <c r="Q931" s="20"/>
      <c r="R931" s="20"/>
      <c r="S931" s="22"/>
      <c r="T931" s="22"/>
      <c r="U931" s="20"/>
      <c r="V931" s="20"/>
      <c r="W931" s="20"/>
      <c r="X931" s="19"/>
      <c r="Y931" s="19"/>
      <c r="Z931" s="19"/>
      <c r="AA931" s="23"/>
    </row>
    <row r="932" spans="1:27" ht="15.75" customHeight="1" x14ac:dyDescent="0.2">
      <c r="A932" s="34"/>
      <c r="B932" s="34"/>
      <c r="C932" s="34"/>
      <c r="D932" s="34"/>
      <c r="E932" s="19"/>
      <c r="F932" s="19"/>
      <c r="G932" s="19"/>
      <c r="H932" s="19"/>
      <c r="I932" s="19"/>
      <c r="J932" s="19"/>
      <c r="K932" s="19"/>
      <c r="L932" s="19"/>
      <c r="M932" s="19"/>
      <c r="N932" s="19"/>
      <c r="O932" s="19"/>
      <c r="P932" s="19"/>
      <c r="Q932" s="20"/>
      <c r="R932" s="20"/>
      <c r="S932" s="22"/>
      <c r="T932" s="22"/>
      <c r="U932" s="20"/>
      <c r="V932" s="20"/>
      <c r="W932" s="20"/>
      <c r="X932" s="19"/>
      <c r="Y932" s="19"/>
      <c r="Z932" s="19"/>
      <c r="AA932" s="23"/>
    </row>
    <row r="933" spans="1:27" ht="15.75" customHeight="1" x14ac:dyDescent="0.2">
      <c r="A933" s="34"/>
      <c r="B933" s="34"/>
      <c r="C933" s="34"/>
      <c r="D933" s="34"/>
      <c r="E933" s="19"/>
      <c r="F933" s="19"/>
      <c r="G933" s="19"/>
      <c r="H933" s="19"/>
      <c r="I933" s="19"/>
      <c r="J933" s="19"/>
      <c r="K933" s="19"/>
      <c r="L933" s="19"/>
      <c r="M933" s="19"/>
      <c r="N933" s="19"/>
      <c r="O933" s="19"/>
      <c r="P933" s="19"/>
      <c r="Q933" s="20"/>
      <c r="R933" s="20"/>
      <c r="S933" s="22"/>
      <c r="T933" s="22"/>
      <c r="U933" s="20"/>
      <c r="V933" s="20"/>
      <c r="W933" s="20"/>
      <c r="X933" s="19"/>
      <c r="Y933" s="19"/>
      <c r="Z933" s="19"/>
      <c r="AA933" s="23"/>
    </row>
    <row r="934" spans="1:27" ht="15.75" customHeight="1" x14ac:dyDescent="0.2">
      <c r="A934" s="34"/>
      <c r="B934" s="34"/>
      <c r="C934" s="34"/>
      <c r="D934" s="34"/>
      <c r="E934" s="19"/>
      <c r="F934" s="19"/>
      <c r="G934" s="19"/>
      <c r="H934" s="19"/>
      <c r="I934" s="19"/>
      <c r="J934" s="19"/>
      <c r="K934" s="19"/>
      <c r="L934" s="19"/>
      <c r="M934" s="19"/>
      <c r="N934" s="19"/>
      <c r="O934" s="19"/>
      <c r="P934" s="19"/>
      <c r="Q934" s="20"/>
      <c r="R934" s="20"/>
      <c r="S934" s="22"/>
      <c r="T934" s="22"/>
      <c r="U934" s="20"/>
      <c r="V934" s="20"/>
      <c r="W934" s="20"/>
      <c r="X934" s="19"/>
      <c r="Y934" s="19"/>
      <c r="Z934" s="19"/>
      <c r="AA934" s="23"/>
    </row>
    <row r="935" spans="1:27" ht="15.75" customHeight="1" x14ac:dyDescent="0.2">
      <c r="A935" s="34"/>
      <c r="B935" s="34"/>
      <c r="C935" s="34"/>
      <c r="D935" s="34"/>
      <c r="E935" s="19"/>
      <c r="F935" s="19"/>
      <c r="G935" s="19"/>
      <c r="H935" s="19"/>
      <c r="I935" s="19"/>
      <c r="J935" s="19"/>
      <c r="K935" s="19"/>
      <c r="L935" s="19"/>
      <c r="M935" s="19"/>
      <c r="N935" s="19"/>
      <c r="O935" s="19"/>
      <c r="P935" s="19"/>
      <c r="Q935" s="20"/>
      <c r="R935" s="20"/>
      <c r="S935" s="22"/>
      <c r="T935" s="22"/>
      <c r="U935" s="20"/>
      <c r="V935" s="20"/>
      <c r="W935" s="20"/>
      <c r="X935" s="19"/>
      <c r="Y935" s="19"/>
      <c r="Z935" s="19"/>
      <c r="AA935" s="23"/>
    </row>
    <row r="936" spans="1:27" ht="15.75" customHeight="1" x14ac:dyDescent="0.2">
      <c r="A936" s="34"/>
      <c r="B936" s="34"/>
      <c r="C936" s="34"/>
      <c r="D936" s="34"/>
      <c r="E936" s="19"/>
      <c r="F936" s="19"/>
      <c r="G936" s="19"/>
      <c r="H936" s="19"/>
      <c r="I936" s="19"/>
      <c r="J936" s="19"/>
      <c r="K936" s="19"/>
      <c r="L936" s="19"/>
      <c r="M936" s="19"/>
      <c r="N936" s="19"/>
      <c r="O936" s="19"/>
      <c r="P936" s="19"/>
      <c r="Q936" s="20"/>
      <c r="R936" s="20"/>
      <c r="S936" s="22"/>
      <c r="T936" s="22"/>
      <c r="U936" s="20"/>
      <c r="V936" s="20"/>
      <c r="W936" s="20"/>
      <c r="X936" s="19"/>
      <c r="Y936" s="19"/>
      <c r="Z936" s="19"/>
      <c r="AA936" s="23"/>
    </row>
    <row r="937" spans="1:27" ht="15.75" customHeight="1" x14ac:dyDescent="0.2">
      <c r="A937" s="34"/>
      <c r="B937" s="34"/>
      <c r="C937" s="34"/>
      <c r="D937" s="34"/>
      <c r="E937" s="19"/>
      <c r="F937" s="19"/>
      <c r="G937" s="19"/>
      <c r="H937" s="19"/>
      <c r="I937" s="19"/>
      <c r="J937" s="19"/>
      <c r="K937" s="19"/>
      <c r="L937" s="19"/>
      <c r="M937" s="19"/>
      <c r="N937" s="19"/>
      <c r="O937" s="19"/>
      <c r="P937" s="19"/>
      <c r="Q937" s="20"/>
      <c r="R937" s="20"/>
      <c r="S937" s="22"/>
      <c r="T937" s="22"/>
      <c r="U937" s="20"/>
      <c r="V937" s="20"/>
      <c r="W937" s="20"/>
      <c r="X937" s="19"/>
      <c r="Y937" s="19"/>
      <c r="Z937" s="19"/>
      <c r="AA937" s="23"/>
    </row>
    <row r="938" spans="1:27" ht="15.75" customHeight="1" x14ac:dyDescent="0.2">
      <c r="A938" s="34"/>
      <c r="B938" s="34"/>
      <c r="C938" s="34"/>
      <c r="D938" s="34"/>
      <c r="E938" s="19"/>
      <c r="F938" s="19"/>
      <c r="G938" s="19"/>
      <c r="H938" s="19"/>
      <c r="I938" s="19"/>
      <c r="J938" s="19"/>
      <c r="K938" s="19"/>
      <c r="L938" s="19"/>
      <c r="M938" s="19"/>
      <c r="N938" s="19"/>
      <c r="O938" s="19"/>
      <c r="P938" s="19"/>
      <c r="Q938" s="20"/>
      <c r="R938" s="20"/>
      <c r="S938" s="22"/>
      <c r="T938" s="22"/>
      <c r="U938" s="20"/>
      <c r="V938" s="20"/>
      <c r="W938" s="20"/>
      <c r="X938" s="19"/>
      <c r="Y938" s="19"/>
      <c r="Z938" s="19"/>
      <c r="AA938" s="23"/>
    </row>
    <row r="939" spans="1:27" ht="15.75" customHeight="1" x14ac:dyDescent="0.2">
      <c r="A939" s="34"/>
      <c r="B939" s="34"/>
      <c r="C939" s="34"/>
      <c r="D939" s="34"/>
      <c r="E939" s="19"/>
      <c r="F939" s="19"/>
      <c r="G939" s="19"/>
      <c r="H939" s="19"/>
      <c r="I939" s="19"/>
      <c r="J939" s="19"/>
      <c r="K939" s="19"/>
      <c r="L939" s="19"/>
      <c r="M939" s="19"/>
      <c r="N939" s="19"/>
      <c r="O939" s="19"/>
      <c r="P939" s="19"/>
      <c r="Q939" s="20"/>
      <c r="R939" s="20"/>
      <c r="S939" s="22"/>
      <c r="T939" s="22"/>
      <c r="U939" s="20"/>
      <c r="V939" s="20"/>
      <c r="W939" s="20"/>
      <c r="X939" s="19"/>
      <c r="Y939" s="19"/>
      <c r="Z939" s="19"/>
      <c r="AA939" s="23"/>
    </row>
    <row r="940" spans="1:27" ht="15.75" customHeight="1" x14ac:dyDescent="0.2">
      <c r="A940" s="34"/>
      <c r="B940" s="34"/>
      <c r="C940" s="34"/>
      <c r="D940" s="34"/>
      <c r="E940" s="19"/>
      <c r="F940" s="19"/>
      <c r="G940" s="19"/>
      <c r="H940" s="19"/>
      <c r="I940" s="19"/>
      <c r="J940" s="19"/>
      <c r="K940" s="19"/>
      <c r="L940" s="19"/>
      <c r="M940" s="19"/>
      <c r="N940" s="19"/>
      <c r="O940" s="19"/>
      <c r="P940" s="19"/>
      <c r="Q940" s="20"/>
      <c r="R940" s="20"/>
      <c r="S940" s="22"/>
      <c r="T940" s="22"/>
      <c r="U940" s="20"/>
      <c r="V940" s="20"/>
      <c r="W940" s="20"/>
      <c r="X940" s="19"/>
      <c r="Y940" s="19"/>
      <c r="Z940" s="19"/>
      <c r="AA940" s="23"/>
    </row>
    <row r="941" spans="1:27" ht="15.75" customHeight="1" x14ac:dyDescent="0.2">
      <c r="A941" s="34"/>
      <c r="B941" s="34"/>
      <c r="C941" s="34"/>
      <c r="D941" s="34"/>
      <c r="E941" s="19"/>
      <c r="F941" s="19"/>
      <c r="G941" s="19"/>
      <c r="H941" s="19"/>
      <c r="I941" s="19"/>
      <c r="J941" s="19"/>
      <c r="K941" s="19"/>
      <c r="L941" s="19"/>
      <c r="M941" s="19"/>
      <c r="N941" s="19"/>
      <c r="O941" s="19"/>
      <c r="P941" s="19"/>
      <c r="Q941" s="20"/>
      <c r="R941" s="20"/>
      <c r="S941" s="22"/>
      <c r="T941" s="22"/>
      <c r="U941" s="20"/>
      <c r="V941" s="20"/>
      <c r="W941" s="20"/>
      <c r="X941" s="19"/>
      <c r="Y941" s="19"/>
      <c r="Z941" s="19"/>
      <c r="AA941" s="23"/>
    </row>
    <row r="942" spans="1:27" ht="15.75" customHeight="1" x14ac:dyDescent="0.2">
      <c r="A942" s="34"/>
      <c r="B942" s="34"/>
      <c r="C942" s="34"/>
      <c r="D942" s="34"/>
      <c r="E942" s="19"/>
      <c r="F942" s="19"/>
      <c r="G942" s="19"/>
      <c r="H942" s="19"/>
      <c r="I942" s="19"/>
      <c r="J942" s="19"/>
      <c r="K942" s="19"/>
      <c r="L942" s="19"/>
      <c r="M942" s="19"/>
      <c r="N942" s="19"/>
      <c r="O942" s="19"/>
      <c r="P942" s="19"/>
      <c r="Q942" s="20"/>
      <c r="R942" s="20"/>
      <c r="S942" s="22"/>
      <c r="T942" s="22"/>
      <c r="U942" s="20"/>
      <c r="V942" s="20"/>
      <c r="W942" s="20"/>
      <c r="X942" s="19"/>
      <c r="Y942" s="19"/>
      <c r="Z942" s="19"/>
      <c r="AA942" s="23"/>
    </row>
    <row r="943" spans="1:27" ht="15.75" customHeight="1" x14ac:dyDescent="0.2">
      <c r="A943" s="34"/>
      <c r="B943" s="34"/>
      <c r="C943" s="34"/>
      <c r="D943" s="34"/>
      <c r="E943" s="19"/>
      <c r="F943" s="19"/>
      <c r="G943" s="19"/>
      <c r="H943" s="19"/>
      <c r="I943" s="19"/>
      <c r="J943" s="19"/>
      <c r="K943" s="19"/>
      <c r="L943" s="19"/>
      <c r="M943" s="19"/>
      <c r="N943" s="19"/>
      <c r="O943" s="19"/>
      <c r="P943" s="19"/>
      <c r="Q943" s="20"/>
      <c r="R943" s="20"/>
      <c r="S943" s="22"/>
      <c r="T943" s="22"/>
      <c r="U943" s="20"/>
      <c r="V943" s="20"/>
      <c r="W943" s="20"/>
      <c r="X943" s="19"/>
      <c r="Y943" s="19"/>
      <c r="Z943" s="19"/>
      <c r="AA943" s="23"/>
    </row>
    <row r="944" spans="1:27" ht="15.75" customHeight="1" x14ac:dyDescent="0.2">
      <c r="A944" s="34"/>
      <c r="B944" s="34"/>
      <c r="C944" s="34"/>
      <c r="D944" s="34"/>
      <c r="E944" s="19"/>
      <c r="F944" s="19"/>
      <c r="G944" s="19"/>
      <c r="H944" s="19"/>
      <c r="I944" s="19"/>
      <c r="J944" s="19"/>
      <c r="K944" s="19"/>
      <c r="L944" s="19"/>
      <c r="M944" s="19"/>
      <c r="N944" s="19"/>
      <c r="O944" s="19"/>
      <c r="P944" s="19"/>
      <c r="Q944" s="20"/>
      <c r="R944" s="20"/>
      <c r="S944" s="22"/>
      <c r="T944" s="22"/>
      <c r="U944" s="20"/>
      <c r="V944" s="20"/>
      <c r="W944" s="20"/>
      <c r="X944" s="19"/>
      <c r="Y944" s="19"/>
      <c r="Z944" s="19"/>
      <c r="AA944" s="23"/>
    </row>
    <row r="945" spans="1:27" ht="15.75" customHeight="1" x14ac:dyDescent="0.2">
      <c r="A945" s="34"/>
      <c r="B945" s="34"/>
      <c r="C945" s="34"/>
      <c r="D945" s="34"/>
      <c r="E945" s="19"/>
      <c r="F945" s="19"/>
      <c r="G945" s="19"/>
      <c r="H945" s="19"/>
      <c r="I945" s="19"/>
      <c r="J945" s="19"/>
      <c r="K945" s="19"/>
      <c r="L945" s="19"/>
      <c r="M945" s="19"/>
      <c r="N945" s="19"/>
      <c r="O945" s="19"/>
      <c r="P945" s="19"/>
      <c r="Q945" s="20"/>
      <c r="R945" s="20"/>
      <c r="S945" s="22"/>
      <c r="T945" s="22"/>
      <c r="U945" s="20"/>
      <c r="V945" s="20"/>
      <c r="W945" s="20"/>
      <c r="X945" s="19"/>
      <c r="Y945" s="19"/>
      <c r="Z945" s="19"/>
      <c r="AA945" s="23"/>
    </row>
    <row r="946" spans="1:27" ht="15.75" customHeight="1" x14ac:dyDescent="0.2">
      <c r="A946" s="34"/>
      <c r="B946" s="34"/>
      <c r="C946" s="34"/>
      <c r="D946" s="34"/>
      <c r="E946" s="19"/>
      <c r="F946" s="19"/>
      <c r="G946" s="19"/>
      <c r="H946" s="19"/>
      <c r="I946" s="19"/>
      <c r="J946" s="19"/>
      <c r="K946" s="19"/>
      <c r="L946" s="19"/>
      <c r="M946" s="19"/>
      <c r="N946" s="19"/>
      <c r="O946" s="19"/>
      <c r="P946" s="19"/>
      <c r="Q946" s="20"/>
      <c r="R946" s="20"/>
      <c r="S946" s="22"/>
      <c r="T946" s="22"/>
      <c r="U946" s="20"/>
      <c r="V946" s="20"/>
      <c r="W946" s="20"/>
      <c r="X946" s="19"/>
      <c r="Y946" s="19"/>
      <c r="Z946" s="19"/>
      <c r="AA946" s="23"/>
    </row>
    <row r="947" spans="1:27" ht="15.75" customHeight="1" x14ac:dyDescent="0.2">
      <c r="A947" s="34"/>
      <c r="B947" s="34"/>
      <c r="C947" s="34"/>
      <c r="D947" s="34"/>
      <c r="E947" s="19"/>
      <c r="F947" s="19"/>
      <c r="G947" s="19"/>
      <c r="H947" s="19"/>
      <c r="I947" s="19"/>
      <c r="J947" s="19"/>
      <c r="K947" s="19"/>
      <c r="L947" s="19"/>
      <c r="M947" s="19"/>
      <c r="N947" s="19"/>
      <c r="O947" s="19"/>
      <c r="P947" s="19"/>
      <c r="Q947" s="20"/>
      <c r="R947" s="20"/>
      <c r="S947" s="22"/>
      <c r="T947" s="22"/>
      <c r="U947" s="20"/>
      <c r="V947" s="20"/>
      <c r="W947" s="20"/>
      <c r="X947" s="19"/>
      <c r="Y947" s="19"/>
      <c r="Z947" s="19"/>
      <c r="AA947" s="23"/>
    </row>
    <row r="948" spans="1:27" ht="15.75" customHeight="1" x14ac:dyDescent="0.2">
      <c r="A948" s="34"/>
      <c r="B948" s="34"/>
      <c r="C948" s="34"/>
      <c r="D948" s="34"/>
      <c r="E948" s="19"/>
      <c r="F948" s="19"/>
      <c r="G948" s="19"/>
      <c r="H948" s="19"/>
      <c r="I948" s="19"/>
      <c r="J948" s="19"/>
      <c r="K948" s="19"/>
      <c r="L948" s="19"/>
      <c r="M948" s="19"/>
      <c r="N948" s="19"/>
      <c r="O948" s="19"/>
      <c r="P948" s="19"/>
      <c r="Q948" s="20"/>
      <c r="R948" s="20"/>
      <c r="S948" s="22"/>
      <c r="T948" s="22"/>
      <c r="U948" s="20"/>
      <c r="V948" s="20"/>
      <c r="W948" s="20"/>
      <c r="X948" s="19"/>
      <c r="Y948" s="19"/>
      <c r="Z948" s="19"/>
      <c r="AA948" s="23"/>
    </row>
    <row r="949" spans="1:27" ht="15.75" customHeight="1" x14ac:dyDescent="0.2">
      <c r="A949" s="34"/>
      <c r="B949" s="34"/>
      <c r="C949" s="34"/>
      <c r="D949" s="34"/>
      <c r="E949" s="19"/>
      <c r="F949" s="19"/>
      <c r="G949" s="19"/>
      <c r="H949" s="19"/>
      <c r="I949" s="19"/>
      <c r="J949" s="19"/>
      <c r="K949" s="19"/>
      <c r="L949" s="19"/>
      <c r="M949" s="19"/>
      <c r="N949" s="19"/>
      <c r="O949" s="19"/>
      <c r="P949" s="19"/>
      <c r="Q949" s="20"/>
      <c r="R949" s="20"/>
      <c r="S949" s="22"/>
      <c r="T949" s="22"/>
      <c r="U949" s="20"/>
      <c r="V949" s="20"/>
      <c r="W949" s="20"/>
      <c r="X949" s="19"/>
      <c r="Y949" s="19"/>
      <c r="Z949" s="19"/>
      <c r="AA949" s="23"/>
    </row>
    <row r="950" spans="1:27" ht="15.75" customHeight="1" x14ac:dyDescent="0.2">
      <c r="A950" s="34"/>
      <c r="B950" s="34"/>
      <c r="C950" s="34"/>
      <c r="D950" s="34"/>
      <c r="E950" s="19"/>
      <c r="F950" s="19"/>
      <c r="G950" s="19"/>
      <c r="H950" s="19"/>
      <c r="I950" s="19"/>
      <c r="J950" s="19"/>
      <c r="K950" s="19"/>
      <c r="L950" s="19"/>
      <c r="M950" s="19"/>
      <c r="N950" s="19"/>
      <c r="O950" s="19"/>
      <c r="P950" s="19"/>
      <c r="Q950" s="20"/>
      <c r="R950" s="20"/>
      <c r="S950" s="22"/>
      <c r="T950" s="22"/>
      <c r="U950" s="20"/>
      <c r="V950" s="20"/>
      <c r="W950" s="20"/>
      <c r="X950" s="19"/>
      <c r="Y950" s="19"/>
      <c r="Z950" s="19"/>
      <c r="AA950" s="23"/>
    </row>
    <row r="951" spans="1:27" ht="15.75" customHeight="1" x14ac:dyDescent="0.2">
      <c r="A951" s="34"/>
      <c r="B951" s="34"/>
      <c r="C951" s="34"/>
      <c r="D951" s="34"/>
      <c r="E951" s="19"/>
      <c r="F951" s="19"/>
      <c r="G951" s="19"/>
      <c r="H951" s="19"/>
      <c r="I951" s="19"/>
      <c r="J951" s="19"/>
      <c r="K951" s="19"/>
      <c r="L951" s="19"/>
      <c r="M951" s="19"/>
      <c r="N951" s="19"/>
      <c r="O951" s="19"/>
      <c r="P951" s="19"/>
      <c r="Q951" s="20"/>
      <c r="R951" s="20"/>
      <c r="S951" s="22"/>
      <c r="T951" s="22"/>
      <c r="U951" s="20"/>
      <c r="V951" s="20"/>
      <c r="W951" s="20"/>
      <c r="X951" s="19"/>
      <c r="Y951" s="19"/>
      <c r="Z951" s="19"/>
      <c r="AA951" s="23"/>
    </row>
    <row r="952" spans="1:27" ht="15.75" customHeight="1" x14ac:dyDescent="0.2">
      <c r="A952" s="34"/>
      <c r="B952" s="34"/>
      <c r="C952" s="34"/>
      <c r="D952" s="34"/>
      <c r="E952" s="19"/>
      <c r="F952" s="19"/>
      <c r="G952" s="19"/>
      <c r="H952" s="19"/>
      <c r="I952" s="19"/>
      <c r="J952" s="19"/>
      <c r="K952" s="19"/>
      <c r="L952" s="19"/>
      <c r="M952" s="19"/>
      <c r="N952" s="19"/>
      <c r="O952" s="19"/>
      <c r="P952" s="19"/>
      <c r="Q952" s="20"/>
      <c r="R952" s="20"/>
      <c r="S952" s="22"/>
      <c r="T952" s="22"/>
      <c r="U952" s="20"/>
      <c r="V952" s="20"/>
      <c r="W952" s="20"/>
      <c r="X952" s="19"/>
      <c r="Y952" s="19"/>
      <c r="Z952" s="19"/>
      <c r="AA952" s="23"/>
    </row>
    <row r="953" spans="1:27" ht="15.75" customHeight="1" x14ac:dyDescent="0.2">
      <c r="A953" s="34"/>
      <c r="B953" s="34"/>
      <c r="C953" s="34"/>
      <c r="D953" s="34"/>
      <c r="E953" s="19"/>
      <c r="F953" s="19"/>
      <c r="G953" s="19"/>
      <c r="H953" s="19"/>
      <c r="I953" s="19"/>
      <c r="J953" s="19"/>
      <c r="K953" s="19"/>
      <c r="L953" s="19"/>
      <c r="M953" s="19"/>
      <c r="N953" s="19"/>
      <c r="O953" s="19"/>
      <c r="P953" s="19"/>
      <c r="Q953" s="20"/>
      <c r="R953" s="20"/>
      <c r="S953" s="22"/>
      <c r="T953" s="22"/>
      <c r="U953" s="20"/>
      <c r="V953" s="20"/>
      <c r="W953" s="20"/>
      <c r="X953" s="19"/>
      <c r="Y953" s="19"/>
      <c r="Z953" s="19"/>
      <c r="AA953" s="23"/>
    </row>
    <row r="954" spans="1:27" ht="15.75" customHeight="1" x14ac:dyDescent="0.2">
      <c r="A954" s="34"/>
      <c r="B954" s="34"/>
      <c r="C954" s="34"/>
      <c r="D954" s="34"/>
      <c r="E954" s="19"/>
      <c r="F954" s="19"/>
      <c r="G954" s="19"/>
      <c r="H954" s="19"/>
      <c r="I954" s="19"/>
      <c r="J954" s="19"/>
      <c r="K954" s="19"/>
      <c r="L954" s="19"/>
      <c r="M954" s="19"/>
      <c r="N954" s="19"/>
      <c r="O954" s="19"/>
      <c r="P954" s="19"/>
      <c r="Q954" s="20"/>
      <c r="R954" s="20"/>
      <c r="S954" s="22"/>
      <c r="T954" s="22"/>
      <c r="U954" s="20"/>
      <c r="V954" s="20"/>
      <c r="W954" s="20"/>
      <c r="X954" s="19"/>
      <c r="Y954" s="19"/>
      <c r="Z954" s="19"/>
      <c r="AA954" s="23"/>
    </row>
    <row r="955" spans="1:27" ht="15.75" customHeight="1" x14ac:dyDescent="0.2">
      <c r="A955" s="34"/>
      <c r="B955" s="34"/>
      <c r="C955" s="34"/>
      <c r="D955" s="34"/>
      <c r="E955" s="19"/>
      <c r="F955" s="19"/>
      <c r="G955" s="19"/>
      <c r="H955" s="19"/>
      <c r="I955" s="19"/>
      <c r="J955" s="19"/>
      <c r="K955" s="19"/>
      <c r="L955" s="19"/>
      <c r="M955" s="19"/>
      <c r="N955" s="19"/>
      <c r="O955" s="19"/>
      <c r="P955" s="19"/>
      <c r="Q955" s="20"/>
      <c r="R955" s="20"/>
      <c r="S955" s="22"/>
      <c r="T955" s="22"/>
      <c r="U955" s="20"/>
      <c r="V955" s="20"/>
      <c r="W955" s="20"/>
      <c r="X955" s="19"/>
      <c r="Y955" s="19"/>
      <c r="Z955" s="19"/>
      <c r="AA955" s="23"/>
    </row>
    <row r="956" spans="1:27" ht="15.75" customHeight="1" x14ac:dyDescent="0.2">
      <c r="A956" s="34"/>
      <c r="B956" s="34"/>
      <c r="C956" s="34"/>
      <c r="D956" s="34"/>
      <c r="E956" s="19"/>
      <c r="F956" s="19"/>
      <c r="G956" s="19"/>
      <c r="H956" s="19"/>
      <c r="I956" s="19"/>
      <c r="J956" s="19"/>
      <c r="K956" s="19"/>
      <c r="L956" s="19"/>
      <c r="M956" s="19"/>
      <c r="N956" s="19"/>
      <c r="O956" s="19"/>
      <c r="P956" s="19"/>
      <c r="Q956" s="20"/>
      <c r="R956" s="20"/>
      <c r="S956" s="22"/>
      <c r="T956" s="22"/>
      <c r="U956" s="20"/>
      <c r="V956" s="20"/>
      <c r="W956" s="20"/>
      <c r="X956" s="19"/>
      <c r="Y956" s="19"/>
      <c r="Z956" s="19"/>
      <c r="AA956" s="23"/>
    </row>
    <row r="957" spans="1:27" ht="15.75" customHeight="1" x14ac:dyDescent="0.2">
      <c r="A957" s="34"/>
      <c r="B957" s="34"/>
      <c r="C957" s="34"/>
      <c r="D957" s="34"/>
      <c r="E957" s="19"/>
      <c r="F957" s="19"/>
      <c r="G957" s="19"/>
      <c r="H957" s="19"/>
      <c r="I957" s="19"/>
      <c r="J957" s="19"/>
      <c r="K957" s="19"/>
      <c r="L957" s="19"/>
      <c r="M957" s="19"/>
      <c r="N957" s="19"/>
      <c r="O957" s="19"/>
      <c r="P957" s="19"/>
      <c r="Q957" s="20"/>
      <c r="R957" s="20"/>
      <c r="S957" s="22"/>
      <c r="T957" s="22"/>
      <c r="U957" s="20"/>
      <c r="V957" s="20"/>
      <c r="W957" s="20"/>
      <c r="X957" s="19"/>
      <c r="Y957" s="19"/>
      <c r="Z957" s="19"/>
      <c r="AA957" s="23"/>
    </row>
    <row r="958" spans="1:27" ht="15.75" customHeight="1" x14ac:dyDescent="0.2">
      <c r="A958" s="34"/>
      <c r="B958" s="34"/>
      <c r="C958" s="34"/>
      <c r="D958" s="34"/>
      <c r="E958" s="19"/>
      <c r="F958" s="19"/>
      <c r="G958" s="19"/>
      <c r="H958" s="19"/>
      <c r="I958" s="19"/>
      <c r="J958" s="19"/>
      <c r="K958" s="19"/>
      <c r="L958" s="19"/>
      <c r="M958" s="19"/>
      <c r="N958" s="19"/>
      <c r="O958" s="19"/>
      <c r="P958" s="19"/>
      <c r="Q958" s="20"/>
      <c r="R958" s="20"/>
      <c r="S958" s="22"/>
      <c r="T958" s="22"/>
      <c r="U958" s="20"/>
      <c r="V958" s="20"/>
      <c r="W958" s="20"/>
      <c r="X958" s="19"/>
      <c r="Y958" s="19"/>
      <c r="Z958" s="19"/>
      <c r="AA958" s="23"/>
    </row>
    <row r="959" spans="1:27" ht="15.75" customHeight="1" x14ac:dyDescent="0.2">
      <c r="A959" s="34"/>
      <c r="B959" s="34"/>
      <c r="C959" s="34"/>
      <c r="D959" s="34"/>
      <c r="E959" s="19"/>
      <c r="F959" s="19"/>
      <c r="G959" s="19"/>
      <c r="H959" s="19"/>
      <c r="I959" s="19"/>
      <c r="J959" s="19"/>
      <c r="K959" s="19"/>
      <c r="L959" s="19"/>
      <c r="M959" s="19"/>
      <c r="N959" s="19"/>
      <c r="O959" s="19"/>
      <c r="P959" s="19"/>
      <c r="Q959" s="20"/>
      <c r="R959" s="20"/>
      <c r="S959" s="22"/>
      <c r="T959" s="22"/>
      <c r="U959" s="20"/>
      <c r="V959" s="20"/>
      <c r="W959" s="20"/>
      <c r="X959" s="19"/>
      <c r="Y959" s="19"/>
      <c r="Z959" s="19"/>
      <c r="AA959" s="23"/>
    </row>
    <row r="960" spans="1:27" ht="15.75" customHeight="1" x14ac:dyDescent="0.2">
      <c r="A960" s="34"/>
      <c r="B960" s="34"/>
      <c r="C960" s="34"/>
      <c r="D960" s="34"/>
      <c r="E960" s="19"/>
      <c r="F960" s="19"/>
      <c r="G960" s="19"/>
      <c r="H960" s="19"/>
      <c r="I960" s="19"/>
      <c r="J960" s="19"/>
      <c r="K960" s="19"/>
      <c r="L960" s="19"/>
      <c r="M960" s="19"/>
      <c r="N960" s="19"/>
      <c r="O960" s="19"/>
      <c r="P960" s="19"/>
      <c r="Q960" s="20"/>
      <c r="R960" s="20"/>
      <c r="S960" s="22"/>
      <c r="T960" s="22"/>
      <c r="U960" s="20"/>
      <c r="V960" s="20"/>
      <c r="W960" s="20"/>
      <c r="X960" s="19"/>
      <c r="Y960" s="19"/>
      <c r="Z960" s="19"/>
      <c r="AA960" s="23"/>
    </row>
    <row r="961" spans="1:27" ht="15.75" customHeight="1" x14ac:dyDescent="0.2">
      <c r="A961" s="34"/>
      <c r="B961" s="34"/>
      <c r="C961" s="34"/>
      <c r="D961" s="34"/>
      <c r="E961" s="19"/>
      <c r="F961" s="19"/>
      <c r="G961" s="19"/>
      <c r="H961" s="19"/>
      <c r="I961" s="19"/>
      <c r="J961" s="19"/>
      <c r="K961" s="19"/>
      <c r="L961" s="19"/>
      <c r="M961" s="19"/>
      <c r="N961" s="19"/>
      <c r="O961" s="19"/>
      <c r="P961" s="19"/>
      <c r="Q961" s="20"/>
      <c r="R961" s="20"/>
      <c r="S961" s="22"/>
      <c r="T961" s="22"/>
      <c r="U961" s="20"/>
      <c r="V961" s="20"/>
      <c r="W961" s="20"/>
      <c r="X961" s="19"/>
      <c r="Y961" s="19"/>
      <c r="Z961" s="19"/>
      <c r="AA961" s="23"/>
    </row>
    <row r="962" spans="1:27" ht="15.75" customHeight="1" x14ac:dyDescent="0.2">
      <c r="A962" s="34"/>
      <c r="B962" s="34"/>
      <c r="C962" s="34"/>
      <c r="D962" s="34"/>
      <c r="E962" s="19"/>
      <c r="F962" s="19"/>
      <c r="G962" s="19"/>
      <c r="H962" s="19"/>
      <c r="I962" s="19"/>
      <c r="J962" s="19"/>
      <c r="K962" s="19"/>
      <c r="L962" s="19"/>
      <c r="M962" s="19"/>
      <c r="N962" s="19"/>
      <c r="O962" s="19"/>
      <c r="P962" s="19"/>
      <c r="Q962" s="20"/>
      <c r="R962" s="20"/>
      <c r="S962" s="22"/>
      <c r="T962" s="22"/>
      <c r="U962" s="20"/>
      <c r="V962" s="20"/>
      <c r="W962" s="20"/>
      <c r="X962" s="19"/>
      <c r="Y962" s="19"/>
      <c r="Z962" s="19"/>
      <c r="AA962" s="23"/>
    </row>
    <row r="963" spans="1:27" ht="15.75" customHeight="1" x14ac:dyDescent="0.2">
      <c r="A963" s="34"/>
      <c r="B963" s="34"/>
      <c r="C963" s="34"/>
      <c r="D963" s="34"/>
      <c r="E963" s="19"/>
      <c r="F963" s="19"/>
      <c r="G963" s="19"/>
      <c r="H963" s="19"/>
      <c r="I963" s="19"/>
      <c r="J963" s="19"/>
      <c r="K963" s="19"/>
      <c r="L963" s="19"/>
      <c r="M963" s="19"/>
      <c r="N963" s="19"/>
      <c r="O963" s="19"/>
      <c r="P963" s="19"/>
      <c r="Q963" s="20"/>
      <c r="R963" s="20"/>
      <c r="S963" s="22"/>
      <c r="T963" s="22"/>
      <c r="U963" s="20"/>
      <c r="V963" s="20"/>
      <c r="W963" s="20"/>
      <c r="X963" s="19"/>
      <c r="Y963" s="19"/>
      <c r="Z963" s="19"/>
      <c r="AA963" s="23"/>
    </row>
    <row r="964" spans="1:27" ht="15.75" customHeight="1" x14ac:dyDescent="0.2">
      <c r="A964" s="34"/>
      <c r="B964" s="34"/>
      <c r="C964" s="34"/>
      <c r="D964" s="34"/>
      <c r="E964" s="19"/>
      <c r="F964" s="19"/>
      <c r="G964" s="19"/>
      <c r="H964" s="19"/>
      <c r="I964" s="19"/>
      <c r="J964" s="19"/>
      <c r="K964" s="19"/>
      <c r="L964" s="19"/>
      <c r="M964" s="19"/>
      <c r="N964" s="19"/>
      <c r="O964" s="19"/>
      <c r="P964" s="19"/>
      <c r="Q964" s="20"/>
      <c r="R964" s="20"/>
      <c r="S964" s="22"/>
      <c r="T964" s="22"/>
      <c r="U964" s="20"/>
      <c r="V964" s="20"/>
      <c r="W964" s="20"/>
      <c r="X964" s="19"/>
      <c r="Y964" s="19"/>
      <c r="Z964" s="19"/>
      <c r="AA964" s="23"/>
    </row>
    <row r="965" spans="1:27" ht="15.75" customHeight="1" x14ac:dyDescent="0.2">
      <c r="A965" s="34"/>
      <c r="B965" s="34"/>
      <c r="C965" s="34"/>
      <c r="D965" s="34"/>
      <c r="E965" s="19"/>
      <c r="F965" s="19"/>
      <c r="G965" s="19"/>
      <c r="H965" s="19"/>
      <c r="I965" s="19"/>
      <c r="J965" s="19"/>
      <c r="K965" s="19"/>
      <c r="L965" s="19"/>
      <c r="M965" s="19"/>
      <c r="N965" s="19"/>
      <c r="O965" s="19"/>
      <c r="P965" s="19"/>
      <c r="Q965" s="20"/>
      <c r="R965" s="20"/>
      <c r="S965" s="22"/>
      <c r="T965" s="22"/>
      <c r="U965" s="20"/>
      <c r="V965" s="20"/>
      <c r="W965" s="20"/>
      <c r="X965" s="19"/>
      <c r="Y965" s="19"/>
      <c r="Z965" s="19"/>
      <c r="AA965" s="23"/>
    </row>
    <row r="966" spans="1:27" ht="15.75" customHeight="1" x14ac:dyDescent="0.2">
      <c r="A966" s="34"/>
      <c r="B966" s="34"/>
      <c r="C966" s="34"/>
      <c r="D966" s="34"/>
      <c r="E966" s="19"/>
      <c r="F966" s="19"/>
      <c r="G966" s="19"/>
      <c r="H966" s="19"/>
      <c r="I966" s="19"/>
      <c r="J966" s="19"/>
      <c r="K966" s="19"/>
      <c r="L966" s="19"/>
      <c r="M966" s="19"/>
      <c r="N966" s="19"/>
      <c r="O966" s="19"/>
      <c r="P966" s="19"/>
      <c r="Q966" s="20"/>
      <c r="R966" s="20"/>
      <c r="S966" s="22"/>
      <c r="T966" s="22"/>
      <c r="U966" s="20"/>
      <c r="V966" s="20"/>
      <c r="W966" s="20"/>
      <c r="X966" s="19"/>
      <c r="Y966" s="19"/>
      <c r="Z966" s="19"/>
      <c r="AA966" s="23"/>
    </row>
    <row r="967" spans="1:27" ht="15.75" customHeight="1" x14ac:dyDescent="0.2">
      <c r="A967" s="34"/>
      <c r="B967" s="34"/>
      <c r="C967" s="34"/>
      <c r="D967" s="34"/>
      <c r="E967" s="19"/>
      <c r="F967" s="19"/>
      <c r="G967" s="19"/>
      <c r="H967" s="19"/>
      <c r="I967" s="19"/>
      <c r="J967" s="19"/>
      <c r="K967" s="19"/>
      <c r="L967" s="19"/>
      <c r="M967" s="19"/>
      <c r="N967" s="19"/>
      <c r="O967" s="19"/>
      <c r="P967" s="19"/>
      <c r="Q967" s="20"/>
      <c r="R967" s="20"/>
      <c r="S967" s="22"/>
      <c r="T967" s="22"/>
      <c r="U967" s="20"/>
      <c r="V967" s="20"/>
      <c r="W967" s="20"/>
      <c r="X967" s="19"/>
      <c r="Y967" s="19"/>
      <c r="Z967" s="19"/>
      <c r="AA967" s="23"/>
    </row>
    <row r="968" spans="1:27" ht="15.75" customHeight="1" x14ac:dyDescent="0.2">
      <c r="A968" s="34"/>
      <c r="B968" s="34"/>
      <c r="C968" s="34"/>
      <c r="D968" s="34"/>
      <c r="E968" s="19"/>
      <c r="F968" s="19"/>
      <c r="G968" s="19"/>
      <c r="H968" s="19"/>
      <c r="I968" s="19"/>
      <c r="J968" s="19"/>
      <c r="K968" s="19"/>
      <c r="L968" s="19"/>
      <c r="M968" s="19"/>
      <c r="N968" s="19"/>
      <c r="O968" s="19"/>
      <c r="P968" s="19"/>
      <c r="Q968" s="20"/>
      <c r="R968" s="20"/>
      <c r="S968" s="22"/>
      <c r="T968" s="22"/>
      <c r="U968" s="20"/>
      <c r="V968" s="20"/>
      <c r="W968" s="20"/>
      <c r="X968" s="19"/>
      <c r="Y968" s="19"/>
      <c r="Z968" s="19"/>
      <c r="AA968" s="23"/>
    </row>
    <row r="969" spans="1:27" ht="15.75" customHeight="1" x14ac:dyDescent="0.2">
      <c r="A969" s="34"/>
      <c r="B969" s="34"/>
      <c r="C969" s="34"/>
      <c r="D969" s="34"/>
      <c r="E969" s="19"/>
      <c r="F969" s="19"/>
      <c r="G969" s="19"/>
      <c r="H969" s="19"/>
      <c r="I969" s="19"/>
      <c r="J969" s="19"/>
      <c r="K969" s="19"/>
      <c r="L969" s="19"/>
      <c r="M969" s="19"/>
      <c r="N969" s="19"/>
      <c r="O969" s="19"/>
      <c r="P969" s="19"/>
      <c r="Q969" s="20"/>
      <c r="R969" s="20"/>
      <c r="S969" s="22"/>
      <c r="T969" s="22"/>
      <c r="U969" s="20"/>
      <c r="V969" s="20"/>
      <c r="W969" s="20"/>
      <c r="X969" s="19"/>
      <c r="Y969" s="19"/>
      <c r="Z969" s="19"/>
      <c r="AA969" s="23"/>
    </row>
    <row r="970" spans="1:27" ht="15.75" customHeight="1" x14ac:dyDescent="0.2">
      <c r="A970" s="34"/>
      <c r="B970" s="34"/>
      <c r="C970" s="34"/>
      <c r="D970" s="34"/>
      <c r="E970" s="19"/>
      <c r="F970" s="19"/>
      <c r="G970" s="19"/>
      <c r="H970" s="19"/>
      <c r="I970" s="19"/>
      <c r="J970" s="19"/>
      <c r="K970" s="19"/>
      <c r="L970" s="19"/>
      <c r="M970" s="19"/>
      <c r="N970" s="19"/>
      <c r="O970" s="19"/>
      <c r="P970" s="19"/>
      <c r="Q970" s="20"/>
      <c r="R970" s="20"/>
      <c r="S970" s="22"/>
      <c r="T970" s="22"/>
      <c r="U970" s="20"/>
      <c r="V970" s="20"/>
      <c r="W970" s="20"/>
      <c r="X970" s="19"/>
      <c r="Y970" s="19"/>
      <c r="Z970" s="19"/>
      <c r="AA970" s="23"/>
    </row>
    <row r="971" spans="1:27" ht="15.75" customHeight="1" x14ac:dyDescent="0.2">
      <c r="A971" s="34"/>
      <c r="B971" s="34"/>
      <c r="C971" s="34"/>
      <c r="D971" s="34"/>
      <c r="E971" s="19"/>
      <c r="F971" s="19"/>
      <c r="G971" s="19"/>
      <c r="H971" s="19"/>
      <c r="I971" s="19"/>
      <c r="J971" s="19"/>
      <c r="K971" s="19"/>
      <c r="L971" s="19"/>
      <c r="M971" s="19"/>
      <c r="N971" s="19"/>
      <c r="O971" s="19"/>
      <c r="P971" s="19"/>
      <c r="Q971" s="20"/>
      <c r="R971" s="20"/>
      <c r="S971" s="22"/>
      <c r="T971" s="22"/>
      <c r="U971" s="20"/>
      <c r="V971" s="20"/>
      <c r="W971" s="20"/>
      <c r="X971" s="19"/>
      <c r="Y971" s="19"/>
      <c r="Z971" s="19"/>
      <c r="AA971" s="23"/>
    </row>
    <row r="972" spans="1:27" ht="15.75" customHeight="1" x14ac:dyDescent="0.2">
      <c r="A972" s="34"/>
      <c r="B972" s="34"/>
      <c r="C972" s="34"/>
      <c r="D972" s="34"/>
      <c r="E972" s="19"/>
      <c r="F972" s="19"/>
      <c r="G972" s="19"/>
      <c r="H972" s="19"/>
      <c r="I972" s="19"/>
      <c r="J972" s="19"/>
      <c r="K972" s="19"/>
      <c r="L972" s="19"/>
      <c r="M972" s="19"/>
      <c r="N972" s="19"/>
      <c r="O972" s="19"/>
      <c r="P972" s="19"/>
      <c r="Q972" s="20"/>
      <c r="R972" s="20"/>
      <c r="S972" s="22"/>
      <c r="T972" s="22"/>
      <c r="U972" s="20"/>
      <c r="V972" s="20"/>
      <c r="W972" s="20"/>
      <c r="X972" s="19"/>
      <c r="Y972" s="19"/>
      <c r="Z972" s="19"/>
      <c r="AA972" s="23"/>
    </row>
    <row r="973" spans="1:27" ht="15.75" customHeight="1" x14ac:dyDescent="0.2">
      <c r="A973" s="34"/>
      <c r="B973" s="34"/>
      <c r="C973" s="34"/>
      <c r="D973" s="34"/>
      <c r="E973" s="19"/>
      <c r="F973" s="19"/>
      <c r="G973" s="19"/>
      <c r="H973" s="19"/>
      <c r="I973" s="19"/>
      <c r="J973" s="19"/>
      <c r="K973" s="19"/>
      <c r="L973" s="19"/>
      <c r="M973" s="19"/>
      <c r="N973" s="19"/>
      <c r="O973" s="19"/>
      <c r="P973" s="19"/>
      <c r="Q973" s="20"/>
      <c r="R973" s="20"/>
      <c r="S973" s="22"/>
      <c r="T973" s="22"/>
      <c r="U973" s="20"/>
      <c r="V973" s="20"/>
      <c r="W973" s="20"/>
      <c r="X973" s="19"/>
      <c r="Y973" s="19"/>
      <c r="Z973" s="19"/>
      <c r="AA973" s="23"/>
    </row>
    <row r="974" spans="1:27" ht="15.75" customHeight="1" x14ac:dyDescent="0.2">
      <c r="A974" s="34"/>
      <c r="B974" s="34"/>
      <c r="C974" s="34"/>
      <c r="D974" s="34"/>
      <c r="E974" s="19"/>
      <c r="F974" s="19"/>
      <c r="G974" s="19"/>
      <c r="H974" s="19"/>
      <c r="I974" s="19"/>
      <c r="J974" s="19"/>
      <c r="K974" s="19"/>
      <c r="L974" s="19"/>
      <c r="M974" s="19"/>
      <c r="N974" s="19"/>
      <c r="O974" s="19"/>
      <c r="P974" s="19"/>
      <c r="Q974" s="20"/>
      <c r="R974" s="20"/>
      <c r="S974" s="22"/>
      <c r="T974" s="22"/>
      <c r="U974" s="20"/>
      <c r="V974" s="20"/>
      <c r="W974" s="20"/>
      <c r="X974" s="19"/>
      <c r="Y974" s="19"/>
      <c r="Z974" s="19"/>
      <c r="AA974" s="23"/>
    </row>
    <row r="975" spans="1:27" ht="15.75" customHeight="1" x14ac:dyDescent="0.2">
      <c r="A975" s="34"/>
      <c r="B975" s="34"/>
      <c r="C975" s="34"/>
      <c r="D975" s="34"/>
      <c r="E975" s="19"/>
      <c r="F975" s="19"/>
      <c r="G975" s="19"/>
      <c r="H975" s="19"/>
      <c r="I975" s="19"/>
      <c r="J975" s="19"/>
      <c r="K975" s="19"/>
      <c r="L975" s="19"/>
      <c r="M975" s="19"/>
      <c r="N975" s="19"/>
      <c r="O975" s="19"/>
      <c r="P975" s="19"/>
      <c r="Q975" s="20"/>
      <c r="R975" s="20"/>
      <c r="S975" s="22"/>
      <c r="T975" s="22"/>
      <c r="U975" s="20"/>
      <c r="V975" s="20"/>
      <c r="W975" s="20"/>
      <c r="X975" s="19"/>
      <c r="Y975" s="19"/>
      <c r="Z975" s="19"/>
      <c r="AA975" s="23"/>
    </row>
    <row r="976" spans="1:27" ht="15.75" customHeight="1" x14ac:dyDescent="0.2">
      <c r="A976" s="34"/>
      <c r="B976" s="34"/>
      <c r="C976" s="34"/>
      <c r="D976" s="34"/>
      <c r="E976" s="19"/>
      <c r="F976" s="19"/>
      <c r="G976" s="19"/>
      <c r="H976" s="19"/>
      <c r="I976" s="19"/>
      <c r="J976" s="19"/>
      <c r="K976" s="19"/>
      <c r="L976" s="19"/>
      <c r="M976" s="19"/>
      <c r="N976" s="19"/>
      <c r="O976" s="19"/>
      <c r="P976" s="19"/>
      <c r="Q976" s="20"/>
      <c r="R976" s="20"/>
      <c r="S976" s="22"/>
      <c r="T976" s="22"/>
      <c r="U976" s="20"/>
      <c r="V976" s="20"/>
      <c r="W976" s="20"/>
      <c r="X976" s="19"/>
      <c r="Y976" s="19"/>
      <c r="Z976" s="19"/>
      <c r="AA976" s="23"/>
    </row>
    <row r="977" spans="1:27" ht="15.75" customHeight="1" x14ac:dyDescent="0.2">
      <c r="A977" s="34"/>
      <c r="B977" s="34"/>
      <c r="C977" s="34"/>
      <c r="D977" s="34"/>
      <c r="E977" s="19"/>
      <c r="F977" s="19"/>
      <c r="G977" s="19"/>
      <c r="H977" s="19"/>
      <c r="I977" s="19"/>
      <c r="J977" s="19"/>
      <c r="K977" s="19"/>
      <c r="L977" s="19"/>
      <c r="M977" s="19"/>
      <c r="N977" s="19"/>
      <c r="O977" s="19"/>
      <c r="P977" s="19"/>
      <c r="Q977" s="20"/>
      <c r="R977" s="20"/>
      <c r="S977" s="22"/>
      <c r="T977" s="22"/>
      <c r="U977" s="20"/>
      <c r="V977" s="20"/>
      <c r="W977" s="20"/>
      <c r="X977" s="19"/>
      <c r="Y977" s="19"/>
      <c r="Z977" s="19"/>
      <c r="AA977" s="23"/>
    </row>
    <row r="978" spans="1:27" ht="15.75" customHeight="1" x14ac:dyDescent="0.2">
      <c r="A978" s="34"/>
      <c r="B978" s="34"/>
      <c r="C978" s="34"/>
      <c r="D978" s="34"/>
      <c r="E978" s="19"/>
      <c r="F978" s="19"/>
      <c r="G978" s="19"/>
      <c r="H978" s="19"/>
      <c r="I978" s="19"/>
      <c r="J978" s="19"/>
      <c r="K978" s="19"/>
      <c r="L978" s="19"/>
      <c r="M978" s="19"/>
      <c r="N978" s="19"/>
      <c r="O978" s="19"/>
      <c r="P978" s="19"/>
      <c r="Q978" s="20"/>
      <c r="R978" s="20"/>
      <c r="S978" s="22"/>
      <c r="T978" s="22"/>
      <c r="U978" s="20"/>
      <c r="V978" s="20"/>
      <c r="W978" s="20"/>
      <c r="X978" s="19"/>
      <c r="Y978" s="19"/>
      <c r="Z978" s="19"/>
      <c r="AA978" s="23"/>
    </row>
    <row r="979" spans="1:27" ht="15.75" customHeight="1" x14ac:dyDescent="0.2">
      <c r="A979" s="34"/>
      <c r="B979" s="34"/>
      <c r="C979" s="34"/>
      <c r="D979" s="34"/>
      <c r="E979" s="19"/>
      <c r="F979" s="19"/>
      <c r="G979" s="19"/>
      <c r="H979" s="19"/>
      <c r="I979" s="19"/>
      <c r="J979" s="19"/>
      <c r="K979" s="19"/>
      <c r="L979" s="19"/>
      <c r="M979" s="19"/>
      <c r="N979" s="19"/>
      <c r="O979" s="19"/>
      <c r="P979" s="19"/>
      <c r="Q979" s="20"/>
      <c r="R979" s="20"/>
      <c r="S979" s="22"/>
      <c r="T979" s="22"/>
      <c r="U979" s="20"/>
      <c r="V979" s="20"/>
      <c r="W979" s="20"/>
      <c r="X979" s="19"/>
      <c r="Y979" s="19"/>
      <c r="Z979" s="19"/>
      <c r="AA979" s="23"/>
    </row>
    <row r="980" spans="1:27" ht="15.75" customHeight="1" x14ac:dyDescent="0.2">
      <c r="A980" s="34"/>
      <c r="B980" s="34"/>
      <c r="C980" s="34"/>
      <c r="D980" s="34"/>
      <c r="E980" s="19"/>
      <c r="F980" s="19"/>
      <c r="G980" s="19"/>
      <c r="H980" s="19"/>
      <c r="I980" s="19"/>
      <c r="J980" s="19"/>
      <c r="K980" s="19"/>
      <c r="L980" s="19"/>
      <c r="M980" s="19"/>
      <c r="N980" s="19"/>
      <c r="O980" s="19"/>
      <c r="P980" s="19"/>
      <c r="Q980" s="20"/>
      <c r="R980" s="20"/>
      <c r="S980" s="22"/>
      <c r="T980" s="22"/>
      <c r="U980" s="20"/>
      <c r="V980" s="20"/>
      <c r="W980" s="20"/>
      <c r="X980" s="19"/>
      <c r="Y980" s="19"/>
      <c r="Z980" s="19"/>
      <c r="AA980" s="23"/>
    </row>
    <row r="981" spans="1:27" ht="15.75" customHeight="1" x14ac:dyDescent="0.2">
      <c r="A981" s="34"/>
      <c r="B981" s="34"/>
      <c r="C981" s="34"/>
      <c r="D981" s="34"/>
      <c r="E981" s="19"/>
      <c r="F981" s="19"/>
      <c r="G981" s="19"/>
      <c r="H981" s="19"/>
      <c r="I981" s="19"/>
      <c r="J981" s="19"/>
      <c r="K981" s="19"/>
      <c r="L981" s="19"/>
      <c r="M981" s="19"/>
      <c r="N981" s="19"/>
      <c r="O981" s="19"/>
      <c r="P981" s="19"/>
      <c r="Q981" s="20"/>
      <c r="R981" s="20"/>
      <c r="S981" s="22"/>
      <c r="T981" s="22"/>
      <c r="U981" s="20"/>
      <c r="V981" s="20"/>
      <c r="W981" s="20"/>
      <c r="X981" s="19"/>
      <c r="Y981" s="19"/>
      <c r="Z981" s="19"/>
      <c r="AA981" s="23"/>
    </row>
    <row r="982" spans="1:27" ht="15.75" customHeight="1" x14ac:dyDescent="0.2">
      <c r="A982" s="34"/>
      <c r="B982" s="34"/>
      <c r="C982" s="34"/>
      <c r="D982" s="34"/>
      <c r="E982" s="19"/>
      <c r="F982" s="19"/>
      <c r="G982" s="19"/>
      <c r="H982" s="19"/>
      <c r="I982" s="19"/>
      <c r="J982" s="19"/>
      <c r="K982" s="19"/>
      <c r="L982" s="19"/>
      <c r="M982" s="19"/>
      <c r="N982" s="19"/>
      <c r="O982" s="19"/>
      <c r="P982" s="19"/>
      <c r="Q982" s="20"/>
      <c r="R982" s="20"/>
      <c r="S982" s="22"/>
      <c r="T982" s="22"/>
      <c r="U982" s="20"/>
      <c r="V982" s="20"/>
      <c r="W982" s="20"/>
      <c r="X982" s="19"/>
      <c r="Y982" s="19"/>
      <c r="Z982" s="19"/>
      <c r="AA982" s="23"/>
    </row>
    <row r="983" spans="1:27" ht="15.75" customHeight="1" x14ac:dyDescent="0.2">
      <c r="A983" s="34"/>
      <c r="B983" s="34"/>
      <c r="C983" s="34"/>
      <c r="D983" s="34"/>
      <c r="E983" s="19"/>
      <c r="F983" s="19"/>
      <c r="G983" s="19"/>
      <c r="H983" s="19"/>
      <c r="I983" s="19"/>
      <c r="J983" s="19"/>
      <c r="K983" s="19"/>
      <c r="L983" s="19"/>
      <c r="M983" s="19"/>
      <c r="N983" s="19"/>
      <c r="O983" s="19"/>
      <c r="P983" s="19"/>
      <c r="Q983" s="20"/>
      <c r="R983" s="20"/>
      <c r="S983" s="22"/>
      <c r="T983" s="22"/>
      <c r="U983" s="20"/>
      <c r="V983" s="20"/>
      <c r="W983" s="20"/>
      <c r="X983" s="19"/>
      <c r="Y983" s="19"/>
      <c r="Z983" s="19"/>
      <c r="AA983" s="23"/>
    </row>
    <row r="984" spans="1:27" ht="15.75" customHeight="1" x14ac:dyDescent="0.2">
      <c r="A984" s="34"/>
      <c r="B984" s="34"/>
      <c r="C984" s="34"/>
      <c r="D984" s="34"/>
      <c r="E984" s="19"/>
      <c r="F984" s="19"/>
      <c r="G984" s="19"/>
      <c r="H984" s="19"/>
      <c r="I984" s="19"/>
      <c r="J984" s="19"/>
      <c r="K984" s="19"/>
      <c r="L984" s="19"/>
      <c r="M984" s="19"/>
      <c r="N984" s="19"/>
      <c r="O984" s="19"/>
      <c r="P984" s="19"/>
      <c r="Q984" s="20"/>
      <c r="R984" s="20"/>
      <c r="S984" s="22"/>
      <c r="T984" s="22"/>
      <c r="U984" s="20"/>
      <c r="V984" s="20"/>
      <c r="W984" s="20"/>
      <c r="X984" s="19"/>
      <c r="Y984" s="19"/>
      <c r="Z984" s="19"/>
      <c r="AA984" s="23"/>
    </row>
    <row r="985" spans="1:27" ht="15.75" customHeight="1" x14ac:dyDescent="0.2">
      <c r="A985" s="34"/>
      <c r="B985" s="34"/>
      <c r="C985" s="34"/>
      <c r="D985" s="34"/>
      <c r="E985" s="19"/>
      <c r="F985" s="19"/>
      <c r="G985" s="19"/>
      <c r="H985" s="19"/>
      <c r="I985" s="19"/>
      <c r="J985" s="19"/>
      <c r="K985" s="19"/>
      <c r="L985" s="19"/>
      <c r="M985" s="19"/>
      <c r="N985" s="19"/>
      <c r="O985" s="19"/>
      <c r="P985" s="19"/>
      <c r="Q985" s="20"/>
      <c r="R985" s="20"/>
      <c r="S985" s="22"/>
      <c r="T985" s="22"/>
      <c r="U985" s="20"/>
      <c r="V985" s="20"/>
      <c r="W985" s="20"/>
      <c r="X985" s="19"/>
      <c r="Y985" s="19"/>
      <c r="Z985" s="19"/>
      <c r="AA985" s="23"/>
    </row>
    <row r="986" spans="1:27" ht="15.75" customHeight="1" x14ac:dyDescent="0.2">
      <c r="A986" s="34"/>
      <c r="B986" s="34"/>
      <c r="C986" s="34"/>
      <c r="D986" s="34"/>
      <c r="E986" s="19"/>
      <c r="F986" s="19"/>
      <c r="G986" s="19"/>
      <c r="H986" s="19"/>
      <c r="I986" s="19"/>
      <c r="J986" s="19"/>
      <c r="K986" s="19"/>
      <c r="L986" s="19"/>
      <c r="M986" s="19"/>
      <c r="N986" s="19"/>
      <c r="O986" s="19"/>
      <c r="P986" s="19"/>
      <c r="Q986" s="20"/>
      <c r="R986" s="20"/>
      <c r="S986" s="22"/>
      <c r="T986" s="22"/>
      <c r="U986" s="20"/>
      <c r="V986" s="20"/>
      <c r="W986" s="20"/>
      <c r="X986" s="19"/>
      <c r="Y986" s="19"/>
      <c r="Z986" s="19"/>
      <c r="AA986" s="23"/>
    </row>
    <row r="987" spans="1:27" ht="15.75" customHeight="1" x14ac:dyDescent="0.2">
      <c r="A987" s="34"/>
      <c r="B987" s="34"/>
      <c r="C987" s="34"/>
      <c r="D987" s="34"/>
      <c r="E987" s="19"/>
      <c r="F987" s="19"/>
      <c r="G987" s="19"/>
      <c r="H987" s="19"/>
      <c r="I987" s="19"/>
      <c r="J987" s="19"/>
      <c r="K987" s="19"/>
      <c r="L987" s="19"/>
      <c r="M987" s="19"/>
      <c r="N987" s="19"/>
      <c r="O987" s="19"/>
      <c r="P987" s="19"/>
      <c r="Q987" s="20"/>
      <c r="R987" s="20"/>
      <c r="S987" s="22"/>
      <c r="T987" s="22"/>
      <c r="U987" s="20"/>
      <c r="V987" s="20"/>
      <c r="W987" s="20"/>
      <c r="X987" s="19"/>
      <c r="Y987" s="19"/>
      <c r="Z987" s="19"/>
      <c r="AA987" s="23"/>
    </row>
    <row r="988" spans="1:27" ht="15.75" customHeight="1" x14ac:dyDescent="0.2">
      <c r="A988" s="34"/>
      <c r="B988" s="34"/>
      <c r="C988" s="34"/>
      <c r="D988" s="34"/>
      <c r="E988" s="19"/>
      <c r="F988" s="19"/>
      <c r="G988" s="19"/>
      <c r="H988" s="19"/>
      <c r="I988" s="19"/>
      <c r="J988" s="19"/>
      <c r="K988" s="19"/>
      <c r="L988" s="19"/>
      <c r="M988" s="19"/>
      <c r="N988" s="19"/>
      <c r="O988" s="19"/>
      <c r="P988" s="19"/>
      <c r="Q988" s="20"/>
      <c r="R988" s="20"/>
      <c r="S988" s="22"/>
      <c r="T988" s="22"/>
      <c r="U988" s="20"/>
      <c r="V988" s="20"/>
      <c r="W988" s="20"/>
      <c r="X988" s="19"/>
      <c r="Y988" s="19"/>
      <c r="Z988" s="19"/>
      <c r="AA988" s="23"/>
    </row>
    <row r="989" spans="1:27" ht="15.75" customHeight="1" x14ac:dyDescent="0.2">
      <c r="A989" s="34"/>
      <c r="B989" s="34"/>
      <c r="C989" s="34"/>
      <c r="D989" s="34"/>
      <c r="E989" s="19"/>
      <c r="F989" s="19"/>
      <c r="G989" s="19"/>
      <c r="H989" s="19"/>
      <c r="I989" s="19"/>
      <c r="J989" s="19"/>
      <c r="K989" s="19"/>
      <c r="L989" s="19"/>
      <c r="M989" s="19"/>
      <c r="N989" s="19"/>
      <c r="O989" s="19"/>
      <c r="P989" s="19"/>
      <c r="Q989" s="20"/>
      <c r="R989" s="20"/>
      <c r="S989" s="22"/>
      <c r="T989" s="22"/>
      <c r="U989" s="20"/>
      <c r="V989" s="20"/>
      <c r="W989" s="20"/>
      <c r="X989" s="19"/>
      <c r="Y989" s="19"/>
      <c r="Z989" s="19"/>
      <c r="AA989" s="23"/>
    </row>
    <row r="990" spans="1:27" ht="15.75" customHeight="1" x14ac:dyDescent="0.2">
      <c r="A990" s="34"/>
      <c r="B990" s="34"/>
      <c r="C990" s="34"/>
      <c r="D990" s="34"/>
      <c r="E990" s="19"/>
      <c r="F990" s="19"/>
      <c r="G990" s="19"/>
      <c r="H990" s="19"/>
      <c r="I990" s="19"/>
      <c r="J990" s="19"/>
      <c r="K990" s="19"/>
      <c r="L990" s="19"/>
      <c r="M990" s="19"/>
      <c r="N990" s="19"/>
      <c r="O990" s="19"/>
      <c r="P990" s="19"/>
      <c r="Q990" s="20"/>
      <c r="R990" s="20"/>
      <c r="S990" s="22"/>
      <c r="T990" s="22"/>
      <c r="U990" s="20"/>
      <c r="V990" s="20"/>
      <c r="W990" s="20"/>
      <c r="X990" s="19"/>
      <c r="Y990" s="19"/>
      <c r="Z990" s="19"/>
      <c r="AA990" s="23"/>
    </row>
    <row r="991" spans="1:27" ht="15.75" customHeight="1" x14ac:dyDescent="0.2">
      <c r="A991" s="34"/>
      <c r="B991" s="34"/>
      <c r="C991" s="34"/>
      <c r="D991" s="34"/>
      <c r="E991" s="19"/>
      <c r="F991" s="19"/>
      <c r="G991" s="19"/>
      <c r="H991" s="19"/>
      <c r="I991" s="19"/>
      <c r="J991" s="19"/>
      <c r="K991" s="19"/>
      <c r="L991" s="19"/>
      <c r="M991" s="19"/>
      <c r="N991" s="19"/>
      <c r="O991" s="19"/>
      <c r="P991" s="19"/>
      <c r="Q991" s="20"/>
      <c r="R991" s="20"/>
      <c r="S991" s="22"/>
      <c r="T991" s="22"/>
      <c r="U991" s="20"/>
      <c r="V991" s="20"/>
      <c r="W991" s="20"/>
      <c r="X991" s="19"/>
      <c r="Y991" s="19"/>
      <c r="Z991" s="19"/>
      <c r="AA991" s="23"/>
    </row>
    <row r="992" spans="1:27" ht="15.75" customHeight="1" x14ac:dyDescent="0.2">
      <c r="A992" s="34"/>
      <c r="B992" s="34"/>
      <c r="C992" s="34"/>
      <c r="D992" s="34"/>
      <c r="E992" s="19"/>
      <c r="F992" s="19"/>
      <c r="G992" s="19"/>
      <c r="H992" s="19"/>
      <c r="I992" s="19"/>
      <c r="J992" s="19"/>
      <c r="K992" s="19"/>
      <c r="L992" s="19"/>
      <c r="M992" s="19"/>
      <c r="N992" s="19"/>
      <c r="O992" s="19"/>
      <c r="P992" s="19"/>
      <c r="Q992" s="20"/>
      <c r="R992" s="20"/>
      <c r="S992" s="22"/>
      <c r="T992" s="22"/>
      <c r="U992" s="20"/>
      <c r="V992" s="20"/>
      <c r="W992" s="20"/>
      <c r="X992" s="19"/>
      <c r="Y992" s="19"/>
      <c r="Z992" s="19"/>
      <c r="AA992" s="23"/>
    </row>
    <row r="993" spans="1:27" ht="15.75" customHeight="1" x14ac:dyDescent="0.2">
      <c r="A993" s="34"/>
      <c r="B993" s="34"/>
      <c r="C993" s="34"/>
      <c r="D993" s="34"/>
      <c r="E993" s="19"/>
      <c r="F993" s="19"/>
      <c r="G993" s="19"/>
      <c r="H993" s="19"/>
      <c r="I993" s="19"/>
      <c r="J993" s="19"/>
      <c r="K993" s="19"/>
      <c r="L993" s="19"/>
      <c r="M993" s="19"/>
      <c r="N993" s="19"/>
      <c r="O993" s="19"/>
      <c r="P993" s="19"/>
      <c r="Q993" s="20"/>
      <c r="R993" s="20"/>
      <c r="S993" s="22"/>
      <c r="T993" s="22"/>
      <c r="U993" s="20"/>
      <c r="V993" s="20"/>
      <c r="W993" s="20"/>
      <c r="X993" s="19"/>
      <c r="Y993" s="19"/>
      <c r="Z993" s="19"/>
      <c r="AA993" s="23"/>
    </row>
    <row r="994" spans="1:27" ht="15.75" customHeight="1" x14ac:dyDescent="0.2">
      <c r="A994" s="34"/>
      <c r="B994" s="34"/>
      <c r="C994" s="34"/>
      <c r="D994" s="34"/>
      <c r="E994" s="19"/>
      <c r="F994" s="19"/>
      <c r="G994" s="19"/>
      <c r="H994" s="19"/>
      <c r="I994" s="19"/>
      <c r="J994" s="19"/>
      <c r="K994" s="19"/>
      <c r="L994" s="19"/>
      <c r="M994" s="19"/>
      <c r="N994" s="19"/>
      <c r="O994" s="19"/>
      <c r="P994" s="19"/>
      <c r="Q994" s="20"/>
      <c r="R994" s="20"/>
      <c r="S994" s="22"/>
      <c r="T994" s="22"/>
      <c r="U994" s="20"/>
      <c r="V994" s="20"/>
      <c r="W994" s="20"/>
      <c r="X994" s="19"/>
      <c r="Y994" s="19"/>
      <c r="Z994" s="19"/>
      <c r="AA994" s="23"/>
    </row>
    <row r="995" spans="1:27" ht="15.75" customHeight="1" x14ac:dyDescent="0.2">
      <c r="A995" s="34"/>
      <c r="B995" s="34"/>
      <c r="C995" s="34"/>
      <c r="D995" s="34"/>
      <c r="E995" s="19"/>
      <c r="F995" s="19"/>
      <c r="G995" s="19"/>
      <c r="H995" s="19"/>
      <c r="I995" s="19"/>
      <c r="J995" s="19"/>
      <c r="K995" s="19"/>
      <c r="L995" s="19"/>
      <c r="M995" s="19"/>
      <c r="N995" s="19"/>
      <c r="O995" s="19"/>
      <c r="P995" s="19"/>
      <c r="Q995" s="20"/>
      <c r="R995" s="20"/>
      <c r="S995" s="22"/>
      <c r="T995" s="22"/>
      <c r="U995" s="20"/>
      <c r="V995" s="20"/>
      <c r="W995" s="20"/>
      <c r="X995" s="19"/>
      <c r="Y995" s="19"/>
      <c r="Z995" s="19"/>
      <c r="AA995" s="23"/>
    </row>
    <row r="996" spans="1:27" ht="15.75" customHeight="1" x14ac:dyDescent="0.2">
      <c r="A996" s="34"/>
      <c r="B996" s="34"/>
      <c r="C996" s="34"/>
      <c r="D996" s="34"/>
      <c r="E996" s="19"/>
      <c r="F996" s="19"/>
      <c r="G996" s="19"/>
      <c r="H996" s="19"/>
      <c r="I996" s="19"/>
      <c r="J996" s="19"/>
      <c r="K996" s="19"/>
      <c r="L996" s="19"/>
      <c r="M996" s="19"/>
      <c r="N996" s="19"/>
      <c r="O996" s="19"/>
      <c r="P996" s="19"/>
      <c r="Q996" s="20"/>
      <c r="R996" s="20"/>
      <c r="S996" s="22"/>
      <c r="T996" s="22"/>
      <c r="U996" s="20"/>
      <c r="V996" s="20"/>
      <c r="W996" s="20"/>
      <c r="X996" s="19"/>
      <c r="Y996" s="19"/>
      <c r="Z996" s="19"/>
      <c r="AA996" s="23"/>
    </row>
    <row r="997" spans="1:27" ht="15.75" customHeight="1" x14ac:dyDescent="0.2">
      <c r="A997" s="34"/>
      <c r="B997" s="34"/>
      <c r="C997" s="34"/>
      <c r="D997" s="34"/>
      <c r="E997" s="19"/>
      <c r="F997" s="19"/>
      <c r="G997" s="19"/>
      <c r="H997" s="19"/>
      <c r="I997" s="19"/>
      <c r="J997" s="19"/>
      <c r="K997" s="19"/>
      <c r="L997" s="19"/>
      <c r="M997" s="19"/>
      <c r="N997" s="19"/>
      <c r="O997" s="19"/>
      <c r="P997" s="19"/>
      <c r="Q997" s="20"/>
      <c r="R997" s="20"/>
      <c r="S997" s="22"/>
      <c r="T997" s="22"/>
      <c r="U997" s="20"/>
      <c r="V997" s="20"/>
      <c r="W997" s="20"/>
      <c r="X997" s="19"/>
      <c r="Y997" s="19"/>
      <c r="Z997" s="19"/>
      <c r="AA997" s="23"/>
    </row>
    <row r="998" spans="1:27" ht="15.75" customHeight="1" x14ac:dyDescent="0.2">
      <c r="A998" s="34"/>
      <c r="B998" s="34"/>
      <c r="C998" s="34"/>
      <c r="D998" s="34"/>
      <c r="E998" s="19"/>
      <c r="F998" s="19"/>
      <c r="G998" s="19"/>
      <c r="H998" s="19"/>
      <c r="I998" s="19"/>
      <c r="J998" s="19"/>
      <c r="K998" s="19"/>
      <c r="L998" s="19"/>
      <c r="M998" s="19"/>
      <c r="N998" s="19"/>
      <c r="O998" s="19"/>
      <c r="P998" s="19"/>
      <c r="Q998" s="20"/>
      <c r="R998" s="20"/>
      <c r="S998" s="22"/>
      <c r="T998" s="22"/>
      <c r="U998" s="20"/>
      <c r="V998" s="20"/>
      <c r="W998" s="20"/>
      <c r="X998" s="19"/>
      <c r="Y998" s="19"/>
      <c r="Z998" s="19"/>
      <c r="AA998" s="23"/>
    </row>
    <row r="999" spans="1:27" ht="15.75" customHeight="1" x14ac:dyDescent="0.2">
      <c r="A999" s="34"/>
      <c r="B999" s="34"/>
      <c r="C999" s="34"/>
      <c r="D999" s="34"/>
      <c r="E999" s="19"/>
      <c r="F999" s="19"/>
      <c r="G999" s="19"/>
      <c r="H999" s="19"/>
      <c r="I999" s="19"/>
      <c r="J999" s="19"/>
      <c r="K999" s="19"/>
      <c r="L999" s="19"/>
      <c r="M999" s="19"/>
      <c r="N999" s="19"/>
      <c r="O999" s="19"/>
      <c r="P999" s="19"/>
      <c r="Q999" s="20"/>
      <c r="R999" s="20"/>
      <c r="S999" s="22"/>
      <c r="T999" s="22"/>
      <c r="U999" s="20"/>
      <c r="V999" s="20"/>
      <c r="W999" s="20"/>
      <c r="X999" s="19"/>
      <c r="Y999" s="19"/>
      <c r="Z999" s="19"/>
      <c r="AA999" s="23"/>
    </row>
    <row r="1000" spans="1:27" ht="15.75" customHeight="1" x14ac:dyDescent="0.2">
      <c r="A1000" s="34"/>
      <c r="B1000" s="34"/>
      <c r="C1000" s="34"/>
      <c r="D1000" s="34"/>
      <c r="E1000" s="19"/>
      <c r="F1000" s="19"/>
      <c r="G1000" s="19"/>
      <c r="H1000" s="19"/>
      <c r="I1000" s="19"/>
      <c r="J1000" s="19"/>
      <c r="K1000" s="19"/>
      <c r="L1000" s="19"/>
      <c r="M1000" s="19"/>
      <c r="N1000" s="19"/>
      <c r="O1000" s="19"/>
      <c r="P1000" s="19"/>
      <c r="Q1000" s="20"/>
      <c r="R1000" s="20"/>
      <c r="S1000" s="22"/>
      <c r="T1000" s="22"/>
      <c r="U1000" s="20"/>
      <c r="V1000" s="20"/>
      <c r="W1000" s="20"/>
      <c r="X1000" s="19"/>
      <c r="Y1000" s="19"/>
      <c r="Z1000" s="19"/>
      <c r="AA1000" s="23"/>
    </row>
  </sheetData>
  <autoFilter ref="A2:AA2" xr:uid="{00000000-0009-0000-0000-000006000000}"/>
  <mergeCells count="4">
    <mergeCell ref="E1:F1"/>
    <mergeCell ref="G1:J1"/>
    <mergeCell ref="K1:P1"/>
    <mergeCell ref="Q1:W1"/>
  </mergeCell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39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0" width="16.6640625" customWidth="1"/>
    <col min="11" max="16" width="12.1640625" customWidth="1"/>
    <col min="17" max="17" width="14.1640625" customWidth="1"/>
    <col min="18" max="18" width="12.83203125" customWidth="1"/>
    <col min="19" max="19" width="17.5" customWidth="1"/>
    <col min="20" max="21" width="16.83203125" customWidth="1"/>
    <col min="22" max="22" width="14.33203125" customWidth="1"/>
    <col min="23" max="23" width="17.5" customWidth="1"/>
    <col min="24" max="25" width="10.6640625" customWidth="1"/>
    <col min="26" max="26" width="9.33203125" customWidth="1"/>
    <col min="27" max="27" width="13" customWidth="1"/>
    <col min="28" max="28" width="9.5" customWidth="1"/>
  </cols>
  <sheetData>
    <row r="1" spans="1:28" x14ac:dyDescent="0.2">
      <c r="A1" s="1" t="s">
        <v>826</v>
      </c>
      <c r="B1" s="3"/>
      <c r="C1" s="3"/>
      <c r="D1" s="3"/>
      <c r="E1" s="63" t="s">
        <v>1</v>
      </c>
      <c r="F1" s="64"/>
      <c r="G1" s="65" t="s">
        <v>2</v>
      </c>
      <c r="H1" s="66"/>
      <c r="I1" s="66"/>
      <c r="J1" s="64"/>
      <c r="K1" s="67" t="s">
        <v>3</v>
      </c>
      <c r="L1" s="66"/>
      <c r="M1" s="66"/>
      <c r="N1" s="66"/>
      <c r="O1" s="66"/>
      <c r="P1" s="64"/>
      <c r="Q1" s="39"/>
      <c r="R1" s="68" t="s">
        <v>4</v>
      </c>
      <c r="S1" s="66"/>
      <c r="T1" s="66"/>
      <c r="U1" s="66"/>
      <c r="V1" s="66"/>
      <c r="W1" s="66"/>
      <c r="X1" s="64"/>
      <c r="Y1" s="3"/>
      <c r="Z1" s="4"/>
      <c r="AA1" s="3"/>
      <c r="AB1" s="3"/>
    </row>
    <row r="2" spans="1:28" ht="55.5" customHeight="1" x14ac:dyDescent="0.15">
      <c r="A2" s="5" t="s">
        <v>5</v>
      </c>
      <c r="B2" s="5" t="s">
        <v>6</v>
      </c>
      <c r="C2" s="5" t="s">
        <v>7</v>
      </c>
      <c r="D2" s="5" t="s">
        <v>8</v>
      </c>
      <c r="E2" s="6" t="s">
        <v>9</v>
      </c>
      <c r="F2" s="6" t="s">
        <v>10</v>
      </c>
      <c r="G2" s="7" t="s">
        <v>11</v>
      </c>
      <c r="H2" s="7" t="s">
        <v>12</v>
      </c>
      <c r="I2" s="7" t="s">
        <v>13</v>
      </c>
      <c r="J2" s="7" t="s">
        <v>615</v>
      </c>
      <c r="K2" s="8" t="s">
        <v>14</v>
      </c>
      <c r="L2" s="8" t="s">
        <v>15</v>
      </c>
      <c r="M2" s="8" t="s">
        <v>16</v>
      </c>
      <c r="N2" s="8" t="s">
        <v>17</v>
      </c>
      <c r="O2" s="8" t="s">
        <v>18</v>
      </c>
      <c r="P2" s="8" t="s">
        <v>19</v>
      </c>
      <c r="Q2" s="40" t="s">
        <v>831</v>
      </c>
      <c r="R2" s="9" t="s">
        <v>20</v>
      </c>
      <c r="S2" s="9" t="s">
        <v>21</v>
      </c>
      <c r="T2" s="9" t="s">
        <v>22</v>
      </c>
      <c r="U2" s="9" t="s">
        <v>23</v>
      </c>
      <c r="V2" s="9" t="s">
        <v>24</v>
      </c>
      <c r="W2" s="12" t="s">
        <v>25</v>
      </c>
      <c r="X2" s="13" t="s">
        <v>26</v>
      </c>
      <c r="Y2" s="14" t="s">
        <v>27</v>
      </c>
      <c r="Z2" s="15" t="s">
        <v>29</v>
      </c>
      <c r="AA2" s="15" t="s">
        <v>30</v>
      </c>
      <c r="AB2" s="16" t="s">
        <v>31</v>
      </c>
    </row>
    <row r="3" spans="1:28" x14ac:dyDescent="0.2">
      <c r="A3" s="17" t="str">
        <f>HYPERLINK("https://www.asa.edu", "ASA College")</f>
        <v>ASA College</v>
      </c>
      <c r="B3" s="18" t="s">
        <v>368</v>
      </c>
      <c r="C3" s="18" t="s">
        <v>38</v>
      </c>
      <c r="D3" s="18" t="s">
        <v>593</v>
      </c>
      <c r="E3" s="18" t="s">
        <v>36</v>
      </c>
      <c r="F3" s="18" t="s">
        <v>36</v>
      </c>
      <c r="J3" s="2"/>
      <c r="K3" s="19">
        <v>0.28649999999999998</v>
      </c>
      <c r="L3" s="19">
        <v>0.34350942400000001</v>
      </c>
      <c r="M3" s="19">
        <v>0.2029</v>
      </c>
      <c r="N3" s="19">
        <v>0.32900000000000001</v>
      </c>
      <c r="O3" s="19">
        <v>0.2671</v>
      </c>
      <c r="P3" s="19">
        <v>9.3200000000000005E-2</v>
      </c>
      <c r="Q3" s="19">
        <v>1.3277428000000001E-2</v>
      </c>
      <c r="R3" s="20">
        <v>33051</v>
      </c>
      <c r="S3" s="21" t="str">
        <f>HYPERLINK("https://www.asa.edu/netpricecalculator/npcalc.htm", "$25788")</f>
        <v>$25788</v>
      </c>
      <c r="T3" s="22">
        <v>26253</v>
      </c>
      <c r="U3" s="22">
        <v>31361</v>
      </c>
      <c r="V3" s="20">
        <v>8646</v>
      </c>
      <c r="W3" s="20">
        <v>17142</v>
      </c>
      <c r="Y3" s="19">
        <v>0.65039999999999998</v>
      </c>
      <c r="Z3" s="19">
        <v>0.93620000000000003</v>
      </c>
      <c r="AB3" s="23">
        <v>4674</v>
      </c>
    </row>
    <row r="4" spans="1:28" x14ac:dyDescent="0.2">
      <c r="A4" s="17" t="str">
        <f>HYPERLINK("https://www.ata.edu", "Beckfield College-Tri-County")</f>
        <v>Beckfield College-Tri-County</v>
      </c>
      <c r="B4" s="18" t="s">
        <v>368</v>
      </c>
      <c r="C4" s="18" t="s">
        <v>75</v>
      </c>
      <c r="D4" s="18" t="s">
        <v>835</v>
      </c>
      <c r="E4" s="18" t="s">
        <v>36</v>
      </c>
      <c r="F4" s="18" t="s">
        <v>36</v>
      </c>
      <c r="J4" s="2"/>
      <c r="K4" s="19">
        <v>0.5</v>
      </c>
      <c r="L4" s="19">
        <v>0.33947772700000001</v>
      </c>
      <c r="M4" s="19">
        <v>0.6875</v>
      </c>
      <c r="N4" s="19">
        <v>0.30769999999999997</v>
      </c>
      <c r="O4" s="19" t="s">
        <v>36</v>
      </c>
      <c r="P4" s="19" t="s">
        <v>36</v>
      </c>
      <c r="Q4" s="19">
        <v>3.5469107999999999E-2</v>
      </c>
      <c r="R4" s="20">
        <v>35808</v>
      </c>
      <c r="S4" s="21" t="str">
        <f>HYPERLINK("https://www.ata.edu/NPC/npcalc.htm", "$29167")</f>
        <v>$29167</v>
      </c>
      <c r="T4" s="22" t="s">
        <v>36</v>
      </c>
      <c r="U4" s="22" t="s">
        <v>36</v>
      </c>
      <c r="V4" s="20">
        <v>9211</v>
      </c>
      <c r="W4" s="20">
        <v>19956</v>
      </c>
      <c r="Y4" s="19">
        <v>0.83330000000000004</v>
      </c>
      <c r="Z4" s="19">
        <v>0.55959999999999999</v>
      </c>
      <c r="AB4" s="23">
        <v>277</v>
      </c>
    </row>
    <row r="5" spans="1:28" x14ac:dyDescent="0.2">
      <c r="A5" s="17" t="str">
        <f>HYPERLINK("https://www.ancollege.edu", "Aaniiih Nakoda College")</f>
        <v>Aaniiih Nakoda College</v>
      </c>
      <c r="B5" s="18" t="s">
        <v>49</v>
      </c>
      <c r="C5" s="18" t="s">
        <v>421</v>
      </c>
      <c r="D5" s="18" t="s">
        <v>837</v>
      </c>
      <c r="E5" s="18" t="s">
        <v>36</v>
      </c>
      <c r="F5" s="18" t="s">
        <v>36</v>
      </c>
      <c r="J5" s="2"/>
      <c r="K5" s="19">
        <v>0.27589999999999998</v>
      </c>
      <c r="L5" s="19" t="s">
        <v>36</v>
      </c>
      <c r="M5" s="19">
        <v>0</v>
      </c>
      <c r="N5" s="19" t="s">
        <v>36</v>
      </c>
      <c r="O5" s="19" t="s">
        <v>36</v>
      </c>
      <c r="P5" s="19" t="s">
        <v>36</v>
      </c>
      <c r="Q5" s="19" t="s">
        <v>36</v>
      </c>
      <c r="R5" s="20">
        <v>17030</v>
      </c>
      <c r="S5" s="21" t="str">
        <f>HYPERLINK("https://www.ancollege.edu/student_services/financial_aid/npc/npcalc.htm", "$12079")</f>
        <v>$12079</v>
      </c>
      <c r="T5" s="22" t="s">
        <v>36</v>
      </c>
      <c r="U5" s="22">
        <v>14365</v>
      </c>
      <c r="V5" s="20">
        <v>7700</v>
      </c>
      <c r="W5" s="20">
        <v>4379.7142857142862</v>
      </c>
      <c r="Y5" s="19">
        <v>0.65769999999999995</v>
      </c>
      <c r="Z5" s="19">
        <v>0.90159999999999996</v>
      </c>
      <c r="AB5" s="23">
        <v>122</v>
      </c>
    </row>
    <row r="6" spans="1:28" x14ac:dyDescent="0.2">
      <c r="A6" s="17" t="str">
        <f>HYPERLINK("https://www.abac.edu", "Abraham Baldwin Agricultural College")</f>
        <v>Abraham Baldwin Agricultural College</v>
      </c>
      <c r="B6" s="18" t="s">
        <v>49</v>
      </c>
      <c r="C6" s="18" t="s">
        <v>107</v>
      </c>
      <c r="D6" s="18" t="s">
        <v>839</v>
      </c>
      <c r="E6" s="18">
        <v>1013</v>
      </c>
      <c r="F6" s="18" t="s">
        <v>35</v>
      </c>
      <c r="J6" s="2"/>
      <c r="K6" s="19">
        <v>0.22819999999999999</v>
      </c>
      <c r="L6" s="19">
        <v>0.19270072999999999</v>
      </c>
      <c r="M6" s="19">
        <v>0.25869999999999999</v>
      </c>
      <c r="N6" s="19">
        <v>7.4099999999999999E-2</v>
      </c>
      <c r="O6" s="19">
        <v>0.23080000000000001</v>
      </c>
      <c r="P6" s="19">
        <v>0.5</v>
      </c>
      <c r="Q6" s="19">
        <v>9.0487238999999997E-2</v>
      </c>
      <c r="R6" s="20">
        <v>21859</v>
      </c>
      <c r="S6" s="21" t="str">
        <f>HYPERLINK("https://www.abac.edu/NPC/", "$15026")</f>
        <v>$15026</v>
      </c>
      <c r="T6" s="22">
        <v>18307</v>
      </c>
      <c r="U6" s="22">
        <v>19825</v>
      </c>
      <c r="V6" s="20">
        <v>4100</v>
      </c>
      <c r="W6" s="20">
        <v>10926.280373831771</v>
      </c>
      <c r="Y6" s="19">
        <v>0.39419999999999999</v>
      </c>
      <c r="Z6" s="19">
        <v>0.1837</v>
      </c>
      <c r="AB6" s="23">
        <v>3185</v>
      </c>
    </row>
    <row r="7" spans="1:28" x14ac:dyDescent="0.2">
      <c r="A7" s="17" t="str">
        <f>HYPERLINK("https://www.sunyacc.edu", "SUNY Adirondack Community College")</f>
        <v>SUNY Adirondack Community College</v>
      </c>
      <c r="B7" s="18" t="s">
        <v>49</v>
      </c>
      <c r="C7" s="18" t="s">
        <v>38</v>
      </c>
      <c r="D7" s="18" t="s">
        <v>840</v>
      </c>
      <c r="E7" s="18" t="s">
        <v>36</v>
      </c>
      <c r="F7" s="18" t="s">
        <v>36</v>
      </c>
      <c r="G7" s="18" t="s">
        <v>51</v>
      </c>
      <c r="H7" s="18" t="s">
        <v>459</v>
      </c>
      <c r="I7" s="18" t="s">
        <v>459</v>
      </c>
      <c r="J7" s="2"/>
      <c r="K7" s="19">
        <v>0.25729999999999997</v>
      </c>
      <c r="L7" s="19">
        <v>0.22375215200000001</v>
      </c>
      <c r="M7" s="19">
        <v>0.27400000000000002</v>
      </c>
      <c r="N7" s="19">
        <v>0.12239999999999999</v>
      </c>
      <c r="O7" s="19">
        <v>0.19350000000000001</v>
      </c>
      <c r="P7" s="19">
        <v>0.28570000000000001</v>
      </c>
      <c r="Q7" s="19">
        <v>8.4327086999999995E-2</v>
      </c>
      <c r="R7" s="20">
        <v>21704</v>
      </c>
      <c r="S7" s="21" t="str">
        <f>HYPERLINK("https://www.suny.edu/howmuch/", "$5116")</f>
        <v>$5116</v>
      </c>
      <c r="T7" s="22">
        <v>10161</v>
      </c>
      <c r="U7" s="22">
        <v>12421</v>
      </c>
      <c r="V7" s="20">
        <v>5375</v>
      </c>
      <c r="W7" s="20">
        <v>-259</v>
      </c>
      <c r="Y7" s="19">
        <v>0.36199999999999999</v>
      </c>
      <c r="Z7" s="19">
        <v>0.13250000000000001</v>
      </c>
      <c r="AB7" s="23">
        <v>3034</v>
      </c>
    </row>
    <row r="8" spans="1:28" x14ac:dyDescent="0.2">
      <c r="A8" s="17" t="str">
        <f>HYPERLINK("https://www.advancedcomputinginstitute.edu", "Advanced Computing Institute")</f>
        <v>Advanced Computing Institute</v>
      </c>
      <c r="B8" s="18" t="s">
        <v>368</v>
      </c>
      <c r="C8" s="18" t="s">
        <v>68</v>
      </c>
      <c r="D8" s="18" t="s">
        <v>140</v>
      </c>
      <c r="E8" s="18" t="s">
        <v>36</v>
      </c>
      <c r="F8" s="18" t="s">
        <v>36</v>
      </c>
      <c r="J8" s="2"/>
      <c r="K8" s="19">
        <v>0.83709999999999996</v>
      </c>
      <c r="L8" s="19" t="s">
        <v>36</v>
      </c>
      <c r="M8" s="19">
        <v>1</v>
      </c>
      <c r="N8" s="19">
        <v>1</v>
      </c>
      <c r="O8" s="19">
        <v>0.84209999999999996</v>
      </c>
      <c r="P8" s="19" t="s">
        <v>36</v>
      </c>
      <c r="Q8" s="19" t="s">
        <v>36</v>
      </c>
      <c r="R8" s="20" t="s">
        <v>36</v>
      </c>
      <c r="S8" s="21" t="str">
        <f>HYPERLINK("https://www.advancedcomputinginstitute.edu/", "Not reported")</f>
        <v>Not reported</v>
      </c>
      <c r="T8" s="22" t="s">
        <v>36</v>
      </c>
      <c r="U8" s="22" t="s">
        <v>36</v>
      </c>
      <c r="V8" s="20" t="s">
        <v>36</v>
      </c>
      <c r="W8" s="20" t="s">
        <v>36</v>
      </c>
      <c r="Y8" s="19">
        <v>0.68089999999999995</v>
      </c>
      <c r="Z8" s="19">
        <v>0.97270000000000001</v>
      </c>
      <c r="AB8" s="23">
        <v>256</v>
      </c>
    </row>
    <row r="9" spans="1:28" x14ac:dyDescent="0.2">
      <c r="A9" s="17" t="str">
        <f>HYPERLINK("https://www.saa.edu", "Advertising Art Educational Services DBA School of Advertising Art")</f>
        <v>Advertising Art Educational Services DBA School of Advertising Art</v>
      </c>
      <c r="B9" s="18" t="s">
        <v>368</v>
      </c>
      <c r="C9" s="18" t="s">
        <v>75</v>
      </c>
      <c r="D9" s="18" t="s">
        <v>844</v>
      </c>
      <c r="E9" s="18" t="s">
        <v>36</v>
      </c>
      <c r="F9" s="18" t="s">
        <v>90</v>
      </c>
      <c r="J9" s="2"/>
      <c r="K9" s="19">
        <v>0.64059999999999995</v>
      </c>
      <c r="L9" s="19" t="s">
        <v>36</v>
      </c>
      <c r="M9" s="19">
        <v>0.6552</v>
      </c>
      <c r="N9" s="19">
        <v>0.33329999999999999</v>
      </c>
      <c r="O9" s="19">
        <v>0.5</v>
      </c>
      <c r="P9" s="19">
        <v>1</v>
      </c>
      <c r="Q9" s="19" t="s">
        <v>36</v>
      </c>
      <c r="R9" s="20">
        <v>37196</v>
      </c>
      <c r="S9" s="21" t="str">
        <f>HYPERLINK("https://www.saa.edu/net-price-calculator/", "$27215")</f>
        <v>$27215</v>
      </c>
      <c r="T9" s="22">
        <v>31233</v>
      </c>
      <c r="U9" s="22">
        <v>33132</v>
      </c>
      <c r="V9" s="20">
        <v>4350</v>
      </c>
      <c r="W9" s="20">
        <v>22865</v>
      </c>
      <c r="Y9" s="19">
        <v>0.41839999999999999</v>
      </c>
      <c r="Z9" s="19">
        <v>8.5300000000000042E-2</v>
      </c>
      <c r="AB9" s="23">
        <v>211</v>
      </c>
    </row>
    <row r="10" spans="1:28" x14ac:dyDescent="0.2">
      <c r="A10" s="17" t="str">
        <f>HYPERLINK("https://www.alaskacc.edu", "Alaska Christian College")</f>
        <v>Alaska Christian College</v>
      </c>
      <c r="B10" s="18" t="s">
        <v>32</v>
      </c>
      <c r="C10" s="18" t="s">
        <v>548</v>
      </c>
      <c r="D10" s="18" t="s">
        <v>846</v>
      </c>
      <c r="E10" s="18" t="s">
        <v>36</v>
      </c>
      <c r="F10" s="18" t="s">
        <v>36</v>
      </c>
      <c r="J10" s="2"/>
      <c r="K10" s="19">
        <v>0.22220000000000001</v>
      </c>
      <c r="L10" s="19" t="s">
        <v>36</v>
      </c>
      <c r="M10" s="19" t="s">
        <v>36</v>
      </c>
      <c r="N10" s="19" t="s">
        <v>36</v>
      </c>
      <c r="O10" s="19">
        <v>1</v>
      </c>
      <c r="P10" s="19" t="s">
        <v>36</v>
      </c>
      <c r="Q10" s="19" t="s">
        <v>36</v>
      </c>
      <c r="R10" s="20">
        <v>20544</v>
      </c>
      <c r="S10" s="21" t="str">
        <f>HYPERLINK("https://alaskacc.edu/about/net-price-calculator/", "$4762")</f>
        <v>$4762</v>
      </c>
      <c r="T10" s="22" t="s">
        <v>36</v>
      </c>
      <c r="U10" s="22">
        <v>8153</v>
      </c>
      <c r="V10" s="20">
        <v>1980</v>
      </c>
      <c r="W10" s="20">
        <v>2782</v>
      </c>
      <c r="Y10" s="19">
        <v>0.96200000000000008</v>
      </c>
      <c r="Z10" s="19">
        <v>0.90539999999999998</v>
      </c>
      <c r="AB10" s="23">
        <v>74</v>
      </c>
    </row>
    <row r="11" spans="1:28" x14ac:dyDescent="0.2">
      <c r="A11" s="17" t="str">
        <f>HYPERLINK("https://www.alextech.edu", "Alexandria Technical &amp; Community College")</f>
        <v>Alexandria Technical &amp; Community College</v>
      </c>
      <c r="B11" s="18" t="s">
        <v>49</v>
      </c>
      <c r="C11" s="18" t="s">
        <v>72</v>
      </c>
      <c r="D11" s="18" t="s">
        <v>850</v>
      </c>
      <c r="E11" s="18" t="s">
        <v>36</v>
      </c>
      <c r="F11" s="18" t="s">
        <v>36</v>
      </c>
      <c r="J11" s="2"/>
      <c r="K11" s="19">
        <v>0.57479999999999998</v>
      </c>
      <c r="L11" s="19">
        <v>0.38345864699999999</v>
      </c>
      <c r="M11" s="19">
        <v>0.60189999999999999</v>
      </c>
      <c r="N11" s="19">
        <v>0</v>
      </c>
      <c r="O11" s="19">
        <v>0.27779999999999999</v>
      </c>
      <c r="P11" s="19">
        <v>0.33329999999999999</v>
      </c>
      <c r="Q11" s="19">
        <v>3.8461539000000003E-2</v>
      </c>
      <c r="R11" s="20">
        <v>18910</v>
      </c>
      <c r="S11" s="21" t="str">
        <f>HYPERLINK("https://www.alextech.edu/calculator", "$12695")</f>
        <v>$12695</v>
      </c>
      <c r="T11" s="22">
        <v>13948</v>
      </c>
      <c r="U11" s="22">
        <v>16160</v>
      </c>
      <c r="V11" s="20">
        <v>8300</v>
      </c>
      <c r="W11" s="20">
        <v>4395.7567567567567</v>
      </c>
      <c r="Y11" s="19">
        <v>0.23649999999999999</v>
      </c>
      <c r="Z11" s="19">
        <v>9.4899999999999984E-2</v>
      </c>
      <c r="AB11" s="23">
        <v>1496</v>
      </c>
    </row>
    <row r="12" spans="1:28" x14ac:dyDescent="0.2">
      <c r="A12" s="17" t="str">
        <f>HYPERLINK("https://www.allstatecareer.edu", "All-State Career School-Allied Health Campus")</f>
        <v>All-State Career School-Allied Health Campus</v>
      </c>
      <c r="B12" s="18" t="s">
        <v>368</v>
      </c>
      <c r="C12" s="18" t="s">
        <v>65</v>
      </c>
      <c r="D12" s="18" t="s">
        <v>852</v>
      </c>
      <c r="E12" s="18" t="s">
        <v>36</v>
      </c>
      <c r="F12" s="18" t="s">
        <v>36</v>
      </c>
      <c r="J12" s="2"/>
      <c r="K12" s="19">
        <v>0.58679999999999999</v>
      </c>
      <c r="L12" s="19">
        <v>0.64685714299999997</v>
      </c>
      <c r="M12" s="19">
        <v>0.77500000000000002</v>
      </c>
      <c r="N12" s="19">
        <v>0.51280000000000003</v>
      </c>
      <c r="O12" s="19">
        <v>0.75</v>
      </c>
      <c r="P12" s="19">
        <v>1</v>
      </c>
      <c r="Q12" s="19" t="s">
        <v>36</v>
      </c>
      <c r="R12" s="20">
        <v>26696</v>
      </c>
      <c r="S12" s="21" t="str">
        <f>HYPERLINK("https://www.allstatecareeredu.info/", "$20593")</f>
        <v>$20593</v>
      </c>
      <c r="T12" s="22">
        <v>21853</v>
      </c>
      <c r="U12" s="22">
        <v>26040</v>
      </c>
      <c r="V12" s="20">
        <v>1900</v>
      </c>
      <c r="W12" s="20">
        <v>18693</v>
      </c>
      <c r="Y12" s="19">
        <v>0.83860000000000001</v>
      </c>
      <c r="Z12" s="19">
        <v>0.79720000000000002</v>
      </c>
      <c r="AB12" s="23">
        <v>355</v>
      </c>
    </row>
    <row r="13" spans="1:28" x14ac:dyDescent="0.2">
      <c r="A13" s="17" t="str">
        <f>HYPERLINK("https://www.hancockcollege.edu/", "Allan Hancock College")</f>
        <v>Allan Hancock College</v>
      </c>
      <c r="B13" s="18" t="s">
        <v>49</v>
      </c>
      <c r="C13" s="18" t="s">
        <v>68</v>
      </c>
      <c r="D13" s="18" t="s">
        <v>855</v>
      </c>
      <c r="E13" s="18" t="s">
        <v>36</v>
      </c>
      <c r="F13" s="18" t="s">
        <v>36</v>
      </c>
      <c r="J13" s="2"/>
      <c r="K13" s="19">
        <v>0.31430000000000002</v>
      </c>
      <c r="L13" s="19">
        <v>7.0034443000000002E-2</v>
      </c>
      <c r="M13" s="19">
        <v>0.41120000000000001</v>
      </c>
      <c r="N13" s="19">
        <v>0.1333</v>
      </c>
      <c r="O13" s="19">
        <v>0.27929999999999999</v>
      </c>
      <c r="P13" s="19">
        <v>0.4516</v>
      </c>
      <c r="Q13" s="19">
        <v>0.107779579</v>
      </c>
      <c r="R13" s="20">
        <v>26164</v>
      </c>
      <c r="S13" s="21" t="str">
        <f>HYPERLINK("https://misweb.cccco.edu/npc/611/npcalc.htm", "$18935")</f>
        <v>$18935</v>
      </c>
      <c r="T13" s="22">
        <v>21366</v>
      </c>
      <c r="U13" s="22">
        <v>23408</v>
      </c>
      <c r="V13" s="20">
        <v>6087</v>
      </c>
      <c r="W13" s="20">
        <v>12848.6918767507</v>
      </c>
      <c r="Y13" s="19">
        <v>0.2102</v>
      </c>
      <c r="Z13" s="19">
        <v>0.7137</v>
      </c>
      <c r="AB13" s="23">
        <v>9282</v>
      </c>
    </row>
    <row r="14" spans="1:28" x14ac:dyDescent="0.2">
      <c r="A14" s="17" t="str">
        <f>HYPERLINK("https://www.allegany.edu", "Allegany College of Maryland")</f>
        <v>Allegany College of Maryland</v>
      </c>
      <c r="B14" s="18" t="s">
        <v>49</v>
      </c>
      <c r="C14" s="18" t="s">
        <v>124</v>
      </c>
      <c r="D14" s="18" t="s">
        <v>857</v>
      </c>
      <c r="E14" s="18" t="s">
        <v>36</v>
      </c>
      <c r="F14" s="18" t="s">
        <v>36</v>
      </c>
      <c r="J14" s="2"/>
      <c r="K14" s="19">
        <v>0.21820000000000001</v>
      </c>
      <c r="L14" s="19">
        <v>0.30243161099999999</v>
      </c>
      <c r="M14" s="19">
        <v>0.28249999999999997</v>
      </c>
      <c r="N14" s="19">
        <v>8.1100000000000005E-2</v>
      </c>
      <c r="O14" s="19">
        <v>0.1429</v>
      </c>
      <c r="P14" s="19">
        <v>1</v>
      </c>
      <c r="Q14" s="19">
        <v>7.6360681999999999E-2</v>
      </c>
      <c r="R14" s="20">
        <v>24524</v>
      </c>
      <c r="S14" s="21" t="str">
        <f>HYPERLINK("https://services.allegany.edu/netprice/", "$19306")</f>
        <v>$19306</v>
      </c>
      <c r="T14" s="22">
        <v>22334</v>
      </c>
      <c r="U14" s="22">
        <v>24157</v>
      </c>
      <c r="V14" s="20">
        <v>5164</v>
      </c>
      <c r="W14" s="20">
        <v>14142.390625</v>
      </c>
      <c r="Y14" s="19">
        <v>0.4294</v>
      </c>
      <c r="Z14" s="19">
        <v>0.20799999999999999</v>
      </c>
      <c r="AB14" s="23">
        <v>1990</v>
      </c>
    </row>
    <row r="15" spans="1:28" x14ac:dyDescent="0.2">
      <c r="A15" s="17" t="str">
        <f>HYPERLINK("https://www.allencc.edu", "Allen County Community College")</f>
        <v>Allen County Community College</v>
      </c>
      <c r="B15" s="18" t="s">
        <v>49</v>
      </c>
      <c r="C15" s="18" t="s">
        <v>307</v>
      </c>
      <c r="D15" s="18" t="s">
        <v>859</v>
      </c>
      <c r="E15" s="18" t="s">
        <v>36</v>
      </c>
      <c r="F15" s="18" t="s">
        <v>36</v>
      </c>
      <c r="J15" s="2"/>
      <c r="K15" s="19">
        <v>0.3014</v>
      </c>
      <c r="L15" s="19">
        <v>0.119922631</v>
      </c>
      <c r="M15" s="19">
        <v>0.33689999999999998</v>
      </c>
      <c r="N15" s="19">
        <v>0.29170000000000001</v>
      </c>
      <c r="O15" s="19">
        <v>0.12820000000000001</v>
      </c>
      <c r="P15" s="19">
        <v>0.1429</v>
      </c>
      <c r="Q15" s="19">
        <v>0.10987791299999999</v>
      </c>
      <c r="R15" s="20">
        <v>12634</v>
      </c>
      <c r="S15" s="21" t="str">
        <f>HYPERLINK("https://www.allencc.edu", "$6661")</f>
        <v>$6661</v>
      </c>
      <c r="T15" s="22">
        <v>9002</v>
      </c>
      <c r="U15" s="22">
        <v>10608</v>
      </c>
      <c r="V15" s="20">
        <v>4100</v>
      </c>
      <c r="W15" s="20">
        <v>2561.504672897197</v>
      </c>
      <c r="Y15" s="19">
        <v>0.21229999999999999</v>
      </c>
      <c r="Z15" s="19">
        <v>0.19889999999999999</v>
      </c>
      <c r="AB15" s="23">
        <v>2423</v>
      </c>
    </row>
    <row r="16" spans="1:28" x14ac:dyDescent="0.2">
      <c r="A16" s="17" t="str">
        <f>HYPERLINK("https://www.alpenacc.edu", "Alpena Community College")</f>
        <v>Alpena Community College</v>
      </c>
      <c r="B16" s="18" t="s">
        <v>49</v>
      </c>
      <c r="C16" s="18" t="s">
        <v>226</v>
      </c>
      <c r="D16" s="18" t="s">
        <v>861</v>
      </c>
      <c r="E16" s="18" t="s">
        <v>36</v>
      </c>
      <c r="F16" s="18" t="s">
        <v>36</v>
      </c>
      <c r="J16" s="2"/>
      <c r="K16" s="19">
        <v>0.35210000000000002</v>
      </c>
      <c r="L16" s="19">
        <v>0.27180527399999999</v>
      </c>
      <c r="M16" s="19">
        <v>0.36180000000000001</v>
      </c>
      <c r="N16" s="19">
        <v>0</v>
      </c>
      <c r="O16" s="19">
        <v>0.1429</v>
      </c>
      <c r="P16" s="19">
        <v>0.25</v>
      </c>
      <c r="Q16" s="19">
        <v>4.4198895000000002E-2</v>
      </c>
      <c r="R16" s="20">
        <v>15430</v>
      </c>
      <c r="S16" s="21" t="str">
        <f>HYPERLINK("https://www.alpenacc.edu", "$8518")</f>
        <v>$8518</v>
      </c>
      <c r="T16" s="22">
        <v>11784</v>
      </c>
      <c r="U16" s="22">
        <v>14130</v>
      </c>
      <c r="V16" s="20">
        <v>2600</v>
      </c>
      <c r="W16" s="20">
        <v>5918.8150684931497</v>
      </c>
      <c r="Y16" s="19">
        <v>0.37830000000000003</v>
      </c>
      <c r="Z16" s="19">
        <v>6.0899999999999947E-2</v>
      </c>
      <c r="AB16" s="23">
        <v>1067</v>
      </c>
    </row>
    <row r="17" spans="1:28" x14ac:dyDescent="0.2">
      <c r="A17" s="17" t="str">
        <f>HYPERLINK("https://www.alvincollege.edu", "Alvin Community College")</f>
        <v>Alvin Community College</v>
      </c>
      <c r="B17" s="18" t="s">
        <v>49</v>
      </c>
      <c r="C17" s="18" t="s">
        <v>146</v>
      </c>
      <c r="D17" s="18" t="s">
        <v>864</v>
      </c>
      <c r="E17" s="18" t="s">
        <v>36</v>
      </c>
      <c r="F17" s="18" t="s">
        <v>36</v>
      </c>
      <c r="J17" s="2"/>
      <c r="K17" s="19">
        <v>0.25080000000000002</v>
      </c>
      <c r="L17" s="19">
        <v>0.17558886500000001</v>
      </c>
      <c r="M17" s="19">
        <v>0.29730000000000001</v>
      </c>
      <c r="N17" s="19">
        <v>0.2</v>
      </c>
      <c r="O17" s="19">
        <v>0.1981</v>
      </c>
      <c r="P17" s="19">
        <v>0.1111</v>
      </c>
      <c r="Q17" s="19">
        <v>8.5314685000000001E-2</v>
      </c>
      <c r="R17" s="20">
        <v>17823</v>
      </c>
      <c r="S17" s="21" t="str">
        <f>HYPERLINK("https://www.alvincollege.edu/Net-Price-Calculator", "$13716")</f>
        <v>$13716</v>
      </c>
      <c r="T17" s="22" t="s">
        <v>36</v>
      </c>
      <c r="U17" s="22" t="s">
        <v>36</v>
      </c>
      <c r="V17" s="20">
        <v>6260</v>
      </c>
      <c r="W17" s="20">
        <v>7456.3870967741932</v>
      </c>
      <c r="Y17" s="19">
        <v>0.16059999999999999</v>
      </c>
      <c r="Z17" s="19">
        <v>0.54390000000000005</v>
      </c>
      <c r="AB17" s="23">
        <v>3705</v>
      </c>
    </row>
    <row r="18" spans="1:28" x14ac:dyDescent="0.2">
      <c r="A18" s="17" t="str">
        <f>HYPERLINK("https://www.actx.edu", "Amarillo College")</f>
        <v>Amarillo College</v>
      </c>
      <c r="B18" s="18" t="s">
        <v>49</v>
      </c>
      <c r="C18" s="18" t="s">
        <v>146</v>
      </c>
      <c r="D18" s="18" t="s">
        <v>866</v>
      </c>
      <c r="E18" s="18" t="s">
        <v>36</v>
      </c>
      <c r="F18" s="18" t="s">
        <v>36</v>
      </c>
      <c r="J18" s="2"/>
      <c r="K18" s="19">
        <v>0.26090000000000002</v>
      </c>
      <c r="L18" s="19">
        <v>0.19643765899999999</v>
      </c>
      <c r="M18" s="19">
        <v>0.27089999999999997</v>
      </c>
      <c r="N18" s="19">
        <v>9.7600000000000006E-2</v>
      </c>
      <c r="O18" s="19">
        <v>0.26769999999999999</v>
      </c>
      <c r="P18" s="19">
        <v>0.25</v>
      </c>
      <c r="Q18" s="19">
        <v>5.4400553999999997E-2</v>
      </c>
      <c r="R18" s="20">
        <v>16855</v>
      </c>
      <c r="S18" s="21" t="str">
        <f>HYPERLINK("https://www.actx.edu/fin/net-price-calculator", "$11758")</f>
        <v>$11758</v>
      </c>
      <c r="T18" s="22">
        <v>13842</v>
      </c>
      <c r="U18" s="22">
        <v>15902</v>
      </c>
      <c r="V18" s="20">
        <v>5637</v>
      </c>
      <c r="W18" s="20">
        <v>6121.1417322834641</v>
      </c>
      <c r="Y18" s="19">
        <v>0.39439999999999997</v>
      </c>
      <c r="Z18" s="19">
        <v>0.55919999999999992</v>
      </c>
      <c r="AB18" s="23">
        <v>7804</v>
      </c>
    </row>
    <row r="19" spans="1:28" x14ac:dyDescent="0.2">
      <c r="A19" s="17" t="str">
        <f>HYPERLINK("https://ambria.edu", "Ambria College of Nursing")</f>
        <v>Ambria College of Nursing</v>
      </c>
      <c r="B19" s="18" t="s">
        <v>368</v>
      </c>
      <c r="C19" s="18" t="s">
        <v>137</v>
      </c>
      <c r="D19" s="18" t="s">
        <v>868</v>
      </c>
      <c r="E19" s="18" t="s">
        <v>36</v>
      </c>
      <c r="F19" s="18" t="s">
        <v>36</v>
      </c>
      <c r="J19" s="2"/>
      <c r="K19" s="19">
        <v>0.66669999999999996</v>
      </c>
      <c r="L19" s="19">
        <v>0.71681415900000001</v>
      </c>
      <c r="M19" s="19">
        <v>0.33329999999999999</v>
      </c>
      <c r="N19" s="19">
        <v>1</v>
      </c>
      <c r="O19" s="19">
        <v>0.8</v>
      </c>
      <c r="P19" s="19">
        <v>0.66669999999999996</v>
      </c>
      <c r="Q19" s="19" t="s">
        <v>36</v>
      </c>
      <c r="R19" s="20" t="s">
        <v>36</v>
      </c>
      <c r="S19" s="21" t="str">
        <f>HYPERLINK("https://ambria.edu/FinancialAid/FinancialAidCalculator/tabid/514/Default.aspx/tabid/514/Default.aspx", "Not reported")</f>
        <v>Not reported</v>
      </c>
      <c r="T19" s="22" t="s">
        <v>36</v>
      </c>
      <c r="U19" s="22" t="s">
        <v>36</v>
      </c>
      <c r="V19" s="20" t="s">
        <v>36</v>
      </c>
      <c r="W19" s="20" t="s">
        <v>36</v>
      </c>
      <c r="Y19" s="19">
        <v>0.38650000000000001</v>
      </c>
      <c r="Z19" s="19">
        <v>0.67510000000000003</v>
      </c>
      <c r="AB19" s="23">
        <v>317</v>
      </c>
    </row>
    <row r="20" spans="1:28" x14ac:dyDescent="0.2">
      <c r="A20" s="17" t="str">
        <f>HYPERLINK("https://www.ameritech.edu", "AmeriTech College-Draper")</f>
        <v>AmeriTech College-Draper</v>
      </c>
      <c r="B20" s="18" t="s">
        <v>368</v>
      </c>
      <c r="C20" s="18" t="s">
        <v>199</v>
      </c>
      <c r="D20" s="18" t="s">
        <v>871</v>
      </c>
      <c r="E20" s="18" t="s">
        <v>36</v>
      </c>
      <c r="F20" s="18" t="s">
        <v>45</v>
      </c>
      <c r="J20" s="2"/>
      <c r="K20" s="19">
        <v>0.44519999999999998</v>
      </c>
      <c r="L20" s="19">
        <v>0.70454545499999999</v>
      </c>
      <c r="M20" s="19">
        <v>0.57689999999999997</v>
      </c>
      <c r="N20" s="19">
        <v>0.22220000000000001</v>
      </c>
      <c r="O20" s="19">
        <v>0.75</v>
      </c>
      <c r="P20" s="19" t="s">
        <v>36</v>
      </c>
      <c r="Q20" s="19" t="s">
        <v>36</v>
      </c>
      <c r="R20" s="20">
        <v>30900</v>
      </c>
      <c r="S20" s="21" t="str">
        <f>HYPERLINK("https://www.ameritech.edu", "$24265")</f>
        <v>$24265</v>
      </c>
      <c r="T20" s="22">
        <v>23954</v>
      </c>
      <c r="U20" s="22">
        <v>29811</v>
      </c>
      <c r="V20" s="20">
        <v>3647</v>
      </c>
      <c r="W20" s="20">
        <v>20618</v>
      </c>
      <c r="Y20" s="19">
        <v>0.52769999999999995</v>
      </c>
      <c r="Z20" s="19">
        <v>0.19869999999999999</v>
      </c>
      <c r="AB20" s="23">
        <v>604</v>
      </c>
    </row>
    <row r="21" spans="1:28" ht="15.75" customHeight="1" x14ac:dyDescent="0.2">
      <c r="A21" s="17" t="str">
        <f>HYPERLINK("https://www.funeraleducation.org", "American Academy McAllister Institute of Funeral Service")</f>
        <v>American Academy McAllister Institute of Funeral Service</v>
      </c>
      <c r="B21" s="18" t="s">
        <v>32</v>
      </c>
      <c r="C21" s="18" t="s">
        <v>38</v>
      </c>
      <c r="D21" s="18" t="s">
        <v>39</v>
      </c>
      <c r="E21" s="18" t="s">
        <v>36</v>
      </c>
      <c r="F21" s="18" t="s">
        <v>36</v>
      </c>
      <c r="J21" s="2"/>
      <c r="K21" s="19">
        <v>0.1429</v>
      </c>
      <c r="L21" s="19">
        <v>0.41095890400000001</v>
      </c>
      <c r="M21" s="19">
        <v>0.2</v>
      </c>
      <c r="N21" s="19">
        <v>0.1429</v>
      </c>
      <c r="O21" s="19">
        <v>0</v>
      </c>
      <c r="P21" s="19" t="s">
        <v>36</v>
      </c>
      <c r="Q21" s="19" t="s">
        <v>36</v>
      </c>
      <c r="R21" s="20">
        <v>19185</v>
      </c>
      <c r="S21" s="21" t="str">
        <f>HYPERLINK("https://funeraleducation.org/home/net-cost-calculator/", "$20423")</f>
        <v>$20423</v>
      </c>
      <c r="T21" s="22" t="s">
        <v>36</v>
      </c>
      <c r="U21" s="22" t="s">
        <v>36</v>
      </c>
      <c r="V21" s="20">
        <v>2100</v>
      </c>
      <c r="W21" s="20">
        <v>18323</v>
      </c>
      <c r="Y21" s="19">
        <v>0.57909999999999995</v>
      </c>
      <c r="Z21" s="19">
        <v>0.47499999999999998</v>
      </c>
      <c r="AB21" s="23">
        <v>480</v>
      </c>
    </row>
    <row r="22" spans="1:28" ht="15.75" customHeight="1" x14ac:dyDescent="0.2">
      <c r="A22" s="17" t="str">
        <f>HYPERLINK("https://www.aada.edu", "American Academy of Dramatic Arts-Los Angeles")</f>
        <v>American Academy of Dramatic Arts-Los Angeles</v>
      </c>
      <c r="B22" s="18" t="s">
        <v>32</v>
      </c>
      <c r="C22" s="18" t="s">
        <v>68</v>
      </c>
      <c r="D22" s="18" t="s">
        <v>140</v>
      </c>
      <c r="E22" s="18" t="s">
        <v>36</v>
      </c>
      <c r="F22" s="18" t="s">
        <v>45</v>
      </c>
      <c r="J22" s="2"/>
      <c r="K22" s="19">
        <v>0.69179999999999997</v>
      </c>
      <c r="L22" s="19">
        <v>0.703125</v>
      </c>
      <c r="M22" s="19">
        <v>0.6552</v>
      </c>
      <c r="N22" s="19">
        <v>0.92310000000000003</v>
      </c>
      <c r="O22" s="19">
        <v>0.3846</v>
      </c>
      <c r="P22" s="19">
        <v>0</v>
      </c>
      <c r="Q22" s="19" t="s">
        <v>36</v>
      </c>
      <c r="R22" s="20">
        <v>48990</v>
      </c>
      <c r="S22" s="21" t="str">
        <f>HYPERLINK("https://www.aada.edu/admissions/net-price-calculator/", "$35907")</f>
        <v>$35907</v>
      </c>
      <c r="T22" s="22">
        <v>37634</v>
      </c>
      <c r="U22" s="22">
        <v>40558</v>
      </c>
      <c r="V22" s="20">
        <v>1970</v>
      </c>
      <c r="W22" s="20">
        <v>33937</v>
      </c>
      <c r="Y22" s="19">
        <v>0.30030000000000001</v>
      </c>
      <c r="Z22" s="19">
        <v>0.54289999999999994</v>
      </c>
      <c r="AB22" s="23">
        <v>280</v>
      </c>
    </row>
    <row r="23" spans="1:28" ht="15.75" customHeight="1" x14ac:dyDescent="0.2">
      <c r="A23" s="17" t="str">
        <f>HYPERLINK("https://www.aada.edu", "American Academy of Dramatic Arts-New York")</f>
        <v>American Academy of Dramatic Arts-New York</v>
      </c>
      <c r="B23" s="18" t="s">
        <v>32</v>
      </c>
      <c r="C23" s="18" t="s">
        <v>38</v>
      </c>
      <c r="D23" s="18" t="s">
        <v>39</v>
      </c>
      <c r="E23" s="18" t="s">
        <v>36</v>
      </c>
      <c r="F23" s="18" t="s">
        <v>45</v>
      </c>
      <c r="J23" s="2"/>
      <c r="K23" s="19">
        <v>0.59219999999999995</v>
      </c>
      <c r="L23" s="19">
        <v>0.703125</v>
      </c>
      <c r="M23" s="19">
        <v>0.71430000000000005</v>
      </c>
      <c r="N23" s="19">
        <v>0.5</v>
      </c>
      <c r="O23" s="19">
        <v>0.4</v>
      </c>
      <c r="P23" s="19" t="s">
        <v>36</v>
      </c>
      <c r="Q23" s="19" t="s">
        <v>36</v>
      </c>
      <c r="R23" s="20">
        <v>56340</v>
      </c>
      <c r="S23" s="21" t="str">
        <f>HYPERLINK("https://www.aada.edu/admissions/calculator.html", "$43262")</f>
        <v>$43262</v>
      </c>
      <c r="T23" s="22">
        <v>44692</v>
      </c>
      <c r="U23" s="22">
        <v>47742</v>
      </c>
      <c r="V23" s="20">
        <v>5250</v>
      </c>
      <c r="W23" s="20">
        <v>38012</v>
      </c>
      <c r="Y23" s="19">
        <v>0.32479999999999998</v>
      </c>
      <c r="Z23" s="19">
        <v>0.56130000000000002</v>
      </c>
      <c r="AB23" s="23">
        <v>269</v>
      </c>
    </row>
    <row r="24" spans="1:28" ht="15.75" customHeight="1" x14ac:dyDescent="0.2">
      <c r="A24" s="17" t="str">
        <f>HYPERLINK("https://abtu.edu", "American Business and Technology University")</f>
        <v>American Business and Technology University</v>
      </c>
      <c r="B24" s="18" t="s">
        <v>368</v>
      </c>
      <c r="C24" s="18" t="s">
        <v>164</v>
      </c>
      <c r="D24" s="18" t="s">
        <v>879</v>
      </c>
      <c r="E24" s="18" t="s">
        <v>36</v>
      </c>
      <c r="F24" s="18" t="s">
        <v>36</v>
      </c>
      <c r="J24" s="2"/>
      <c r="K24" s="19">
        <v>0.5</v>
      </c>
      <c r="L24" s="19" t="s">
        <v>36</v>
      </c>
      <c r="M24" s="19">
        <v>0.5333</v>
      </c>
      <c r="N24" s="19">
        <v>0.36359999999999998</v>
      </c>
      <c r="O24" s="19">
        <v>0.75</v>
      </c>
      <c r="P24" s="19">
        <v>0</v>
      </c>
      <c r="Q24" s="19" t="s">
        <v>36</v>
      </c>
      <c r="R24" s="20" t="s">
        <v>36</v>
      </c>
      <c r="S24" s="21" t="str">
        <f>HYPERLINK("https://abtu.edu/net-price-calculator/", "$21661")</f>
        <v>$21661</v>
      </c>
      <c r="T24" s="22" t="s">
        <v>36</v>
      </c>
      <c r="U24" s="22" t="s">
        <v>36</v>
      </c>
      <c r="V24" s="20" t="s">
        <v>36</v>
      </c>
      <c r="W24" s="20" t="s">
        <v>36</v>
      </c>
      <c r="Y24" s="19">
        <v>0.54869999999999997</v>
      </c>
      <c r="Z24" s="19">
        <v>0.46300000000000002</v>
      </c>
      <c r="AB24" s="23">
        <v>270</v>
      </c>
    </row>
    <row r="25" spans="1:28" ht="15.75" customHeight="1" x14ac:dyDescent="0.2">
      <c r="A25" s="17" t="str">
        <f>HYPERLINK("https://www.acmc.edu", "American College for Medical Careers")</f>
        <v>American College for Medical Careers</v>
      </c>
      <c r="B25" s="18" t="s">
        <v>368</v>
      </c>
      <c r="C25" s="18" t="s">
        <v>162</v>
      </c>
      <c r="D25" s="18" t="s">
        <v>501</v>
      </c>
      <c r="E25" s="18" t="s">
        <v>36</v>
      </c>
      <c r="F25" s="18" t="s">
        <v>36</v>
      </c>
      <c r="J25" s="2"/>
      <c r="K25" s="19">
        <v>0.62960000000000005</v>
      </c>
      <c r="L25" s="19">
        <v>0.59111332999999999</v>
      </c>
      <c r="M25" s="19">
        <v>1</v>
      </c>
      <c r="N25" s="19">
        <v>1</v>
      </c>
      <c r="O25" s="19">
        <v>0.4</v>
      </c>
      <c r="P25" s="19" t="s">
        <v>36</v>
      </c>
      <c r="Q25" s="19">
        <v>4.7653959999999999E-3</v>
      </c>
      <c r="R25" s="20" t="s">
        <v>36</v>
      </c>
      <c r="S25" s="21" t="str">
        <f>HYPERLINK("https://schooliya.com/peg/Orlando/netpricecalc.html", "$15087")</f>
        <v>$15087</v>
      </c>
      <c r="T25" s="22">
        <v>16989</v>
      </c>
      <c r="U25" s="22">
        <v>18341</v>
      </c>
      <c r="V25" s="20" t="s">
        <v>36</v>
      </c>
      <c r="W25" s="20" t="s">
        <v>36</v>
      </c>
      <c r="Y25" s="19">
        <v>0.74570000000000003</v>
      </c>
      <c r="Z25" s="19">
        <v>0.85780000000000001</v>
      </c>
      <c r="AB25" s="23">
        <v>457</v>
      </c>
    </row>
    <row r="26" spans="1:28" ht="15.75" customHeight="1" x14ac:dyDescent="0.2">
      <c r="A26" s="17" t="str">
        <f>HYPERLINK("https://www.aiam.edu", "American Institute of Alternative Medicine")</f>
        <v>American Institute of Alternative Medicine</v>
      </c>
      <c r="B26" s="18" t="s">
        <v>368</v>
      </c>
      <c r="C26" s="18" t="s">
        <v>75</v>
      </c>
      <c r="D26" s="18" t="s">
        <v>237</v>
      </c>
      <c r="E26" s="18" t="s">
        <v>36</v>
      </c>
      <c r="F26" s="18" t="s">
        <v>45</v>
      </c>
      <c r="J26" s="2"/>
      <c r="K26" s="19">
        <v>0.59260000000000002</v>
      </c>
      <c r="L26" s="19">
        <v>0.61111111100000004</v>
      </c>
      <c r="M26" s="19">
        <v>1</v>
      </c>
      <c r="N26" s="19">
        <v>0.4667</v>
      </c>
      <c r="O26" s="19" t="s">
        <v>36</v>
      </c>
      <c r="P26" s="19">
        <v>1</v>
      </c>
      <c r="Q26" s="19" t="s">
        <v>36</v>
      </c>
      <c r="R26" s="20">
        <v>32225</v>
      </c>
      <c r="S26" s="21" t="str">
        <f>HYPERLINK("https://www.aiam.edu/calculator", "$15902")</f>
        <v>$15902</v>
      </c>
      <c r="T26" s="22" t="s">
        <v>36</v>
      </c>
      <c r="U26" s="22" t="s">
        <v>36</v>
      </c>
      <c r="V26" s="20">
        <v>7816</v>
      </c>
      <c r="W26" s="20">
        <v>8086</v>
      </c>
      <c r="Y26" s="19">
        <v>0.58850000000000002</v>
      </c>
      <c r="Z26" s="19">
        <v>0.76350000000000007</v>
      </c>
      <c r="AB26" s="23">
        <v>389</v>
      </c>
    </row>
    <row r="27" spans="1:28" ht="15.75" customHeight="1" x14ac:dyDescent="0.2">
      <c r="A27" s="17" t="str">
        <f>HYPERLINK("https://www.an.edu/locations/dayton-oh/", "American National University-Dayton")</f>
        <v>American National University-Dayton</v>
      </c>
      <c r="B27" s="18" t="s">
        <v>368</v>
      </c>
      <c r="C27" s="18" t="s">
        <v>75</v>
      </c>
      <c r="D27" s="18" t="s">
        <v>844</v>
      </c>
      <c r="E27" s="18" t="s">
        <v>36</v>
      </c>
      <c r="F27" s="18" t="s">
        <v>36</v>
      </c>
      <c r="J27" s="2"/>
      <c r="K27" s="19">
        <v>0.33329999999999999</v>
      </c>
      <c r="L27" s="19">
        <v>0.23114147500000001</v>
      </c>
      <c r="M27" s="19">
        <v>1</v>
      </c>
      <c r="N27" s="19">
        <v>0</v>
      </c>
      <c r="O27" s="19" t="s">
        <v>36</v>
      </c>
      <c r="P27" s="19" t="s">
        <v>36</v>
      </c>
      <c r="Q27" s="19">
        <v>1.2263919999999999E-2</v>
      </c>
      <c r="R27" s="20">
        <v>29215</v>
      </c>
      <c r="S27" s="21" t="str">
        <f>HYPERLINK("https://www.an.edu/admissions/financial-assistance/net-price-va/", "Not reported")</f>
        <v>Not reported</v>
      </c>
      <c r="T27" s="22" t="s">
        <v>36</v>
      </c>
      <c r="U27" s="22" t="s">
        <v>36</v>
      </c>
      <c r="V27" s="20">
        <v>8641</v>
      </c>
      <c r="W27" s="20" t="s">
        <v>36</v>
      </c>
      <c r="Y27" s="19">
        <v>0.69700000000000006</v>
      </c>
      <c r="Z27" s="19">
        <v>0.75</v>
      </c>
      <c r="AB27" s="23">
        <v>20</v>
      </c>
    </row>
    <row r="28" spans="1:28" ht="15.75" customHeight="1" x14ac:dyDescent="0.2">
      <c r="A28" s="17" t="str">
        <f>HYPERLINK("https://www.an.edu/locations/", "American National University-Lexington")</f>
        <v>American National University-Lexington</v>
      </c>
      <c r="B28" s="18" t="s">
        <v>368</v>
      </c>
      <c r="C28" s="18" t="s">
        <v>205</v>
      </c>
      <c r="D28" s="18" t="s">
        <v>180</v>
      </c>
      <c r="E28" s="18" t="s">
        <v>36</v>
      </c>
      <c r="F28" s="18" t="s">
        <v>36</v>
      </c>
      <c r="J28" s="2"/>
      <c r="K28" s="19">
        <v>0.40279999999999999</v>
      </c>
      <c r="L28" s="19">
        <v>0.23764575199999999</v>
      </c>
      <c r="M28" s="19">
        <v>0.44440000000000002</v>
      </c>
      <c r="N28" s="19">
        <v>0.25</v>
      </c>
      <c r="O28" s="19">
        <v>0.42859999999999998</v>
      </c>
      <c r="P28" s="19" t="s">
        <v>36</v>
      </c>
      <c r="Q28" s="19">
        <v>2.4965325999999999E-2</v>
      </c>
      <c r="R28" s="20">
        <v>28791</v>
      </c>
      <c r="S28" s="21" t="str">
        <f>HYPERLINK("https://www.an.edu/admissions/financial-assistance/net-price-ky/", "$18755")</f>
        <v>$18755</v>
      </c>
      <c r="T28" s="22" t="s">
        <v>36</v>
      </c>
      <c r="U28" s="22" t="s">
        <v>36</v>
      </c>
      <c r="V28" s="20">
        <v>8473</v>
      </c>
      <c r="W28" s="20">
        <v>10282</v>
      </c>
      <c r="Y28" s="19">
        <v>0.80179999999999996</v>
      </c>
      <c r="Z28" s="19">
        <v>0.51290000000000002</v>
      </c>
      <c r="AB28" s="23">
        <v>232</v>
      </c>
    </row>
    <row r="29" spans="1:28" ht="15.75" customHeight="1" x14ac:dyDescent="0.2">
      <c r="A29" s="17" t="str">
        <f>HYPERLINK("https://www.an.edu/locations/youngstown-oh/", "American National University-Youngstown")</f>
        <v>American National University-Youngstown</v>
      </c>
      <c r="B29" s="18" t="s">
        <v>368</v>
      </c>
      <c r="C29" s="18" t="s">
        <v>75</v>
      </c>
      <c r="D29" s="18" t="s">
        <v>889</v>
      </c>
      <c r="E29" s="18" t="s">
        <v>36</v>
      </c>
      <c r="F29" s="18" t="s">
        <v>36</v>
      </c>
      <c r="J29" s="2"/>
      <c r="K29" s="19">
        <v>0.4</v>
      </c>
      <c r="L29" s="19">
        <v>0.23114147500000001</v>
      </c>
      <c r="M29" s="19">
        <v>0.25</v>
      </c>
      <c r="N29" s="19">
        <v>1</v>
      </c>
      <c r="O29" s="19" t="s">
        <v>36</v>
      </c>
      <c r="P29" s="19" t="s">
        <v>36</v>
      </c>
      <c r="Q29" s="19">
        <v>1.2263919999999999E-2</v>
      </c>
      <c r="R29" s="20">
        <v>29215</v>
      </c>
      <c r="S29" s="21" t="str">
        <f>HYPERLINK("https://www.an.edu/admissions/financial-assistance/net-price-va/", "$18239")</f>
        <v>$18239</v>
      </c>
      <c r="T29" s="22" t="s">
        <v>36</v>
      </c>
      <c r="U29" s="22" t="s">
        <v>36</v>
      </c>
      <c r="V29" s="20">
        <v>8641</v>
      </c>
      <c r="W29" s="20">
        <v>9598</v>
      </c>
      <c r="Y29" s="19">
        <v>0.85289999999999999</v>
      </c>
      <c r="Z29" s="19">
        <v>0.39389999999999997</v>
      </c>
      <c r="AB29" s="23">
        <v>33</v>
      </c>
    </row>
    <row r="30" spans="1:28" ht="15.75" customHeight="1" x14ac:dyDescent="0.2">
      <c r="A30" s="17" t="str">
        <f>HYPERLINK("https://www.amsamoa.edu", "American Samoa Community College")</f>
        <v>American Samoa Community College</v>
      </c>
      <c r="B30" s="18" t="s">
        <v>49</v>
      </c>
      <c r="C30" s="18" t="s">
        <v>891</v>
      </c>
      <c r="D30" s="18" t="s">
        <v>892</v>
      </c>
      <c r="E30" s="18" t="s">
        <v>36</v>
      </c>
      <c r="F30" s="18" t="s">
        <v>36</v>
      </c>
      <c r="J30" s="2"/>
      <c r="K30" s="19">
        <v>0.30099999999999999</v>
      </c>
      <c r="L30" s="19">
        <v>7.3059360999999989E-2</v>
      </c>
      <c r="M30" s="19" t="s">
        <v>36</v>
      </c>
      <c r="N30" s="19" t="s">
        <v>36</v>
      </c>
      <c r="O30" s="19">
        <v>0</v>
      </c>
      <c r="P30" s="19">
        <v>0.375</v>
      </c>
      <c r="Q30" s="19">
        <v>5.7644109999999998E-2</v>
      </c>
      <c r="R30" s="20">
        <v>10850</v>
      </c>
      <c r="S30" s="21" t="str">
        <f>HYPERLINK("https://www.amsamoa.edu/netpricecalc/npcalc.htm", "$8069")</f>
        <v>$8069</v>
      </c>
      <c r="T30" s="22">
        <v>8417</v>
      </c>
      <c r="U30" s="22">
        <v>8467</v>
      </c>
      <c r="V30" s="20">
        <v>3600</v>
      </c>
      <c r="W30" s="20">
        <v>4469.2</v>
      </c>
      <c r="Y30" s="19">
        <v>0.84919999999999995</v>
      </c>
      <c r="Z30" s="19">
        <v>0.99629999999999996</v>
      </c>
      <c r="AB30" s="23">
        <v>1095</v>
      </c>
    </row>
    <row r="31" spans="1:28" ht="15.75" customHeight="1" x14ac:dyDescent="0.2">
      <c r="A31" s="17" t="str">
        <f>HYPERLINK("https://www.ancilla.edu/", "Ancilla College")</f>
        <v>Ancilla College</v>
      </c>
      <c r="B31" s="18" t="s">
        <v>32</v>
      </c>
      <c r="C31" s="18" t="s">
        <v>148</v>
      </c>
      <c r="D31" s="18" t="s">
        <v>895</v>
      </c>
      <c r="E31" s="18" t="s">
        <v>36</v>
      </c>
      <c r="F31" s="18" t="s">
        <v>36</v>
      </c>
      <c r="J31" s="2"/>
      <c r="K31" s="19">
        <v>0.31609999999999999</v>
      </c>
      <c r="L31" s="19">
        <v>0.2</v>
      </c>
      <c r="M31" s="19">
        <v>0.36080000000000001</v>
      </c>
      <c r="N31" s="19">
        <v>0.18179999999999999</v>
      </c>
      <c r="O31" s="19">
        <v>0.26090000000000002</v>
      </c>
      <c r="P31" s="19" t="s">
        <v>36</v>
      </c>
      <c r="Q31" s="19">
        <v>6.4189189000000008E-2</v>
      </c>
      <c r="R31" s="20">
        <v>27910</v>
      </c>
      <c r="S31" s="21" t="str">
        <f>HYPERLINK("https://www.ancilla.edu/enrollment-aid/net-price-calculator/", "$12786")</f>
        <v>$12786</v>
      </c>
      <c r="T31" s="22">
        <v>12353</v>
      </c>
      <c r="U31" s="22">
        <v>13464</v>
      </c>
      <c r="V31" s="20">
        <v>2880</v>
      </c>
      <c r="W31" s="20">
        <v>9906</v>
      </c>
      <c r="Y31" s="19">
        <v>0.64080000000000004</v>
      </c>
      <c r="Z31" s="19">
        <v>0.36470000000000002</v>
      </c>
      <c r="AB31" s="23">
        <v>510</v>
      </c>
    </row>
    <row r="32" spans="1:28" ht="15.75" customHeight="1" x14ac:dyDescent="0.2">
      <c r="A32" s="17" t="str">
        <f>HYPERLINK("https://www.andrewcollege.edu", "Andrew College")</f>
        <v>Andrew College</v>
      </c>
      <c r="B32" s="18" t="s">
        <v>32</v>
      </c>
      <c r="C32" s="18" t="s">
        <v>107</v>
      </c>
      <c r="D32" s="18" t="s">
        <v>897</v>
      </c>
      <c r="E32" s="18">
        <v>930</v>
      </c>
      <c r="F32" s="18" t="s">
        <v>35</v>
      </c>
      <c r="J32" s="2"/>
      <c r="K32" s="19">
        <v>0.1711</v>
      </c>
      <c r="L32" s="19">
        <v>0.144736842</v>
      </c>
      <c r="M32" s="19">
        <v>0.2099</v>
      </c>
      <c r="N32" s="19">
        <v>0.1154</v>
      </c>
      <c r="O32" s="19">
        <v>0.1429</v>
      </c>
      <c r="P32" s="19">
        <v>1</v>
      </c>
      <c r="Q32" s="19">
        <v>0.18124999999999999</v>
      </c>
      <c r="R32" s="20">
        <v>35621</v>
      </c>
      <c r="S32" s="21" t="str">
        <f>HYPERLINK("https://npc.collegeboard.org/student/app/andrew?iframe=true", "$27750")</f>
        <v>$27750</v>
      </c>
      <c r="T32" s="22">
        <v>26390</v>
      </c>
      <c r="U32" s="22">
        <v>31009</v>
      </c>
      <c r="V32" s="20">
        <v>8931</v>
      </c>
      <c r="W32" s="20">
        <v>18819</v>
      </c>
      <c r="Y32" s="19">
        <v>0.69200000000000006</v>
      </c>
      <c r="Z32" s="19">
        <v>0.6038</v>
      </c>
      <c r="AB32" s="23">
        <v>265</v>
      </c>
    </row>
    <row r="33" spans="1:28" ht="15.75" customHeight="1" x14ac:dyDescent="0.2">
      <c r="A33" s="17" t="str">
        <f>HYPERLINK("https://www.aacc.edu", "Anne Arundel Community College")</f>
        <v>Anne Arundel Community College</v>
      </c>
      <c r="B33" s="18" t="s">
        <v>49</v>
      </c>
      <c r="C33" s="18" t="s">
        <v>124</v>
      </c>
      <c r="D33" s="18" t="s">
        <v>902</v>
      </c>
      <c r="E33" s="18" t="s">
        <v>36</v>
      </c>
      <c r="F33" s="18" t="s">
        <v>36</v>
      </c>
      <c r="J33" s="2"/>
      <c r="K33" s="19">
        <v>0.2024</v>
      </c>
      <c r="L33" s="19">
        <v>0.16224986499999999</v>
      </c>
      <c r="M33" s="19">
        <v>0.21679999999999999</v>
      </c>
      <c r="N33" s="19">
        <v>0.1106</v>
      </c>
      <c r="O33" s="19">
        <v>0.17480000000000001</v>
      </c>
      <c r="P33" s="19">
        <v>0.30769999999999997</v>
      </c>
      <c r="Q33" s="19">
        <v>6.9006544000000003E-2</v>
      </c>
      <c r="R33" s="20">
        <v>29188</v>
      </c>
      <c r="S33" s="21" t="str">
        <f>HYPERLINK("https://webapps.aacc.edu/sp/NetPriceCal/npcalc.htm", "$24572")</f>
        <v>$24572</v>
      </c>
      <c r="T33" s="22">
        <v>26923</v>
      </c>
      <c r="U33" s="22">
        <v>28993</v>
      </c>
      <c r="V33" s="20">
        <v>6092</v>
      </c>
      <c r="W33" s="20">
        <v>18480.698113207549</v>
      </c>
      <c r="Y33" s="19">
        <v>0.20449999999999999</v>
      </c>
      <c r="Z33" s="19">
        <v>0.43380000000000002</v>
      </c>
      <c r="AB33" s="23">
        <v>11294</v>
      </c>
    </row>
    <row r="34" spans="1:28" ht="15.75" customHeight="1" x14ac:dyDescent="0.2">
      <c r="A34" s="17" t="str">
        <f>HYPERLINK("https://www.anokaramsey.edu", "Anoka-Ramsey Community College")</f>
        <v>Anoka-Ramsey Community College</v>
      </c>
      <c r="B34" s="18" t="s">
        <v>49</v>
      </c>
      <c r="C34" s="18" t="s">
        <v>72</v>
      </c>
      <c r="D34" s="18" t="s">
        <v>904</v>
      </c>
      <c r="E34" s="18" t="s">
        <v>36</v>
      </c>
      <c r="F34" s="18" t="s">
        <v>36</v>
      </c>
      <c r="J34" s="2"/>
      <c r="K34" s="19">
        <v>0.2424</v>
      </c>
      <c r="L34" s="19">
        <v>0.15122723699999999</v>
      </c>
      <c r="M34" s="19">
        <v>0.2747</v>
      </c>
      <c r="N34" s="19">
        <v>5.7700000000000001E-2</v>
      </c>
      <c r="O34" s="19">
        <v>0.1389</v>
      </c>
      <c r="P34" s="19">
        <v>0.23400000000000001</v>
      </c>
      <c r="Q34" s="19">
        <v>0.12673200400000001</v>
      </c>
      <c r="R34" s="20">
        <v>20603</v>
      </c>
      <c r="S34" s="21" t="str">
        <f>HYPERLINK("https://www.anokaramsey.edu/cost-aid/net-price-calculator/", "$15408")</f>
        <v>$15408</v>
      </c>
      <c r="T34" s="22">
        <v>17191</v>
      </c>
      <c r="U34" s="22">
        <v>19608</v>
      </c>
      <c r="V34" s="20">
        <v>7968</v>
      </c>
      <c r="W34" s="20">
        <v>7440.3043478260879</v>
      </c>
      <c r="Y34" s="19">
        <v>0.24049999999999999</v>
      </c>
      <c r="Z34" s="19">
        <v>0.26679999999999998</v>
      </c>
      <c r="AB34" s="23">
        <v>5364</v>
      </c>
    </row>
    <row r="35" spans="1:28" ht="15.75" customHeight="1" x14ac:dyDescent="0.2">
      <c r="A35" s="17" t="str">
        <f>HYPERLINK("https://www.avc.edu", "Antelope Valley College")</f>
        <v>Antelope Valley College</v>
      </c>
      <c r="B35" s="18" t="s">
        <v>49</v>
      </c>
      <c r="C35" s="18" t="s">
        <v>68</v>
      </c>
      <c r="D35" s="18" t="s">
        <v>112</v>
      </c>
      <c r="E35" s="18" t="s">
        <v>36</v>
      </c>
      <c r="F35" s="18" t="s">
        <v>36</v>
      </c>
      <c r="J35" s="2"/>
      <c r="K35" s="19">
        <v>0.23810000000000001</v>
      </c>
      <c r="L35" s="19">
        <v>9.8816979999999999E-2</v>
      </c>
      <c r="M35" s="19">
        <v>0.29210000000000003</v>
      </c>
      <c r="N35" s="19">
        <v>0.12670000000000001</v>
      </c>
      <c r="O35" s="19">
        <v>0.24</v>
      </c>
      <c r="P35" s="19">
        <v>0.3548</v>
      </c>
      <c r="Q35" s="19">
        <v>8.2500000000000004E-2</v>
      </c>
      <c r="R35" s="20">
        <v>20275</v>
      </c>
      <c r="S35" s="21" t="str">
        <f>HYPERLINK("https://misweb.cccco.edu/npc/621/npcalc.htm", "$13039")</f>
        <v>$13039</v>
      </c>
      <c r="T35" s="22">
        <v>15916</v>
      </c>
      <c r="U35" s="22">
        <v>16866</v>
      </c>
      <c r="V35" s="20">
        <v>3775</v>
      </c>
      <c r="W35" s="20">
        <v>9264.0820512820501</v>
      </c>
      <c r="Y35" s="19">
        <v>0.45639999999999997</v>
      </c>
      <c r="Z35" s="19">
        <v>0.78849999999999998</v>
      </c>
      <c r="AB35" s="23">
        <v>11868</v>
      </c>
    </row>
    <row r="36" spans="1:28" ht="15.75" customHeight="1" x14ac:dyDescent="0.2">
      <c r="A36" s="17" t="str">
        <f>HYPERLINK("https://www.antonellicollege.edu", "Antonelli College-Jackson")</f>
        <v>Antonelli College-Jackson</v>
      </c>
      <c r="B36" s="18" t="s">
        <v>368</v>
      </c>
      <c r="C36" s="18" t="s">
        <v>59</v>
      </c>
      <c r="D36" s="18" t="s">
        <v>419</v>
      </c>
      <c r="E36" s="18" t="s">
        <v>36</v>
      </c>
      <c r="F36" s="18" t="s">
        <v>36</v>
      </c>
      <c r="J36" s="2"/>
      <c r="K36" s="19">
        <v>0.43240000000000001</v>
      </c>
      <c r="L36" s="19">
        <v>0.250259605</v>
      </c>
      <c r="M36" s="19">
        <v>0.4118</v>
      </c>
      <c r="N36" s="19">
        <v>0.45</v>
      </c>
      <c r="O36" s="19" t="s">
        <v>36</v>
      </c>
      <c r="P36" s="19" t="s">
        <v>36</v>
      </c>
      <c r="Q36" s="19">
        <v>3.2171581999999997E-2</v>
      </c>
      <c r="R36" s="20">
        <v>27669</v>
      </c>
      <c r="S36" s="21" t="str">
        <f>HYPERLINK("https://www.antonellicollege.edu/financial-aid/net-price-calculator", "$22207")</f>
        <v>$22207</v>
      </c>
      <c r="T36" s="22" t="s">
        <v>36</v>
      </c>
      <c r="U36" s="22" t="s">
        <v>36</v>
      </c>
      <c r="V36" s="20" t="s">
        <v>36</v>
      </c>
      <c r="W36" s="20" t="s">
        <v>36</v>
      </c>
      <c r="Y36" s="19">
        <v>0.92689999999999995</v>
      </c>
      <c r="Z36" s="19">
        <v>0.81479999999999997</v>
      </c>
      <c r="AB36" s="23">
        <v>270</v>
      </c>
    </row>
    <row r="37" spans="1:28" ht="15.75" customHeight="1" x14ac:dyDescent="0.2">
      <c r="A37" s="17" t="str">
        <f>HYPERLINK("https://www.antonelli.edu", "Antonelli Institute")</f>
        <v>Antonelli Institute</v>
      </c>
      <c r="B37" s="18" t="s">
        <v>368</v>
      </c>
      <c r="C37" s="18" t="s">
        <v>65</v>
      </c>
      <c r="D37" s="18" t="s">
        <v>912</v>
      </c>
      <c r="E37" s="18" t="s">
        <v>36</v>
      </c>
      <c r="F37" s="18" t="s">
        <v>36</v>
      </c>
      <c r="J37" s="2"/>
      <c r="K37" s="19">
        <v>0.76470000000000005</v>
      </c>
      <c r="L37" s="19" t="s">
        <v>36</v>
      </c>
      <c r="M37" s="19">
        <v>0.73440000000000005</v>
      </c>
      <c r="N37" s="19">
        <v>0.85709999999999997</v>
      </c>
      <c r="O37" s="19">
        <v>0.5</v>
      </c>
      <c r="P37" s="19">
        <v>1</v>
      </c>
      <c r="Q37" s="19" t="s">
        <v>36</v>
      </c>
      <c r="R37" s="20">
        <v>34090</v>
      </c>
      <c r="S37" s="21" t="str">
        <f>HYPERLINK("https://www.antonelli.edu/npcalc.html", "$24959")</f>
        <v>$24959</v>
      </c>
      <c r="T37" s="22">
        <v>28966</v>
      </c>
      <c r="U37" s="22">
        <v>32867</v>
      </c>
      <c r="V37" s="20">
        <v>3320</v>
      </c>
      <c r="W37" s="20">
        <v>21639</v>
      </c>
      <c r="Y37" s="19">
        <v>0.4128</v>
      </c>
      <c r="Z37" s="19">
        <v>0.25349999999999989</v>
      </c>
      <c r="AB37" s="23">
        <v>71</v>
      </c>
    </row>
    <row r="38" spans="1:28" ht="15.75" customHeight="1" x14ac:dyDescent="0.2">
      <c r="A38" s="17" t="str">
        <f>HYPERLINK("https://www.arapahoe.edu", "Arapahoe Community College")</f>
        <v>Arapahoe Community College</v>
      </c>
      <c r="B38" s="18" t="s">
        <v>49</v>
      </c>
      <c r="C38" s="18" t="s">
        <v>87</v>
      </c>
      <c r="D38" s="18" t="s">
        <v>913</v>
      </c>
      <c r="E38" s="18" t="s">
        <v>36</v>
      </c>
      <c r="F38" s="18" t="s">
        <v>36</v>
      </c>
      <c r="J38" s="2"/>
      <c r="K38" s="19">
        <v>0.25819999999999999</v>
      </c>
      <c r="L38" s="19">
        <v>0.160220995</v>
      </c>
      <c r="M38" s="19">
        <v>0.2707</v>
      </c>
      <c r="N38" s="19">
        <v>0</v>
      </c>
      <c r="O38" s="19">
        <v>0.23330000000000001</v>
      </c>
      <c r="P38" s="19">
        <v>0.23080000000000001</v>
      </c>
      <c r="Q38" s="19">
        <v>0.110479285</v>
      </c>
      <c r="R38" s="20">
        <v>32027</v>
      </c>
      <c r="S38" s="21" t="str">
        <f>HYPERLINK("https://www.arapahoe.edu/netpricecalculator/npcalc.htm", "$25106")</f>
        <v>$25106</v>
      </c>
      <c r="T38" s="22">
        <v>27394</v>
      </c>
      <c r="U38" s="22">
        <v>30523</v>
      </c>
      <c r="V38" s="20">
        <v>7254</v>
      </c>
      <c r="W38" s="20">
        <v>17852.875</v>
      </c>
      <c r="Y38" s="19">
        <v>0.16689999999999999</v>
      </c>
      <c r="Z38" s="19">
        <v>0.54360000000000008</v>
      </c>
      <c r="AB38" s="23">
        <v>8409</v>
      </c>
    </row>
    <row r="39" spans="1:28" ht="15.75" customHeight="1" x14ac:dyDescent="0.2">
      <c r="A39" s="17" t="str">
        <f>HYPERLINK("https://www.artinstitutes.edu/inlandempire", "Argosy University-The Art Institute of California-Inland Empire")</f>
        <v>Argosy University-The Art Institute of California-Inland Empire</v>
      </c>
      <c r="B39" s="18" t="s">
        <v>368</v>
      </c>
      <c r="C39" s="18" t="s">
        <v>68</v>
      </c>
      <c r="D39" s="18" t="s">
        <v>610</v>
      </c>
      <c r="E39" s="18" t="s">
        <v>36</v>
      </c>
      <c r="F39" s="18" t="s">
        <v>36</v>
      </c>
      <c r="J39" s="2"/>
      <c r="K39" s="19">
        <v>0.3826</v>
      </c>
      <c r="L39" s="19">
        <v>0.13049492800000001</v>
      </c>
      <c r="M39" s="19">
        <v>0.39129999999999998</v>
      </c>
      <c r="N39" s="19">
        <v>0.36730000000000002</v>
      </c>
      <c r="O39" s="19">
        <v>0.44259999999999999</v>
      </c>
      <c r="P39" s="19">
        <v>0.42859999999999998</v>
      </c>
      <c r="Q39" s="19">
        <v>5.3151100999999999E-2</v>
      </c>
      <c r="R39" s="20">
        <v>35028</v>
      </c>
      <c r="S39" s="21" t="str">
        <f>HYPERLINK("https://www.artinstitutes.edu/inland-empire/tuition-aid/net-price-calculator", "$18850")</f>
        <v>$18850</v>
      </c>
      <c r="T39" s="22">
        <v>21259</v>
      </c>
      <c r="U39" s="22">
        <v>27560</v>
      </c>
      <c r="V39" s="20">
        <v>7112</v>
      </c>
      <c r="W39" s="20">
        <v>11738</v>
      </c>
      <c r="Y39" s="19">
        <v>0.74360000000000004</v>
      </c>
      <c r="Z39" s="19">
        <v>0.79</v>
      </c>
      <c r="AB39" s="23">
        <v>824</v>
      </c>
    </row>
    <row r="40" spans="1:28" ht="15.75" customHeight="1" x14ac:dyDescent="0.2">
      <c r="A40" s="17" t="str">
        <f>HYPERLINK("https://www.argosy.edu/twincities/", "Argosy University-Twin Cities")</f>
        <v>Argosy University-Twin Cities</v>
      </c>
      <c r="B40" s="18" t="s">
        <v>368</v>
      </c>
      <c r="C40" s="18" t="s">
        <v>72</v>
      </c>
      <c r="D40" s="18" t="s">
        <v>918</v>
      </c>
      <c r="E40" s="18" t="s">
        <v>36</v>
      </c>
      <c r="F40" s="18" t="s">
        <v>36</v>
      </c>
      <c r="J40" s="2"/>
      <c r="K40" s="19">
        <v>0.31580000000000003</v>
      </c>
      <c r="L40" s="19">
        <v>0.13049492800000001</v>
      </c>
      <c r="M40" s="19">
        <v>0.36359999999999998</v>
      </c>
      <c r="N40" s="19">
        <v>0</v>
      </c>
      <c r="O40" s="19">
        <v>0</v>
      </c>
      <c r="P40" s="19">
        <v>0</v>
      </c>
      <c r="Q40" s="19">
        <v>5.3151100999999999E-2</v>
      </c>
      <c r="R40" s="20">
        <v>26878</v>
      </c>
      <c r="S40" s="21" t="str">
        <f>HYPERLINK("https://www.argosy.edu/locations/twin-cities/net-price-calculator", "$18473")</f>
        <v>$18473</v>
      </c>
      <c r="T40" s="22">
        <v>24238</v>
      </c>
      <c r="U40" s="22">
        <v>22723</v>
      </c>
      <c r="V40" s="20">
        <v>7112</v>
      </c>
      <c r="W40" s="20">
        <v>11361</v>
      </c>
      <c r="Y40" s="19">
        <v>0.48480000000000001</v>
      </c>
      <c r="Z40" s="19">
        <v>0.246</v>
      </c>
      <c r="AB40" s="23">
        <v>1065</v>
      </c>
    </row>
    <row r="41" spans="1:28" ht="15.75" customHeight="1" x14ac:dyDescent="0.2">
      <c r="A41" s="17" t="str">
        <f>HYPERLINK("https://www.arkansasbaptist.edu", "Arkansas Baptist College")</f>
        <v>Arkansas Baptist College</v>
      </c>
      <c r="B41" s="18" t="s">
        <v>32</v>
      </c>
      <c r="C41" s="18" t="s">
        <v>371</v>
      </c>
      <c r="D41" s="18" t="s">
        <v>810</v>
      </c>
      <c r="E41" s="18" t="s">
        <v>36</v>
      </c>
      <c r="F41" s="18" t="s">
        <v>36</v>
      </c>
      <c r="J41" s="2"/>
      <c r="K41" s="19">
        <v>0.1933</v>
      </c>
      <c r="L41" s="19">
        <v>0.12721893500000001</v>
      </c>
      <c r="M41" s="19">
        <v>0.5</v>
      </c>
      <c r="N41" s="19">
        <v>0.1797</v>
      </c>
      <c r="O41" s="19">
        <v>0</v>
      </c>
      <c r="P41" s="19" t="s">
        <v>36</v>
      </c>
      <c r="Q41" s="19">
        <v>4.4186046999999999E-2</v>
      </c>
      <c r="R41" s="20">
        <v>23060</v>
      </c>
      <c r="S41" s="21" t="str">
        <f>HYPERLINK("https://www.arkansasbaptist.edu/financial-aid/net-price-calculator/", "$17526")</f>
        <v>$17526</v>
      </c>
      <c r="T41" s="22">
        <v>19941</v>
      </c>
      <c r="U41" s="22">
        <v>20555</v>
      </c>
      <c r="V41" s="20">
        <v>5474</v>
      </c>
      <c r="W41" s="20">
        <v>12052</v>
      </c>
      <c r="Y41" s="19">
        <v>0.80979999999999996</v>
      </c>
      <c r="Z41" s="19">
        <v>0.94769999999999999</v>
      </c>
      <c r="AB41" s="23">
        <v>593</v>
      </c>
    </row>
    <row r="42" spans="1:28" ht="15.75" customHeight="1" x14ac:dyDescent="0.2">
      <c r="A42" s="17" t="str">
        <f>HYPERLINK("https://www.asher.edu", "Asher College")</f>
        <v>Asher College</v>
      </c>
      <c r="B42" s="18" t="s">
        <v>368</v>
      </c>
      <c r="C42" s="18" t="s">
        <v>68</v>
      </c>
      <c r="D42" s="18" t="s">
        <v>609</v>
      </c>
      <c r="E42" s="18" t="s">
        <v>36</v>
      </c>
      <c r="F42" s="18" t="s">
        <v>36</v>
      </c>
      <c r="J42" s="2"/>
      <c r="K42" s="19">
        <v>0.62960000000000005</v>
      </c>
      <c r="L42" s="19">
        <v>0.58854166699999999</v>
      </c>
      <c r="M42" s="19">
        <v>0.61539999999999995</v>
      </c>
      <c r="N42" s="19">
        <v>0.71430000000000005</v>
      </c>
      <c r="O42" s="19">
        <v>0.75</v>
      </c>
      <c r="P42" s="19">
        <v>0</v>
      </c>
      <c r="Q42" s="19" t="s">
        <v>36</v>
      </c>
      <c r="R42" s="20" t="s">
        <v>36</v>
      </c>
      <c r="S42" s="21" t="str">
        <f>HYPERLINK("https://www.asher.edu", "$20827")</f>
        <v>$20827</v>
      </c>
      <c r="T42" s="22">
        <v>23874</v>
      </c>
      <c r="U42" s="22" t="s">
        <v>36</v>
      </c>
      <c r="V42" s="20" t="s">
        <v>36</v>
      </c>
      <c r="W42" s="20" t="s">
        <v>36</v>
      </c>
      <c r="Y42" s="19">
        <v>0.46029999999999999</v>
      </c>
      <c r="Z42" s="19">
        <v>0.7087</v>
      </c>
      <c r="AB42" s="23">
        <v>587</v>
      </c>
    </row>
    <row r="43" spans="1:28" ht="15.75" customHeight="1" x14ac:dyDescent="0.2">
      <c r="A43" s="17" t="str">
        <f>HYPERLINK("https://www.abtech.edu", "Asheville-Buncombe Technical Community College")</f>
        <v>Asheville-Buncombe Technical Community College</v>
      </c>
      <c r="B43" s="18" t="s">
        <v>49</v>
      </c>
      <c r="C43" s="18" t="s">
        <v>103</v>
      </c>
      <c r="D43" s="18" t="s">
        <v>518</v>
      </c>
      <c r="E43" s="18" t="s">
        <v>36</v>
      </c>
      <c r="F43" s="18" t="s">
        <v>36</v>
      </c>
      <c r="J43" s="2"/>
      <c r="K43" s="19">
        <v>0.3327</v>
      </c>
      <c r="L43" s="19">
        <v>0.24960380400000001</v>
      </c>
      <c r="M43" s="19">
        <v>0.34589999999999999</v>
      </c>
      <c r="N43" s="19">
        <v>0.28570000000000001</v>
      </c>
      <c r="O43" s="19">
        <v>0.31580000000000003</v>
      </c>
      <c r="P43" s="19">
        <v>0</v>
      </c>
      <c r="Q43" s="19">
        <v>5.9952037999999999E-2</v>
      </c>
      <c r="R43" s="20">
        <v>23248</v>
      </c>
      <c r="S43" s="21" t="str">
        <f>HYPERLINK("https://www.abtech.edu/sites/npcalc/", "$17876")</f>
        <v>$17876</v>
      </c>
      <c r="T43" s="22">
        <v>18935</v>
      </c>
      <c r="U43" s="22">
        <v>21238</v>
      </c>
      <c r="V43" s="20">
        <v>7626</v>
      </c>
      <c r="W43" s="20">
        <v>10250.19157088123</v>
      </c>
      <c r="Y43" s="19">
        <v>0.41449999999999998</v>
      </c>
      <c r="Z43" s="19">
        <v>0.223</v>
      </c>
      <c r="AB43" s="23">
        <v>4744</v>
      </c>
    </row>
    <row r="44" spans="1:28" ht="15.75" customHeight="1" x14ac:dyDescent="0.2">
      <c r="A44" s="17" t="str">
        <f>HYPERLINK("https://www.atenascollege.edu", "Atenas College")</f>
        <v>Atenas College</v>
      </c>
      <c r="B44" s="18" t="s">
        <v>32</v>
      </c>
      <c r="C44" s="18" t="s">
        <v>284</v>
      </c>
      <c r="D44" s="18" t="s">
        <v>925</v>
      </c>
      <c r="E44" s="18" t="s">
        <v>36</v>
      </c>
      <c r="F44" s="18" t="s">
        <v>36</v>
      </c>
      <c r="J44" s="2"/>
      <c r="K44" s="19">
        <v>0.50449999999999995</v>
      </c>
      <c r="L44" s="19" t="s">
        <v>36</v>
      </c>
      <c r="M44" s="19" t="s">
        <v>36</v>
      </c>
      <c r="N44" s="19" t="s">
        <v>36</v>
      </c>
      <c r="O44" s="19">
        <v>0.50449999999999995</v>
      </c>
      <c r="P44" s="19" t="s">
        <v>36</v>
      </c>
      <c r="Q44" s="19">
        <v>4.5848822999999997E-2</v>
      </c>
      <c r="R44" s="20">
        <v>18181</v>
      </c>
      <c r="S44" s="21" t="str">
        <f>HYPERLINK("https://www.atenascollege.edu", "$6247")</f>
        <v>$6247</v>
      </c>
      <c r="T44" s="22">
        <v>7621</v>
      </c>
      <c r="U44" s="22" t="s">
        <v>36</v>
      </c>
      <c r="V44" s="20">
        <v>5069</v>
      </c>
      <c r="W44" s="20">
        <v>1178</v>
      </c>
      <c r="Y44" s="19">
        <v>0.96519999999999995</v>
      </c>
      <c r="Z44" s="19">
        <v>1</v>
      </c>
      <c r="AB44" s="23">
        <v>932</v>
      </c>
    </row>
    <row r="45" spans="1:28" ht="15.75" customHeight="1" x14ac:dyDescent="0.2">
      <c r="A45" s="17" t="str">
        <f>HYPERLINK("https://www.atlm.edu", "Atlanta Metropolitan State College")</f>
        <v>Atlanta Metropolitan State College</v>
      </c>
      <c r="B45" s="18" t="s">
        <v>49</v>
      </c>
      <c r="C45" s="18" t="s">
        <v>107</v>
      </c>
      <c r="D45" s="18" t="s">
        <v>108</v>
      </c>
      <c r="E45" s="18" t="s">
        <v>36</v>
      </c>
      <c r="F45" s="18" t="s">
        <v>36</v>
      </c>
      <c r="J45" s="2"/>
      <c r="K45" s="19">
        <v>9.0200000000000002E-2</v>
      </c>
      <c r="L45" s="19">
        <v>0.14987298900000001</v>
      </c>
      <c r="M45" s="19">
        <v>0</v>
      </c>
      <c r="N45" s="19">
        <v>7.5800000000000006E-2</v>
      </c>
      <c r="O45" s="19">
        <v>0.25</v>
      </c>
      <c r="P45" s="19">
        <v>0.5</v>
      </c>
      <c r="Q45" s="19">
        <v>9.685863900000001E-2</v>
      </c>
      <c r="R45" s="20">
        <v>20060</v>
      </c>
      <c r="S45" s="21" t="str">
        <f>HYPERLINK("https://www.atlm.edu/students/Net%20Price%20Calculator/npcalc.htm", "$13667")</f>
        <v>$13667</v>
      </c>
      <c r="T45" s="22">
        <v>17798</v>
      </c>
      <c r="U45" s="22">
        <v>19295</v>
      </c>
      <c r="V45" s="20">
        <v>3880</v>
      </c>
      <c r="W45" s="20">
        <v>9787.3250000000007</v>
      </c>
      <c r="Y45" s="19">
        <v>0.65939999999999999</v>
      </c>
      <c r="Z45" s="19">
        <v>0.98480000000000001</v>
      </c>
      <c r="AB45" s="23">
        <v>2238</v>
      </c>
    </row>
    <row r="46" spans="1:28" ht="15.75" customHeight="1" x14ac:dyDescent="0.2">
      <c r="A46" s="17" t="str">
        <f>HYPERLINK("https://www.atlantic.edu", "Atlantic Cape Community College")</f>
        <v>Atlantic Cape Community College</v>
      </c>
      <c r="B46" s="18" t="s">
        <v>49</v>
      </c>
      <c r="C46" s="18" t="s">
        <v>141</v>
      </c>
      <c r="D46" s="18" t="s">
        <v>928</v>
      </c>
      <c r="E46" s="18" t="s">
        <v>36</v>
      </c>
      <c r="F46" s="18" t="s">
        <v>36</v>
      </c>
      <c r="J46" s="2"/>
      <c r="K46" s="19">
        <v>0.1754</v>
      </c>
      <c r="L46" s="19">
        <v>0.109090909</v>
      </c>
      <c r="M46" s="19">
        <v>0.2311</v>
      </c>
      <c r="N46" s="19">
        <v>6.5799999999999997E-2</v>
      </c>
      <c r="O46" s="19">
        <v>0.1515</v>
      </c>
      <c r="P46" s="19">
        <v>0.18179999999999999</v>
      </c>
      <c r="Q46" s="19">
        <v>7.4970714999999993E-2</v>
      </c>
      <c r="R46" s="20">
        <v>34051</v>
      </c>
      <c r="S46" s="21" t="str">
        <f>HYPERLINK("https://atlantic.edu/finaid/npcalc.htm", "$28393")</f>
        <v>$28393</v>
      </c>
      <c r="T46" s="22">
        <v>30841</v>
      </c>
      <c r="U46" s="22">
        <v>32906</v>
      </c>
      <c r="V46" s="20">
        <v>6600</v>
      </c>
      <c r="W46" s="20">
        <v>21793.326923076918</v>
      </c>
      <c r="Y46" s="19">
        <v>0.51839999999999997</v>
      </c>
      <c r="Z46" s="19">
        <v>0.56519999999999992</v>
      </c>
      <c r="AB46" s="23">
        <v>5191</v>
      </c>
    </row>
    <row r="47" spans="1:28" ht="15.75" customHeight="1" x14ac:dyDescent="0.2">
      <c r="A47" s="17" t="str">
        <f>HYPERLINK("https://www.aultmancollege.edu", "Aultman College of Nursing and Health Sciences")</f>
        <v>Aultman College of Nursing and Health Sciences</v>
      </c>
      <c r="B47" s="18" t="s">
        <v>32</v>
      </c>
      <c r="C47" s="18" t="s">
        <v>75</v>
      </c>
      <c r="D47" s="18" t="s">
        <v>249</v>
      </c>
      <c r="E47" s="18">
        <v>1085</v>
      </c>
      <c r="F47" s="18" t="s">
        <v>35</v>
      </c>
      <c r="J47" s="2"/>
      <c r="K47" s="19">
        <v>0.5</v>
      </c>
      <c r="L47" s="19">
        <v>0.59677419399999998</v>
      </c>
      <c r="M47" s="19">
        <v>0.5</v>
      </c>
      <c r="N47" s="19" t="s">
        <v>36</v>
      </c>
      <c r="O47" s="19" t="s">
        <v>36</v>
      </c>
      <c r="P47" s="19" t="s">
        <v>36</v>
      </c>
      <c r="Q47" s="19">
        <v>9.6774194000000008E-2</v>
      </c>
      <c r="R47" s="20">
        <v>28190</v>
      </c>
      <c r="S47" s="21" t="str">
        <f>HYPERLINK("https://www.aultmancollege.edu/netprice/npcalc.htm", "$13373")</f>
        <v>$13373</v>
      </c>
      <c r="T47" s="22" t="s">
        <v>36</v>
      </c>
      <c r="U47" s="22">
        <v>20701</v>
      </c>
      <c r="V47" s="20">
        <v>4160</v>
      </c>
      <c r="W47" s="20">
        <v>9213</v>
      </c>
      <c r="Y47" s="19">
        <v>0.42030000000000001</v>
      </c>
      <c r="Z47" s="19">
        <v>0.10400000000000011</v>
      </c>
      <c r="AB47" s="23">
        <v>375</v>
      </c>
    </row>
    <row r="48" spans="1:28" ht="15.75" customHeight="1" x14ac:dyDescent="0.2">
      <c r="A48" s="17" t="str">
        <f>HYPERLINK("https://www.austincc.edu", "Austin Community College District")</f>
        <v>Austin Community College District</v>
      </c>
      <c r="B48" s="18" t="s">
        <v>49</v>
      </c>
      <c r="C48" s="18" t="s">
        <v>146</v>
      </c>
      <c r="D48" s="18" t="s">
        <v>264</v>
      </c>
      <c r="E48" s="18" t="s">
        <v>36</v>
      </c>
      <c r="F48" s="18" t="s">
        <v>36</v>
      </c>
      <c r="J48" s="2"/>
      <c r="K48" s="19">
        <v>0.10970000000000001</v>
      </c>
      <c r="L48" s="19">
        <v>8.3503055000000007E-2</v>
      </c>
      <c r="M48" s="19">
        <v>0.1086</v>
      </c>
      <c r="N48" s="19">
        <v>0.1053</v>
      </c>
      <c r="O48" s="19">
        <v>0.1086</v>
      </c>
      <c r="P48" s="19">
        <v>0.1167</v>
      </c>
      <c r="Q48" s="19">
        <v>0.12238961</v>
      </c>
      <c r="R48" s="20">
        <v>27560</v>
      </c>
      <c r="S48" s="21" t="str">
        <f>HYPERLINK("https://www.austincc.edu/students/financial-aid/explore-your-financial-aid/cost-of-attendance/net-price-calculator", "$21716")</f>
        <v>$21716</v>
      </c>
      <c r="T48" s="22">
        <v>25262</v>
      </c>
      <c r="U48" s="22">
        <v>27320</v>
      </c>
      <c r="V48" s="20">
        <v>5008</v>
      </c>
      <c r="W48" s="20">
        <v>16708.101508916319</v>
      </c>
      <c r="Y48" s="19">
        <v>0.21190000000000001</v>
      </c>
      <c r="Z48" s="19">
        <v>0.58030000000000004</v>
      </c>
      <c r="AB48" s="23">
        <v>30716</v>
      </c>
    </row>
    <row r="49" spans="1:28" ht="15.75" customHeight="1" x14ac:dyDescent="0.2">
      <c r="A49" s="17" t="str">
        <f>HYPERLINK("https://www.aviationmaintenance.edu", "Aviation Institute of Maintenance-Philadelphia")</f>
        <v>Aviation Institute of Maintenance-Philadelphia</v>
      </c>
      <c r="B49" s="18" t="s">
        <v>368</v>
      </c>
      <c r="C49" s="18" t="s">
        <v>65</v>
      </c>
      <c r="D49" s="18" t="s">
        <v>168</v>
      </c>
      <c r="E49" s="18" t="s">
        <v>36</v>
      </c>
      <c r="F49" s="18" t="s">
        <v>36</v>
      </c>
      <c r="J49" s="2"/>
      <c r="K49" s="19">
        <v>0.66669999999999996</v>
      </c>
      <c r="L49" s="19">
        <v>0.30821917799999998</v>
      </c>
      <c r="M49" s="19">
        <v>0.57140000000000002</v>
      </c>
      <c r="N49" s="19">
        <v>0.66669999999999996</v>
      </c>
      <c r="O49" s="19">
        <v>0.54549999999999998</v>
      </c>
      <c r="P49" s="19" t="s">
        <v>36</v>
      </c>
      <c r="Q49" s="19" t="s">
        <v>36</v>
      </c>
      <c r="R49" s="20">
        <v>31324</v>
      </c>
      <c r="S49" s="21" t="str">
        <f>HYPERLINK("https://www.aviationmaintenance.edu/Your_Rights/price_calc.html", "$19991")</f>
        <v>$19991</v>
      </c>
      <c r="T49" s="22">
        <v>24346</v>
      </c>
      <c r="U49" s="22">
        <v>24346</v>
      </c>
      <c r="V49" s="20">
        <v>7217</v>
      </c>
      <c r="W49" s="20">
        <v>12774</v>
      </c>
      <c r="Y49" s="19">
        <v>0.20519999999999999</v>
      </c>
      <c r="Z49" s="19">
        <v>0.77010000000000001</v>
      </c>
      <c r="AB49" s="23">
        <v>274</v>
      </c>
    </row>
    <row r="50" spans="1:28" ht="15.75" customHeight="1" x14ac:dyDescent="0.2">
      <c r="A50" s="17" t="str">
        <f>HYPERLINK("https://www.baker.edu", "Baker College")</f>
        <v>Baker College</v>
      </c>
      <c r="B50" s="18" t="s">
        <v>32</v>
      </c>
      <c r="C50" s="18" t="s">
        <v>226</v>
      </c>
      <c r="D50" s="18" t="s">
        <v>228</v>
      </c>
      <c r="E50" s="18" t="s">
        <v>36</v>
      </c>
      <c r="F50" s="18" t="s">
        <v>36</v>
      </c>
      <c r="J50" s="2"/>
      <c r="K50" s="19">
        <v>0.12609999999999999</v>
      </c>
      <c r="L50" s="19">
        <v>0.173313783</v>
      </c>
      <c r="M50" s="19">
        <v>0.1585</v>
      </c>
      <c r="N50" s="19">
        <v>4.0099999999999997E-2</v>
      </c>
      <c r="O50" s="19">
        <v>7.7499999999999999E-2</v>
      </c>
      <c r="P50" s="19">
        <v>7.1400000000000005E-2</v>
      </c>
      <c r="Q50" s="19">
        <v>2.2789822000000001E-2</v>
      </c>
      <c r="R50" s="20">
        <v>21360</v>
      </c>
      <c r="S50" s="21" t="str">
        <f>HYPERLINK("https://baker.studentaidcalculator.com/survey.aspx", "$11964")</f>
        <v>$11964</v>
      </c>
      <c r="T50" s="22">
        <v>13813</v>
      </c>
      <c r="U50" s="22">
        <v>15270</v>
      </c>
      <c r="V50" s="20">
        <v>6600</v>
      </c>
      <c r="W50" s="20">
        <v>5364</v>
      </c>
      <c r="Y50" s="19">
        <v>0.49330000000000002</v>
      </c>
      <c r="Z50" s="19">
        <v>0.20369999999999999</v>
      </c>
      <c r="AB50" s="23">
        <v>11431</v>
      </c>
    </row>
    <row r="51" spans="1:28" ht="15.75" customHeight="1" x14ac:dyDescent="0.2">
      <c r="A51" s="17" t="str">
        <f>HYPERLINK("https://www.bakersfieldcollege.edu/", "Bakersfield College")</f>
        <v>Bakersfield College</v>
      </c>
      <c r="B51" s="18" t="s">
        <v>49</v>
      </c>
      <c r="C51" s="18" t="s">
        <v>68</v>
      </c>
      <c r="D51" s="18" t="s">
        <v>669</v>
      </c>
      <c r="E51" s="18" t="s">
        <v>36</v>
      </c>
      <c r="F51" s="18" t="s">
        <v>36</v>
      </c>
      <c r="J51" s="2"/>
      <c r="K51" s="19">
        <v>0.22770000000000001</v>
      </c>
      <c r="L51" s="19">
        <v>2.7593818999999999E-2</v>
      </c>
      <c r="M51" s="19">
        <v>0.3357</v>
      </c>
      <c r="N51" s="19">
        <v>0.1618</v>
      </c>
      <c r="O51" s="19">
        <v>0.19339999999999999</v>
      </c>
      <c r="P51" s="19">
        <v>0.23400000000000001</v>
      </c>
      <c r="Q51" s="19">
        <v>8.3694710000000005E-2</v>
      </c>
      <c r="R51" s="20">
        <v>26649</v>
      </c>
      <c r="S51" s="21" t="str">
        <f>HYPERLINK("https://misweb.cccco.edu/npc/521/npcalc.htm", "$20046")</f>
        <v>$20046</v>
      </c>
      <c r="T51" s="22">
        <v>23588</v>
      </c>
      <c r="U51" s="22">
        <v>25171</v>
      </c>
      <c r="V51" s="20">
        <v>6095</v>
      </c>
      <c r="W51" s="20">
        <v>13951.92179863148</v>
      </c>
      <c r="Y51" s="19">
        <v>0.34179999999999999</v>
      </c>
      <c r="Z51" s="19">
        <v>0.77790000000000004</v>
      </c>
      <c r="AB51" s="23">
        <v>18695</v>
      </c>
    </row>
    <row r="52" spans="1:28" ht="15.75" customHeight="1" x14ac:dyDescent="0.2">
      <c r="A52" s="17" t="str">
        <f>HYPERLINK("https://www.bccc.edu", "Baltimore City Community College")</f>
        <v>Baltimore City Community College</v>
      </c>
      <c r="B52" s="18" t="s">
        <v>49</v>
      </c>
      <c r="C52" s="18" t="s">
        <v>124</v>
      </c>
      <c r="D52" s="18" t="s">
        <v>125</v>
      </c>
      <c r="E52" s="18" t="s">
        <v>36</v>
      </c>
      <c r="F52" s="18" t="s">
        <v>36</v>
      </c>
      <c r="J52" s="2"/>
      <c r="K52" s="19">
        <v>0.13100000000000001</v>
      </c>
      <c r="L52" s="19">
        <v>4.9024511999999999E-2</v>
      </c>
      <c r="M52" s="19">
        <v>0.1905</v>
      </c>
      <c r="N52" s="19">
        <v>0.1166</v>
      </c>
      <c r="O52" s="19">
        <v>0.16669999999999999</v>
      </c>
      <c r="P52" s="19">
        <v>0.375</v>
      </c>
      <c r="Q52" s="19">
        <v>6.2292359000000012E-2</v>
      </c>
      <c r="R52" s="20">
        <v>19119</v>
      </c>
      <c r="S52" s="21" t="str">
        <f>HYPERLINK("https://www.bccc.edu/cms/lib05/MD11000285/Centricity/domain/1/netpricecalculator/npcalc.htm", "$13922")</f>
        <v>$13922</v>
      </c>
      <c r="T52" s="22">
        <v>16198</v>
      </c>
      <c r="U52" s="22">
        <v>15595</v>
      </c>
      <c r="V52" s="20">
        <v>5601</v>
      </c>
      <c r="W52" s="20">
        <v>8321.6956521739121</v>
      </c>
      <c r="Y52" s="19">
        <v>0.46879999999999999</v>
      </c>
      <c r="Z52" s="19">
        <v>0.95</v>
      </c>
      <c r="AB52" s="23">
        <v>3797</v>
      </c>
    </row>
    <row r="53" spans="1:28" ht="15.75" customHeight="1" x14ac:dyDescent="0.2">
      <c r="A53" s="17" t="str">
        <f>HYPERLINK("https://www.bhclr.edu", "Baptist Health College-Little Rock")</f>
        <v>Baptist Health College-Little Rock</v>
      </c>
      <c r="B53" s="18" t="s">
        <v>32</v>
      </c>
      <c r="C53" s="18" t="s">
        <v>371</v>
      </c>
      <c r="D53" s="18" t="s">
        <v>810</v>
      </c>
      <c r="E53" s="18">
        <v>1125</v>
      </c>
      <c r="F53" s="18" t="s">
        <v>35</v>
      </c>
      <c r="J53" s="2"/>
      <c r="K53" s="19">
        <v>0.40739999999999998</v>
      </c>
      <c r="L53" s="19">
        <v>0.60399999999999998</v>
      </c>
      <c r="M53" s="19">
        <v>0.39129999999999998</v>
      </c>
      <c r="N53" s="19">
        <v>1</v>
      </c>
      <c r="O53" s="19" t="s">
        <v>36</v>
      </c>
      <c r="P53" s="19">
        <v>0</v>
      </c>
      <c r="Q53" s="19">
        <v>7.0981211000000002E-2</v>
      </c>
      <c r="R53" s="20">
        <v>30782</v>
      </c>
      <c r="S53" s="21" t="str">
        <f>HYPERLINK("https://www.bhclr.edu/student-services/accounts/netprice/npcalc.htm", "$20037")</f>
        <v>$20037</v>
      </c>
      <c r="T53" s="22">
        <v>21502</v>
      </c>
      <c r="U53" s="22" t="s">
        <v>36</v>
      </c>
      <c r="V53" s="20">
        <v>11452</v>
      </c>
      <c r="W53" s="20">
        <v>8585</v>
      </c>
      <c r="Y53" s="19">
        <v>0.78669999999999995</v>
      </c>
      <c r="Z53" s="19">
        <v>0.26040000000000002</v>
      </c>
      <c r="AB53" s="23">
        <v>676</v>
      </c>
    </row>
    <row r="54" spans="1:28" ht="15.75" customHeight="1" x14ac:dyDescent="0.2">
      <c r="A54" s="17" t="str">
        <f>HYPERLINK("https://www.bshp.edu", "Baptist Health System School of Health Professions")</f>
        <v>Baptist Health System School of Health Professions</v>
      </c>
      <c r="B54" s="18" t="s">
        <v>368</v>
      </c>
      <c r="C54" s="18" t="s">
        <v>146</v>
      </c>
      <c r="D54" s="18" t="s">
        <v>268</v>
      </c>
      <c r="E54" s="18" t="s">
        <v>36</v>
      </c>
      <c r="F54" s="18" t="s">
        <v>36</v>
      </c>
      <c r="J54" s="2"/>
      <c r="K54" s="19" t="s">
        <v>36</v>
      </c>
      <c r="L54" s="19">
        <v>0.84662576700000003</v>
      </c>
      <c r="M54" s="19" t="s">
        <v>36</v>
      </c>
      <c r="N54" s="19" t="s">
        <v>36</v>
      </c>
      <c r="O54" s="19" t="s">
        <v>36</v>
      </c>
      <c r="P54" s="19" t="s">
        <v>36</v>
      </c>
      <c r="Q54" s="19" t="s">
        <v>36</v>
      </c>
      <c r="R54" s="20" t="s">
        <v>36</v>
      </c>
      <c r="S54" s="21" t="str">
        <f>HYPERLINK("https://www.bshp.edu/future-students/admissions/tuition-fees", "Not reported")</f>
        <v>Not reported</v>
      </c>
      <c r="T54" s="22" t="s">
        <v>36</v>
      </c>
      <c r="U54" s="22" t="s">
        <v>36</v>
      </c>
      <c r="V54" s="20" t="s">
        <v>36</v>
      </c>
      <c r="W54" s="20" t="s">
        <v>36</v>
      </c>
      <c r="Y54" s="19">
        <v>0.45100000000000001</v>
      </c>
      <c r="Z54" s="19">
        <v>0.62609999999999999</v>
      </c>
      <c r="AB54" s="23">
        <v>658</v>
      </c>
    </row>
    <row r="55" spans="1:28" ht="15.75" customHeight="1" x14ac:dyDescent="0.2">
      <c r="A55" s="17" t="str">
        <f>HYPERLINK("https://www.simons-rock.edu/", "Bard College at Simon's Rock")</f>
        <v>Bard College at Simon's Rock</v>
      </c>
      <c r="B55" s="18" t="s">
        <v>32</v>
      </c>
      <c r="C55" s="18" t="s">
        <v>33</v>
      </c>
      <c r="D55" s="18" t="s">
        <v>941</v>
      </c>
      <c r="E55" s="18" t="s">
        <v>36</v>
      </c>
      <c r="F55" s="18" t="s">
        <v>45</v>
      </c>
      <c r="J55" s="2"/>
      <c r="K55" s="19">
        <v>0.6</v>
      </c>
      <c r="L55" s="19">
        <v>0.428571429</v>
      </c>
      <c r="M55" s="19">
        <v>0.56359999999999999</v>
      </c>
      <c r="N55" s="19">
        <v>0.5333</v>
      </c>
      <c r="O55" s="19">
        <v>0.42859999999999998</v>
      </c>
      <c r="P55" s="19">
        <v>0.76919999999999999</v>
      </c>
      <c r="Q55" s="19">
        <v>0.22033898299999999</v>
      </c>
      <c r="R55" s="20">
        <v>69900</v>
      </c>
      <c r="S55" s="21" t="str">
        <f>HYPERLINK("https://npc.collegeboard.org/app/simonsrock", "$25761")</f>
        <v>$25761</v>
      </c>
      <c r="T55" s="22">
        <v>34164</v>
      </c>
      <c r="U55" s="22">
        <v>34544</v>
      </c>
      <c r="V55" s="20">
        <v>2000</v>
      </c>
      <c r="W55" s="20">
        <v>23761</v>
      </c>
      <c r="Y55" s="19">
        <v>0.2157</v>
      </c>
      <c r="Z55" s="19">
        <v>0.43730000000000002</v>
      </c>
      <c r="AB55" s="23">
        <v>391</v>
      </c>
    </row>
    <row r="56" spans="1:28" ht="15.75" customHeight="1" x14ac:dyDescent="0.2">
      <c r="A56" s="17" t="str">
        <f>HYPERLINK("https://www.barstow.edu", "Barstow Community College")</f>
        <v>Barstow Community College</v>
      </c>
      <c r="B56" s="18" t="s">
        <v>49</v>
      </c>
      <c r="C56" s="18" t="s">
        <v>68</v>
      </c>
      <c r="D56" s="18" t="s">
        <v>942</v>
      </c>
      <c r="E56" s="18" t="s">
        <v>36</v>
      </c>
      <c r="F56" s="18" t="s">
        <v>36</v>
      </c>
      <c r="J56" s="2"/>
      <c r="K56" s="19">
        <v>0.15579999999999999</v>
      </c>
      <c r="L56" s="19">
        <v>1.1971831E-2</v>
      </c>
      <c r="M56" s="19">
        <v>4.1700000000000001E-2</v>
      </c>
      <c r="N56" s="19">
        <v>7.1400000000000005E-2</v>
      </c>
      <c r="O56" s="19">
        <v>0.21740000000000001</v>
      </c>
      <c r="P56" s="19">
        <v>0.16669999999999999</v>
      </c>
      <c r="Q56" s="19">
        <v>9.5102505999999989E-2</v>
      </c>
      <c r="R56" s="20">
        <v>26106</v>
      </c>
      <c r="S56" s="21" t="str">
        <f>HYPERLINK("https://misweb.cccco.edu/npc/911/npcalc.htm", "$19628")</f>
        <v>$19628</v>
      </c>
      <c r="T56" s="22">
        <v>21312</v>
      </c>
      <c r="U56" s="22" t="s">
        <v>36</v>
      </c>
      <c r="V56" s="20">
        <v>6093</v>
      </c>
      <c r="W56" s="20">
        <v>13535.375</v>
      </c>
      <c r="Y56" s="19">
        <v>0.49619999999999997</v>
      </c>
      <c r="Z56" s="19">
        <v>0.68859999999999999</v>
      </c>
      <c r="AB56" s="23">
        <v>2762</v>
      </c>
    </row>
    <row r="57" spans="1:28" ht="15.75" customHeight="1" x14ac:dyDescent="0.2">
      <c r="A57" s="17" t="str">
        <f>HYPERLINK("https://www.bartonccc.edu", "Barton County Community College")</f>
        <v>Barton County Community College</v>
      </c>
      <c r="B57" s="18" t="s">
        <v>49</v>
      </c>
      <c r="C57" s="18" t="s">
        <v>307</v>
      </c>
      <c r="D57" s="18" t="s">
        <v>945</v>
      </c>
      <c r="E57" s="18" t="s">
        <v>36</v>
      </c>
      <c r="F57" s="18" t="s">
        <v>36</v>
      </c>
      <c r="J57" s="2"/>
      <c r="K57" s="19">
        <v>0.31</v>
      </c>
      <c r="L57" s="19">
        <v>0.23015873000000001</v>
      </c>
      <c r="M57" s="19">
        <v>0.30919999999999997</v>
      </c>
      <c r="N57" s="19">
        <v>0.2273</v>
      </c>
      <c r="O57" s="19">
        <v>0.59379999999999999</v>
      </c>
      <c r="P57" s="19">
        <v>0.25</v>
      </c>
      <c r="Q57" s="19">
        <v>9.308885800000001E-2</v>
      </c>
      <c r="R57" s="20">
        <v>16936</v>
      </c>
      <c r="S57" s="21" t="str">
        <f>HYPERLINK("https://bartonccc.edu/financialaid/studentconsumerinfo/netpricecalc", "$9059")</f>
        <v>$9059</v>
      </c>
      <c r="T57" s="22">
        <v>11370</v>
      </c>
      <c r="U57" s="22">
        <v>13718</v>
      </c>
      <c r="V57" s="20">
        <v>5420</v>
      </c>
      <c r="W57" s="20">
        <v>3639.542857142857</v>
      </c>
      <c r="Y57" s="19">
        <v>0.13100000000000001</v>
      </c>
      <c r="Z57" s="19">
        <v>0.39950000000000002</v>
      </c>
      <c r="AB57" s="23">
        <v>2180</v>
      </c>
    </row>
    <row r="58" spans="1:28" ht="15.75" customHeight="1" x14ac:dyDescent="0.2">
      <c r="A58" s="17" t="str">
        <f>HYPERLINK("https://www.baycollege.edu", "Bay de Noc Community College")</f>
        <v>Bay de Noc Community College</v>
      </c>
      <c r="B58" s="18" t="s">
        <v>49</v>
      </c>
      <c r="C58" s="18" t="s">
        <v>226</v>
      </c>
      <c r="D58" s="18" t="s">
        <v>947</v>
      </c>
      <c r="E58" s="18" t="s">
        <v>36</v>
      </c>
      <c r="F58" s="18" t="s">
        <v>36</v>
      </c>
      <c r="J58" s="2"/>
      <c r="K58" s="19">
        <v>0.30099999999999999</v>
      </c>
      <c r="L58" s="19">
        <v>0.23704866599999999</v>
      </c>
      <c r="M58" s="19">
        <v>0.32300000000000001</v>
      </c>
      <c r="N58" s="19">
        <v>0</v>
      </c>
      <c r="O58" s="19">
        <v>0.125</v>
      </c>
      <c r="P58" s="19" t="s">
        <v>36</v>
      </c>
      <c r="Q58" s="19">
        <v>6.6801619000000007E-2</v>
      </c>
      <c r="R58" s="20">
        <v>20516</v>
      </c>
      <c r="S58" s="21" t="str">
        <f>HYPERLINK("https://mybay.baycollege.edu//ics/ClientConfig/CustomContent/NetPriceCalculator/npcalc.htm", "$14478")</f>
        <v>$14478</v>
      </c>
      <c r="T58" s="22">
        <v>16557</v>
      </c>
      <c r="U58" s="22">
        <v>19896</v>
      </c>
      <c r="V58" s="20">
        <v>5050</v>
      </c>
      <c r="W58" s="20">
        <v>9428.7662337662332</v>
      </c>
      <c r="Y58" s="19">
        <v>0.33729999999999999</v>
      </c>
      <c r="Z58" s="19">
        <v>0.1234</v>
      </c>
      <c r="AB58" s="23">
        <v>1386</v>
      </c>
    </row>
    <row r="59" spans="1:28" ht="15.75" customHeight="1" x14ac:dyDescent="0.2">
      <c r="A59" s="17" t="str">
        <f>HYPERLINK("https://www.bealcollege.edu/", "Beal College")</f>
        <v>Beal College</v>
      </c>
      <c r="B59" s="18" t="s">
        <v>368</v>
      </c>
      <c r="C59" s="18" t="s">
        <v>43</v>
      </c>
      <c r="D59" s="18" t="s">
        <v>750</v>
      </c>
      <c r="E59" s="18" t="s">
        <v>36</v>
      </c>
      <c r="F59" s="18" t="s">
        <v>36</v>
      </c>
      <c r="J59" s="2"/>
      <c r="K59" s="19">
        <v>0.37190000000000001</v>
      </c>
      <c r="L59" s="19">
        <v>0.4</v>
      </c>
      <c r="M59" s="19">
        <v>0.36359999999999998</v>
      </c>
      <c r="N59" s="19" t="s">
        <v>36</v>
      </c>
      <c r="O59" s="19">
        <v>0</v>
      </c>
      <c r="P59" s="19" t="s">
        <v>36</v>
      </c>
      <c r="Q59" s="19" t="s">
        <v>36</v>
      </c>
      <c r="R59" s="20" t="s">
        <v>36</v>
      </c>
      <c r="S59" s="21" t="str">
        <f>HYPERLINK("https://www.bealcollege.edu", "$16348")</f>
        <v>$16348</v>
      </c>
      <c r="T59" s="22">
        <v>13892</v>
      </c>
      <c r="U59" s="22">
        <v>19008</v>
      </c>
      <c r="V59" s="20" t="s">
        <v>36</v>
      </c>
      <c r="W59" s="20" t="s">
        <v>36</v>
      </c>
      <c r="Y59" s="19">
        <v>0.58779999999999999</v>
      </c>
      <c r="Z59" s="19">
        <v>0.27639999999999998</v>
      </c>
      <c r="AB59" s="23">
        <v>246</v>
      </c>
    </row>
    <row r="60" spans="1:28" ht="15.75" customHeight="1" x14ac:dyDescent="0.2">
      <c r="A60" s="17" t="str">
        <f>HYPERLINK("https://www.beaufortccc.edu", "Beaufort County Community College")</f>
        <v>Beaufort County Community College</v>
      </c>
      <c r="B60" s="18" t="s">
        <v>49</v>
      </c>
      <c r="C60" s="18" t="s">
        <v>103</v>
      </c>
      <c r="D60" s="18" t="s">
        <v>114</v>
      </c>
      <c r="E60" s="18" t="s">
        <v>36</v>
      </c>
      <c r="F60" s="18" t="s">
        <v>36</v>
      </c>
      <c r="J60" s="2"/>
      <c r="K60" s="19">
        <v>0.2671</v>
      </c>
      <c r="L60" s="19">
        <v>0.173996176</v>
      </c>
      <c r="M60" s="19">
        <v>0.34939999999999999</v>
      </c>
      <c r="N60" s="19">
        <v>0.15379999999999999</v>
      </c>
      <c r="O60" s="19">
        <v>0.2</v>
      </c>
      <c r="P60" s="19" t="s">
        <v>36</v>
      </c>
      <c r="Q60" s="19">
        <v>4.0723981999999999E-2</v>
      </c>
      <c r="R60" s="20">
        <v>23518</v>
      </c>
      <c r="S60" s="21" t="str">
        <f>HYPERLINK("https://www.beaufortccc.edu/financial-aid/net-price-calculator", "$17894")</f>
        <v>$17894</v>
      </c>
      <c r="T60" s="22">
        <v>20733</v>
      </c>
      <c r="U60" s="22">
        <v>21020</v>
      </c>
      <c r="V60" s="20">
        <v>5334</v>
      </c>
      <c r="W60" s="20">
        <v>12560.767441860469</v>
      </c>
      <c r="Y60" s="19">
        <v>0.3226</v>
      </c>
      <c r="Z60" s="19">
        <v>0.40939999999999999</v>
      </c>
      <c r="AB60" s="23">
        <v>1390</v>
      </c>
    </row>
    <row r="61" spans="1:28" ht="15.75" customHeight="1" x14ac:dyDescent="0.2">
      <c r="A61" s="17" t="str">
        <f>HYPERLINK("https://www.beckfield.edu", "Beckfield College-Florence")</f>
        <v>Beckfield College-Florence</v>
      </c>
      <c r="B61" s="18" t="s">
        <v>368</v>
      </c>
      <c r="C61" s="18" t="s">
        <v>205</v>
      </c>
      <c r="D61" s="18" t="s">
        <v>772</v>
      </c>
      <c r="E61" s="18" t="s">
        <v>36</v>
      </c>
      <c r="F61" s="18" t="s">
        <v>36</v>
      </c>
      <c r="J61" s="2"/>
      <c r="K61" s="19">
        <v>0.20250000000000001</v>
      </c>
      <c r="L61" s="19">
        <v>0.33947772700000001</v>
      </c>
      <c r="M61" s="19">
        <v>0.21740000000000001</v>
      </c>
      <c r="N61" s="19">
        <v>0</v>
      </c>
      <c r="O61" s="19">
        <v>1</v>
      </c>
      <c r="P61" s="19">
        <v>0</v>
      </c>
      <c r="Q61" s="19">
        <v>3.5469107999999999E-2</v>
      </c>
      <c r="R61" s="20">
        <v>35808</v>
      </c>
      <c r="S61" s="21" t="str">
        <f>HYPERLINK("https://www.beckfield.edu/NPC/npcalc.htm", "$29364")</f>
        <v>$29364</v>
      </c>
      <c r="T61" s="22">
        <v>30212</v>
      </c>
      <c r="U61" s="22" t="s">
        <v>36</v>
      </c>
      <c r="V61" s="20">
        <v>9211</v>
      </c>
      <c r="W61" s="20">
        <v>20153</v>
      </c>
      <c r="Y61" s="19">
        <v>0.86509999999999998</v>
      </c>
      <c r="Z61" s="19">
        <v>0.1459</v>
      </c>
      <c r="AB61" s="23">
        <v>617</v>
      </c>
    </row>
    <row r="62" spans="1:28" ht="15.75" customHeight="1" x14ac:dyDescent="0.2">
      <c r="A62" s="17" t="str">
        <f>HYPERLINK("https://www.bel-rea.com", "Bel-Rea Institute of Animal Technology")</f>
        <v>Bel-Rea Institute of Animal Technology</v>
      </c>
      <c r="B62" s="18" t="s">
        <v>368</v>
      </c>
      <c r="C62" s="18" t="s">
        <v>87</v>
      </c>
      <c r="D62" s="18" t="s">
        <v>508</v>
      </c>
      <c r="E62" s="18" t="s">
        <v>36</v>
      </c>
      <c r="F62" s="18" t="s">
        <v>45</v>
      </c>
      <c r="J62" s="2"/>
      <c r="K62" s="19">
        <v>0.30359999999999998</v>
      </c>
      <c r="L62" s="19">
        <v>0.54185022000000005</v>
      </c>
      <c r="M62" s="19">
        <v>0.27910000000000001</v>
      </c>
      <c r="N62" s="19">
        <v>1</v>
      </c>
      <c r="O62" s="19">
        <v>0.2</v>
      </c>
      <c r="P62" s="19" t="s">
        <v>36</v>
      </c>
      <c r="Q62" s="19">
        <v>4.2735043E-2</v>
      </c>
      <c r="R62" s="20">
        <v>28713</v>
      </c>
      <c r="S62" s="21" t="str">
        <f>HYPERLINK("https://www.bel-rea.com/?q=degreeProgram", "$19838")</f>
        <v>$19838</v>
      </c>
      <c r="T62" s="22">
        <v>23189</v>
      </c>
      <c r="U62" s="22">
        <v>24515</v>
      </c>
      <c r="V62" s="20">
        <v>6418</v>
      </c>
      <c r="W62" s="20">
        <v>13420</v>
      </c>
      <c r="Y62" s="19">
        <v>0.4486</v>
      </c>
      <c r="Z62" s="19">
        <v>0.29599999999999987</v>
      </c>
      <c r="AB62" s="23">
        <v>321</v>
      </c>
    </row>
    <row r="63" spans="1:28" ht="15.75" customHeight="1" x14ac:dyDescent="0.2">
      <c r="A63" s="17" t="str">
        <f>HYPERLINK("https://www.ellisbelangerschoolofnursing.org", "Belanger School of Nursing")</f>
        <v>Belanger School of Nursing</v>
      </c>
      <c r="B63" s="18" t="s">
        <v>32</v>
      </c>
      <c r="C63" s="18" t="s">
        <v>38</v>
      </c>
      <c r="D63" s="18" t="s">
        <v>270</v>
      </c>
      <c r="E63" s="18" t="s">
        <v>36</v>
      </c>
      <c r="F63" s="18" t="s">
        <v>115</v>
      </c>
      <c r="J63" s="2"/>
      <c r="K63" s="19">
        <v>0</v>
      </c>
      <c r="L63" s="19" t="s">
        <v>36</v>
      </c>
      <c r="M63" s="19">
        <v>0</v>
      </c>
      <c r="N63" s="19" t="s">
        <v>36</v>
      </c>
      <c r="O63" s="19" t="s">
        <v>36</v>
      </c>
      <c r="P63" s="19" t="s">
        <v>36</v>
      </c>
      <c r="Q63" s="19" t="s">
        <v>36</v>
      </c>
      <c r="R63" s="20">
        <v>22214</v>
      </c>
      <c r="S63" s="21" t="str">
        <f>HYPERLINK("https://www.ellisbelangerschoolofnursing.org", "Not reported")</f>
        <v>Not reported</v>
      </c>
      <c r="T63" s="22" t="s">
        <v>36</v>
      </c>
      <c r="U63" s="22">
        <v>16145</v>
      </c>
      <c r="V63" s="20">
        <v>5900</v>
      </c>
      <c r="W63" s="20" t="s">
        <v>36</v>
      </c>
      <c r="Y63" s="19">
        <v>0.4622</v>
      </c>
      <c r="Z63" s="19">
        <v>0.35089999999999999</v>
      </c>
      <c r="AB63" s="23">
        <v>114</v>
      </c>
    </row>
    <row r="64" spans="1:28" ht="15.75" customHeight="1" x14ac:dyDescent="0.2">
      <c r="A64" s="17" t="str">
        <f>HYPERLINK("https://bellevuecollege.edu", "Bellevue College")</f>
        <v>Bellevue College</v>
      </c>
      <c r="B64" s="18" t="s">
        <v>49</v>
      </c>
      <c r="C64" s="18" t="s">
        <v>184</v>
      </c>
      <c r="D64" s="18" t="s">
        <v>640</v>
      </c>
      <c r="E64" s="18" t="s">
        <v>36</v>
      </c>
      <c r="F64" s="18" t="s">
        <v>36</v>
      </c>
      <c r="J64" s="2"/>
      <c r="K64" s="19">
        <v>0.2412</v>
      </c>
      <c r="L64" s="19">
        <v>0.248826291</v>
      </c>
      <c r="M64" s="19">
        <v>0.23569999999999999</v>
      </c>
      <c r="N64" s="19">
        <v>6.6699999999999995E-2</v>
      </c>
      <c r="O64" s="19">
        <v>0.18920000000000001</v>
      </c>
      <c r="P64" s="19">
        <v>0.33929999999999999</v>
      </c>
      <c r="Q64" s="19">
        <v>0.13551401900000001</v>
      </c>
      <c r="R64" s="20">
        <v>23602</v>
      </c>
      <c r="S64" s="21" t="str">
        <f>HYPERLINK("https://bellevuecollege.edu/calculator/npcalc.htm", "$17803")</f>
        <v>$17803</v>
      </c>
      <c r="T64" s="22">
        <v>19892</v>
      </c>
      <c r="U64" s="22">
        <v>22495</v>
      </c>
      <c r="V64" s="20">
        <v>4290</v>
      </c>
      <c r="W64" s="20">
        <v>13513.7131147541</v>
      </c>
      <c r="Y64" s="19">
        <v>0.1163</v>
      </c>
      <c r="Z64" s="19">
        <v>0.59440000000000004</v>
      </c>
      <c r="AB64" s="23">
        <v>7150</v>
      </c>
    </row>
    <row r="65" spans="1:28" ht="15.75" customHeight="1" x14ac:dyDescent="0.2">
      <c r="A65" s="17" t="str">
        <f>HYPERLINK("https://www.belmontcollege.edu", "Belmont College")</f>
        <v>Belmont College</v>
      </c>
      <c r="B65" s="18" t="s">
        <v>49</v>
      </c>
      <c r="C65" s="18" t="s">
        <v>75</v>
      </c>
      <c r="D65" s="18" t="s">
        <v>952</v>
      </c>
      <c r="E65" s="18" t="s">
        <v>36</v>
      </c>
      <c r="F65" s="18" t="s">
        <v>36</v>
      </c>
      <c r="J65" s="2"/>
      <c r="K65" s="19">
        <v>0.32200000000000001</v>
      </c>
      <c r="L65" s="19">
        <v>0.17607973399999999</v>
      </c>
      <c r="M65" s="19">
        <v>0.31530000000000002</v>
      </c>
      <c r="N65" s="19" t="s">
        <v>36</v>
      </c>
      <c r="O65" s="19" t="s">
        <v>36</v>
      </c>
      <c r="P65" s="19" t="s">
        <v>36</v>
      </c>
      <c r="Q65" s="19">
        <v>2.1097046000000001E-2</v>
      </c>
      <c r="R65" s="20">
        <v>13538</v>
      </c>
      <c r="S65" s="21" t="str">
        <f>HYPERLINK("https://www.belmontcollege.edu/current-students/financial-aid/net-price-calculator/", "$9481")</f>
        <v>$9481</v>
      </c>
      <c r="T65" s="22">
        <v>10768</v>
      </c>
      <c r="U65" s="22">
        <v>11805</v>
      </c>
      <c r="V65" s="20">
        <v>4374</v>
      </c>
      <c r="W65" s="20">
        <v>5107.194029850747</v>
      </c>
      <c r="Y65" s="19">
        <v>0.52749999999999997</v>
      </c>
      <c r="Z65" s="19">
        <v>9.4899999999999984E-2</v>
      </c>
      <c r="AB65" s="23">
        <v>780</v>
      </c>
    </row>
    <row r="66" spans="1:28" ht="15.75" customHeight="1" x14ac:dyDescent="0.2">
      <c r="A66" s="17" t="str">
        <f>HYPERLINK("https://www.bergen.edu", "Bergen Community College")</f>
        <v>Bergen Community College</v>
      </c>
      <c r="B66" s="18" t="s">
        <v>49</v>
      </c>
      <c r="C66" s="18" t="s">
        <v>141</v>
      </c>
      <c r="D66" s="18" t="s">
        <v>953</v>
      </c>
      <c r="E66" s="18" t="s">
        <v>36</v>
      </c>
      <c r="F66" s="18" t="s">
        <v>36</v>
      </c>
      <c r="J66" s="2"/>
      <c r="K66" s="19">
        <v>0.216</v>
      </c>
      <c r="L66" s="19">
        <v>0.23768272900000001</v>
      </c>
      <c r="M66" s="19">
        <v>0.29270000000000002</v>
      </c>
      <c r="N66" s="19">
        <v>0.15740000000000001</v>
      </c>
      <c r="O66" s="19">
        <v>0.1946</v>
      </c>
      <c r="P66" s="19">
        <v>0.29859999999999998</v>
      </c>
      <c r="Q66" s="19">
        <v>0.105212664</v>
      </c>
      <c r="R66" s="20">
        <v>26438</v>
      </c>
      <c r="S66" s="21" t="str">
        <f>HYPERLINK("https://bergen.edu/price_calculator/npcalc.htm", "$21513")</f>
        <v>$21513</v>
      </c>
      <c r="T66" s="22">
        <v>26438</v>
      </c>
      <c r="U66" s="22">
        <v>26438</v>
      </c>
      <c r="V66" s="20">
        <v>5320</v>
      </c>
      <c r="W66" s="20">
        <v>16193.895031490551</v>
      </c>
      <c r="Y66" s="19">
        <v>0.32279999999999998</v>
      </c>
      <c r="Z66" s="19">
        <v>0.68930000000000002</v>
      </c>
      <c r="AB66" s="23">
        <v>12933</v>
      </c>
    </row>
    <row r="67" spans="1:28" ht="15.75" customHeight="1" x14ac:dyDescent="0.2">
      <c r="A67" s="17" t="str">
        <f>HYPERLINK("https://www.berginu.edu", "Bergin University of Canine Studies")</f>
        <v>Bergin University of Canine Studies</v>
      </c>
      <c r="B67" s="18" t="s">
        <v>32</v>
      </c>
      <c r="C67" s="18" t="s">
        <v>68</v>
      </c>
      <c r="D67" s="18" t="s">
        <v>955</v>
      </c>
      <c r="E67" s="18" t="s">
        <v>36</v>
      </c>
      <c r="F67" s="18" t="s">
        <v>36</v>
      </c>
      <c r="J67" s="2"/>
      <c r="K67" s="19" t="s">
        <v>36</v>
      </c>
      <c r="L67" s="19" t="s">
        <v>36</v>
      </c>
      <c r="M67" s="19" t="s">
        <v>36</v>
      </c>
      <c r="N67" s="19" t="s">
        <v>36</v>
      </c>
      <c r="O67" s="19" t="s">
        <v>36</v>
      </c>
      <c r="P67" s="19" t="s">
        <v>36</v>
      </c>
      <c r="Q67" s="19" t="s">
        <v>36</v>
      </c>
      <c r="R67" s="20" t="s">
        <v>36</v>
      </c>
      <c r="S67" s="21" t="str">
        <f>HYPERLINK("https://www.berginu.edu/net-price-calculator.html", "Not reported")</f>
        <v>Not reported</v>
      </c>
      <c r="T67" s="22" t="s">
        <v>36</v>
      </c>
      <c r="U67" s="22" t="s">
        <v>36</v>
      </c>
      <c r="V67" s="20" t="s">
        <v>36</v>
      </c>
      <c r="W67" s="20" t="s">
        <v>36</v>
      </c>
      <c r="Y67" s="19">
        <v>0.26190000000000002</v>
      </c>
      <c r="Z67" s="19">
        <v>0.24390000000000001</v>
      </c>
      <c r="AB67" s="23">
        <v>41</v>
      </c>
    </row>
    <row r="68" spans="1:28" ht="15.75" customHeight="1" x14ac:dyDescent="0.2">
      <c r="A68" s="17" t="str">
        <f>HYPERLINK("https://www.berkeleycitycollege.edu/wp/", "Berkeley City College")</f>
        <v>Berkeley City College</v>
      </c>
      <c r="B68" s="18" t="s">
        <v>49</v>
      </c>
      <c r="C68" s="18" t="s">
        <v>68</v>
      </c>
      <c r="D68" s="18" t="s">
        <v>160</v>
      </c>
      <c r="E68" s="18" t="s">
        <v>36</v>
      </c>
      <c r="F68" s="18" t="s">
        <v>36</v>
      </c>
      <c r="J68" s="2"/>
      <c r="K68" s="19">
        <v>0.2462</v>
      </c>
      <c r="L68" s="19" t="s">
        <v>36</v>
      </c>
      <c r="M68" s="19">
        <v>0.27779999999999999</v>
      </c>
      <c r="N68" s="19">
        <v>9.8400000000000001E-2</v>
      </c>
      <c r="O68" s="19">
        <v>0.15240000000000001</v>
      </c>
      <c r="P68" s="19">
        <v>0.47760000000000002</v>
      </c>
      <c r="Q68" s="19">
        <v>0.163710778</v>
      </c>
      <c r="R68" s="20">
        <v>26766</v>
      </c>
      <c r="S68" s="21" t="str">
        <f>HYPERLINK("https://www.berkeleycitycollege.edu/wp/financial_aid/net-price-calculator/", "$19878")</f>
        <v>$19878</v>
      </c>
      <c r="T68" s="22">
        <v>21721</v>
      </c>
      <c r="U68" s="22">
        <v>25084</v>
      </c>
      <c r="V68" s="20">
        <v>6363</v>
      </c>
      <c r="W68" s="20">
        <v>13515.62745098039</v>
      </c>
      <c r="Y68" s="19">
        <v>0.1774</v>
      </c>
      <c r="Z68" s="19">
        <v>0.75150000000000006</v>
      </c>
      <c r="AB68" s="23">
        <v>5445</v>
      </c>
    </row>
    <row r="69" spans="1:28" ht="15.75" customHeight="1" x14ac:dyDescent="0.2">
      <c r="A69" s="17" t="str">
        <f>HYPERLINK("https://www.berkshirecc.edu", "Berkshire Community College")</f>
        <v>Berkshire Community College</v>
      </c>
      <c r="B69" s="18" t="s">
        <v>49</v>
      </c>
      <c r="C69" s="18" t="s">
        <v>33</v>
      </c>
      <c r="D69" s="18" t="s">
        <v>958</v>
      </c>
      <c r="E69" s="18" t="s">
        <v>36</v>
      </c>
      <c r="F69" s="18" t="s">
        <v>36</v>
      </c>
      <c r="J69" s="2"/>
      <c r="K69" s="19">
        <v>0.18459999999999999</v>
      </c>
      <c r="L69" s="19">
        <v>0.21226415100000001</v>
      </c>
      <c r="M69" s="19">
        <v>0.1951</v>
      </c>
      <c r="N69" s="19">
        <v>0</v>
      </c>
      <c r="O69" s="19">
        <v>0.1923</v>
      </c>
      <c r="P69" s="19">
        <v>0.25</v>
      </c>
      <c r="Q69" s="19">
        <v>7.6811593999999997E-2</v>
      </c>
      <c r="R69" s="20">
        <v>27484</v>
      </c>
      <c r="S69" s="21" t="str">
        <f>HYPERLINK("https://www.berkshirecc.edu/paying-for-college/cost-of-attendance/index.php", "$20568")</f>
        <v>$20568</v>
      </c>
      <c r="T69" s="22">
        <v>22336</v>
      </c>
      <c r="U69" s="22">
        <v>25816</v>
      </c>
      <c r="V69" s="20">
        <v>5550</v>
      </c>
      <c r="W69" s="20">
        <v>15018.36507936508</v>
      </c>
      <c r="Y69" s="19">
        <v>0.43080000000000002</v>
      </c>
      <c r="Z69" s="19">
        <v>0.24479999999999999</v>
      </c>
      <c r="AB69" s="23">
        <v>1585</v>
      </c>
    </row>
    <row r="70" spans="1:28" ht="15.75" customHeight="1" x14ac:dyDescent="0.2">
      <c r="A70" s="17" t="str">
        <f>HYPERLINK("https://bethhatalmud.com", "Beth Hatalmud Rabbinical College")</f>
        <v>Beth Hatalmud Rabbinical College</v>
      </c>
      <c r="B70" s="18" t="s">
        <v>32</v>
      </c>
      <c r="C70" s="18" t="s">
        <v>38</v>
      </c>
      <c r="D70" s="18" t="s">
        <v>593</v>
      </c>
      <c r="E70" s="18" t="s">
        <v>36</v>
      </c>
      <c r="F70" s="18" t="s">
        <v>45</v>
      </c>
      <c r="J70" s="2"/>
      <c r="K70" s="19">
        <v>7.1400000000000005E-2</v>
      </c>
      <c r="L70" s="19" t="s">
        <v>36</v>
      </c>
      <c r="M70" s="19">
        <v>7.1400000000000005E-2</v>
      </c>
      <c r="N70" s="19" t="s">
        <v>36</v>
      </c>
      <c r="O70" s="19" t="s">
        <v>36</v>
      </c>
      <c r="P70" s="19" t="s">
        <v>36</v>
      </c>
      <c r="Q70" s="19" t="s">
        <v>36</v>
      </c>
      <c r="R70" s="20">
        <v>14300</v>
      </c>
      <c r="S70" s="21" t="str">
        <f>HYPERLINK("https://sites.google.com/site/bethhatalmudrabbinicalcollege", "Not reported")</f>
        <v>Not reported</v>
      </c>
      <c r="T70" s="22" t="s">
        <v>36</v>
      </c>
      <c r="U70" s="22" t="s">
        <v>36</v>
      </c>
      <c r="V70" s="20">
        <v>5800</v>
      </c>
      <c r="W70" s="20" t="s">
        <v>36</v>
      </c>
      <c r="Y70" s="19">
        <v>0.66669999999999996</v>
      </c>
      <c r="Z70" s="19">
        <v>0</v>
      </c>
      <c r="AB70" s="23">
        <v>11</v>
      </c>
    </row>
    <row r="71" spans="1:28" ht="15.75" customHeight="1" x14ac:dyDescent="0.2">
      <c r="A71" s="17" t="str">
        <f>HYPERLINK("https://www.bhdi.edu", "Academy of Couture Art")</f>
        <v>Academy of Couture Art</v>
      </c>
      <c r="B71" s="18" t="s">
        <v>368</v>
      </c>
      <c r="C71" s="18" t="s">
        <v>68</v>
      </c>
      <c r="D71" s="18" t="s">
        <v>959</v>
      </c>
      <c r="E71" s="18" t="s">
        <v>36</v>
      </c>
      <c r="F71" s="18" t="s">
        <v>45</v>
      </c>
      <c r="J71" s="2"/>
      <c r="K71" s="19">
        <v>0.85709999999999997</v>
      </c>
      <c r="L71" s="19" t="s">
        <v>36</v>
      </c>
      <c r="M71" s="19">
        <v>1</v>
      </c>
      <c r="N71" s="19">
        <v>1</v>
      </c>
      <c r="O71" s="19">
        <v>1</v>
      </c>
      <c r="P71" s="19">
        <v>1</v>
      </c>
      <c r="Q71" s="19" t="s">
        <v>36</v>
      </c>
      <c r="R71" s="20">
        <v>39471</v>
      </c>
      <c r="S71" s="21" t="str">
        <f>HYPERLINK("https://paulmitchell.edu/ogden/programs/cosmetology-barbering", "$37533")</f>
        <v>$37533</v>
      </c>
      <c r="T71" s="22" t="s">
        <v>36</v>
      </c>
      <c r="U71" s="22" t="s">
        <v>36</v>
      </c>
      <c r="V71" s="20">
        <v>3300</v>
      </c>
      <c r="W71" s="20">
        <v>34233</v>
      </c>
      <c r="Y71" s="19">
        <v>0.4</v>
      </c>
      <c r="Z71" s="19">
        <v>0.66670000000000007</v>
      </c>
      <c r="AB71" s="23">
        <v>18</v>
      </c>
    </row>
    <row r="72" spans="1:28" ht="15.75" customHeight="1" x14ac:dyDescent="0.2">
      <c r="A72" s="17" t="str">
        <f>HYPERLINK("https://www.bscc.edu", "Bevill State Community College")</f>
        <v>Bevill State Community College</v>
      </c>
      <c r="B72" s="18" t="s">
        <v>49</v>
      </c>
      <c r="C72" s="18" t="s">
        <v>300</v>
      </c>
      <c r="D72" s="18" t="s">
        <v>961</v>
      </c>
      <c r="E72" s="18" t="s">
        <v>36</v>
      </c>
      <c r="F72" s="18" t="s">
        <v>36</v>
      </c>
      <c r="J72" s="2"/>
      <c r="K72" s="19">
        <v>0.19020000000000001</v>
      </c>
      <c r="L72" s="19">
        <v>0.167892977</v>
      </c>
      <c r="M72" s="19">
        <v>0.2198</v>
      </c>
      <c r="N72" s="19">
        <v>4.9500000000000002E-2</v>
      </c>
      <c r="O72" s="19">
        <v>0.25</v>
      </c>
      <c r="P72" s="19">
        <v>0.5</v>
      </c>
      <c r="Q72" s="19">
        <v>5.9421842000000002E-2</v>
      </c>
      <c r="R72" s="20">
        <v>19524</v>
      </c>
      <c r="S72" s="21" t="str">
        <f>HYPERLINK("https://www.bscc.edu/students/financial-aid/net-cost-calculator", "$14109")</f>
        <v>$14109</v>
      </c>
      <c r="T72" s="22">
        <v>15562</v>
      </c>
      <c r="U72" s="22">
        <v>14808</v>
      </c>
      <c r="V72" s="20">
        <v>7650</v>
      </c>
      <c r="W72" s="20">
        <v>6459.4830769230757</v>
      </c>
      <c r="Y72" s="19">
        <v>0.47639999999999999</v>
      </c>
      <c r="Z72" s="19">
        <v>0.2044</v>
      </c>
      <c r="AB72" s="23">
        <v>3029</v>
      </c>
    </row>
    <row r="73" spans="1:28" ht="15.75" customHeight="1" x14ac:dyDescent="0.2">
      <c r="A73" s="17" t="str">
        <f>HYPERLINK("https://www.bigbend.edu", "Big Bend Community College")</f>
        <v>Big Bend Community College</v>
      </c>
      <c r="B73" s="18" t="s">
        <v>49</v>
      </c>
      <c r="C73" s="18" t="s">
        <v>184</v>
      </c>
      <c r="D73" s="18" t="s">
        <v>962</v>
      </c>
      <c r="E73" s="18" t="s">
        <v>36</v>
      </c>
      <c r="F73" s="18" t="s">
        <v>36</v>
      </c>
      <c r="J73" s="2"/>
      <c r="K73" s="19">
        <v>0.3614</v>
      </c>
      <c r="L73" s="19">
        <v>0.270718232</v>
      </c>
      <c r="M73" s="19">
        <v>0.37430000000000002</v>
      </c>
      <c r="N73" s="19">
        <v>0.4</v>
      </c>
      <c r="O73" s="19">
        <v>0.33329999999999999</v>
      </c>
      <c r="P73" s="19">
        <v>0.2</v>
      </c>
      <c r="Q73" s="19">
        <v>5.9665871000000002E-2</v>
      </c>
      <c r="R73" s="20">
        <v>16176</v>
      </c>
      <c r="S73" s="21" t="str">
        <f>HYPERLINK("https://www.bigbend.edu/admissions/financial-aid/net-price-calculator/", "$8727")</f>
        <v>$8727</v>
      </c>
      <c r="T73" s="22">
        <v>10768</v>
      </c>
      <c r="U73" s="22">
        <v>15943</v>
      </c>
      <c r="V73" s="20">
        <v>3870</v>
      </c>
      <c r="W73" s="20">
        <v>4857.5801526717551</v>
      </c>
      <c r="Y73" s="19">
        <v>0.37159999999999999</v>
      </c>
      <c r="Z73" s="19">
        <v>0.49940000000000001</v>
      </c>
      <c r="AB73" s="23">
        <v>1618</v>
      </c>
    </row>
    <row r="74" spans="1:28" ht="15.75" customHeight="1" x14ac:dyDescent="0.2">
      <c r="A74" s="17" t="str">
        <f>HYPERLINK("https://bismarckstate.edu/", "Bismarck State College")</f>
        <v>Bismarck State College</v>
      </c>
      <c r="B74" s="18" t="s">
        <v>49</v>
      </c>
      <c r="C74" s="18" t="s">
        <v>730</v>
      </c>
      <c r="D74" s="18" t="s">
        <v>965</v>
      </c>
      <c r="E74" s="18" t="s">
        <v>36</v>
      </c>
      <c r="F74" s="18" t="s">
        <v>36</v>
      </c>
      <c r="J74" s="2"/>
      <c r="K74" s="19">
        <v>0.4365</v>
      </c>
      <c r="L74" s="19">
        <v>0.39270386299999999</v>
      </c>
      <c r="M74" s="19">
        <v>0.47539999999999999</v>
      </c>
      <c r="N74" s="19">
        <v>9.0899999999999995E-2</v>
      </c>
      <c r="O74" s="19">
        <v>0.2</v>
      </c>
      <c r="P74" s="19">
        <v>0.6</v>
      </c>
      <c r="Q74" s="19">
        <v>7.1029529000000008E-2</v>
      </c>
      <c r="R74" s="20">
        <v>21072</v>
      </c>
      <c r="S74" s="21" t="str">
        <f>HYPERLINK("https://bismarckstate.edu/includes/netprice/", "$14984")</f>
        <v>$14984</v>
      </c>
      <c r="T74" s="22">
        <v>17607</v>
      </c>
      <c r="U74" s="22">
        <v>19587</v>
      </c>
      <c r="V74" s="20">
        <v>4400</v>
      </c>
      <c r="W74" s="20">
        <v>10584.028776978421</v>
      </c>
      <c r="Y74" s="19">
        <v>0.1517</v>
      </c>
      <c r="Z74" s="19">
        <v>0.14449999999999999</v>
      </c>
      <c r="AB74" s="23">
        <v>2892</v>
      </c>
    </row>
    <row r="75" spans="1:28" ht="15.75" customHeight="1" x14ac:dyDescent="0.2">
      <c r="A75" s="17" t="str">
        <f>HYPERLINK("https://www.bhc.edu", "Black Hawk College")</f>
        <v>Black Hawk College</v>
      </c>
      <c r="B75" s="18" t="s">
        <v>49</v>
      </c>
      <c r="C75" s="18" t="s">
        <v>137</v>
      </c>
      <c r="D75" s="18" t="s">
        <v>967</v>
      </c>
      <c r="E75" s="18" t="s">
        <v>36</v>
      </c>
      <c r="F75" s="18" t="s">
        <v>36</v>
      </c>
      <c r="J75" s="2"/>
      <c r="K75" s="19">
        <v>0.26579999999999998</v>
      </c>
      <c r="L75" s="19">
        <v>5.4368932000000002E-2</v>
      </c>
      <c r="M75" s="19">
        <v>0.32129999999999997</v>
      </c>
      <c r="N75" s="19">
        <v>0.05</v>
      </c>
      <c r="O75" s="19">
        <v>0.26</v>
      </c>
      <c r="P75" s="19">
        <v>0.66669999999999996</v>
      </c>
      <c r="Q75" s="19">
        <v>0.13127930300000001</v>
      </c>
      <c r="R75" s="20">
        <v>19961</v>
      </c>
      <c r="S75" s="21" t="str">
        <f>HYPERLINK("https://www.bhc.edu/admissions/paying-for-college/cost-of-attendance/", "$13248")</f>
        <v>$13248</v>
      </c>
      <c r="T75" s="22">
        <v>16601</v>
      </c>
      <c r="U75" s="22">
        <v>18807</v>
      </c>
      <c r="V75" s="20">
        <v>5527</v>
      </c>
      <c r="W75" s="20">
        <v>7721.8579545454559</v>
      </c>
      <c r="Y75" s="19">
        <v>0.2772</v>
      </c>
      <c r="Z75" s="19">
        <v>0.3256</v>
      </c>
      <c r="AB75" s="23">
        <v>3256</v>
      </c>
    </row>
    <row r="76" spans="1:28" ht="15.75" customHeight="1" x14ac:dyDescent="0.2">
      <c r="A76" s="17" t="str">
        <f>HYPERLINK("https://bfcc.edu", "Blackfeet Community College")</f>
        <v>Blackfeet Community College</v>
      </c>
      <c r="B76" s="18" t="s">
        <v>32</v>
      </c>
      <c r="C76" s="18" t="s">
        <v>421</v>
      </c>
      <c r="D76" s="18" t="s">
        <v>970</v>
      </c>
      <c r="E76" s="18" t="s">
        <v>36</v>
      </c>
      <c r="F76" s="18" t="s">
        <v>36</v>
      </c>
      <c r="J76" s="2"/>
      <c r="K76" s="19">
        <v>7.0699999999999999E-2</v>
      </c>
      <c r="L76" s="19" t="s">
        <v>36</v>
      </c>
      <c r="M76" s="19">
        <v>0</v>
      </c>
      <c r="N76" s="19" t="s">
        <v>36</v>
      </c>
      <c r="O76" s="19">
        <v>0</v>
      </c>
      <c r="P76" s="19" t="s">
        <v>36</v>
      </c>
      <c r="Q76" s="19" t="s">
        <v>36</v>
      </c>
      <c r="R76" s="20">
        <v>20396</v>
      </c>
      <c r="S76" s="21" t="str">
        <f>HYPERLINK("https://bfcc.edu/academics/net-price-calculator/", "$7040")</f>
        <v>$7040</v>
      </c>
      <c r="T76" s="22">
        <v>10098</v>
      </c>
      <c r="U76" s="22">
        <v>9055</v>
      </c>
      <c r="V76" s="20">
        <v>7169</v>
      </c>
      <c r="W76" s="20">
        <v>-129</v>
      </c>
      <c r="Y76" s="19">
        <v>0.66349999999999998</v>
      </c>
      <c r="Z76" s="19">
        <v>0.91400000000000003</v>
      </c>
      <c r="AB76" s="23">
        <v>372</v>
      </c>
    </row>
    <row r="77" spans="1:28" ht="15.75" customHeight="1" x14ac:dyDescent="0.2">
      <c r="A77" s="17" t="str">
        <f>HYPERLINK("https://www.bladencc.edu", "Bladen Community College")</f>
        <v>Bladen Community College</v>
      </c>
      <c r="B77" s="18" t="s">
        <v>49</v>
      </c>
      <c r="C77" s="18" t="s">
        <v>103</v>
      </c>
      <c r="D77" s="18" t="s">
        <v>972</v>
      </c>
      <c r="E77" s="18" t="s">
        <v>36</v>
      </c>
      <c r="F77" s="18" t="s">
        <v>36</v>
      </c>
      <c r="J77" s="2"/>
      <c r="K77" s="19">
        <v>9.35E-2</v>
      </c>
      <c r="L77" s="19">
        <v>9.3922651999999995E-2</v>
      </c>
      <c r="M77" s="19">
        <v>6.9800000000000001E-2</v>
      </c>
      <c r="N77" s="19">
        <v>0.1</v>
      </c>
      <c r="O77" s="19">
        <v>0</v>
      </c>
      <c r="P77" s="19" t="s">
        <v>36</v>
      </c>
      <c r="Q77" s="19">
        <v>1.9847328000000001E-2</v>
      </c>
      <c r="R77" s="20">
        <v>23126</v>
      </c>
      <c r="S77" s="21" t="str">
        <f>HYPERLINK("https://www.bladencc.edu", "$20318")</f>
        <v>$20318</v>
      </c>
      <c r="T77" s="22">
        <v>21435</v>
      </c>
      <c r="U77" s="22" t="s">
        <v>36</v>
      </c>
      <c r="V77" s="20">
        <v>7050</v>
      </c>
      <c r="W77" s="20">
        <v>13268.39240506329</v>
      </c>
      <c r="Y77" s="19">
        <v>0.55449999999999999</v>
      </c>
      <c r="Z77" s="19">
        <v>0.57240000000000002</v>
      </c>
      <c r="AB77" s="23">
        <v>849</v>
      </c>
    </row>
    <row r="78" spans="1:28" ht="15.75" customHeight="1" x14ac:dyDescent="0.2">
      <c r="A78" s="17" t="str">
        <f>HYPERLINK("https://www.blinn.edu", "Blinn College")</f>
        <v>Blinn College</v>
      </c>
      <c r="B78" s="18" t="s">
        <v>49</v>
      </c>
      <c r="C78" s="18" t="s">
        <v>146</v>
      </c>
      <c r="D78" s="18" t="s">
        <v>973</v>
      </c>
      <c r="E78" s="18" t="s">
        <v>36</v>
      </c>
      <c r="F78" s="18" t="s">
        <v>36</v>
      </c>
      <c r="J78" s="2"/>
      <c r="K78" s="19">
        <v>9.5299999999999996E-2</v>
      </c>
      <c r="L78" s="19">
        <v>7.7658975999999991E-2</v>
      </c>
      <c r="M78" s="19">
        <v>0.1057</v>
      </c>
      <c r="N78" s="19">
        <v>9.4200000000000006E-2</v>
      </c>
      <c r="O78" s="19">
        <v>6.7500000000000004E-2</v>
      </c>
      <c r="P78" s="19">
        <v>4.2599999999999999E-2</v>
      </c>
      <c r="Q78" s="19">
        <v>0.22654402100000001</v>
      </c>
      <c r="R78" s="20">
        <v>22574</v>
      </c>
      <c r="S78" s="21" t="str">
        <f>HYPERLINK("https://www.collegeforalltexans.com/apps/CollegeMoney/", "$17620")</f>
        <v>$17620</v>
      </c>
      <c r="T78" s="22">
        <v>20807</v>
      </c>
      <c r="U78" s="22">
        <v>22312</v>
      </c>
      <c r="V78" s="20">
        <v>7726</v>
      </c>
      <c r="W78" s="20">
        <v>9894.8948655256718</v>
      </c>
      <c r="Y78" s="19">
        <v>0.2238</v>
      </c>
      <c r="Z78" s="19">
        <v>0.39860000000000001</v>
      </c>
      <c r="AB78" s="23">
        <v>17123</v>
      </c>
    </row>
    <row r="79" spans="1:28" ht="15.75" customHeight="1" x14ac:dyDescent="0.2">
      <c r="A79" s="17" t="str">
        <f>HYPERLINK("https://www.bluecc.edu", "Blue Mountain Community College")</f>
        <v>Blue Mountain Community College</v>
      </c>
      <c r="B79" s="18" t="s">
        <v>49</v>
      </c>
      <c r="C79" s="18" t="s">
        <v>143</v>
      </c>
      <c r="D79" s="18" t="s">
        <v>974</v>
      </c>
      <c r="E79" s="18" t="s">
        <v>36</v>
      </c>
      <c r="F79" s="18" t="s">
        <v>36</v>
      </c>
      <c r="J79" s="2"/>
      <c r="K79" s="19">
        <v>0.37909999999999999</v>
      </c>
      <c r="L79" s="19">
        <v>0.15745393599999999</v>
      </c>
      <c r="M79" s="19">
        <v>0.3211</v>
      </c>
      <c r="N79" s="19">
        <v>0</v>
      </c>
      <c r="O79" s="19">
        <v>0.59319999999999995</v>
      </c>
      <c r="P79" s="19" t="s">
        <v>36</v>
      </c>
      <c r="Q79" s="19">
        <v>7.2832369999999994E-2</v>
      </c>
      <c r="R79" s="20">
        <v>27897</v>
      </c>
      <c r="S79" s="21" t="str">
        <f>HYPERLINK("https://proxy.bluecc.edu/supportfiles/Net%20Price%20Calculator/npcalc.htm", "$21962")</f>
        <v>$21962</v>
      </c>
      <c r="T79" s="22">
        <v>24077</v>
      </c>
      <c r="U79" s="22">
        <v>25857</v>
      </c>
      <c r="V79" s="20">
        <v>3742</v>
      </c>
      <c r="W79" s="20">
        <v>18220.32</v>
      </c>
      <c r="Y79" s="19">
        <v>0.36199999999999999</v>
      </c>
      <c r="Z79" s="19">
        <v>0.40870000000000001</v>
      </c>
      <c r="AB79" s="23">
        <v>1358</v>
      </c>
    </row>
    <row r="80" spans="1:28" ht="15.75" customHeight="1" x14ac:dyDescent="0.2">
      <c r="A80" s="17" t="str">
        <f>HYPERLINK("https://www.brcc.edu", "Blue Ridge Community College")</f>
        <v>Blue Ridge Community College</v>
      </c>
      <c r="B80" s="18" t="s">
        <v>49</v>
      </c>
      <c r="C80" s="18" t="s">
        <v>83</v>
      </c>
      <c r="D80" s="18" t="s">
        <v>977</v>
      </c>
      <c r="E80" s="18" t="s">
        <v>36</v>
      </c>
      <c r="F80" s="18" t="s">
        <v>36</v>
      </c>
      <c r="J80" s="2"/>
      <c r="K80" s="19">
        <v>0.31159999999999999</v>
      </c>
      <c r="L80" s="19">
        <v>0.252840909</v>
      </c>
      <c r="M80" s="19">
        <v>0.33789999999999998</v>
      </c>
      <c r="N80" s="19">
        <v>0.30769999999999997</v>
      </c>
      <c r="O80" s="19">
        <v>0.16</v>
      </c>
      <c r="P80" s="19">
        <v>0.36359999999999998</v>
      </c>
      <c r="Q80" s="19">
        <v>7.0723684000000009E-2</v>
      </c>
      <c r="R80" s="20">
        <v>29010</v>
      </c>
      <c r="S80" s="21" t="str">
        <f>HYPERLINK("https://www.vawizard.org/wizard/financing-college", "$23949")</f>
        <v>$23949</v>
      </c>
      <c r="T80" s="22">
        <v>25463</v>
      </c>
      <c r="U80" s="22">
        <v>27820</v>
      </c>
      <c r="V80" s="20">
        <v>8380</v>
      </c>
      <c r="W80" s="20">
        <v>15569.328042328039</v>
      </c>
      <c r="Y80" s="19">
        <v>0.3367</v>
      </c>
      <c r="Z80" s="19">
        <v>0.25209999999999999</v>
      </c>
      <c r="AB80" s="23">
        <v>3054</v>
      </c>
    </row>
    <row r="81" spans="1:28" ht="15.75" customHeight="1" x14ac:dyDescent="0.2">
      <c r="A81" s="17" t="str">
        <f>HYPERLINK("https://www.bpcc.edu", "Bossier Parish Community College")</f>
        <v>Bossier Parish Community College</v>
      </c>
      <c r="B81" s="18" t="s">
        <v>49</v>
      </c>
      <c r="C81" s="18" t="s">
        <v>158</v>
      </c>
      <c r="D81" s="18" t="s">
        <v>978</v>
      </c>
      <c r="E81" s="18" t="s">
        <v>36</v>
      </c>
      <c r="F81" s="18" t="s">
        <v>36</v>
      </c>
      <c r="J81" s="2"/>
      <c r="K81" s="19">
        <v>0.1021</v>
      </c>
      <c r="L81" s="19">
        <v>0.16271722</v>
      </c>
      <c r="M81" s="19">
        <v>0.1694</v>
      </c>
      <c r="N81" s="19">
        <v>5.3400000000000003E-2</v>
      </c>
      <c r="O81" s="19">
        <v>6.5199999999999994E-2</v>
      </c>
      <c r="P81" s="19">
        <v>0</v>
      </c>
      <c r="Q81" s="19">
        <v>6.823144099999999E-2</v>
      </c>
      <c r="R81" s="20">
        <v>23190</v>
      </c>
      <c r="S81" s="21" t="str">
        <f>HYPERLINK("https://www.bpcc.edu/financialaid/netpricecalculator/index.html", "$17830")</f>
        <v>$17830</v>
      </c>
      <c r="T81" s="22">
        <v>20714</v>
      </c>
      <c r="U81" s="22">
        <v>21874</v>
      </c>
      <c r="V81" s="20">
        <v>5373</v>
      </c>
      <c r="W81" s="20">
        <v>12457.672180451131</v>
      </c>
      <c r="Y81" s="19">
        <v>0.52059999999999995</v>
      </c>
      <c r="Z81" s="19">
        <v>0.5444</v>
      </c>
      <c r="AB81" s="23">
        <v>5975</v>
      </c>
    </row>
    <row r="82" spans="1:28" ht="15.75" customHeight="1" x14ac:dyDescent="0.2">
      <c r="A82" s="17" t="str">
        <f>HYPERLINK("https://www.firelands.bgsu.edu", "Bowling Green State University-Firelands")</f>
        <v>Bowling Green State University-Firelands</v>
      </c>
      <c r="B82" s="18" t="s">
        <v>49</v>
      </c>
      <c r="C82" s="18" t="s">
        <v>75</v>
      </c>
      <c r="D82" s="18" t="s">
        <v>979</v>
      </c>
      <c r="E82" s="18" t="s">
        <v>36</v>
      </c>
      <c r="F82" s="18" t="s">
        <v>36</v>
      </c>
      <c r="J82" s="2"/>
      <c r="K82" s="19">
        <v>0.1138</v>
      </c>
      <c r="L82" s="19">
        <v>0.32996632999999997</v>
      </c>
      <c r="M82" s="19">
        <v>0.1333</v>
      </c>
      <c r="N82" s="19">
        <v>3.4500000000000003E-2</v>
      </c>
      <c r="O82" s="19">
        <v>0.13639999999999999</v>
      </c>
      <c r="P82" s="19">
        <v>0</v>
      </c>
      <c r="Q82" s="19">
        <v>7.8569747999999995E-2</v>
      </c>
      <c r="R82" s="20">
        <v>28494</v>
      </c>
      <c r="S82" s="21" t="str">
        <f>HYPERLINK("https://sfa.bgsu.edu/net_price_calculator/firelands/", "$23998")</f>
        <v>$23998</v>
      </c>
      <c r="T82" s="22">
        <v>25951</v>
      </c>
      <c r="U82" s="22">
        <v>27998</v>
      </c>
      <c r="V82" s="20">
        <v>5408</v>
      </c>
      <c r="W82" s="20">
        <v>18590.27049180328</v>
      </c>
      <c r="Y82" s="19">
        <v>0.30159999999999998</v>
      </c>
      <c r="Z82" s="19">
        <v>0.22090000000000001</v>
      </c>
      <c r="AB82" s="23">
        <v>1236</v>
      </c>
    </row>
    <row r="83" spans="1:28" ht="15.75" customHeight="1" x14ac:dyDescent="0.2">
      <c r="A83" s="17" t="str">
        <f>HYPERLINK("https://www.bradfordschoolcolumbus.edu", "Bradford School")</f>
        <v>Bradford School</v>
      </c>
      <c r="B83" s="18" t="s">
        <v>368</v>
      </c>
      <c r="C83" s="18" t="s">
        <v>75</v>
      </c>
      <c r="D83" s="18" t="s">
        <v>237</v>
      </c>
      <c r="E83" s="18" t="s">
        <v>36</v>
      </c>
      <c r="F83" s="18" t="s">
        <v>36</v>
      </c>
      <c r="J83" s="2"/>
      <c r="K83" s="19">
        <v>0.72450000000000003</v>
      </c>
      <c r="L83" s="19">
        <v>0.61889250799999995</v>
      </c>
      <c r="M83" s="19">
        <v>0.76390000000000002</v>
      </c>
      <c r="N83" s="19">
        <v>0.5</v>
      </c>
      <c r="O83" s="19">
        <v>0.66669999999999996</v>
      </c>
      <c r="P83" s="19" t="s">
        <v>36</v>
      </c>
      <c r="Q83" s="19">
        <v>1.8998273E-2</v>
      </c>
      <c r="R83" s="20">
        <v>24966</v>
      </c>
      <c r="S83" s="21" t="str">
        <f>HYPERLINK("https://www.bradfordschoolcolumbus.edu/aid", "$16316")</f>
        <v>$16316</v>
      </c>
      <c r="T83" s="22">
        <v>20740</v>
      </c>
      <c r="U83" s="22">
        <v>22500</v>
      </c>
      <c r="V83" s="20">
        <v>2266</v>
      </c>
      <c r="W83" s="20">
        <v>14050</v>
      </c>
      <c r="Y83" s="19">
        <v>0.53280000000000005</v>
      </c>
      <c r="Z83" s="19">
        <v>0.32609999999999989</v>
      </c>
      <c r="AB83" s="23">
        <v>368</v>
      </c>
    </row>
    <row r="84" spans="1:28" ht="15.75" customHeight="1" x14ac:dyDescent="0.2">
      <c r="A84" s="17" t="str">
        <f>HYPERLINK("https://www.bradfordpittsburgh.edu", "Bradford School")</f>
        <v>Bradford School</v>
      </c>
      <c r="B84" s="18" t="s">
        <v>368</v>
      </c>
      <c r="C84" s="18" t="s">
        <v>65</v>
      </c>
      <c r="D84" s="18" t="s">
        <v>74</v>
      </c>
      <c r="E84" s="18" t="s">
        <v>36</v>
      </c>
      <c r="F84" s="18" t="s">
        <v>45</v>
      </c>
      <c r="J84" s="2"/>
      <c r="K84" s="19">
        <v>0.79430000000000001</v>
      </c>
      <c r="L84" s="19">
        <v>0.67021276600000002</v>
      </c>
      <c r="M84" s="19">
        <v>0.80649999999999999</v>
      </c>
      <c r="N84" s="19">
        <v>0.83330000000000004</v>
      </c>
      <c r="O84" s="19">
        <v>1</v>
      </c>
      <c r="P84" s="19">
        <v>0.5</v>
      </c>
      <c r="Q84" s="19" t="s">
        <v>36</v>
      </c>
      <c r="R84" s="20">
        <v>25170</v>
      </c>
      <c r="S84" s="21" t="str">
        <f>HYPERLINK("https://www.bradfordpittsburgh.edu/aid", "$11192")</f>
        <v>$11192</v>
      </c>
      <c r="T84" s="22">
        <v>14677</v>
      </c>
      <c r="U84" s="22">
        <v>18062</v>
      </c>
      <c r="V84" s="20">
        <v>4390</v>
      </c>
      <c r="W84" s="20">
        <v>6802</v>
      </c>
      <c r="Y84" s="19">
        <v>0.68900000000000006</v>
      </c>
      <c r="Z84" s="19">
        <v>0.28979999999999989</v>
      </c>
      <c r="AB84" s="23">
        <v>352</v>
      </c>
    </row>
    <row r="85" spans="1:28" ht="15.75" customHeight="1" x14ac:dyDescent="0.2">
      <c r="A85" s="17" t="str">
        <f>HYPERLINK("https://www.bridgevalley.edu/", "BridgeValley Community &amp; Technical College")</f>
        <v>BridgeValley Community &amp; Technical College</v>
      </c>
      <c r="B85" s="18" t="s">
        <v>49</v>
      </c>
      <c r="C85" s="18" t="s">
        <v>574</v>
      </c>
      <c r="D85" s="18" t="s">
        <v>982</v>
      </c>
      <c r="E85" s="18" t="s">
        <v>36</v>
      </c>
      <c r="F85" s="18" t="s">
        <v>36</v>
      </c>
      <c r="J85" s="19"/>
      <c r="K85" s="19">
        <v>0.3594</v>
      </c>
      <c r="L85" s="19">
        <v>0.171875</v>
      </c>
      <c r="M85" s="19">
        <v>0.38429999999999997</v>
      </c>
      <c r="N85" s="19">
        <v>0</v>
      </c>
      <c r="O85" s="19">
        <v>1</v>
      </c>
      <c r="P85" s="19">
        <v>0</v>
      </c>
      <c r="Q85" s="19">
        <v>8.984375E-2</v>
      </c>
      <c r="R85" s="20">
        <v>21794</v>
      </c>
      <c r="S85" s="33" t="str">
        <f>HYPERLINK("https://bridgevalley.studentaidcalculator.com/survey.aspx", "$16403")</f>
        <v>$16403</v>
      </c>
      <c r="T85" s="22">
        <v>18823</v>
      </c>
      <c r="U85" s="22">
        <v>20053</v>
      </c>
      <c r="V85" s="20">
        <v>4542</v>
      </c>
      <c r="W85" s="20">
        <v>11861.1974522293</v>
      </c>
      <c r="Y85" s="19">
        <v>0.41310000000000002</v>
      </c>
      <c r="Z85" s="19">
        <v>9.6999999999999975E-2</v>
      </c>
      <c r="AB85" s="18">
        <v>1856</v>
      </c>
    </row>
    <row r="86" spans="1:28" ht="15.75" customHeight="1" x14ac:dyDescent="0.2">
      <c r="A86" s="17" t="str">
        <f>HYPERLINK("https://www.brightwood.edu", "Brightwood College-Dayton")</f>
        <v>Brightwood College-Dayton</v>
      </c>
      <c r="B86" s="18" t="s">
        <v>368</v>
      </c>
      <c r="C86" s="18" t="s">
        <v>75</v>
      </c>
      <c r="D86" s="18" t="s">
        <v>506</v>
      </c>
      <c r="E86" s="18" t="s">
        <v>36</v>
      </c>
      <c r="F86" s="18" t="s">
        <v>36</v>
      </c>
      <c r="J86" s="19"/>
      <c r="K86" s="19">
        <v>0.6</v>
      </c>
      <c r="L86" s="19">
        <v>0.530841122</v>
      </c>
      <c r="M86" s="19">
        <v>0.54549999999999998</v>
      </c>
      <c r="N86" s="19">
        <v>0.47370000000000001</v>
      </c>
      <c r="O86" s="19">
        <v>1</v>
      </c>
      <c r="P86" s="19" t="s">
        <v>36</v>
      </c>
      <c r="Q86" s="19" t="s">
        <v>36</v>
      </c>
      <c r="R86" s="20" t="s">
        <v>36</v>
      </c>
      <c r="S86" s="33" t="str">
        <f>HYPERLINK("https://enroll.brightwood.edu/npc/", "$23056")</f>
        <v>$23056</v>
      </c>
      <c r="T86" s="22">
        <v>21329</v>
      </c>
      <c r="U86" s="22">
        <v>26717</v>
      </c>
      <c r="V86" s="20" t="s">
        <v>36</v>
      </c>
      <c r="W86" s="20" t="s">
        <v>36</v>
      </c>
      <c r="Y86" s="19">
        <v>0.69920000000000004</v>
      </c>
      <c r="Z86" s="19">
        <v>0.51449999999999996</v>
      </c>
      <c r="AB86" s="18">
        <v>276</v>
      </c>
    </row>
    <row r="87" spans="1:28" ht="15.75" customHeight="1" x14ac:dyDescent="0.2">
      <c r="A87" s="17" t="str">
        <f>HYPERLINK("https://www.bristolcc.edu", "Bristol Community College")</f>
        <v>Bristol Community College</v>
      </c>
      <c r="B87" s="18" t="s">
        <v>49</v>
      </c>
      <c r="C87" s="18" t="s">
        <v>33</v>
      </c>
      <c r="D87" s="18" t="s">
        <v>985</v>
      </c>
      <c r="E87" s="18" t="s">
        <v>36</v>
      </c>
      <c r="F87" s="18" t="s">
        <v>36</v>
      </c>
      <c r="J87" s="19"/>
      <c r="K87" s="19">
        <v>0.20610000000000001</v>
      </c>
      <c r="L87" s="19">
        <v>0.20594333100000001</v>
      </c>
      <c r="M87" s="19">
        <v>0.223</v>
      </c>
      <c r="N87" s="19">
        <v>0.15890000000000001</v>
      </c>
      <c r="O87" s="19">
        <v>0.1391</v>
      </c>
      <c r="P87" s="19">
        <v>0.21049999999999999</v>
      </c>
      <c r="Q87" s="19">
        <v>6.8310429000000006E-2</v>
      </c>
      <c r="R87" s="20">
        <v>18450</v>
      </c>
      <c r="S87" s="33" t="str">
        <f>HYPERLINK("https://www.bristolcc.edu/getstartedatbcc/financialaid/npc/", "$13652")</f>
        <v>$13652</v>
      </c>
      <c r="T87" s="22">
        <v>15769</v>
      </c>
      <c r="U87" s="22">
        <v>17732</v>
      </c>
      <c r="V87" s="20">
        <v>4850</v>
      </c>
      <c r="W87" s="20">
        <v>8802.9778156996581</v>
      </c>
      <c r="Y87" s="19">
        <v>0.4713</v>
      </c>
      <c r="Z87" s="19">
        <v>0.30130000000000001</v>
      </c>
      <c r="AB87" s="18">
        <v>6994</v>
      </c>
    </row>
    <row r="88" spans="1:28" ht="15.75" customHeight="1" x14ac:dyDescent="0.2">
      <c r="A88" s="17" t="str">
        <f>HYPERLINK("https://beau.broadviewuniversity.edu/", "Broadview Entertainment Arts University")</f>
        <v>Broadview Entertainment Arts University</v>
      </c>
      <c r="B88" s="18" t="s">
        <v>368</v>
      </c>
      <c r="C88" s="18" t="s">
        <v>199</v>
      </c>
      <c r="D88" s="18" t="s">
        <v>525</v>
      </c>
      <c r="E88" s="18" t="s">
        <v>36</v>
      </c>
      <c r="F88" s="18" t="s">
        <v>36</v>
      </c>
      <c r="J88" s="19"/>
      <c r="K88" s="19">
        <v>0.66669999999999996</v>
      </c>
      <c r="L88" s="19">
        <v>0.27526132399999997</v>
      </c>
      <c r="M88" s="19">
        <v>0.66669999999999996</v>
      </c>
      <c r="N88" s="19" t="s">
        <v>36</v>
      </c>
      <c r="O88" s="19" t="s">
        <v>36</v>
      </c>
      <c r="P88" s="19" t="s">
        <v>36</v>
      </c>
      <c r="Q88" s="19">
        <v>5.2631578999999998E-2</v>
      </c>
      <c r="R88" s="20">
        <v>30068</v>
      </c>
      <c r="S88" s="33" t="str">
        <f>HYPERLINK("https://beau.broadviewuniversity.edu/net-price-calculator/", "$22952")</f>
        <v>$22952</v>
      </c>
      <c r="T88" s="22" t="s">
        <v>36</v>
      </c>
      <c r="U88" s="22">
        <v>24271</v>
      </c>
      <c r="V88" s="20">
        <v>9355</v>
      </c>
      <c r="W88" s="20">
        <v>13597</v>
      </c>
      <c r="Y88" s="19">
        <v>0.34849999999999998</v>
      </c>
      <c r="Z88" s="19">
        <v>0.2235</v>
      </c>
      <c r="AB88" s="18">
        <v>85</v>
      </c>
    </row>
    <row r="89" spans="1:28" ht="15.75" customHeight="1" x14ac:dyDescent="0.2">
      <c r="A89" s="17" t="str">
        <f>HYPERLINK("https://www.broadviewuniversity.edu/", "Broadview University-West Jordan")</f>
        <v>Broadview University-West Jordan</v>
      </c>
      <c r="B89" s="18" t="s">
        <v>368</v>
      </c>
      <c r="C89" s="18" t="s">
        <v>199</v>
      </c>
      <c r="D89" s="18" t="s">
        <v>989</v>
      </c>
      <c r="E89" s="18" t="s">
        <v>36</v>
      </c>
      <c r="F89" s="18" t="s">
        <v>36</v>
      </c>
      <c r="J89" s="19"/>
      <c r="K89" s="19">
        <v>0</v>
      </c>
      <c r="L89" s="19">
        <v>0.27526132399999997</v>
      </c>
      <c r="M89" s="19">
        <v>0</v>
      </c>
      <c r="N89" s="19" t="s">
        <v>36</v>
      </c>
      <c r="O89" s="19">
        <v>0</v>
      </c>
      <c r="P89" s="19" t="s">
        <v>36</v>
      </c>
      <c r="Q89" s="19">
        <v>5.2631578999999998E-2</v>
      </c>
      <c r="R89" s="20">
        <v>30068</v>
      </c>
      <c r="S89" s="33" t="str">
        <f>HYPERLINK("https://www.broadviewuniversity.edu/NPC/npcalc.htm", "$18005")</f>
        <v>$18005</v>
      </c>
      <c r="T89" s="22">
        <v>24732</v>
      </c>
      <c r="U89" s="22">
        <v>25056</v>
      </c>
      <c r="V89" s="20">
        <v>9355</v>
      </c>
      <c r="W89" s="20">
        <v>8650</v>
      </c>
      <c r="Y89" s="19">
        <v>0.23330000000000001</v>
      </c>
      <c r="Z89" s="19">
        <v>0.1867</v>
      </c>
      <c r="AB89" s="18">
        <v>166</v>
      </c>
    </row>
    <row r="90" spans="1:28" ht="15.75" customHeight="1" x14ac:dyDescent="0.2">
      <c r="A90" s="17" t="str">
        <f>HYPERLINK("https://www.brookdalecc.edu", "Brookdale Community College")</f>
        <v>Brookdale Community College</v>
      </c>
      <c r="B90" s="18" t="s">
        <v>49</v>
      </c>
      <c r="C90" s="18" t="s">
        <v>141</v>
      </c>
      <c r="D90" s="18" t="s">
        <v>990</v>
      </c>
      <c r="E90" s="18" t="s">
        <v>36</v>
      </c>
      <c r="F90" s="18" t="s">
        <v>36</v>
      </c>
      <c r="J90" s="19"/>
      <c r="K90" s="19">
        <v>0.27479999999999999</v>
      </c>
      <c r="L90" s="19">
        <v>0.21935096200000001</v>
      </c>
      <c r="M90" s="19">
        <v>0.31879999999999997</v>
      </c>
      <c r="N90" s="19">
        <v>9.1300000000000006E-2</v>
      </c>
      <c r="O90" s="19">
        <v>0.1971</v>
      </c>
      <c r="P90" s="19">
        <v>0.32079999999999997</v>
      </c>
      <c r="Q90" s="19">
        <v>7.8524687999999995E-2</v>
      </c>
      <c r="R90" s="20">
        <v>24559</v>
      </c>
      <c r="S90" s="33" t="str">
        <f>HYPERLINK("https://www.brookdalecc.edu/documents/net-price-calculator/npcalc.htm", "$18141")</f>
        <v>$18141</v>
      </c>
      <c r="T90" s="22">
        <v>21420</v>
      </c>
      <c r="U90" s="22">
        <v>23999</v>
      </c>
      <c r="V90" s="20">
        <v>6208</v>
      </c>
      <c r="W90" s="20">
        <v>11933.48076923077</v>
      </c>
      <c r="Y90" s="19">
        <v>0.25159999999999999</v>
      </c>
      <c r="Z90" s="19">
        <v>0.35070000000000001</v>
      </c>
      <c r="AB90" s="18">
        <v>10843</v>
      </c>
    </row>
    <row r="91" spans="1:28" ht="15.75" customHeight="1" x14ac:dyDescent="0.2">
      <c r="A91" s="17" t="str">
        <f>HYPERLINK("https://www.brookhavencollege.edu/", "Brookhaven College")</f>
        <v>Brookhaven College</v>
      </c>
      <c r="B91" s="18" t="s">
        <v>49</v>
      </c>
      <c r="C91" s="18" t="s">
        <v>146</v>
      </c>
      <c r="D91" s="18" t="s">
        <v>991</v>
      </c>
      <c r="E91" s="18" t="s">
        <v>36</v>
      </c>
      <c r="F91" s="18" t="s">
        <v>36</v>
      </c>
      <c r="J91" s="19"/>
      <c r="K91" s="19">
        <v>0.15840000000000001</v>
      </c>
      <c r="L91" s="19" t="s">
        <v>36</v>
      </c>
      <c r="M91" s="19">
        <v>0.1429</v>
      </c>
      <c r="N91" s="19">
        <v>0.13750000000000001</v>
      </c>
      <c r="O91" s="19">
        <v>0.1479</v>
      </c>
      <c r="P91" s="19">
        <v>0.21279999999999999</v>
      </c>
      <c r="Q91" s="19">
        <v>0.15190615800000001</v>
      </c>
      <c r="R91" s="20">
        <v>20621</v>
      </c>
      <c r="S91" s="33" t="str">
        <f>HYPERLINK("https://www.collegeforalltexans.com/apps/CollegeMoney/", "$15438")</f>
        <v>$15438</v>
      </c>
      <c r="T91" s="22">
        <v>18093</v>
      </c>
      <c r="U91" s="22">
        <v>20621</v>
      </c>
      <c r="V91" s="20">
        <v>5456</v>
      </c>
      <c r="W91" s="20">
        <v>9982.4907407407409</v>
      </c>
      <c r="Y91" s="19">
        <v>0.23019999999999999</v>
      </c>
      <c r="Z91" s="19">
        <v>0.7651</v>
      </c>
      <c r="AB91" s="18">
        <v>10001</v>
      </c>
    </row>
    <row r="92" spans="1:28" ht="15.75" customHeight="1" x14ac:dyDescent="0.2">
      <c r="A92" s="17" t="str">
        <f>HYPERLINK("https://www.broward.edu", "Broward College")</f>
        <v>Broward College</v>
      </c>
      <c r="B92" s="18" t="s">
        <v>49</v>
      </c>
      <c r="C92" s="18" t="s">
        <v>162</v>
      </c>
      <c r="D92" s="18" t="s">
        <v>433</v>
      </c>
      <c r="E92" s="18" t="s">
        <v>36</v>
      </c>
      <c r="F92" s="18" t="s">
        <v>36</v>
      </c>
      <c r="J92" s="19"/>
      <c r="K92" s="19">
        <v>0.30470000000000003</v>
      </c>
      <c r="L92" s="19">
        <v>0.24492277800000001</v>
      </c>
      <c r="M92" s="19">
        <v>0.35930000000000001</v>
      </c>
      <c r="N92" s="19">
        <v>0.22459999999999999</v>
      </c>
      <c r="O92" s="19">
        <v>0.31740000000000002</v>
      </c>
      <c r="P92" s="19">
        <v>0.48759999999999998</v>
      </c>
      <c r="Q92" s="19">
        <v>9.3184741000000001E-2</v>
      </c>
      <c r="R92" s="20">
        <v>17058</v>
      </c>
      <c r="S92" s="33" t="str">
        <f>HYPERLINK("https://www.broward.edu/financialaid/Pages/NetPriceCalculator.aspx", "$12361")</f>
        <v>$12361</v>
      </c>
      <c r="T92" s="22">
        <v>14290</v>
      </c>
      <c r="U92" s="22">
        <v>16319</v>
      </c>
      <c r="V92" s="20">
        <v>5577</v>
      </c>
      <c r="W92" s="20">
        <v>6784.1854176726229</v>
      </c>
      <c r="Y92" s="19">
        <v>0.49419999999999997</v>
      </c>
      <c r="Z92" s="19">
        <v>0.83309999999999995</v>
      </c>
      <c r="AB92" s="18">
        <v>35127</v>
      </c>
    </row>
    <row r="93" spans="1:28" ht="15.75" customHeight="1" x14ac:dyDescent="0.2">
      <c r="A93" s="17" t="str">
        <f>HYPERLINK("https://www.brownmackie.edu/", "Brown Mackie College-Albuquerque")</f>
        <v>Brown Mackie College-Albuquerque</v>
      </c>
      <c r="B93" s="18" t="s">
        <v>368</v>
      </c>
      <c r="C93" s="18" t="s">
        <v>234</v>
      </c>
      <c r="D93" s="18" t="s">
        <v>993</v>
      </c>
      <c r="E93" s="18" t="s">
        <v>36</v>
      </c>
      <c r="F93" s="18" t="s">
        <v>36</v>
      </c>
      <c r="J93" s="19"/>
      <c r="K93" s="19">
        <v>0.55859999999999999</v>
      </c>
      <c r="L93" s="19">
        <v>0.35625661299999989</v>
      </c>
      <c r="M93" s="19">
        <v>0.58140000000000003</v>
      </c>
      <c r="N93" s="19">
        <v>0.28570000000000001</v>
      </c>
      <c r="O93" s="19">
        <v>0.4667</v>
      </c>
      <c r="P93" s="19">
        <v>0.66669999999999996</v>
      </c>
      <c r="Q93" s="19">
        <v>4.6711292000000001E-2</v>
      </c>
      <c r="R93" s="20" t="s">
        <v>36</v>
      </c>
      <c r="S93" s="33" t="str">
        <f t="shared" ref="S93:S104" si="0">HYPERLINK("https://tcc.noellevitz.com/edmc/Brown-Mackie Net Price Calculator", "Not reported")</f>
        <v>Not reported</v>
      </c>
      <c r="T93" s="22" t="s">
        <v>36</v>
      </c>
      <c r="U93" s="22" t="s">
        <v>36</v>
      </c>
      <c r="V93" s="20" t="s">
        <v>36</v>
      </c>
      <c r="W93" s="20" t="s">
        <v>36</v>
      </c>
      <c r="Y93" s="19">
        <v>0.87639999999999996</v>
      </c>
      <c r="Z93" s="19">
        <v>1</v>
      </c>
      <c r="AB93" s="18">
        <v>141</v>
      </c>
    </row>
    <row r="94" spans="1:28" ht="15.75" customHeight="1" x14ac:dyDescent="0.2">
      <c r="A94" s="17" t="str">
        <f>HYPERLINK("https://www.brownmackie.edu/locations/atlanta", "Brown Mackie College-Atlanta")</f>
        <v>Brown Mackie College-Atlanta</v>
      </c>
      <c r="B94" s="18" t="s">
        <v>368</v>
      </c>
      <c r="C94" s="18" t="s">
        <v>107</v>
      </c>
      <c r="D94" s="18" t="s">
        <v>108</v>
      </c>
      <c r="E94" s="18" t="s">
        <v>36</v>
      </c>
      <c r="F94" s="18" t="s">
        <v>36</v>
      </c>
      <c r="J94" s="19"/>
      <c r="K94" s="19">
        <v>0.34329999999999999</v>
      </c>
      <c r="L94" s="19">
        <v>0.35625661299999989</v>
      </c>
      <c r="M94" s="19">
        <v>0.36959999999999998</v>
      </c>
      <c r="N94" s="19">
        <v>0.22989999999999999</v>
      </c>
      <c r="O94" s="19">
        <v>0.4783</v>
      </c>
      <c r="P94" s="19">
        <v>0.8</v>
      </c>
      <c r="Q94" s="19">
        <v>4.6711292000000001E-2</v>
      </c>
      <c r="R94" s="20" t="s">
        <v>36</v>
      </c>
      <c r="S94" s="33" t="str">
        <f t="shared" si="0"/>
        <v>Not reported</v>
      </c>
      <c r="T94" s="22" t="s">
        <v>36</v>
      </c>
      <c r="U94" s="22" t="s">
        <v>36</v>
      </c>
      <c r="V94" s="20" t="s">
        <v>36</v>
      </c>
      <c r="W94" s="20" t="s">
        <v>36</v>
      </c>
      <c r="Y94" s="19">
        <v>0.7</v>
      </c>
      <c r="Z94" s="19">
        <v>0.77329999999999999</v>
      </c>
      <c r="AB94" s="18">
        <v>150</v>
      </c>
    </row>
    <row r="95" spans="1:28" ht="15.75" customHeight="1" x14ac:dyDescent="0.2">
      <c r="A95" s="17" t="str">
        <f>HYPERLINK("https://www.brownmackie.edu", "Brown Mackie College-Boise")</f>
        <v>Brown Mackie College-Boise</v>
      </c>
      <c r="B95" s="18" t="s">
        <v>368</v>
      </c>
      <c r="C95" s="18" t="s">
        <v>486</v>
      </c>
      <c r="D95" s="18" t="s">
        <v>583</v>
      </c>
      <c r="E95" s="18" t="s">
        <v>36</v>
      </c>
      <c r="F95" s="18" t="s">
        <v>36</v>
      </c>
      <c r="J95" s="19"/>
      <c r="K95" s="19">
        <v>0.1545</v>
      </c>
      <c r="L95" s="19">
        <v>0.35625661299999989</v>
      </c>
      <c r="M95" s="19">
        <v>0.18179999999999999</v>
      </c>
      <c r="N95" s="19">
        <v>4.1700000000000001E-2</v>
      </c>
      <c r="O95" s="19">
        <v>0.16669999999999999</v>
      </c>
      <c r="P95" s="19" t="s">
        <v>36</v>
      </c>
      <c r="Q95" s="19">
        <v>4.6711292000000001E-2</v>
      </c>
      <c r="R95" s="20" t="s">
        <v>36</v>
      </c>
      <c r="S95" s="33" t="str">
        <f t="shared" si="0"/>
        <v>Not reported</v>
      </c>
      <c r="T95" s="22" t="s">
        <v>36</v>
      </c>
      <c r="U95" s="22" t="s">
        <v>36</v>
      </c>
      <c r="V95" s="20" t="s">
        <v>36</v>
      </c>
      <c r="W95" s="20" t="s">
        <v>36</v>
      </c>
      <c r="Y95" s="19">
        <v>0.73599999999999999</v>
      </c>
      <c r="Z95" s="19">
        <v>0.79730000000000001</v>
      </c>
      <c r="AB95" s="18">
        <v>74</v>
      </c>
    </row>
    <row r="96" spans="1:28" ht="15.75" customHeight="1" x14ac:dyDescent="0.2">
      <c r="A96" s="17" t="str">
        <f>HYPERLINK("https://www.brownmackie.edu/locations/cincinnati", "Brown Mackie College-Cincinnati")</f>
        <v>Brown Mackie College-Cincinnati</v>
      </c>
      <c r="B96" s="18" t="s">
        <v>368</v>
      </c>
      <c r="C96" s="18" t="s">
        <v>75</v>
      </c>
      <c r="D96" s="18" t="s">
        <v>502</v>
      </c>
      <c r="E96" s="18" t="s">
        <v>36</v>
      </c>
      <c r="F96" s="18" t="s">
        <v>36</v>
      </c>
      <c r="J96" s="19"/>
      <c r="K96" s="19">
        <v>0.2</v>
      </c>
      <c r="L96" s="19">
        <v>0.35625661299999989</v>
      </c>
      <c r="M96" s="19">
        <v>0.4</v>
      </c>
      <c r="N96" s="19">
        <v>0</v>
      </c>
      <c r="O96" s="19">
        <v>0</v>
      </c>
      <c r="P96" s="19" t="s">
        <v>36</v>
      </c>
      <c r="Q96" s="19">
        <v>4.6711292000000001E-2</v>
      </c>
      <c r="R96" s="20" t="s">
        <v>36</v>
      </c>
      <c r="S96" s="33" t="str">
        <f t="shared" si="0"/>
        <v>Not reported</v>
      </c>
      <c r="T96" s="22" t="s">
        <v>36</v>
      </c>
      <c r="U96" s="22" t="s">
        <v>36</v>
      </c>
      <c r="V96" s="20" t="s">
        <v>36</v>
      </c>
      <c r="W96" s="20" t="s">
        <v>36</v>
      </c>
      <c r="Y96" s="19">
        <v>0.69079999999999997</v>
      </c>
      <c r="Z96" s="19">
        <v>0.31519999999999998</v>
      </c>
      <c r="AB96" s="18">
        <v>184</v>
      </c>
    </row>
    <row r="97" spans="1:28" ht="15.75" customHeight="1" x14ac:dyDescent="0.2">
      <c r="A97" s="36" t="str">
        <f>HYPERLINK("https://www.brownmackie.edu/", "Brown Mackie College-Dallas")</f>
        <v>Brown Mackie College-Dallas</v>
      </c>
      <c r="B97" s="18" t="s">
        <v>368</v>
      </c>
      <c r="C97" s="18" t="s">
        <v>146</v>
      </c>
      <c r="D97" s="18" t="s">
        <v>997</v>
      </c>
      <c r="E97" s="18" t="s">
        <v>36</v>
      </c>
      <c r="F97" s="18" t="s">
        <v>36</v>
      </c>
      <c r="J97" s="19"/>
      <c r="K97" s="19" t="s">
        <v>36</v>
      </c>
      <c r="L97" s="19">
        <v>0.35625661299999989</v>
      </c>
      <c r="M97" s="19" t="s">
        <v>36</v>
      </c>
      <c r="N97" s="19" t="s">
        <v>36</v>
      </c>
      <c r="O97" s="19" t="s">
        <v>36</v>
      </c>
      <c r="P97" s="19" t="s">
        <v>36</v>
      </c>
      <c r="Q97" s="19">
        <v>4.6711292000000001E-2</v>
      </c>
      <c r="R97" s="20" t="s">
        <v>36</v>
      </c>
      <c r="S97" s="21" t="str">
        <f t="shared" si="0"/>
        <v>Not reported</v>
      </c>
      <c r="T97" s="20" t="s">
        <v>36</v>
      </c>
      <c r="U97" s="20" t="s">
        <v>36</v>
      </c>
      <c r="V97" s="20" t="s">
        <v>36</v>
      </c>
      <c r="W97" s="20" t="s">
        <v>36</v>
      </c>
      <c r="Y97" s="19">
        <v>0.6159</v>
      </c>
      <c r="Z97" s="19">
        <v>0.84030000000000005</v>
      </c>
      <c r="AB97" s="18">
        <v>144</v>
      </c>
    </row>
    <row r="98" spans="1:28" ht="15.75" customHeight="1" x14ac:dyDescent="0.2">
      <c r="A98" s="36" t="str">
        <f>HYPERLINK("https://www.brownmackie.edu/locations/findlay", "Brown Mackie College-Findlay")</f>
        <v>Brown Mackie College-Findlay</v>
      </c>
      <c r="B98" s="18" t="s">
        <v>368</v>
      </c>
      <c r="C98" s="18" t="s">
        <v>75</v>
      </c>
      <c r="D98" s="18" t="s">
        <v>998</v>
      </c>
      <c r="E98" s="18" t="s">
        <v>36</v>
      </c>
      <c r="F98" s="18" t="s">
        <v>36</v>
      </c>
      <c r="J98" s="19"/>
      <c r="K98" s="19">
        <v>0.17560000000000001</v>
      </c>
      <c r="L98" s="19">
        <v>0.35625661299999989</v>
      </c>
      <c r="M98" s="19">
        <v>0.215</v>
      </c>
      <c r="N98" s="19">
        <v>0</v>
      </c>
      <c r="O98" s="19" t="s">
        <v>36</v>
      </c>
      <c r="P98" s="19" t="s">
        <v>36</v>
      </c>
      <c r="Q98" s="19">
        <v>4.6711292000000001E-2</v>
      </c>
      <c r="R98" s="20" t="s">
        <v>36</v>
      </c>
      <c r="S98" s="21" t="str">
        <f t="shared" si="0"/>
        <v>Not reported</v>
      </c>
      <c r="T98" s="20" t="s">
        <v>36</v>
      </c>
      <c r="U98" s="20" t="s">
        <v>36</v>
      </c>
      <c r="V98" s="20" t="s">
        <v>36</v>
      </c>
      <c r="W98" s="20" t="s">
        <v>36</v>
      </c>
      <c r="Y98" s="19">
        <v>0.71499999999999997</v>
      </c>
      <c r="Z98" s="19">
        <v>0.74219999999999997</v>
      </c>
      <c r="AB98" s="18">
        <v>128</v>
      </c>
    </row>
    <row r="99" spans="1:28" ht="15.75" customHeight="1" x14ac:dyDescent="0.2">
      <c r="A99" s="36" t="str">
        <f>HYPERLINK("https://www.brownmackie.edu/locations/fort-wayne", "Brown Mackie College-Fort Wayne")</f>
        <v>Brown Mackie College-Fort Wayne</v>
      </c>
      <c r="B99" s="18" t="s">
        <v>368</v>
      </c>
      <c r="C99" s="18" t="s">
        <v>148</v>
      </c>
      <c r="D99" s="18" t="s">
        <v>815</v>
      </c>
      <c r="E99" s="18" t="s">
        <v>36</v>
      </c>
      <c r="F99" s="18" t="s">
        <v>36</v>
      </c>
      <c r="J99" s="19"/>
      <c r="K99" s="19">
        <v>0.16789999999999999</v>
      </c>
      <c r="L99" s="19">
        <v>0.35625661299999989</v>
      </c>
      <c r="M99" s="19">
        <v>0.19159999999999999</v>
      </c>
      <c r="N99" s="19">
        <v>5.6599999999999998E-2</v>
      </c>
      <c r="O99" s="19">
        <v>0.28570000000000001</v>
      </c>
      <c r="P99" s="19">
        <v>0</v>
      </c>
      <c r="Q99" s="19">
        <v>4.6711292000000001E-2</v>
      </c>
      <c r="R99" s="20" t="s">
        <v>36</v>
      </c>
      <c r="S99" s="21" t="str">
        <f t="shared" si="0"/>
        <v>Not reported</v>
      </c>
      <c r="T99" s="20" t="s">
        <v>36</v>
      </c>
      <c r="U99" s="20" t="s">
        <v>36</v>
      </c>
      <c r="V99" s="20" t="s">
        <v>36</v>
      </c>
      <c r="W99" s="20" t="s">
        <v>36</v>
      </c>
      <c r="Y99" s="19">
        <v>0.69469999999999998</v>
      </c>
      <c r="Z99" s="19">
        <v>0.77910000000000001</v>
      </c>
      <c r="AB99" s="18">
        <v>86</v>
      </c>
    </row>
    <row r="100" spans="1:28" ht="15.75" customHeight="1" x14ac:dyDescent="0.2">
      <c r="A100" s="36" t="str">
        <f>HYPERLINK("https://www.brownmackie.edu/locations/greenville", "Brown Mackie College-Greenville")</f>
        <v>Brown Mackie College-Greenville</v>
      </c>
      <c r="B100" s="18" t="s">
        <v>368</v>
      </c>
      <c r="C100" s="18" t="s">
        <v>208</v>
      </c>
      <c r="D100" s="18" t="s">
        <v>220</v>
      </c>
      <c r="E100" s="18" t="s">
        <v>36</v>
      </c>
      <c r="F100" s="18" t="s">
        <v>36</v>
      </c>
      <c r="J100" s="19"/>
      <c r="K100" s="19">
        <v>0.2059</v>
      </c>
      <c r="L100" s="19">
        <v>0.35625661299999989</v>
      </c>
      <c r="M100" s="19">
        <v>0.4118</v>
      </c>
      <c r="N100" s="19">
        <v>0</v>
      </c>
      <c r="O100" s="19">
        <v>0</v>
      </c>
      <c r="P100" s="19" t="s">
        <v>36</v>
      </c>
      <c r="Q100" s="19">
        <v>4.6711292000000001E-2</v>
      </c>
      <c r="R100" s="20" t="s">
        <v>36</v>
      </c>
      <c r="S100" s="21" t="str">
        <f t="shared" si="0"/>
        <v>Not reported</v>
      </c>
      <c r="T100" s="20" t="s">
        <v>36</v>
      </c>
      <c r="U100" s="20" t="s">
        <v>36</v>
      </c>
      <c r="V100" s="20" t="s">
        <v>36</v>
      </c>
      <c r="W100" s="20" t="s">
        <v>36</v>
      </c>
      <c r="Y100" s="19">
        <v>0.73329999999999995</v>
      </c>
      <c r="Z100" s="19">
        <v>0.78239999999999998</v>
      </c>
      <c r="AB100" s="18">
        <v>216</v>
      </c>
    </row>
    <row r="101" spans="1:28" ht="15.75" customHeight="1" x14ac:dyDescent="0.2">
      <c r="A101" s="36" t="str">
        <f>HYPERLINK("https://www.brownmackie.edu", "Brown Mackie College-Indianapolis")</f>
        <v>Brown Mackie College-Indianapolis</v>
      </c>
      <c r="B101" s="18" t="s">
        <v>368</v>
      </c>
      <c r="C101" s="18" t="s">
        <v>148</v>
      </c>
      <c r="D101" s="18" t="s">
        <v>316</v>
      </c>
      <c r="E101" s="18" t="s">
        <v>36</v>
      </c>
      <c r="F101" s="18" t="s">
        <v>36</v>
      </c>
      <c r="J101" s="19"/>
      <c r="K101" s="19">
        <v>8.3699999999999997E-2</v>
      </c>
      <c r="L101" s="19">
        <v>0.35625661299999989</v>
      </c>
      <c r="M101" s="19">
        <v>0.104</v>
      </c>
      <c r="N101" s="19">
        <v>6.0600000000000001E-2</v>
      </c>
      <c r="O101" s="19" t="s">
        <v>36</v>
      </c>
      <c r="P101" s="19">
        <v>0</v>
      </c>
      <c r="Q101" s="19">
        <v>4.6711292000000001E-2</v>
      </c>
      <c r="R101" s="20" t="s">
        <v>36</v>
      </c>
      <c r="S101" s="21" t="str">
        <f t="shared" si="0"/>
        <v>Not reported</v>
      </c>
      <c r="T101" s="20" t="s">
        <v>36</v>
      </c>
      <c r="U101" s="20" t="s">
        <v>36</v>
      </c>
      <c r="V101" s="20" t="s">
        <v>36</v>
      </c>
      <c r="W101" s="20" t="s">
        <v>36</v>
      </c>
      <c r="Y101" s="19">
        <v>0.63370000000000004</v>
      </c>
      <c r="Z101" s="19">
        <v>0.8155</v>
      </c>
      <c r="AB101" s="18">
        <v>168</v>
      </c>
    </row>
    <row r="102" spans="1:28" ht="15.75" customHeight="1" x14ac:dyDescent="0.2">
      <c r="A102" s="36" t="str">
        <f>HYPERLINK("https://www.brownmackie.edu/locations/louisville", "Brown Mackie College-Louisville")</f>
        <v>Brown Mackie College-Louisville</v>
      </c>
      <c r="B102" s="18" t="s">
        <v>368</v>
      </c>
      <c r="C102" s="18" t="s">
        <v>205</v>
      </c>
      <c r="D102" s="18" t="s">
        <v>306</v>
      </c>
      <c r="E102" s="18" t="s">
        <v>36</v>
      </c>
      <c r="F102" s="18" t="s">
        <v>36</v>
      </c>
      <c r="J102" s="19"/>
      <c r="K102" s="19">
        <v>0.17100000000000001</v>
      </c>
      <c r="L102" s="19">
        <v>0.35625661299999989</v>
      </c>
      <c r="M102" s="19">
        <v>0.1966</v>
      </c>
      <c r="N102" s="19">
        <v>5.4100000000000002E-2</v>
      </c>
      <c r="O102" s="19">
        <v>0.3</v>
      </c>
      <c r="P102" s="19">
        <v>0</v>
      </c>
      <c r="Q102" s="19">
        <v>4.6711292000000001E-2</v>
      </c>
      <c r="R102" s="20" t="s">
        <v>36</v>
      </c>
      <c r="S102" s="21" t="str">
        <f t="shared" si="0"/>
        <v>Not reported</v>
      </c>
      <c r="T102" s="20" t="s">
        <v>36</v>
      </c>
      <c r="U102" s="20" t="s">
        <v>36</v>
      </c>
      <c r="V102" s="20" t="s">
        <v>36</v>
      </c>
      <c r="W102" s="20" t="s">
        <v>36</v>
      </c>
      <c r="Y102" s="19">
        <v>0.61980000000000002</v>
      </c>
      <c r="Z102" s="19">
        <v>1</v>
      </c>
      <c r="AB102" s="18">
        <v>208</v>
      </c>
    </row>
    <row r="103" spans="1:28" ht="15.75" customHeight="1" x14ac:dyDescent="0.2">
      <c r="A103" s="36" t="str">
        <f>HYPERLINK("https://www.brownmackie.edu/locations/merrillville", "Brown Mackie College-Merrillville")</f>
        <v>Brown Mackie College-Merrillville</v>
      </c>
      <c r="B103" s="18" t="s">
        <v>368</v>
      </c>
      <c r="C103" s="18" t="s">
        <v>148</v>
      </c>
      <c r="D103" s="18" t="s">
        <v>1003</v>
      </c>
      <c r="E103" s="18" t="s">
        <v>36</v>
      </c>
      <c r="F103" s="18" t="s">
        <v>36</v>
      </c>
      <c r="J103" s="19"/>
      <c r="K103" s="19">
        <v>0.48970000000000002</v>
      </c>
      <c r="L103" s="19">
        <v>0.35625661299999989</v>
      </c>
      <c r="M103" s="19">
        <v>0.55259999999999998</v>
      </c>
      <c r="N103" s="19">
        <v>0.4118</v>
      </c>
      <c r="O103" s="19">
        <v>0.41860000000000003</v>
      </c>
      <c r="P103" s="19">
        <v>1</v>
      </c>
      <c r="Q103" s="19">
        <v>4.6711292000000001E-2</v>
      </c>
      <c r="R103" s="20" t="s">
        <v>36</v>
      </c>
      <c r="S103" s="21" t="str">
        <f t="shared" si="0"/>
        <v>Not reported</v>
      </c>
      <c r="T103" s="20" t="s">
        <v>36</v>
      </c>
      <c r="U103" s="20" t="s">
        <v>36</v>
      </c>
      <c r="V103" s="20" t="s">
        <v>36</v>
      </c>
      <c r="W103" s="20" t="s">
        <v>36</v>
      </c>
      <c r="Y103" s="19">
        <v>0.75280000000000002</v>
      </c>
      <c r="Z103" s="19">
        <v>0.73170000000000002</v>
      </c>
      <c r="AB103" s="18">
        <v>123</v>
      </c>
    </row>
    <row r="104" spans="1:28" ht="15.75" customHeight="1" x14ac:dyDescent="0.2">
      <c r="A104" s="36" t="str">
        <f>HYPERLINK("https://www.brownmackie.edu/locations/miami", "Brown Mackie College-Miami")</f>
        <v>Brown Mackie College-Miami</v>
      </c>
      <c r="B104" s="18" t="s">
        <v>368</v>
      </c>
      <c r="C104" s="18" t="s">
        <v>162</v>
      </c>
      <c r="D104" s="18" t="s">
        <v>715</v>
      </c>
      <c r="E104" s="18" t="s">
        <v>36</v>
      </c>
      <c r="F104" s="18" t="s">
        <v>36</v>
      </c>
      <c r="J104" s="19"/>
      <c r="K104" s="19">
        <v>0.21429999999999999</v>
      </c>
      <c r="L104" s="19">
        <v>0.35625661299999989</v>
      </c>
      <c r="M104" s="19">
        <v>0.2404</v>
      </c>
      <c r="N104" s="19">
        <v>0</v>
      </c>
      <c r="O104" s="19">
        <v>0</v>
      </c>
      <c r="P104" s="19" t="s">
        <v>36</v>
      </c>
      <c r="Q104" s="19">
        <v>4.6711292000000001E-2</v>
      </c>
      <c r="R104" s="20" t="s">
        <v>36</v>
      </c>
      <c r="S104" s="21" t="str">
        <f t="shared" si="0"/>
        <v>Not reported</v>
      </c>
      <c r="T104" s="20" t="s">
        <v>36</v>
      </c>
      <c r="U104" s="20" t="s">
        <v>36</v>
      </c>
      <c r="V104" s="20" t="s">
        <v>36</v>
      </c>
      <c r="W104" s="20" t="s">
        <v>36</v>
      </c>
      <c r="Y104" s="19">
        <v>0.69569999999999999</v>
      </c>
      <c r="Z104" s="19">
        <v>1</v>
      </c>
      <c r="AB104" s="18">
        <v>121</v>
      </c>
    </row>
    <row r="105" spans="1:28" ht="15.75" customHeight="1" x14ac:dyDescent="0.2">
      <c r="A105" s="36" t="str">
        <f>HYPERLINK("https://www.brownmackie.edu/locations/phoenix", "Brown Mackie College-Phoenix")</f>
        <v>Brown Mackie College-Phoenix</v>
      </c>
      <c r="B105" s="18" t="s">
        <v>368</v>
      </c>
      <c r="C105" s="18" t="s">
        <v>354</v>
      </c>
      <c r="D105" s="18" t="s">
        <v>369</v>
      </c>
      <c r="E105" s="18" t="s">
        <v>36</v>
      </c>
      <c r="F105" s="18" t="s">
        <v>36</v>
      </c>
      <c r="J105" s="19"/>
      <c r="K105" s="19">
        <v>0.26800000000000002</v>
      </c>
      <c r="L105" s="19">
        <v>0.35625661299999989</v>
      </c>
      <c r="M105" s="19">
        <v>0.61539999999999995</v>
      </c>
      <c r="N105" s="19">
        <v>0.7</v>
      </c>
      <c r="O105" s="19">
        <v>0.5</v>
      </c>
      <c r="P105" s="19">
        <v>1</v>
      </c>
      <c r="Q105" s="19">
        <v>4.6711292000000001E-2</v>
      </c>
      <c r="R105" s="20" t="s">
        <v>36</v>
      </c>
      <c r="S105" s="21" t="str">
        <f>HYPERLINK("https://tcc.noellevitz.com/(S(2nbd1j1n2qm2eh0k4x5rfdv3))/edmc/Brown-Mackie%20Net%20Price%20Calculator?iframe=true&amp;width=600&amp;height=1000&amp;iframe=true&amp;wi", "Not reported")</f>
        <v>Not reported</v>
      </c>
      <c r="T105" s="20" t="s">
        <v>36</v>
      </c>
      <c r="U105" s="20" t="s">
        <v>36</v>
      </c>
      <c r="V105" s="20" t="s">
        <v>36</v>
      </c>
      <c r="W105" s="20" t="s">
        <v>36</v>
      </c>
      <c r="Y105" s="19">
        <v>0.70250000000000001</v>
      </c>
      <c r="Z105" s="19">
        <v>0.68290000000000006</v>
      </c>
      <c r="AB105" s="18">
        <v>164</v>
      </c>
    </row>
    <row r="106" spans="1:28" ht="15.75" customHeight="1" x14ac:dyDescent="0.2">
      <c r="A106" s="36" t="str">
        <f>HYPERLINK("https://www.brownmackie.edu/locations/san-antonio", "Brown Mackie College-San Antonio")</f>
        <v>Brown Mackie College-San Antonio</v>
      </c>
      <c r="B106" s="18" t="s">
        <v>368</v>
      </c>
      <c r="C106" s="18" t="s">
        <v>146</v>
      </c>
      <c r="D106" s="18" t="s">
        <v>268</v>
      </c>
      <c r="E106" s="18" t="s">
        <v>36</v>
      </c>
      <c r="F106" s="18" t="s">
        <v>36</v>
      </c>
      <c r="J106" s="19"/>
      <c r="K106" s="19">
        <v>0.186</v>
      </c>
      <c r="L106" s="19">
        <v>0.35625661299999989</v>
      </c>
      <c r="M106" s="19">
        <v>0.28570000000000001</v>
      </c>
      <c r="N106" s="19" t="s">
        <v>36</v>
      </c>
      <c r="O106" s="19">
        <v>0.33329999999999999</v>
      </c>
      <c r="P106" s="19">
        <v>0</v>
      </c>
      <c r="Q106" s="19">
        <v>4.6711292000000001E-2</v>
      </c>
      <c r="R106" s="20" t="s">
        <v>36</v>
      </c>
      <c r="S106" s="21" t="str">
        <f t="shared" ref="S106:S109" si="1">HYPERLINK("https://tcc.noellevitz.com/edmc/Brown-Mackie Net Price Calculator", "Not reported")</f>
        <v>Not reported</v>
      </c>
      <c r="T106" s="20" t="s">
        <v>36</v>
      </c>
      <c r="U106" s="20" t="s">
        <v>36</v>
      </c>
      <c r="V106" s="20" t="s">
        <v>36</v>
      </c>
      <c r="W106" s="20" t="s">
        <v>36</v>
      </c>
      <c r="Y106" s="19">
        <v>0.80049999999999999</v>
      </c>
      <c r="Z106" s="19">
        <v>0.82679999999999998</v>
      </c>
      <c r="AB106" s="18">
        <v>231</v>
      </c>
    </row>
    <row r="107" spans="1:28" ht="15.75" customHeight="1" x14ac:dyDescent="0.2">
      <c r="A107" s="36" t="str">
        <f>HYPERLINK("https://www.brownmackie.edu/locations/st-louis", "Brown Mackie College-St Louis")</f>
        <v>Brown Mackie College-St Louis</v>
      </c>
      <c r="B107" s="18" t="s">
        <v>368</v>
      </c>
      <c r="C107" s="18" t="s">
        <v>164</v>
      </c>
      <c r="D107" s="18" t="s">
        <v>704</v>
      </c>
      <c r="E107" s="18" t="s">
        <v>36</v>
      </c>
      <c r="F107" s="18" t="s">
        <v>36</v>
      </c>
      <c r="J107" s="19"/>
      <c r="K107" s="19">
        <v>0.48</v>
      </c>
      <c r="L107" s="19">
        <v>0.35625661299999989</v>
      </c>
      <c r="M107" s="19">
        <v>0.56000000000000005</v>
      </c>
      <c r="N107" s="19">
        <v>0.4667</v>
      </c>
      <c r="O107" s="19">
        <v>0</v>
      </c>
      <c r="P107" s="19" t="s">
        <v>36</v>
      </c>
      <c r="Q107" s="19">
        <v>4.6711292000000001E-2</v>
      </c>
      <c r="R107" s="20" t="s">
        <v>36</v>
      </c>
      <c r="S107" s="21" t="str">
        <f t="shared" si="1"/>
        <v>Not reported</v>
      </c>
      <c r="T107" s="20" t="s">
        <v>36</v>
      </c>
      <c r="U107" s="20" t="s">
        <v>36</v>
      </c>
      <c r="V107" s="20" t="s">
        <v>36</v>
      </c>
      <c r="W107" s="20" t="s">
        <v>36</v>
      </c>
      <c r="Y107" s="19">
        <v>0.77329999999999999</v>
      </c>
      <c r="Z107" s="19">
        <v>0.71550000000000002</v>
      </c>
      <c r="AB107" s="18">
        <v>116</v>
      </c>
    </row>
    <row r="108" spans="1:28" ht="15.75" customHeight="1" x14ac:dyDescent="0.2">
      <c r="A108" s="36" t="str">
        <f>HYPERLINK("https://www.brownmackie.edu/locations/tucson", "Brown Mackie College-Tucson")</f>
        <v>Brown Mackie College-Tucson</v>
      </c>
      <c r="B108" s="18" t="s">
        <v>368</v>
      </c>
      <c r="C108" s="18" t="s">
        <v>354</v>
      </c>
      <c r="D108" s="18" t="s">
        <v>1013</v>
      </c>
      <c r="E108" s="18" t="s">
        <v>36</v>
      </c>
      <c r="F108" s="18" t="s">
        <v>36</v>
      </c>
      <c r="J108" s="19"/>
      <c r="K108" s="19">
        <v>0.27500000000000002</v>
      </c>
      <c r="L108" s="19">
        <v>0.35625661299999989</v>
      </c>
      <c r="M108" s="19">
        <v>0.36230000000000001</v>
      </c>
      <c r="N108" s="19">
        <v>0.2</v>
      </c>
      <c r="O108" s="19">
        <v>0</v>
      </c>
      <c r="P108" s="19" t="s">
        <v>36</v>
      </c>
      <c r="Q108" s="19">
        <v>4.6711292000000001E-2</v>
      </c>
      <c r="R108" s="20" t="s">
        <v>36</v>
      </c>
      <c r="S108" s="21" t="str">
        <f t="shared" si="1"/>
        <v>Not reported</v>
      </c>
      <c r="T108" s="20" t="s">
        <v>36</v>
      </c>
      <c r="U108" s="20" t="s">
        <v>36</v>
      </c>
      <c r="V108" s="20" t="s">
        <v>36</v>
      </c>
      <c r="W108" s="20" t="s">
        <v>36</v>
      </c>
      <c r="Y108" s="19">
        <v>0.73099999999999998</v>
      </c>
      <c r="Z108" s="19">
        <v>0.36</v>
      </c>
      <c r="AB108" s="18">
        <v>100</v>
      </c>
    </row>
    <row r="109" spans="1:28" ht="15.75" customHeight="1" x14ac:dyDescent="0.2">
      <c r="A109" s="36" t="str">
        <f>HYPERLINK("https://www.brownmackie.edu", "Brown Mackie College-Tulsa")</f>
        <v>Brown Mackie College-Tulsa</v>
      </c>
      <c r="B109" s="18" t="s">
        <v>368</v>
      </c>
      <c r="C109" s="18" t="s">
        <v>290</v>
      </c>
      <c r="D109" s="18" t="s">
        <v>291</v>
      </c>
      <c r="E109" s="18" t="s">
        <v>36</v>
      </c>
      <c r="F109" s="18" t="s">
        <v>36</v>
      </c>
      <c r="J109" s="19"/>
      <c r="K109" s="19">
        <v>0.18179999999999999</v>
      </c>
      <c r="L109" s="19">
        <v>0.35625661299999989</v>
      </c>
      <c r="M109" s="19">
        <v>0.22220000000000001</v>
      </c>
      <c r="N109" s="19">
        <v>0</v>
      </c>
      <c r="O109" s="19" t="s">
        <v>36</v>
      </c>
      <c r="P109" s="19" t="s">
        <v>36</v>
      </c>
      <c r="Q109" s="19">
        <v>4.6711292000000001E-2</v>
      </c>
      <c r="R109" s="20" t="s">
        <v>36</v>
      </c>
      <c r="S109" s="21" t="str">
        <f t="shared" si="1"/>
        <v>Not reported</v>
      </c>
      <c r="T109" s="20" t="s">
        <v>36</v>
      </c>
      <c r="U109" s="20" t="s">
        <v>36</v>
      </c>
      <c r="V109" s="20" t="s">
        <v>36</v>
      </c>
      <c r="W109" s="20" t="s">
        <v>36</v>
      </c>
      <c r="Y109" s="19">
        <v>0.77200000000000002</v>
      </c>
      <c r="Z109" s="19">
        <v>0.20830000000000001</v>
      </c>
      <c r="AB109" s="18">
        <v>144</v>
      </c>
    </row>
    <row r="110" spans="1:28" ht="15.75" customHeight="1" x14ac:dyDescent="0.2">
      <c r="A110" s="36" t="str">
        <f>HYPERLINK("https://www.brunswickcc.edu", "Brunswick Community College")</f>
        <v>Brunswick Community College</v>
      </c>
      <c r="B110" s="18" t="s">
        <v>49</v>
      </c>
      <c r="C110" s="18" t="s">
        <v>103</v>
      </c>
      <c r="D110" s="18" t="s">
        <v>1015</v>
      </c>
      <c r="E110" s="18" t="s">
        <v>36</v>
      </c>
      <c r="F110" s="18" t="s">
        <v>36</v>
      </c>
      <c r="J110" s="19"/>
      <c r="K110" s="19">
        <v>0.34910000000000002</v>
      </c>
      <c r="L110" s="19">
        <v>8.7078651999999993E-2</v>
      </c>
      <c r="M110" s="19">
        <v>0.37819999999999998</v>
      </c>
      <c r="N110" s="19">
        <v>0.2273</v>
      </c>
      <c r="O110" s="19">
        <v>0.45450000000000002</v>
      </c>
      <c r="P110" s="19" t="s">
        <v>36</v>
      </c>
      <c r="Q110" s="19">
        <v>9.7251586000000001E-2</v>
      </c>
      <c r="R110" s="20">
        <v>22186</v>
      </c>
      <c r="S110" s="21" t="str">
        <f>HYPERLINK("https://www.brunswickcc.edu/net-price-calculator/", "$16501")</f>
        <v>$16501</v>
      </c>
      <c r="T110" s="20">
        <v>17403</v>
      </c>
      <c r="U110" s="20">
        <v>18429</v>
      </c>
      <c r="V110" s="20">
        <v>7660</v>
      </c>
      <c r="W110" s="20">
        <v>8841.209677419356</v>
      </c>
      <c r="Y110" s="19">
        <v>0.37790000000000001</v>
      </c>
      <c r="Z110" s="19">
        <v>0.30719999999999997</v>
      </c>
      <c r="AB110" s="18">
        <v>918</v>
      </c>
    </row>
    <row r="111" spans="1:28" ht="15.75" customHeight="1" x14ac:dyDescent="0.2">
      <c r="A111" s="36" t="str">
        <f t="shared" ref="A111:A113" si="2">HYPERLINK("https://www.bryanu.edu", "Bryan University")</f>
        <v>Bryan University</v>
      </c>
      <c r="B111" s="18" t="s">
        <v>368</v>
      </c>
      <c r="C111" s="18" t="s">
        <v>164</v>
      </c>
      <c r="D111" s="18" t="s">
        <v>165</v>
      </c>
      <c r="E111" s="18" t="s">
        <v>36</v>
      </c>
      <c r="F111" s="18" t="s">
        <v>36</v>
      </c>
      <c r="J111" s="19"/>
      <c r="K111" s="19">
        <v>0.4103</v>
      </c>
      <c r="L111" s="19">
        <v>0.31805929900000002</v>
      </c>
      <c r="M111" s="19">
        <v>0.52380000000000004</v>
      </c>
      <c r="N111" s="19">
        <v>0.41670000000000001</v>
      </c>
      <c r="O111" s="19">
        <v>0</v>
      </c>
      <c r="P111" s="19" t="s">
        <v>36</v>
      </c>
      <c r="Q111" s="19" t="s">
        <v>36</v>
      </c>
      <c r="R111" s="20">
        <v>25659</v>
      </c>
      <c r="S111" s="21" t="str">
        <f>HYPERLINK("https://www.bryanu.edu", "$19875")</f>
        <v>$19875</v>
      </c>
      <c r="T111" s="20">
        <v>20199</v>
      </c>
      <c r="U111" s="20" t="s">
        <v>36</v>
      </c>
      <c r="V111" s="20">
        <v>4437</v>
      </c>
      <c r="W111" s="20">
        <v>15438</v>
      </c>
      <c r="Y111" s="19">
        <v>0.94589999999999996</v>
      </c>
      <c r="Z111" s="19">
        <v>0.57889999999999997</v>
      </c>
      <c r="AB111" s="18">
        <v>57</v>
      </c>
    </row>
    <row r="112" spans="1:28" ht="15.75" customHeight="1" x14ac:dyDescent="0.2">
      <c r="A112" s="36" t="str">
        <f t="shared" si="2"/>
        <v>Bryan University</v>
      </c>
      <c r="B112" s="18" t="s">
        <v>368</v>
      </c>
      <c r="C112" s="18" t="s">
        <v>371</v>
      </c>
      <c r="D112" s="18" t="s">
        <v>1018</v>
      </c>
      <c r="E112" s="18" t="s">
        <v>36</v>
      </c>
      <c r="F112" s="18" t="s">
        <v>36</v>
      </c>
      <c r="J112" s="19"/>
      <c r="K112" s="19">
        <v>0.74419999999999997</v>
      </c>
      <c r="L112" s="19">
        <v>0.31805929900000002</v>
      </c>
      <c r="M112" s="19">
        <v>0.66</v>
      </c>
      <c r="N112" s="19">
        <v>0.5</v>
      </c>
      <c r="O112" s="19">
        <v>0.89659999999999995</v>
      </c>
      <c r="P112" s="19">
        <v>1</v>
      </c>
      <c r="Q112" s="19" t="s">
        <v>36</v>
      </c>
      <c r="R112" s="20">
        <v>25625</v>
      </c>
      <c r="S112" s="21" t="str">
        <f>HYPERLINK("https://www.bryanu.edu", "$19660")</f>
        <v>$19660</v>
      </c>
      <c r="T112" s="20">
        <v>22181</v>
      </c>
      <c r="U112" s="20" t="s">
        <v>36</v>
      </c>
      <c r="V112" s="20">
        <v>4417</v>
      </c>
      <c r="W112" s="20">
        <v>15243</v>
      </c>
      <c r="Y112" s="19">
        <v>0.72570000000000001</v>
      </c>
      <c r="Z112" s="19">
        <v>0.52829999999999999</v>
      </c>
      <c r="AB112" s="18">
        <v>53</v>
      </c>
    </row>
    <row r="113" spans="1:28" ht="15.75" customHeight="1" x14ac:dyDescent="0.2">
      <c r="A113" s="36" t="str">
        <f t="shared" si="2"/>
        <v>Bryan University</v>
      </c>
      <c r="B113" s="18" t="s">
        <v>368</v>
      </c>
      <c r="C113" s="18" t="s">
        <v>307</v>
      </c>
      <c r="D113" s="18" t="s">
        <v>927</v>
      </c>
      <c r="E113" s="18" t="s">
        <v>36</v>
      </c>
      <c r="F113" s="18" t="s">
        <v>36</v>
      </c>
      <c r="J113" s="19"/>
      <c r="K113" s="19">
        <v>0.61819999999999997</v>
      </c>
      <c r="L113" s="19">
        <v>0.28571428599999998</v>
      </c>
      <c r="M113" s="19">
        <v>0.5</v>
      </c>
      <c r="N113" s="19">
        <v>0.76919999999999999</v>
      </c>
      <c r="O113" s="19">
        <v>0.75</v>
      </c>
      <c r="P113" s="19" t="s">
        <v>36</v>
      </c>
      <c r="Q113" s="19" t="s">
        <v>36</v>
      </c>
      <c r="R113" s="20">
        <v>25595</v>
      </c>
      <c r="S113" s="21" t="str">
        <f>HYPERLINK("https://bryancollege.edu/disclosures_docs/net-price-calculator/", "$19290")</f>
        <v>$19290</v>
      </c>
      <c r="T113" s="20">
        <v>25070</v>
      </c>
      <c r="U113" s="20" t="s">
        <v>36</v>
      </c>
      <c r="V113" s="20">
        <v>4420</v>
      </c>
      <c r="W113" s="20">
        <v>14870</v>
      </c>
      <c r="Y113" s="19">
        <v>0.80220000000000002</v>
      </c>
      <c r="Z113" s="19">
        <v>0.38240000000000002</v>
      </c>
      <c r="AB113" s="18">
        <v>34</v>
      </c>
    </row>
    <row r="114" spans="1:28" ht="15.75" customHeight="1" x14ac:dyDescent="0.2">
      <c r="A114" s="36" t="str">
        <f>HYPERLINK("https://bryanuniversity.edu", "Bryan University")</f>
        <v>Bryan University</v>
      </c>
      <c r="B114" s="18" t="s">
        <v>368</v>
      </c>
      <c r="C114" s="18" t="s">
        <v>354</v>
      </c>
      <c r="D114" s="18" t="s">
        <v>558</v>
      </c>
      <c r="E114" s="18" t="s">
        <v>36</v>
      </c>
      <c r="F114" s="18" t="s">
        <v>36</v>
      </c>
      <c r="J114" s="19"/>
      <c r="K114" s="19">
        <v>0.26619999999999999</v>
      </c>
      <c r="L114" s="19">
        <v>0.11827957</v>
      </c>
      <c r="M114" s="19">
        <v>0.27160000000000001</v>
      </c>
      <c r="N114" s="19">
        <v>0.24</v>
      </c>
      <c r="O114" s="19">
        <v>0.28570000000000001</v>
      </c>
      <c r="P114" s="19">
        <v>0</v>
      </c>
      <c r="Q114" s="19">
        <v>2.7491409000000001E-2</v>
      </c>
      <c r="R114" s="20">
        <v>26089</v>
      </c>
      <c r="S114" s="21" t="str">
        <f>HYPERLINK("https://bryanuniversity.edu/about/consumer-info/net-price-calculator/", "$20984")</f>
        <v>$20984</v>
      </c>
      <c r="T114" s="20">
        <v>22261</v>
      </c>
      <c r="U114" s="20">
        <v>24894</v>
      </c>
      <c r="V114" s="20">
        <v>4220</v>
      </c>
      <c r="W114" s="20">
        <v>16764</v>
      </c>
      <c r="Y114" s="19">
        <v>0.6794</v>
      </c>
      <c r="Z114" s="19">
        <v>0.5998</v>
      </c>
      <c r="AB114" s="18">
        <v>1242</v>
      </c>
    </row>
    <row r="115" spans="1:28" ht="15.75" customHeight="1" x14ac:dyDescent="0.2">
      <c r="A115" s="36" t="str">
        <f>HYPERLINK("https://www.bryanu.edu", "Bryan University")</f>
        <v>Bryan University</v>
      </c>
      <c r="B115" s="18" t="s">
        <v>368</v>
      </c>
      <c r="C115" s="18" t="s">
        <v>164</v>
      </c>
      <c r="D115" s="18" t="s">
        <v>349</v>
      </c>
      <c r="E115" s="18" t="s">
        <v>36</v>
      </c>
      <c r="F115" s="18" t="s">
        <v>36</v>
      </c>
      <c r="J115" s="19"/>
      <c r="K115" s="19">
        <v>0.1958</v>
      </c>
      <c r="L115" s="19">
        <v>0.31805929900000002</v>
      </c>
      <c r="M115" s="19">
        <v>0.26229999999999998</v>
      </c>
      <c r="N115" s="19">
        <v>0.18179999999999999</v>
      </c>
      <c r="O115" s="19">
        <v>0.5</v>
      </c>
      <c r="P115" s="19">
        <v>0</v>
      </c>
      <c r="Q115" s="19" t="s">
        <v>36</v>
      </c>
      <c r="R115" s="20">
        <v>25595</v>
      </c>
      <c r="S115" s="21" t="str">
        <f>HYPERLINK("https://www.bryanu.edu", "$20568")</f>
        <v>$20568</v>
      </c>
      <c r="T115" s="20">
        <v>25093</v>
      </c>
      <c r="U115" s="20">
        <v>25093</v>
      </c>
      <c r="V115" s="20">
        <v>4420</v>
      </c>
      <c r="W115" s="20">
        <v>16148</v>
      </c>
      <c r="Y115" s="19">
        <v>0.76429999999999998</v>
      </c>
      <c r="Z115" s="19">
        <v>0.34019999999999989</v>
      </c>
      <c r="AB115" s="18">
        <v>291</v>
      </c>
    </row>
    <row r="116" spans="1:28" ht="15.75" customHeight="1" x14ac:dyDescent="0.2">
      <c r="A116" s="36" t="str">
        <f>HYPERLINK("https://www.bryantstratton.edu", "Bryant &amp; Stratton College-Akron")</f>
        <v>Bryant &amp; Stratton College-Akron</v>
      </c>
      <c r="B116" s="18" t="s">
        <v>368</v>
      </c>
      <c r="C116" s="18" t="s">
        <v>75</v>
      </c>
      <c r="D116" s="18" t="s">
        <v>1020</v>
      </c>
      <c r="E116" s="18" t="s">
        <v>36</v>
      </c>
      <c r="F116" s="18" t="s">
        <v>36</v>
      </c>
      <c r="J116" s="19"/>
      <c r="K116" s="19" t="s">
        <v>36</v>
      </c>
      <c r="L116" s="19">
        <v>0.237336994</v>
      </c>
      <c r="M116" s="19" t="s">
        <v>36</v>
      </c>
      <c r="N116" s="19" t="s">
        <v>36</v>
      </c>
      <c r="O116" s="19" t="s">
        <v>36</v>
      </c>
      <c r="P116" s="19" t="s">
        <v>36</v>
      </c>
      <c r="Q116" s="19">
        <v>2.3633998E-2</v>
      </c>
      <c r="R116" s="20">
        <v>24715</v>
      </c>
      <c r="S116" s="21" t="str">
        <f>HYPERLINK("https://www.bryantstratton.edu/financial-aid/net-price-calculator", "$16515")</f>
        <v>$16515</v>
      </c>
      <c r="T116" s="20" t="s">
        <v>36</v>
      </c>
      <c r="U116" s="20" t="s">
        <v>36</v>
      </c>
      <c r="V116" s="20">
        <v>3280</v>
      </c>
      <c r="W116" s="20">
        <v>13235</v>
      </c>
      <c r="Y116" s="19">
        <v>0.69369999999999998</v>
      </c>
      <c r="Z116" s="19">
        <v>0.28410000000000002</v>
      </c>
      <c r="AB116" s="18">
        <v>88</v>
      </c>
    </row>
    <row r="117" spans="1:28" ht="15.75" customHeight="1" x14ac:dyDescent="0.2">
      <c r="A117" s="36" t="str">
        <f>HYPERLINK("https://www.bryantstratton.edu/", "Bryant &amp; Stratton College-Albany")</f>
        <v>Bryant &amp; Stratton College-Albany</v>
      </c>
      <c r="B117" s="18" t="s">
        <v>368</v>
      </c>
      <c r="C117" s="18" t="s">
        <v>38</v>
      </c>
      <c r="D117" s="18" t="s">
        <v>550</v>
      </c>
      <c r="E117" s="18" t="s">
        <v>36</v>
      </c>
      <c r="F117" s="18" t="s">
        <v>36</v>
      </c>
      <c r="J117" s="19"/>
      <c r="K117" s="19">
        <v>0.26440000000000002</v>
      </c>
      <c r="L117" s="19">
        <v>0.237336994</v>
      </c>
      <c r="M117" s="19">
        <v>0.28570000000000001</v>
      </c>
      <c r="N117" s="19">
        <v>0.2727</v>
      </c>
      <c r="O117" s="19">
        <v>0.125</v>
      </c>
      <c r="P117" s="19" t="s">
        <v>36</v>
      </c>
      <c r="Q117" s="19">
        <v>2.3633998E-2</v>
      </c>
      <c r="R117" s="20">
        <v>23474</v>
      </c>
      <c r="S117" s="21" t="str">
        <f>HYPERLINK("https://www.bryantstratton.edu/financial-aid/net-price-calculator", "$11707")</f>
        <v>$11707</v>
      </c>
      <c r="T117" s="20" t="s">
        <v>36</v>
      </c>
      <c r="U117" s="20">
        <v>9761</v>
      </c>
      <c r="V117" s="20">
        <v>3280</v>
      </c>
      <c r="W117" s="20">
        <v>8427</v>
      </c>
      <c r="Y117" s="19">
        <v>0.77329999999999999</v>
      </c>
      <c r="Z117" s="19">
        <v>0.5111</v>
      </c>
      <c r="AB117" s="18">
        <v>360</v>
      </c>
    </row>
    <row r="118" spans="1:28" ht="15.75" customHeight="1" x14ac:dyDescent="0.2">
      <c r="A118" s="36" t="str">
        <f>HYPERLINK("https://www.bryantstratton.edu", "Bryant &amp; Stratton College-Amherst")</f>
        <v>Bryant &amp; Stratton College-Amherst</v>
      </c>
      <c r="B118" s="18" t="s">
        <v>368</v>
      </c>
      <c r="C118" s="18" t="s">
        <v>38</v>
      </c>
      <c r="D118" s="18" t="s">
        <v>1023</v>
      </c>
      <c r="E118" s="18" t="s">
        <v>36</v>
      </c>
      <c r="F118" s="18" t="s">
        <v>36</v>
      </c>
      <c r="J118" s="19"/>
      <c r="K118" s="19">
        <v>0.44440000000000002</v>
      </c>
      <c r="L118" s="19">
        <v>0.237336994</v>
      </c>
      <c r="M118" s="19">
        <v>0.44</v>
      </c>
      <c r="N118" s="19">
        <v>0.33329999999999999</v>
      </c>
      <c r="O118" s="19" t="s">
        <v>36</v>
      </c>
      <c r="P118" s="19" t="s">
        <v>36</v>
      </c>
      <c r="Q118" s="19">
        <v>2.3633998E-2</v>
      </c>
      <c r="R118" s="20">
        <v>23381</v>
      </c>
      <c r="S118" s="21" t="str">
        <f>HYPERLINK("https://www.bryantstratton.edu/financial-aid/net-price-calculator", "$12807")</f>
        <v>$12807</v>
      </c>
      <c r="T118" s="20">
        <v>12183</v>
      </c>
      <c r="U118" s="20" t="s">
        <v>36</v>
      </c>
      <c r="V118" s="20">
        <v>3280</v>
      </c>
      <c r="W118" s="20">
        <v>9527</v>
      </c>
      <c r="Y118" s="19">
        <v>0.67969999999999997</v>
      </c>
      <c r="Z118" s="19">
        <v>0.2752</v>
      </c>
      <c r="AB118" s="18">
        <v>258</v>
      </c>
    </row>
    <row r="119" spans="1:28" ht="15.75" customHeight="1" x14ac:dyDescent="0.2">
      <c r="A119" s="36" t="str">
        <f>HYPERLINK("https://www.bryantstratton.edu", "Bryant &amp; Stratton College-Bayshore")</f>
        <v>Bryant &amp; Stratton College-Bayshore</v>
      </c>
      <c r="B119" s="18" t="s">
        <v>368</v>
      </c>
      <c r="C119" s="18" t="s">
        <v>196</v>
      </c>
      <c r="D119" s="18" t="s">
        <v>639</v>
      </c>
      <c r="E119" s="18" t="s">
        <v>36</v>
      </c>
      <c r="F119" s="18" t="s">
        <v>36</v>
      </c>
      <c r="J119" s="19"/>
      <c r="K119" s="19">
        <v>0.1071</v>
      </c>
      <c r="L119" s="19">
        <v>0.237336994</v>
      </c>
      <c r="M119" s="19">
        <v>0.6</v>
      </c>
      <c r="N119" s="19">
        <v>6.25E-2</v>
      </c>
      <c r="O119" s="19">
        <v>0</v>
      </c>
      <c r="P119" s="19">
        <v>0</v>
      </c>
      <c r="Q119" s="19">
        <v>2.3633998E-2</v>
      </c>
      <c r="R119" s="20">
        <v>23405</v>
      </c>
      <c r="S119" s="21" t="str">
        <f>HYPERLINK("https://www.bryantstratton.edu/financial-aid/net-price-calculator", "$16492")</f>
        <v>$16492</v>
      </c>
      <c r="T119" s="20" t="s">
        <v>36</v>
      </c>
      <c r="U119" s="20" t="s">
        <v>36</v>
      </c>
      <c r="V119" s="20">
        <v>3280</v>
      </c>
      <c r="W119" s="20">
        <v>13212</v>
      </c>
      <c r="Y119" s="19">
        <v>0.77170000000000005</v>
      </c>
      <c r="Z119" s="19">
        <v>0.80169999999999997</v>
      </c>
      <c r="AB119" s="18">
        <v>353</v>
      </c>
    </row>
    <row r="120" spans="1:28" ht="15.75" customHeight="1" x14ac:dyDescent="0.2">
      <c r="A120" s="36" t="str">
        <f>HYPERLINK("https://www.bryantstratton.edu", "Bryant &amp; Stratton College-Buffalo")</f>
        <v>Bryant &amp; Stratton College-Buffalo</v>
      </c>
      <c r="B120" s="18" t="s">
        <v>368</v>
      </c>
      <c r="C120" s="18" t="s">
        <v>38</v>
      </c>
      <c r="D120" s="18" t="s">
        <v>322</v>
      </c>
      <c r="E120" s="18" t="s">
        <v>36</v>
      </c>
      <c r="F120" s="18" t="s">
        <v>36</v>
      </c>
      <c r="J120" s="19"/>
      <c r="K120" s="19">
        <v>0.26050000000000001</v>
      </c>
      <c r="L120" s="19">
        <v>0.237336994</v>
      </c>
      <c r="M120" s="19">
        <v>0.28000000000000003</v>
      </c>
      <c r="N120" s="19">
        <v>0.25679999999999997</v>
      </c>
      <c r="O120" s="19">
        <v>0.25</v>
      </c>
      <c r="P120" s="19">
        <v>1</v>
      </c>
      <c r="Q120" s="19">
        <v>2.3633998E-2</v>
      </c>
      <c r="R120" s="20">
        <v>23775</v>
      </c>
      <c r="S120" s="21" t="str">
        <f>HYPERLINK("https://www.bryantstratton.edu/financial-aid/net-price-calculator", "$11496")</f>
        <v>$11496</v>
      </c>
      <c r="T120" s="20">
        <v>16920</v>
      </c>
      <c r="U120" s="20" t="s">
        <v>36</v>
      </c>
      <c r="V120" s="20">
        <v>3280</v>
      </c>
      <c r="W120" s="20">
        <v>8216</v>
      </c>
      <c r="Y120" s="19">
        <v>0.8909999999999999</v>
      </c>
      <c r="Z120" s="19">
        <v>0.86430000000000007</v>
      </c>
      <c r="AB120" s="18">
        <v>457</v>
      </c>
    </row>
    <row r="121" spans="1:28" ht="15.75" customHeight="1" x14ac:dyDescent="0.2">
      <c r="A121" s="36" t="str">
        <f>HYPERLINK("https://www.bryantstratton.edu", "Bryant &amp; Stratton College-Cleveland")</f>
        <v>Bryant &amp; Stratton College-Cleveland</v>
      </c>
      <c r="B121" s="18" t="s">
        <v>368</v>
      </c>
      <c r="C121" s="18" t="s">
        <v>75</v>
      </c>
      <c r="D121" s="18" t="s">
        <v>76</v>
      </c>
      <c r="E121" s="18" t="s">
        <v>36</v>
      </c>
      <c r="F121" s="18" t="s">
        <v>36</v>
      </c>
      <c r="J121" s="19"/>
      <c r="K121" s="19">
        <v>5.5599999999999997E-2</v>
      </c>
      <c r="L121" s="19">
        <v>0.237336994</v>
      </c>
      <c r="M121" s="19">
        <v>0</v>
      </c>
      <c r="N121" s="19">
        <v>5.9700000000000003E-2</v>
      </c>
      <c r="O121" s="19">
        <v>0</v>
      </c>
      <c r="P121" s="19" t="s">
        <v>36</v>
      </c>
      <c r="Q121" s="19">
        <v>2.3633998E-2</v>
      </c>
      <c r="R121" s="20">
        <v>23878</v>
      </c>
      <c r="S121" s="21" t="str">
        <f>HYPERLINK("https://www.bryantstratton.edu/financial-aid/net-price-calculator", "$16207")</f>
        <v>$16207</v>
      </c>
      <c r="T121" s="20" t="s">
        <v>36</v>
      </c>
      <c r="U121" s="20" t="s">
        <v>36</v>
      </c>
      <c r="V121" s="20">
        <v>3280</v>
      </c>
      <c r="W121" s="20">
        <v>12927</v>
      </c>
      <c r="Y121" s="19">
        <v>0.84379999999999999</v>
      </c>
      <c r="Z121" s="19">
        <v>0.93159999999999998</v>
      </c>
      <c r="AB121" s="18">
        <v>263</v>
      </c>
    </row>
    <row r="122" spans="1:28" ht="15.75" customHeight="1" x14ac:dyDescent="0.2">
      <c r="A122" s="36" t="str">
        <f>HYPERLINK("https://www.bryantstratton.edu", "Bryant &amp; Stratton College-Greece")</f>
        <v>Bryant &amp; Stratton College-Greece</v>
      </c>
      <c r="B122" s="18" t="s">
        <v>368</v>
      </c>
      <c r="C122" s="18" t="s">
        <v>38</v>
      </c>
      <c r="D122" s="18" t="s">
        <v>170</v>
      </c>
      <c r="E122" s="18" t="s">
        <v>36</v>
      </c>
      <c r="F122" s="18" t="s">
        <v>36</v>
      </c>
      <c r="J122" s="19"/>
      <c r="K122" s="19">
        <v>0.26150000000000001</v>
      </c>
      <c r="L122" s="19">
        <v>0.237336994</v>
      </c>
      <c r="M122" s="19">
        <v>0.34379999999999999</v>
      </c>
      <c r="N122" s="19">
        <v>0.16</v>
      </c>
      <c r="O122" s="19">
        <v>0.1429</v>
      </c>
      <c r="P122" s="19" t="s">
        <v>36</v>
      </c>
      <c r="Q122" s="19">
        <v>2.3633998E-2</v>
      </c>
      <c r="R122" s="20">
        <v>23993</v>
      </c>
      <c r="S122" s="21" t="str">
        <f>HYPERLINK("https://www.bryantstratton.edu/financial-aid/net-price-calculator", "$13092")</f>
        <v>$13092</v>
      </c>
      <c r="T122" s="20">
        <v>15207</v>
      </c>
      <c r="U122" s="20">
        <v>15939</v>
      </c>
      <c r="V122" s="20">
        <v>3280</v>
      </c>
      <c r="W122" s="20">
        <v>9812</v>
      </c>
      <c r="Y122" s="19">
        <v>0.73019999999999996</v>
      </c>
      <c r="Z122" s="19">
        <v>0.47689999999999999</v>
      </c>
      <c r="AB122" s="18">
        <v>216</v>
      </c>
    </row>
    <row r="123" spans="1:28" ht="15.75" customHeight="1" x14ac:dyDescent="0.2">
      <c r="A123" s="36" t="str">
        <f>HYPERLINK("https://www.bryantstratton.edu", "Bryant &amp; Stratton College-Hampton")</f>
        <v>Bryant &amp; Stratton College-Hampton</v>
      </c>
      <c r="B123" s="18" t="s">
        <v>368</v>
      </c>
      <c r="C123" s="18" t="s">
        <v>83</v>
      </c>
      <c r="D123" s="18" t="s">
        <v>808</v>
      </c>
      <c r="E123" s="18" t="s">
        <v>36</v>
      </c>
      <c r="F123" s="18" t="s">
        <v>36</v>
      </c>
      <c r="J123" s="19"/>
      <c r="K123" s="19">
        <v>0.12959999999999999</v>
      </c>
      <c r="L123" s="19">
        <v>0.237336994</v>
      </c>
      <c r="M123" s="19">
        <v>1</v>
      </c>
      <c r="N123" s="19">
        <v>0.12770000000000001</v>
      </c>
      <c r="O123" s="19">
        <v>0</v>
      </c>
      <c r="P123" s="19" t="s">
        <v>36</v>
      </c>
      <c r="Q123" s="19">
        <v>2.3633998E-2</v>
      </c>
      <c r="R123" s="20">
        <v>24003</v>
      </c>
      <c r="S123" s="21" t="str">
        <f>HYPERLINK("https://www.bryantstratton.edu/financial-aid/net-price-calculator", "$16610")</f>
        <v>$16610</v>
      </c>
      <c r="T123" s="20">
        <v>19065</v>
      </c>
      <c r="U123" s="20">
        <v>17781</v>
      </c>
      <c r="V123" s="20">
        <v>3280</v>
      </c>
      <c r="W123" s="20">
        <v>13330</v>
      </c>
      <c r="Y123" s="19">
        <v>0.82350000000000001</v>
      </c>
      <c r="Z123" s="19">
        <v>0.87749999999999995</v>
      </c>
      <c r="AB123" s="18">
        <v>302</v>
      </c>
    </row>
    <row r="124" spans="1:28" ht="15.75" customHeight="1" x14ac:dyDescent="0.2">
      <c r="A124" s="36" t="str">
        <f>HYPERLINK("https://www.bryantstratton.edu/", "Bryant &amp; Stratton College-Henrietta")</f>
        <v>Bryant &amp; Stratton College-Henrietta</v>
      </c>
      <c r="B124" s="18" t="s">
        <v>368</v>
      </c>
      <c r="C124" s="18" t="s">
        <v>38</v>
      </c>
      <c r="D124" s="18" t="s">
        <v>170</v>
      </c>
      <c r="E124" s="18" t="s">
        <v>36</v>
      </c>
      <c r="F124" s="18" t="s">
        <v>36</v>
      </c>
      <c r="J124" s="19"/>
      <c r="K124" s="19">
        <v>0.15379999999999999</v>
      </c>
      <c r="L124" s="19">
        <v>0.237336994</v>
      </c>
      <c r="M124" s="19">
        <v>0.375</v>
      </c>
      <c r="N124" s="19">
        <v>5.2600000000000001E-2</v>
      </c>
      <c r="O124" s="19">
        <v>0.28570000000000001</v>
      </c>
      <c r="P124" s="19" t="s">
        <v>36</v>
      </c>
      <c r="Q124" s="19">
        <v>2.3633998E-2</v>
      </c>
      <c r="R124" s="20">
        <v>23635</v>
      </c>
      <c r="S124" s="21" t="str">
        <f>HYPERLINK("https://www.bryantstratton.edu/financial-aid/net-price-calculator", "$13377")</f>
        <v>$13377</v>
      </c>
      <c r="T124" s="20" t="s">
        <v>36</v>
      </c>
      <c r="U124" s="20" t="s">
        <v>36</v>
      </c>
      <c r="V124" s="20">
        <v>3280</v>
      </c>
      <c r="W124" s="20">
        <v>10097</v>
      </c>
      <c r="Y124" s="19">
        <v>0.78969999999999996</v>
      </c>
      <c r="Z124" s="19">
        <v>0.52170000000000005</v>
      </c>
      <c r="AB124" s="18">
        <v>184</v>
      </c>
    </row>
    <row r="125" spans="1:28" ht="15.75" customHeight="1" x14ac:dyDescent="0.2">
      <c r="A125" s="36" t="str">
        <f>HYPERLINK("https://www.bryantstratton.edu", "Bryant &amp; Stratton College-Milwaukee")</f>
        <v>Bryant &amp; Stratton College-Milwaukee</v>
      </c>
      <c r="B125" s="18" t="s">
        <v>368</v>
      </c>
      <c r="C125" s="18" t="s">
        <v>196</v>
      </c>
      <c r="D125" s="18" t="s">
        <v>410</v>
      </c>
      <c r="E125" s="18" t="s">
        <v>36</v>
      </c>
      <c r="F125" s="18" t="s">
        <v>36</v>
      </c>
      <c r="J125" s="19"/>
      <c r="K125" s="19">
        <v>8.2799999999999999E-2</v>
      </c>
      <c r="L125" s="19">
        <v>0.237336994</v>
      </c>
      <c r="M125" s="19">
        <v>0.66669999999999996</v>
      </c>
      <c r="N125" s="19">
        <v>6.7599999999999993E-2</v>
      </c>
      <c r="O125" s="19">
        <v>0.2</v>
      </c>
      <c r="P125" s="19">
        <v>0</v>
      </c>
      <c r="Q125" s="19">
        <v>2.3633998E-2</v>
      </c>
      <c r="R125" s="20">
        <v>22682</v>
      </c>
      <c r="S125" s="21" t="str">
        <f>HYPERLINK("https://www.bryantstratton.edu/financial-aid/net-price-calculator", "$16872")</f>
        <v>$16872</v>
      </c>
      <c r="T125" s="20" t="s">
        <v>36</v>
      </c>
      <c r="U125" s="20">
        <v>15597</v>
      </c>
      <c r="V125" s="20">
        <v>3280</v>
      </c>
      <c r="W125" s="20">
        <v>13592</v>
      </c>
      <c r="Y125" s="19">
        <v>0.87570000000000003</v>
      </c>
      <c r="Z125" s="19">
        <v>0.92759999999999998</v>
      </c>
      <c r="AB125" s="18">
        <v>152</v>
      </c>
    </row>
    <row r="126" spans="1:28" ht="15.75" customHeight="1" x14ac:dyDescent="0.2">
      <c r="A126" s="36" t="str">
        <f>HYPERLINK("https://www.bryantstratton.edu", "Bryant &amp; Stratton College-Southtowns")</f>
        <v>Bryant &amp; Stratton College-Southtowns</v>
      </c>
      <c r="B126" s="18" t="s">
        <v>368</v>
      </c>
      <c r="C126" s="18" t="s">
        <v>38</v>
      </c>
      <c r="D126" s="18" t="s">
        <v>1028</v>
      </c>
      <c r="E126" s="18" t="s">
        <v>36</v>
      </c>
      <c r="F126" s="18" t="s">
        <v>36</v>
      </c>
      <c r="J126" s="19"/>
      <c r="K126" s="19">
        <v>0.1477</v>
      </c>
      <c r="L126" s="19">
        <v>0.237336994</v>
      </c>
      <c r="M126" s="19">
        <v>0.1961</v>
      </c>
      <c r="N126" s="19">
        <v>0.08</v>
      </c>
      <c r="O126" s="19">
        <v>0</v>
      </c>
      <c r="P126" s="19">
        <v>0</v>
      </c>
      <c r="Q126" s="19">
        <v>2.3633998E-2</v>
      </c>
      <c r="R126" s="20">
        <v>19783</v>
      </c>
      <c r="S126" s="21" t="str">
        <f>HYPERLINK("https://www.bryantstratton.edu/financial-aid/net-price-calculator", "$13306")</f>
        <v>$13306</v>
      </c>
      <c r="T126" s="20">
        <v>15999</v>
      </c>
      <c r="U126" s="20" t="s">
        <v>36</v>
      </c>
      <c r="V126" s="20">
        <v>2600</v>
      </c>
      <c r="W126" s="20">
        <v>10706</v>
      </c>
      <c r="Y126" s="19">
        <v>0.73160000000000003</v>
      </c>
      <c r="Z126" s="19">
        <v>0.48380000000000001</v>
      </c>
      <c r="AB126" s="18">
        <v>4107</v>
      </c>
    </row>
    <row r="127" spans="1:28" ht="15.75" customHeight="1" x14ac:dyDescent="0.2">
      <c r="A127" s="36" t="str">
        <f>HYPERLINK("https://www.bryantstratton.edu/", "Bryant &amp; Stratton College-Parma")</f>
        <v>Bryant &amp; Stratton College-Parma</v>
      </c>
      <c r="B127" s="18" t="s">
        <v>368</v>
      </c>
      <c r="C127" s="18" t="s">
        <v>75</v>
      </c>
      <c r="D127" s="18" t="s">
        <v>1029</v>
      </c>
      <c r="E127" s="18" t="s">
        <v>36</v>
      </c>
      <c r="F127" s="18" t="s">
        <v>36</v>
      </c>
      <c r="J127" s="19"/>
      <c r="K127" s="19">
        <v>0.14749999999999999</v>
      </c>
      <c r="L127" s="19">
        <v>0.237336994</v>
      </c>
      <c r="M127" s="19">
        <v>0.22220000000000001</v>
      </c>
      <c r="N127" s="19">
        <v>6.6699999999999995E-2</v>
      </c>
      <c r="O127" s="19">
        <v>0</v>
      </c>
      <c r="P127" s="19" t="s">
        <v>36</v>
      </c>
      <c r="Q127" s="19">
        <v>2.3633998E-2</v>
      </c>
      <c r="R127" s="20">
        <v>23941</v>
      </c>
      <c r="S127" s="21" t="str">
        <f>HYPERLINK("https://www.bryantstratton.edu/financial-aid/net-price-calculator", "$15780")</f>
        <v>$15780</v>
      </c>
      <c r="T127" s="20" t="s">
        <v>36</v>
      </c>
      <c r="U127" s="20" t="s">
        <v>36</v>
      </c>
      <c r="V127" s="20">
        <v>3280</v>
      </c>
      <c r="W127" s="20">
        <v>12500</v>
      </c>
      <c r="Y127" s="19">
        <v>0.73939999999999995</v>
      </c>
      <c r="Z127" s="19">
        <v>0.38400000000000001</v>
      </c>
      <c r="AB127" s="18">
        <v>349</v>
      </c>
    </row>
    <row r="128" spans="1:28" ht="15.75" customHeight="1" x14ac:dyDescent="0.2">
      <c r="A128" s="36" t="str">
        <f>HYPERLINK("https://www.bryantstratton.edu", "Bryant &amp; Stratton College-Richmond")</f>
        <v>Bryant &amp; Stratton College-Richmond</v>
      </c>
      <c r="B128" s="18" t="s">
        <v>368</v>
      </c>
      <c r="C128" s="18" t="s">
        <v>83</v>
      </c>
      <c r="D128" s="18" t="s">
        <v>1031</v>
      </c>
      <c r="E128" s="18" t="s">
        <v>36</v>
      </c>
      <c r="F128" s="18" t="s">
        <v>36</v>
      </c>
      <c r="J128" s="19"/>
      <c r="K128" s="19">
        <v>0.19570000000000001</v>
      </c>
      <c r="L128" s="19">
        <v>0.237336994</v>
      </c>
      <c r="M128" s="19">
        <v>0.18179999999999999</v>
      </c>
      <c r="N128" s="19">
        <v>0.1905</v>
      </c>
      <c r="O128" s="19">
        <v>0</v>
      </c>
      <c r="P128" s="19">
        <v>1</v>
      </c>
      <c r="Q128" s="19">
        <v>2.3633998E-2</v>
      </c>
      <c r="R128" s="20">
        <v>24068</v>
      </c>
      <c r="S128" s="21" t="str">
        <f>HYPERLINK("https://www.bryantstratton.edu/financial-aid/net-price-calculator", "$15245")</f>
        <v>$15245</v>
      </c>
      <c r="T128" s="20" t="s">
        <v>36</v>
      </c>
      <c r="U128" s="20">
        <v>21529</v>
      </c>
      <c r="V128" s="20">
        <v>3280</v>
      </c>
      <c r="W128" s="20">
        <v>11965</v>
      </c>
      <c r="Y128" s="19">
        <v>0.64390000000000003</v>
      </c>
      <c r="Z128" s="19">
        <v>0.78139999999999998</v>
      </c>
      <c r="AB128" s="18">
        <v>590</v>
      </c>
    </row>
    <row r="129" spans="1:28" ht="15.75" customHeight="1" x14ac:dyDescent="0.2">
      <c r="A129" s="36" t="str">
        <f>HYPERLINK("https://www.bryantstratton.edu", "Bryant &amp; Stratton College-Eastlake")</f>
        <v>Bryant &amp; Stratton College-Eastlake</v>
      </c>
      <c r="B129" s="18" t="s">
        <v>368</v>
      </c>
      <c r="C129" s="18" t="s">
        <v>75</v>
      </c>
      <c r="D129" s="18" t="s">
        <v>1033</v>
      </c>
      <c r="E129" s="18" t="s">
        <v>36</v>
      </c>
      <c r="F129" s="18" t="s">
        <v>36</v>
      </c>
      <c r="J129" s="19"/>
      <c r="K129" s="19">
        <v>8.6999999999999994E-2</v>
      </c>
      <c r="L129" s="19">
        <v>0.237336994</v>
      </c>
      <c r="M129" s="19">
        <v>0.1071</v>
      </c>
      <c r="N129" s="19">
        <v>6.6699999999999995E-2</v>
      </c>
      <c r="O129" s="19" t="s">
        <v>36</v>
      </c>
      <c r="P129" s="19">
        <v>0</v>
      </c>
      <c r="Q129" s="19">
        <v>2.3633998E-2</v>
      </c>
      <c r="R129" s="20">
        <v>24272</v>
      </c>
      <c r="S129" s="21" t="str">
        <f>HYPERLINK("https://www.bryantstratton.edu/financial-aid/net-price-calculator", "$13523")</f>
        <v>$13523</v>
      </c>
      <c r="T129" s="20" t="s">
        <v>36</v>
      </c>
      <c r="U129" s="20" t="s">
        <v>36</v>
      </c>
      <c r="V129" s="20">
        <v>3280</v>
      </c>
      <c r="W129" s="20">
        <v>10243</v>
      </c>
      <c r="Y129" s="19">
        <v>0.75099999999999989</v>
      </c>
      <c r="Z129" s="19">
        <v>0.44119999999999998</v>
      </c>
      <c r="AB129" s="18">
        <v>238</v>
      </c>
    </row>
    <row r="130" spans="1:28" ht="15.75" customHeight="1" x14ac:dyDescent="0.2">
      <c r="A130" s="36" t="str">
        <f>HYPERLINK("https://www.bryantstratton.edu", "Bryant &amp; Stratton College-Online")</f>
        <v>Bryant &amp; Stratton College-Online</v>
      </c>
      <c r="B130" s="18" t="s">
        <v>368</v>
      </c>
      <c r="C130" s="18" t="s">
        <v>38</v>
      </c>
      <c r="D130" s="18" t="s">
        <v>1028</v>
      </c>
      <c r="E130" s="18" t="s">
        <v>36</v>
      </c>
      <c r="F130" s="18" t="s">
        <v>36</v>
      </c>
      <c r="J130" s="19"/>
      <c r="K130" s="19">
        <v>0.1852</v>
      </c>
      <c r="L130" s="19">
        <v>0.237336994</v>
      </c>
      <c r="M130" s="19">
        <v>0.17649999999999999</v>
      </c>
      <c r="N130" s="19">
        <v>0</v>
      </c>
      <c r="O130" s="19">
        <v>0</v>
      </c>
      <c r="P130" s="19" t="s">
        <v>36</v>
      </c>
      <c r="Q130" s="19">
        <v>2.3633998E-2</v>
      </c>
      <c r="R130" s="20">
        <v>24068</v>
      </c>
      <c r="S130" s="21" t="str">
        <f>HYPERLINK("https://www.bryantstratton.edu/financial-aid/net-price-calculator", "$13088")</f>
        <v>$13088</v>
      </c>
      <c r="T130" s="20">
        <v>15917</v>
      </c>
      <c r="U130" s="20" t="s">
        <v>36</v>
      </c>
      <c r="V130" s="20">
        <v>3280</v>
      </c>
      <c r="W130" s="20">
        <v>9808</v>
      </c>
      <c r="Y130" s="19">
        <v>0.70299999999999996</v>
      </c>
      <c r="Z130" s="19">
        <v>0.28460000000000002</v>
      </c>
      <c r="AB130" s="18">
        <v>390</v>
      </c>
    </row>
    <row r="131" spans="1:28" ht="15.75" customHeight="1" x14ac:dyDescent="0.2">
      <c r="A131" s="36" t="str">
        <f>HYPERLINK("https://www.bryantstratton.edu", "Bryant &amp; Stratton College-Syracuse")</f>
        <v>Bryant &amp; Stratton College-Syracuse</v>
      </c>
      <c r="B131" s="18" t="s">
        <v>368</v>
      </c>
      <c r="C131" s="18" t="s">
        <v>38</v>
      </c>
      <c r="D131" s="18" t="s">
        <v>242</v>
      </c>
      <c r="E131" s="18" t="s">
        <v>36</v>
      </c>
      <c r="F131" s="18" t="s">
        <v>36</v>
      </c>
      <c r="J131" s="19"/>
      <c r="K131" s="19">
        <v>0.26419999999999999</v>
      </c>
      <c r="L131" s="19">
        <v>0.237336994</v>
      </c>
      <c r="M131" s="19">
        <v>0.27910000000000001</v>
      </c>
      <c r="N131" s="19">
        <v>0.26319999999999999</v>
      </c>
      <c r="O131" s="19">
        <v>0.25</v>
      </c>
      <c r="P131" s="19">
        <v>0</v>
      </c>
      <c r="Q131" s="19">
        <v>2.3633998E-2</v>
      </c>
      <c r="R131" s="20">
        <v>30550</v>
      </c>
      <c r="S131" s="21" t="str">
        <f>HYPERLINK("https://www.bryantstratton.edu/financial-aid/net-price-calculator", "$10316")</f>
        <v>$10316</v>
      </c>
      <c r="T131" s="20">
        <v>16616</v>
      </c>
      <c r="U131" s="20" t="s">
        <v>36</v>
      </c>
      <c r="V131" s="20">
        <v>3280</v>
      </c>
      <c r="W131" s="20">
        <v>7036</v>
      </c>
      <c r="Y131" s="19">
        <v>0.7379</v>
      </c>
      <c r="Z131" s="19">
        <v>0.51600000000000001</v>
      </c>
      <c r="AB131" s="18">
        <v>438</v>
      </c>
    </row>
    <row r="132" spans="1:28" ht="15.75" customHeight="1" x14ac:dyDescent="0.2">
      <c r="A132" s="36" t="str">
        <f>HYPERLINK("https://www.bryantstratton.edu/", "Bryant &amp; Stratton College-Syracuse North")</f>
        <v>Bryant &amp; Stratton College-Syracuse North</v>
      </c>
      <c r="B132" s="18" t="s">
        <v>368</v>
      </c>
      <c r="C132" s="18" t="s">
        <v>38</v>
      </c>
      <c r="D132" s="18" t="s">
        <v>1036</v>
      </c>
      <c r="E132" s="18" t="s">
        <v>36</v>
      </c>
      <c r="F132" s="18" t="s">
        <v>36</v>
      </c>
      <c r="J132" s="19"/>
      <c r="K132" s="19">
        <v>0.18840000000000001</v>
      </c>
      <c r="L132" s="19">
        <v>0.237336994</v>
      </c>
      <c r="M132" s="19">
        <v>0.2097</v>
      </c>
      <c r="N132" s="19">
        <v>0</v>
      </c>
      <c r="O132" s="19">
        <v>0</v>
      </c>
      <c r="P132" s="19" t="s">
        <v>36</v>
      </c>
      <c r="Q132" s="19">
        <v>2.3633998E-2</v>
      </c>
      <c r="R132" s="20">
        <v>23481</v>
      </c>
      <c r="S132" s="21" t="str">
        <f>HYPERLINK("https://www.bryantstratton.edu/financial-aid/net-price-calculator", "$9753")</f>
        <v>$9753</v>
      </c>
      <c r="T132" s="20" t="s">
        <v>36</v>
      </c>
      <c r="U132" s="20" t="s">
        <v>36</v>
      </c>
      <c r="V132" s="20">
        <v>3280</v>
      </c>
      <c r="W132" s="20">
        <v>6473</v>
      </c>
      <c r="Y132" s="19">
        <v>0.73170000000000002</v>
      </c>
      <c r="Z132" s="19">
        <v>0.16339999999999999</v>
      </c>
      <c r="AB132" s="18">
        <v>257</v>
      </c>
    </row>
    <row r="133" spans="1:28" ht="15.75" customHeight="1" x14ac:dyDescent="0.2">
      <c r="A133" s="36" t="str">
        <f>HYPERLINK("https://www.bryantstratton.edu", "Bryant &amp; Stratton College-Virginia Beach")</f>
        <v>Bryant &amp; Stratton College-Virginia Beach</v>
      </c>
      <c r="B133" s="18" t="s">
        <v>368</v>
      </c>
      <c r="C133" s="18" t="s">
        <v>83</v>
      </c>
      <c r="D133" s="18" t="s">
        <v>921</v>
      </c>
      <c r="E133" s="18" t="s">
        <v>36</v>
      </c>
      <c r="F133" s="18" t="s">
        <v>36</v>
      </c>
      <c r="J133" s="19"/>
      <c r="K133" s="19">
        <v>0.3402</v>
      </c>
      <c r="L133" s="19">
        <v>0.237336994</v>
      </c>
      <c r="M133" s="19">
        <v>0.4667</v>
      </c>
      <c r="N133" s="19">
        <v>0.29580000000000001</v>
      </c>
      <c r="O133" s="19">
        <v>0.42859999999999998</v>
      </c>
      <c r="P133" s="19">
        <v>0.66669999999999996</v>
      </c>
      <c r="Q133" s="19">
        <v>2.3633998E-2</v>
      </c>
      <c r="R133" s="20">
        <v>24404</v>
      </c>
      <c r="S133" s="21" t="str">
        <f>HYPERLINK("https://www.bryantstratton.edu/financial-aid/net-price-calculator", "$12616")</f>
        <v>$12616</v>
      </c>
      <c r="T133" s="20">
        <v>12099</v>
      </c>
      <c r="U133" s="20">
        <v>2508</v>
      </c>
      <c r="V133" s="20">
        <v>3280</v>
      </c>
      <c r="W133" s="20">
        <v>9336</v>
      </c>
      <c r="Y133" s="19">
        <v>0.73250000000000004</v>
      </c>
      <c r="Z133" s="19">
        <v>0.74740000000000006</v>
      </c>
      <c r="AB133" s="18">
        <v>475</v>
      </c>
    </row>
    <row r="134" spans="1:28" ht="15.75" customHeight="1" x14ac:dyDescent="0.2">
      <c r="A134" s="36" t="str">
        <f>HYPERLINK("https://www.bryantstratton.edu", "Bryant &amp; Stratton College-Wauwatosa")</f>
        <v>Bryant &amp; Stratton College-Wauwatosa</v>
      </c>
      <c r="B134" s="18" t="s">
        <v>368</v>
      </c>
      <c r="C134" s="18" t="s">
        <v>196</v>
      </c>
      <c r="D134" s="18" t="s">
        <v>1039</v>
      </c>
      <c r="E134" s="18" t="s">
        <v>36</v>
      </c>
      <c r="F134" s="18" t="s">
        <v>36</v>
      </c>
      <c r="J134" s="19"/>
      <c r="K134" s="19">
        <v>0.2273</v>
      </c>
      <c r="L134" s="19">
        <v>0.237336994</v>
      </c>
      <c r="M134" s="19">
        <v>0.4</v>
      </c>
      <c r="N134" s="19">
        <v>0.125</v>
      </c>
      <c r="O134" s="19">
        <v>0</v>
      </c>
      <c r="P134" s="19">
        <v>0</v>
      </c>
      <c r="Q134" s="19">
        <v>2.3633998E-2</v>
      </c>
      <c r="R134" s="20">
        <v>24487</v>
      </c>
      <c r="S134" s="21" t="str">
        <f>HYPERLINK("https://www.bryantstratton.edu/financial-aid/net-price-calculator", "$13007")</f>
        <v>$13007</v>
      </c>
      <c r="T134" s="20">
        <v>20688</v>
      </c>
      <c r="U134" s="20">
        <v>16238</v>
      </c>
      <c r="V134" s="20">
        <v>3280</v>
      </c>
      <c r="W134" s="20">
        <v>9727</v>
      </c>
      <c r="Y134" s="19">
        <v>0.59830000000000005</v>
      </c>
      <c r="Z134" s="19">
        <v>0.49550000000000011</v>
      </c>
      <c r="AB134" s="18">
        <v>781</v>
      </c>
    </row>
    <row r="135" spans="1:28" ht="15.75" customHeight="1" x14ac:dyDescent="0.2">
      <c r="A135" s="36" t="str">
        <f>HYPERLINK("https://www.bucks.edu/", "Bucks County Community College")</f>
        <v>Bucks County Community College</v>
      </c>
      <c r="B135" s="18" t="s">
        <v>49</v>
      </c>
      <c r="C135" s="18" t="s">
        <v>65</v>
      </c>
      <c r="D135" s="18" t="s">
        <v>1041</v>
      </c>
      <c r="E135" s="18" t="s">
        <v>36</v>
      </c>
      <c r="F135" s="18" t="s">
        <v>36</v>
      </c>
      <c r="J135" s="19"/>
      <c r="K135" s="19">
        <v>0.16589999999999999</v>
      </c>
      <c r="L135" s="19">
        <v>0.20634920600000001</v>
      </c>
      <c r="M135" s="19">
        <v>0.18679999999999999</v>
      </c>
      <c r="N135" s="19">
        <v>4.4400000000000002E-2</v>
      </c>
      <c r="O135" s="19">
        <v>8.3299999999999999E-2</v>
      </c>
      <c r="P135" s="19">
        <v>0.2051</v>
      </c>
      <c r="Q135" s="19">
        <v>0.144416873</v>
      </c>
      <c r="R135" s="20">
        <v>25128</v>
      </c>
      <c r="S135" s="21" t="str">
        <f>HYPERLINK("https://www.bucks.edu/npc/npcalc.htm", "$19224")</f>
        <v>$19224</v>
      </c>
      <c r="T135" s="20">
        <v>22100</v>
      </c>
      <c r="U135" s="20">
        <v>24514</v>
      </c>
      <c r="V135" s="20">
        <v>7370</v>
      </c>
      <c r="W135" s="20">
        <v>11854.1</v>
      </c>
      <c r="Y135" s="19">
        <v>0.2336</v>
      </c>
      <c r="Z135" s="19">
        <v>0.31599999999999989</v>
      </c>
      <c r="AB135" s="18">
        <v>7010</v>
      </c>
    </row>
    <row r="136" spans="1:28" ht="15.75" customHeight="1" x14ac:dyDescent="0.2">
      <c r="A136" s="36" t="str">
        <f>HYPERLINK("https://www.bhcc.mass.edu", "Bunker Hill Community College")</f>
        <v>Bunker Hill Community College</v>
      </c>
      <c r="B136" s="18" t="s">
        <v>49</v>
      </c>
      <c r="C136" s="18" t="s">
        <v>33</v>
      </c>
      <c r="D136" s="18" t="s">
        <v>136</v>
      </c>
      <c r="E136" s="18" t="s">
        <v>36</v>
      </c>
      <c r="F136" s="18" t="s">
        <v>36</v>
      </c>
      <c r="J136" s="19"/>
      <c r="K136" s="19">
        <v>0.1363</v>
      </c>
      <c r="L136" s="19">
        <v>0.153903346</v>
      </c>
      <c r="M136" s="19">
        <v>0.12620000000000001</v>
      </c>
      <c r="N136" s="19">
        <v>8.8499999999999995E-2</v>
      </c>
      <c r="O136" s="19">
        <v>0.11749999999999999</v>
      </c>
      <c r="P136" s="19">
        <v>9.2299999999999993E-2</v>
      </c>
      <c r="Q136" s="19">
        <v>8.3310495999999998E-2</v>
      </c>
      <c r="R136" s="20">
        <v>22274</v>
      </c>
      <c r="S136" s="21" t="str">
        <f>HYPERLINK("https://www.bhcc.mass.edu/financialaid/costofattendanceanddeterminingneed/", "$17836")</f>
        <v>$17836</v>
      </c>
      <c r="T136" s="20">
        <v>20296</v>
      </c>
      <c r="U136" s="20">
        <v>21166</v>
      </c>
      <c r="V136" s="20">
        <v>6306</v>
      </c>
      <c r="W136" s="20">
        <v>11530.09058614565</v>
      </c>
      <c r="Y136" s="19">
        <v>0.53710000000000002</v>
      </c>
      <c r="Z136" s="19">
        <v>0.7903</v>
      </c>
      <c r="AB136" s="18">
        <v>10732</v>
      </c>
    </row>
    <row r="137" spans="1:28" ht="15.75" customHeight="1" x14ac:dyDescent="0.2">
      <c r="A137" s="36" t="str">
        <f>HYPERLINK("https://www.butlercc.edu/", "Butler Community College")</f>
        <v>Butler Community College</v>
      </c>
      <c r="B137" s="18" t="s">
        <v>49</v>
      </c>
      <c r="C137" s="18" t="s">
        <v>307</v>
      </c>
      <c r="D137" s="18" t="s">
        <v>1043</v>
      </c>
      <c r="E137" s="18" t="s">
        <v>36</v>
      </c>
      <c r="F137" s="18" t="s">
        <v>36</v>
      </c>
      <c r="J137" s="19"/>
      <c r="K137" s="19">
        <v>0.23369999999999999</v>
      </c>
      <c r="L137" s="19">
        <v>0.15456362400000001</v>
      </c>
      <c r="M137" s="19">
        <v>0.28050000000000003</v>
      </c>
      <c r="N137" s="19">
        <v>0.15479999999999999</v>
      </c>
      <c r="O137" s="19">
        <v>0.15140000000000001</v>
      </c>
      <c r="P137" s="19">
        <v>0.13039999999999999</v>
      </c>
      <c r="Q137" s="19">
        <v>0.13153153200000001</v>
      </c>
      <c r="R137" s="20">
        <v>14540</v>
      </c>
      <c r="S137" s="21" t="str">
        <f>HYPERLINK("https://www.butlercc.edu/info/20041/financial-aid--and--scholarships/205/net-price-calculator", "$8845")</f>
        <v>$8845</v>
      </c>
      <c r="T137" s="20">
        <v>12184</v>
      </c>
      <c r="U137" s="20">
        <v>13728</v>
      </c>
      <c r="V137" s="20">
        <v>3470</v>
      </c>
      <c r="W137" s="20">
        <v>5375.6438356164381</v>
      </c>
      <c r="Y137" s="19">
        <v>0.29389999999999999</v>
      </c>
      <c r="Z137" s="19">
        <v>0.39789999999999998</v>
      </c>
      <c r="AB137" s="18">
        <v>7266</v>
      </c>
    </row>
    <row r="138" spans="1:28" ht="15.75" customHeight="1" x14ac:dyDescent="0.2">
      <c r="A138" s="36" t="str">
        <f>HYPERLINK("https://www.bc3.edu", "Butler County Community College")</f>
        <v>Butler County Community College</v>
      </c>
      <c r="B138" s="18" t="s">
        <v>49</v>
      </c>
      <c r="C138" s="18" t="s">
        <v>65</v>
      </c>
      <c r="D138" s="18" t="s">
        <v>1045</v>
      </c>
      <c r="E138" s="18" t="s">
        <v>36</v>
      </c>
      <c r="F138" s="18" t="s">
        <v>36</v>
      </c>
      <c r="J138" s="19"/>
      <c r="K138" s="19">
        <v>0.24929999999999999</v>
      </c>
      <c r="L138" s="19">
        <v>0.16411682899999999</v>
      </c>
      <c r="M138" s="19">
        <v>0.25750000000000001</v>
      </c>
      <c r="N138" s="19">
        <v>0.13039999999999999</v>
      </c>
      <c r="O138" s="19">
        <v>0.1333</v>
      </c>
      <c r="P138" s="19">
        <v>0.4</v>
      </c>
      <c r="Q138" s="19">
        <v>0.10927390400000001</v>
      </c>
      <c r="R138" s="20">
        <v>16750</v>
      </c>
      <c r="S138" s="21" t="str">
        <f>HYPERLINK("https://www.bc3.edu/paying/financial-aid/pdf/npcalc.htm", "$10631")</f>
        <v>$10631</v>
      </c>
      <c r="T138" s="20">
        <v>13226</v>
      </c>
      <c r="U138" s="20">
        <v>15863</v>
      </c>
      <c r="V138" s="20">
        <v>2750</v>
      </c>
      <c r="W138" s="20">
        <v>7881.2465753424658</v>
      </c>
      <c r="Y138" s="19">
        <v>0.36670000000000003</v>
      </c>
      <c r="Z138" s="19">
        <v>0.10059999999999999</v>
      </c>
      <c r="AB138" s="18">
        <v>2803</v>
      </c>
    </row>
    <row r="139" spans="1:28" ht="15.75" customHeight="1" x14ac:dyDescent="0.2">
      <c r="A139" s="36" t="str">
        <f>HYPERLINK("https://www.butte.edu", "Butte College")</f>
        <v>Butte College</v>
      </c>
      <c r="B139" s="18" t="s">
        <v>49</v>
      </c>
      <c r="C139" s="18" t="s">
        <v>68</v>
      </c>
      <c r="D139" s="18" t="s">
        <v>1047</v>
      </c>
      <c r="E139" s="18" t="s">
        <v>36</v>
      </c>
      <c r="F139" s="18" t="s">
        <v>36</v>
      </c>
      <c r="J139" s="19"/>
      <c r="K139" s="19">
        <v>0.31280000000000002</v>
      </c>
      <c r="L139" s="19">
        <v>3.8696538000000003E-2</v>
      </c>
      <c r="M139" s="19">
        <v>0.3236</v>
      </c>
      <c r="N139" s="19">
        <v>0.2</v>
      </c>
      <c r="O139" s="19">
        <v>0.2878</v>
      </c>
      <c r="P139" s="19">
        <v>0.2329</v>
      </c>
      <c r="Q139" s="19">
        <v>0.106129918</v>
      </c>
      <c r="R139" s="20">
        <v>23282</v>
      </c>
      <c r="S139" s="21" t="str">
        <f>HYPERLINK("https://misweb.cccco.edu/npc/111/npcalc.htm", "$16251")</f>
        <v>$16251</v>
      </c>
      <c r="T139" s="20">
        <v>19278</v>
      </c>
      <c r="U139" s="20">
        <v>22130</v>
      </c>
      <c r="V139" s="20">
        <v>4968</v>
      </c>
      <c r="W139" s="20">
        <v>11283.58024691358</v>
      </c>
      <c r="Y139" s="19">
        <v>0.4163</v>
      </c>
      <c r="Z139" s="19">
        <v>0.45829999999999999</v>
      </c>
      <c r="AB139" s="18">
        <v>10188</v>
      </c>
    </row>
    <row r="140" spans="1:28" ht="15.75" customHeight="1" x14ac:dyDescent="0.2">
      <c r="A140" s="36" t="str">
        <f>HYPERLINK("https://www.cbd.edu", "CBD College")</f>
        <v>CBD College</v>
      </c>
      <c r="B140" s="18" t="s">
        <v>32</v>
      </c>
      <c r="C140" s="18" t="s">
        <v>68</v>
      </c>
      <c r="D140" s="18" t="s">
        <v>140</v>
      </c>
      <c r="E140" s="18" t="s">
        <v>36</v>
      </c>
      <c r="F140" s="18" t="s">
        <v>36</v>
      </c>
      <c r="J140" s="19"/>
      <c r="K140" s="19">
        <v>0.76559999999999995</v>
      </c>
      <c r="L140" s="19">
        <v>0.59638554200000005</v>
      </c>
      <c r="M140" s="19">
        <v>0.78</v>
      </c>
      <c r="N140" s="19">
        <v>0.63490000000000002</v>
      </c>
      <c r="O140" s="19">
        <v>0.76990000000000003</v>
      </c>
      <c r="P140" s="19">
        <v>0.9</v>
      </c>
      <c r="Q140" s="19" t="s">
        <v>36</v>
      </c>
      <c r="R140" s="20" t="s">
        <v>36</v>
      </c>
      <c r="S140" s="21" t="str">
        <f>HYPERLINK("https://www.cbd.edu/financial-aid/", "$23488")</f>
        <v>$23488</v>
      </c>
      <c r="T140" s="20">
        <v>25445</v>
      </c>
      <c r="U140" s="20">
        <v>26768</v>
      </c>
      <c r="V140" s="20" t="s">
        <v>36</v>
      </c>
      <c r="W140" s="20" t="s">
        <v>36</v>
      </c>
      <c r="Y140" s="19">
        <v>0.55030000000000001</v>
      </c>
      <c r="Z140" s="19">
        <v>0.72799999999999998</v>
      </c>
      <c r="AB140" s="18">
        <v>500</v>
      </c>
    </row>
    <row r="141" spans="1:28" ht="15.75" customHeight="1" x14ac:dyDescent="0.2">
      <c r="A141" s="36" t="str">
        <f>HYPERLINK("https://www.cempr.edu", "Centro de Estudios Multidisciplinarios-Humacao")</f>
        <v>Centro de Estudios Multidisciplinarios-Humacao</v>
      </c>
      <c r="B141" s="18" t="s">
        <v>368</v>
      </c>
      <c r="C141" s="18" t="s">
        <v>284</v>
      </c>
      <c r="D141" s="18" t="s">
        <v>1050</v>
      </c>
      <c r="E141" s="18" t="s">
        <v>36</v>
      </c>
      <c r="F141" s="18" t="s">
        <v>36</v>
      </c>
      <c r="J141" s="19"/>
      <c r="K141" s="19">
        <v>0.42409999999999998</v>
      </c>
      <c r="L141" s="19">
        <v>0.107710418</v>
      </c>
      <c r="M141" s="19" t="s">
        <v>36</v>
      </c>
      <c r="N141" s="19" t="s">
        <v>36</v>
      </c>
      <c r="O141" s="19">
        <v>0.42409999999999998</v>
      </c>
      <c r="P141" s="19" t="s">
        <v>36</v>
      </c>
      <c r="Q141" s="19">
        <v>4.3360434000000003E-2</v>
      </c>
      <c r="R141" s="20">
        <v>15122</v>
      </c>
      <c r="S141" s="21" t="str">
        <f>HYPERLINK("https://www.cempr.edu/npcalc/", "$6039")</f>
        <v>$6039</v>
      </c>
      <c r="T141" s="20">
        <v>10983</v>
      </c>
      <c r="U141" s="20" t="s">
        <v>36</v>
      </c>
      <c r="V141" s="20">
        <v>4964</v>
      </c>
      <c r="W141" s="20">
        <v>1075</v>
      </c>
      <c r="Y141" s="19">
        <v>0.96519999999999995</v>
      </c>
      <c r="Z141" s="19">
        <v>1</v>
      </c>
      <c r="AB141" s="18">
        <v>370</v>
      </c>
    </row>
    <row r="142" spans="1:28" ht="15.75" customHeight="1" x14ac:dyDescent="0.2">
      <c r="A142" s="36" t="str">
        <f>HYPERLINK("https://www.cemcollege.edu/cem/", "Centro de Estudios Multidisciplinarios-Mayaguez")</f>
        <v>Centro de Estudios Multidisciplinarios-Mayaguez</v>
      </c>
      <c r="B142" s="18" t="s">
        <v>368</v>
      </c>
      <c r="C142" s="18" t="s">
        <v>284</v>
      </c>
      <c r="D142" s="18" t="s">
        <v>1052</v>
      </c>
      <c r="E142" s="18" t="s">
        <v>36</v>
      </c>
      <c r="F142" s="18" t="s">
        <v>36</v>
      </c>
      <c r="J142" s="19"/>
      <c r="K142" s="19" t="s">
        <v>36</v>
      </c>
      <c r="L142" s="19">
        <v>0.107710418</v>
      </c>
      <c r="M142" s="19" t="s">
        <v>36</v>
      </c>
      <c r="N142" s="19" t="s">
        <v>36</v>
      </c>
      <c r="O142" s="19" t="s">
        <v>36</v>
      </c>
      <c r="P142" s="19" t="s">
        <v>36</v>
      </c>
      <c r="Q142" s="19">
        <v>4.3360434000000003E-2</v>
      </c>
      <c r="R142" s="20">
        <v>15122</v>
      </c>
      <c r="S142" s="21" t="str">
        <f>HYPERLINK("https://www.cemcollege.edu/cem/netprice/", "$6418")</f>
        <v>$6418</v>
      </c>
      <c r="T142" s="20">
        <v>7445</v>
      </c>
      <c r="U142" s="20">
        <v>11907</v>
      </c>
      <c r="V142" s="20">
        <v>4964</v>
      </c>
      <c r="W142" s="20">
        <v>1454</v>
      </c>
      <c r="Y142" s="19">
        <v>0.94440000000000002</v>
      </c>
      <c r="Z142" s="19">
        <v>1</v>
      </c>
      <c r="AB142" s="18">
        <v>212</v>
      </c>
    </row>
    <row r="143" spans="1:28" ht="15.75" customHeight="1" x14ac:dyDescent="0.2">
      <c r="A143" s="36" t="str">
        <f>HYPERLINK("https://www.cemcollege.edu/cem/", "Centro de Estudios Multidisciplinarios-San Juan")</f>
        <v>Centro de Estudios Multidisciplinarios-San Juan</v>
      </c>
      <c r="B143" s="18" t="s">
        <v>368</v>
      </c>
      <c r="C143" s="18" t="s">
        <v>284</v>
      </c>
      <c r="D143" s="18" t="s">
        <v>285</v>
      </c>
      <c r="E143" s="18" t="s">
        <v>36</v>
      </c>
      <c r="F143" s="18" t="s">
        <v>36</v>
      </c>
      <c r="J143" s="19"/>
      <c r="K143" s="19">
        <v>0.755</v>
      </c>
      <c r="L143" s="19">
        <v>0.107710418</v>
      </c>
      <c r="M143" s="19" t="s">
        <v>36</v>
      </c>
      <c r="N143" s="19" t="s">
        <v>36</v>
      </c>
      <c r="O143" s="19">
        <v>0.755</v>
      </c>
      <c r="P143" s="19" t="s">
        <v>36</v>
      </c>
      <c r="Q143" s="19">
        <v>4.3360434000000003E-2</v>
      </c>
      <c r="R143" s="20">
        <v>15122</v>
      </c>
      <c r="S143" s="21" t="str">
        <f>HYPERLINK("https://www.cemcollege.edu/cem/netprice/", "$7305")</f>
        <v>$7305</v>
      </c>
      <c r="T143" s="20">
        <v>11859</v>
      </c>
      <c r="U143" s="20" t="s">
        <v>36</v>
      </c>
      <c r="V143" s="20">
        <v>4964</v>
      </c>
      <c r="W143" s="20">
        <v>2341</v>
      </c>
      <c r="Y143" s="19">
        <v>0.91779999999999995</v>
      </c>
      <c r="Z143" s="19">
        <v>1</v>
      </c>
      <c r="AB143" s="18">
        <v>442</v>
      </c>
    </row>
    <row r="144" spans="1:28" ht="15.75" customHeight="1" x14ac:dyDescent="0.2">
      <c r="A144" s="36" t="str">
        <f>HYPERLINK("https://www.chihealth.com/school-of-radiologic-technology", "CHI Health School of Radiologic Technology")</f>
        <v>CHI Health School of Radiologic Technology</v>
      </c>
      <c r="B144" s="18" t="s">
        <v>32</v>
      </c>
      <c r="C144" s="18" t="s">
        <v>341</v>
      </c>
      <c r="D144" s="18" t="s">
        <v>345</v>
      </c>
      <c r="E144" s="18" t="s">
        <v>36</v>
      </c>
      <c r="F144" s="18" t="s">
        <v>36</v>
      </c>
      <c r="J144" s="19"/>
      <c r="K144" s="19" t="s">
        <v>36</v>
      </c>
      <c r="L144" s="19" t="s">
        <v>36</v>
      </c>
      <c r="M144" s="19" t="s">
        <v>36</v>
      </c>
      <c r="N144" s="19" t="s">
        <v>36</v>
      </c>
      <c r="O144" s="19" t="s">
        <v>36</v>
      </c>
      <c r="P144" s="19" t="s">
        <v>36</v>
      </c>
      <c r="Q144" s="19" t="s">
        <v>36</v>
      </c>
      <c r="R144" s="20" t="s">
        <v>36</v>
      </c>
      <c r="S144" s="21" t="str">
        <f>HYPERLINK("https://www.alegent.com/netprice/npcalc.htm", "Not reported")</f>
        <v>Not reported</v>
      </c>
      <c r="T144" s="20" t="s">
        <v>36</v>
      </c>
      <c r="U144" s="20" t="s">
        <v>36</v>
      </c>
      <c r="V144" s="20" t="s">
        <v>36</v>
      </c>
      <c r="W144" s="20" t="s">
        <v>36</v>
      </c>
      <c r="Y144" s="19">
        <v>0.16669999999999999</v>
      </c>
      <c r="Z144" s="19">
        <v>6.6699999999999982E-2</v>
      </c>
      <c r="AB144" s="18">
        <v>15</v>
      </c>
    </row>
    <row r="145" spans="1:28" ht="15.75" customHeight="1" x14ac:dyDescent="0.2">
      <c r="A145" s="36" t="str">
        <f>HYPERLINK("https://www.bmcc.cuny.edu/", "CUNY Borough of Manhattan Community College")</f>
        <v>CUNY Borough of Manhattan Community College</v>
      </c>
      <c r="B145" s="18" t="s">
        <v>49</v>
      </c>
      <c r="C145" s="18" t="s">
        <v>38</v>
      </c>
      <c r="D145" s="18" t="s">
        <v>39</v>
      </c>
      <c r="E145" s="18" t="s">
        <v>36</v>
      </c>
      <c r="F145" s="18" t="s">
        <v>36</v>
      </c>
      <c r="G145" s="18" t="s">
        <v>1055</v>
      </c>
      <c r="J145" s="19" t="s">
        <v>697</v>
      </c>
      <c r="K145" s="19">
        <v>0.20069999999999999</v>
      </c>
      <c r="L145" s="19">
        <v>0.23841749100000001</v>
      </c>
      <c r="M145" s="19">
        <v>0.19900000000000001</v>
      </c>
      <c r="N145" s="19">
        <v>0.157</v>
      </c>
      <c r="O145" s="19">
        <v>0.19800000000000001</v>
      </c>
      <c r="P145" s="19">
        <v>0.2437</v>
      </c>
      <c r="Q145" s="19">
        <v>7.7951002000000005E-2</v>
      </c>
      <c r="R145" s="20">
        <v>10642</v>
      </c>
      <c r="S145" s="21" t="str">
        <f>HYPERLINK("https://www.bmcc.cuny.edu/finaid/", "$5460")</f>
        <v>$5460</v>
      </c>
      <c r="T145" s="20">
        <v>9490</v>
      </c>
      <c r="U145" s="20">
        <v>11849</v>
      </c>
      <c r="V145" s="20">
        <v>5472</v>
      </c>
      <c r="W145" s="20">
        <v>-12</v>
      </c>
      <c r="Y145" s="19">
        <v>0.62509999999999999</v>
      </c>
      <c r="Z145" s="19">
        <v>0.9123</v>
      </c>
      <c r="AB145" s="18">
        <v>25457</v>
      </c>
    </row>
    <row r="146" spans="1:28" ht="15.75" customHeight="1" x14ac:dyDescent="0.2">
      <c r="A146" s="36" t="str">
        <f>HYPERLINK("https://www.bcc.cuny.edu", "CUNY Bronx Community College")</f>
        <v>CUNY Bronx Community College</v>
      </c>
      <c r="B146" s="18" t="s">
        <v>49</v>
      </c>
      <c r="C146" s="18" t="s">
        <v>38</v>
      </c>
      <c r="D146" s="18" t="s">
        <v>217</v>
      </c>
      <c r="E146" s="18" t="s">
        <v>36</v>
      </c>
      <c r="F146" s="18" t="s">
        <v>36</v>
      </c>
      <c r="G146" s="18" t="s">
        <v>1055</v>
      </c>
      <c r="J146" s="19" t="s">
        <v>697</v>
      </c>
      <c r="K146" s="19">
        <v>0.16200000000000001</v>
      </c>
      <c r="L146" s="19">
        <v>0.181869369</v>
      </c>
      <c r="M146" s="19">
        <v>0.125</v>
      </c>
      <c r="N146" s="19">
        <v>0.17069999999999999</v>
      </c>
      <c r="O146" s="19">
        <v>0.1583</v>
      </c>
      <c r="P146" s="19">
        <v>0.2273</v>
      </c>
      <c r="Q146" s="19">
        <v>6.0422282000000001E-2</v>
      </c>
      <c r="R146" s="20">
        <v>10678</v>
      </c>
      <c r="S146" s="21" t="str">
        <f>HYPERLINK("https://portal0.uapc.cuny.edu/uapc/public/fin_aid/financial_aid_estimator/FinAidEstimator.jsp", "$5451")</f>
        <v>$5451</v>
      </c>
      <c r="T146" s="20">
        <v>9421</v>
      </c>
      <c r="U146" s="20">
        <v>12321</v>
      </c>
      <c r="V146" s="20">
        <v>5472</v>
      </c>
      <c r="W146" s="20">
        <v>-21</v>
      </c>
      <c r="Y146" s="19">
        <v>0.69820000000000004</v>
      </c>
      <c r="Z146" s="19">
        <v>0.98119999999999996</v>
      </c>
      <c r="AB146" s="18">
        <v>10170</v>
      </c>
    </row>
    <row r="147" spans="1:28" ht="15.75" customHeight="1" x14ac:dyDescent="0.2">
      <c r="A147" s="36" t="str">
        <f>HYPERLINK("https://www.hostos.cuny.edu", "CUNY Hostos Community College")</f>
        <v>CUNY Hostos Community College</v>
      </c>
      <c r="B147" s="18" t="s">
        <v>49</v>
      </c>
      <c r="C147" s="18" t="s">
        <v>38</v>
      </c>
      <c r="D147" s="18" t="s">
        <v>217</v>
      </c>
      <c r="E147" s="18" t="s">
        <v>36</v>
      </c>
      <c r="F147" s="18" t="s">
        <v>36</v>
      </c>
      <c r="G147" s="18" t="s">
        <v>1055</v>
      </c>
      <c r="J147" s="19" t="s">
        <v>697</v>
      </c>
      <c r="K147" s="19">
        <v>0.1991</v>
      </c>
      <c r="L147" s="19">
        <v>0.22167487699999999</v>
      </c>
      <c r="M147" s="19">
        <v>0.30769999999999997</v>
      </c>
      <c r="N147" s="19">
        <v>0.18920000000000001</v>
      </c>
      <c r="O147" s="19">
        <v>0.20100000000000001</v>
      </c>
      <c r="P147" s="19">
        <v>0.18179999999999999</v>
      </c>
      <c r="Q147" s="19">
        <v>7.3208723000000003E-2</v>
      </c>
      <c r="R147" s="20">
        <v>10680</v>
      </c>
      <c r="S147" s="21" t="str">
        <f>HYPERLINK("https://portal0.uapc.cuny.edu/uapc/public/fin_aid/financial_aid_estimator/FinAidEstimator.jsp", "$6015")</f>
        <v>$6015</v>
      </c>
      <c r="T147" s="20">
        <v>10026</v>
      </c>
      <c r="U147" s="20">
        <v>13318</v>
      </c>
      <c r="V147" s="20">
        <v>5472</v>
      </c>
      <c r="W147" s="20">
        <v>543</v>
      </c>
      <c r="Y147" s="19">
        <v>0.64900000000000002</v>
      </c>
      <c r="Z147" s="19">
        <v>0.98129999999999995</v>
      </c>
      <c r="AB147" s="18">
        <v>6540</v>
      </c>
    </row>
    <row r="148" spans="1:28" ht="15.75" customHeight="1" x14ac:dyDescent="0.2">
      <c r="A148" s="36" t="str">
        <f>HYPERLINK("https://www.kbcc.cuny.edu", "CUNY Kingsborough Community College")</f>
        <v>CUNY Kingsborough Community College</v>
      </c>
      <c r="B148" s="18" t="s">
        <v>49</v>
      </c>
      <c r="C148" s="18" t="s">
        <v>38</v>
      </c>
      <c r="D148" s="18" t="s">
        <v>593</v>
      </c>
      <c r="E148" s="18" t="s">
        <v>36</v>
      </c>
      <c r="F148" s="18" t="s">
        <v>36</v>
      </c>
      <c r="G148" s="18" t="s">
        <v>1055</v>
      </c>
      <c r="J148" s="19" t="s">
        <v>697</v>
      </c>
      <c r="K148" s="19">
        <v>0.2792</v>
      </c>
      <c r="L148" s="19">
        <v>0.22385897099999999</v>
      </c>
      <c r="M148" s="19">
        <v>0.33729999999999999</v>
      </c>
      <c r="N148" s="19">
        <v>0.21029999999999999</v>
      </c>
      <c r="O148" s="19">
        <v>0.26329999999999998</v>
      </c>
      <c r="P148" s="19">
        <v>0.30459999999999998</v>
      </c>
      <c r="Q148" s="19">
        <v>9.3141554000000001E-2</v>
      </c>
      <c r="R148" s="20">
        <v>11485</v>
      </c>
      <c r="S148" s="21" t="str">
        <f>HYPERLINK("https://portal0.uapc.cuny.edu/uapc/public/fin_aid/financial_aid_estimator/FinAidEstimator.jsp", "$4869")</f>
        <v>$4869</v>
      </c>
      <c r="T148" s="20">
        <v>8957</v>
      </c>
      <c r="U148" s="20">
        <v>11910</v>
      </c>
      <c r="V148" s="20">
        <v>6233</v>
      </c>
      <c r="W148" s="20">
        <v>-1364</v>
      </c>
      <c r="Y148" s="19">
        <v>0.43640000000000001</v>
      </c>
      <c r="Z148" s="19">
        <v>0.71110000000000007</v>
      </c>
      <c r="AB148" s="18">
        <v>10915</v>
      </c>
    </row>
    <row r="149" spans="1:28" ht="15.75" customHeight="1" x14ac:dyDescent="0.2">
      <c r="A149" s="36" t="str">
        <f>HYPERLINK("https://www.lagcc.cuny.edu", "CUNY LaGuardia Community College")</f>
        <v>CUNY LaGuardia Community College</v>
      </c>
      <c r="B149" s="18" t="s">
        <v>49</v>
      </c>
      <c r="C149" s="18" t="s">
        <v>38</v>
      </c>
      <c r="D149" s="18" t="s">
        <v>1058</v>
      </c>
      <c r="E149" s="18" t="s">
        <v>36</v>
      </c>
      <c r="F149" s="18" t="s">
        <v>36</v>
      </c>
      <c r="G149" s="18" t="s">
        <v>1055</v>
      </c>
      <c r="J149" s="19" t="s">
        <v>697</v>
      </c>
      <c r="K149" s="19">
        <v>0.2268</v>
      </c>
      <c r="L149" s="19">
        <v>0.15069712299999999</v>
      </c>
      <c r="M149" s="19">
        <v>0.21629999999999999</v>
      </c>
      <c r="N149" s="19">
        <v>0.1928</v>
      </c>
      <c r="O149" s="19">
        <v>0.2283</v>
      </c>
      <c r="P149" s="19">
        <v>0.24790000000000001</v>
      </c>
      <c r="Q149" s="19">
        <v>9.6311474999999994E-2</v>
      </c>
      <c r="R149" s="20">
        <v>11451</v>
      </c>
      <c r="S149" s="21" t="str">
        <f>HYPERLINK("https://portal0.uapc.cuny.edu/uapc/public/fin_aid/financial_aid_estimator/FinAidEstimator.jsp", "$6061")</f>
        <v>$6061</v>
      </c>
      <c r="T149" s="20">
        <v>9448</v>
      </c>
      <c r="U149" s="20">
        <v>11810</v>
      </c>
      <c r="V149" s="20">
        <v>6233</v>
      </c>
      <c r="W149" s="20">
        <v>-172</v>
      </c>
      <c r="Y149" s="19">
        <v>0.43719999999999998</v>
      </c>
      <c r="Z149" s="19">
        <v>0.90239999999999998</v>
      </c>
      <c r="AB149" s="18">
        <v>15743</v>
      </c>
    </row>
    <row r="150" spans="1:28" ht="15.75" customHeight="1" x14ac:dyDescent="0.2">
      <c r="A150" s="36" t="str">
        <f>HYPERLINK("https://www.qcc.cuny.edu", "CUNY Queensborough Community College")</f>
        <v>CUNY Queensborough Community College</v>
      </c>
      <c r="B150" s="18" t="s">
        <v>49</v>
      </c>
      <c r="C150" s="18" t="s">
        <v>38</v>
      </c>
      <c r="D150" s="18" t="s">
        <v>1060</v>
      </c>
      <c r="E150" s="18" t="s">
        <v>36</v>
      </c>
      <c r="F150" s="18" t="s">
        <v>36</v>
      </c>
      <c r="G150" s="18" t="s">
        <v>1055</v>
      </c>
      <c r="J150" s="19" t="s">
        <v>697</v>
      </c>
      <c r="K150" s="19">
        <v>0.22639999999999999</v>
      </c>
      <c r="L150" s="19">
        <v>0.229915966</v>
      </c>
      <c r="M150" s="19">
        <v>0.28910000000000002</v>
      </c>
      <c r="N150" s="19">
        <v>0.15240000000000001</v>
      </c>
      <c r="O150" s="19">
        <v>0.23300000000000001</v>
      </c>
      <c r="P150" s="19">
        <v>0.25690000000000002</v>
      </c>
      <c r="Q150" s="19">
        <v>8.1553839000000003E-2</v>
      </c>
      <c r="R150" s="20">
        <v>10682</v>
      </c>
      <c r="S150" s="21" t="str">
        <f>HYPERLINK("https://portal0.uapc.cuny.edu/uapc/public/fin_aid/financial_aid_estimator/FinAidEstimator.jsp", "$4634")</f>
        <v>$4634</v>
      </c>
      <c r="T150" s="20">
        <v>8897</v>
      </c>
      <c r="U150" s="20">
        <v>11757</v>
      </c>
      <c r="V150" s="20">
        <v>5472</v>
      </c>
      <c r="W150" s="20">
        <v>-838</v>
      </c>
      <c r="Y150" s="19">
        <v>0.46639999999999998</v>
      </c>
      <c r="Z150" s="19">
        <v>0.87060000000000004</v>
      </c>
      <c r="AB150" s="18">
        <v>13341</v>
      </c>
    </row>
    <row r="151" spans="1:28" ht="15.75" customHeight="1" x14ac:dyDescent="0.2">
      <c r="A151" s="36" t="str">
        <f>HYPERLINK("https://www.carolinashealthcare.org/education/cabarrus-college-of-health-sciences", "Cabarrus College of Health Sciences")</f>
        <v>Cabarrus College of Health Sciences</v>
      </c>
      <c r="B151" s="18" t="s">
        <v>32</v>
      </c>
      <c r="C151" s="18" t="s">
        <v>103</v>
      </c>
      <c r="D151" s="18" t="s">
        <v>804</v>
      </c>
      <c r="E151" s="18">
        <v>1038</v>
      </c>
      <c r="F151" s="18" t="s">
        <v>35</v>
      </c>
      <c r="J151" s="19"/>
      <c r="K151" s="19">
        <v>0.59089999999999998</v>
      </c>
      <c r="L151" s="19">
        <v>0.61971830999999999</v>
      </c>
      <c r="M151" s="19">
        <v>0.6</v>
      </c>
      <c r="N151" s="19" t="s">
        <v>36</v>
      </c>
      <c r="O151" s="19">
        <v>1</v>
      </c>
      <c r="P151" s="19">
        <v>0</v>
      </c>
      <c r="Q151" s="19">
        <v>7.8787879000000005E-2</v>
      </c>
      <c r="R151" s="20">
        <v>29546</v>
      </c>
      <c r="S151" s="21" t="str">
        <f>HYPERLINK("https://www.carolinashealthcare.org/education/cabarrus-college-of-health-sciences/Financial-Information/Net-Price-Calculator", "$10084")</f>
        <v>$10084</v>
      </c>
      <c r="T151" s="20">
        <v>16732</v>
      </c>
      <c r="U151" s="20">
        <v>19097</v>
      </c>
      <c r="V151" s="20">
        <v>7000</v>
      </c>
      <c r="W151" s="20">
        <v>3084</v>
      </c>
      <c r="Y151" s="19">
        <v>0.307</v>
      </c>
      <c r="Z151" s="19">
        <v>0.17760000000000001</v>
      </c>
      <c r="AB151" s="18">
        <v>411</v>
      </c>
    </row>
    <row r="152" spans="1:28" ht="15.75" customHeight="1" x14ac:dyDescent="0.2">
      <c r="A152" s="36" t="str">
        <f>HYPERLINK("https://www.cabrillo.edu", "Cabrillo College")</f>
        <v>Cabrillo College</v>
      </c>
      <c r="B152" s="18" t="s">
        <v>49</v>
      </c>
      <c r="C152" s="18" t="s">
        <v>68</v>
      </c>
      <c r="D152" s="18" t="s">
        <v>1063</v>
      </c>
      <c r="E152" s="18" t="s">
        <v>36</v>
      </c>
      <c r="F152" s="18" t="s">
        <v>36</v>
      </c>
      <c r="J152" s="19"/>
      <c r="K152" s="19">
        <v>0.25719999999999998</v>
      </c>
      <c r="L152" s="19">
        <v>7.2655217999999994E-2</v>
      </c>
      <c r="M152" s="19">
        <v>0.32869999999999999</v>
      </c>
      <c r="N152" s="19">
        <v>0.18179999999999999</v>
      </c>
      <c r="O152" s="19">
        <v>0.2034</v>
      </c>
      <c r="P152" s="19">
        <v>0.28000000000000003</v>
      </c>
      <c r="Q152" s="19">
        <v>0.141925777</v>
      </c>
      <c r="R152" s="20">
        <v>25320</v>
      </c>
      <c r="S152" s="21" t="str">
        <f>HYPERLINK("https://misweb.cccco.edu/npc/411/npcalc.htm", "$18390")</f>
        <v>$18390</v>
      </c>
      <c r="T152" s="20">
        <v>20982</v>
      </c>
      <c r="U152" s="20">
        <v>22137</v>
      </c>
      <c r="V152" s="20">
        <v>5940</v>
      </c>
      <c r="W152" s="20">
        <v>12450.36599423631</v>
      </c>
      <c r="Y152" s="19">
        <v>0.2195</v>
      </c>
      <c r="Z152" s="19">
        <v>0.56140000000000001</v>
      </c>
      <c r="AB152" s="18">
        <v>10556</v>
      </c>
    </row>
    <row r="153" spans="1:28" ht="15.75" customHeight="1" x14ac:dyDescent="0.2">
      <c r="A153" s="36" t="str">
        <f>HYPERLINK("https://www.cccti.edu", "Caldwell Community College and Technical Institute")</f>
        <v>Caldwell Community College and Technical Institute</v>
      </c>
      <c r="B153" s="18" t="s">
        <v>49</v>
      </c>
      <c r="C153" s="18" t="s">
        <v>103</v>
      </c>
      <c r="D153" s="18" t="s">
        <v>1065</v>
      </c>
      <c r="E153" s="18" t="s">
        <v>36</v>
      </c>
      <c r="F153" s="18" t="s">
        <v>36</v>
      </c>
      <c r="J153" s="19"/>
      <c r="K153" s="19">
        <v>0.19750000000000001</v>
      </c>
      <c r="L153" s="19">
        <v>0.234841194</v>
      </c>
      <c r="M153" s="19">
        <v>0.2024</v>
      </c>
      <c r="N153" s="19">
        <v>3.7000000000000012E-2</v>
      </c>
      <c r="O153" s="19">
        <v>0.31580000000000003</v>
      </c>
      <c r="P153" s="19">
        <v>0.5</v>
      </c>
      <c r="Q153" s="19">
        <v>5.2562418E-2</v>
      </c>
      <c r="R153" s="20">
        <v>19442</v>
      </c>
      <c r="S153" s="21" t="str">
        <f>HYPERLINK("https://www.cccti.edu/NetPrice/npcalc.htm", "$13758")</f>
        <v>$13758</v>
      </c>
      <c r="T153" s="20">
        <v>14306</v>
      </c>
      <c r="U153" s="20">
        <v>17929</v>
      </c>
      <c r="V153" s="20">
        <v>2050</v>
      </c>
      <c r="W153" s="20">
        <v>11708.32061068702</v>
      </c>
      <c r="Y153" s="19">
        <v>0.38669999999999999</v>
      </c>
      <c r="Z153" s="19">
        <v>0.18049999999999999</v>
      </c>
      <c r="AB153" s="18">
        <v>2210</v>
      </c>
    </row>
    <row r="154" spans="1:28" ht="15.75" customHeight="1" x14ac:dyDescent="0.2">
      <c r="A154" s="36" t="str">
        <f>HYPERLINK("https://www.sbbcollege.edu", "Santa Barbara Business College-Ventura")</f>
        <v>Santa Barbara Business College-Ventura</v>
      </c>
      <c r="B154" s="18" t="s">
        <v>368</v>
      </c>
      <c r="C154" s="18" t="s">
        <v>68</v>
      </c>
      <c r="D154" s="18" t="s">
        <v>669</v>
      </c>
      <c r="E154" s="18" t="s">
        <v>36</v>
      </c>
      <c r="F154" s="18" t="s">
        <v>36</v>
      </c>
      <c r="J154" s="19"/>
      <c r="K154" s="19">
        <v>0.45710000000000001</v>
      </c>
      <c r="L154" s="19">
        <v>0.35986159200000001</v>
      </c>
      <c r="M154" s="19">
        <v>0.46150000000000002</v>
      </c>
      <c r="N154" s="19">
        <v>0</v>
      </c>
      <c r="O154" s="19">
        <v>0.5</v>
      </c>
      <c r="P154" s="19" t="s">
        <v>36</v>
      </c>
      <c r="Q154" s="19" t="s">
        <v>36</v>
      </c>
      <c r="R154" s="20">
        <v>26328</v>
      </c>
      <c r="S154" s="21" t="str">
        <f>HYPERLINK("https://cloud.sbbcollege.edu/npc/npc_vtsb.htm", "$17571")</f>
        <v>$17571</v>
      </c>
      <c r="T154" s="20">
        <v>21541</v>
      </c>
      <c r="U154" s="20">
        <v>22558</v>
      </c>
      <c r="V154" s="20">
        <v>4512</v>
      </c>
      <c r="W154" s="20">
        <v>13059</v>
      </c>
      <c r="Y154" s="19">
        <v>0.52659999999999996</v>
      </c>
      <c r="Z154" s="19">
        <v>0.72340000000000004</v>
      </c>
      <c r="AB154" s="18">
        <v>235</v>
      </c>
    </row>
    <row r="155" spans="1:28" ht="15.75" customHeight="1" x14ac:dyDescent="0.2">
      <c r="A155" s="36" t="str">
        <f t="shared" ref="A155:A156" si="3">HYPERLINK("https://www.cc-sd.edu", "California College San Diego")</f>
        <v>California College San Diego</v>
      </c>
      <c r="B155" s="18" t="s">
        <v>32</v>
      </c>
      <c r="C155" s="18" t="s">
        <v>68</v>
      </c>
      <c r="D155" s="18" t="s">
        <v>288</v>
      </c>
      <c r="E155" s="18" t="s">
        <v>36</v>
      </c>
      <c r="F155" s="18" t="s">
        <v>36</v>
      </c>
      <c r="J155" s="19"/>
      <c r="K155" s="19">
        <v>0.35239999999999999</v>
      </c>
      <c r="L155" s="19">
        <v>0.38383838399999998</v>
      </c>
      <c r="M155" s="19">
        <v>0.41670000000000001</v>
      </c>
      <c r="N155" s="19">
        <v>0.35920000000000002</v>
      </c>
      <c r="O155" s="19">
        <v>0.37080000000000002</v>
      </c>
      <c r="P155" s="19">
        <v>0.39219999999999999</v>
      </c>
      <c r="Q155" s="19">
        <v>3.8622128999999998E-2</v>
      </c>
      <c r="R155" s="20">
        <v>33960</v>
      </c>
      <c r="S155" s="21" t="str">
        <f>HYPERLINK("https://cc-sd.studentaidcalculator.com/survey.aspx", "$28695")</f>
        <v>$28695</v>
      </c>
      <c r="T155" s="20">
        <v>29420</v>
      </c>
      <c r="U155" s="20">
        <v>30717</v>
      </c>
      <c r="V155" s="20">
        <v>7816</v>
      </c>
      <c r="W155" s="20">
        <v>20879</v>
      </c>
      <c r="Y155" s="19">
        <v>0.7056</v>
      </c>
      <c r="Z155" s="19">
        <v>0.79659999999999997</v>
      </c>
      <c r="AB155" s="18">
        <v>875</v>
      </c>
    </row>
    <row r="156" spans="1:28" ht="15.75" customHeight="1" x14ac:dyDescent="0.2">
      <c r="A156" s="36" t="str">
        <f t="shared" si="3"/>
        <v>California College San Diego</v>
      </c>
      <c r="B156" s="18" t="s">
        <v>32</v>
      </c>
      <c r="C156" s="18" t="s">
        <v>68</v>
      </c>
      <c r="D156" s="18" t="s">
        <v>612</v>
      </c>
      <c r="E156" s="18" t="s">
        <v>36</v>
      </c>
      <c r="F156" s="18" t="s">
        <v>36</v>
      </c>
      <c r="J156" s="19"/>
      <c r="K156" s="19" t="s">
        <v>36</v>
      </c>
      <c r="L156" s="19">
        <v>0.38383838399999998</v>
      </c>
      <c r="M156" s="19" t="s">
        <v>36</v>
      </c>
      <c r="N156" s="19" t="s">
        <v>36</v>
      </c>
      <c r="O156" s="19" t="s">
        <v>36</v>
      </c>
      <c r="P156" s="19" t="s">
        <v>36</v>
      </c>
      <c r="Q156" s="19">
        <v>3.8622128999999998E-2</v>
      </c>
      <c r="R156" s="20">
        <v>33960</v>
      </c>
      <c r="S156" s="21" t="str">
        <f>HYPERLINK("https://www.cc-sd.edu/net-price-calculator", "$26810")</f>
        <v>$26810</v>
      </c>
      <c r="T156" s="20">
        <v>30819</v>
      </c>
      <c r="U156" s="20" t="s">
        <v>36</v>
      </c>
      <c r="V156" s="20">
        <v>7816</v>
      </c>
      <c r="W156" s="20">
        <v>18994</v>
      </c>
      <c r="Y156" s="19">
        <v>0.70920000000000005</v>
      </c>
      <c r="Z156" s="19">
        <v>0.70340000000000003</v>
      </c>
      <c r="AB156" s="18">
        <v>327</v>
      </c>
    </row>
    <row r="157" spans="1:28" ht="15.75" customHeight="1" x14ac:dyDescent="0.2">
      <c r="A157" s="36" t="str">
        <f>HYPERLINK("https://www.cambridgehealth.edu/", "Cambridge Institute of Allied Health &amp; Technology")</f>
        <v>Cambridge Institute of Allied Health &amp; Technology</v>
      </c>
      <c r="B157" s="18" t="s">
        <v>368</v>
      </c>
      <c r="C157" s="18" t="s">
        <v>162</v>
      </c>
      <c r="D157" s="18" t="s">
        <v>1069</v>
      </c>
      <c r="E157" s="18" t="s">
        <v>36</v>
      </c>
      <c r="F157" s="18" t="s">
        <v>36</v>
      </c>
      <c r="J157" s="19"/>
      <c r="K157" s="19">
        <v>0.63490000000000002</v>
      </c>
      <c r="L157" s="19">
        <v>0.55339805799999997</v>
      </c>
      <c r="M157" s="19">
        <v>0.68969999999999998</v>
      </c>
      <c r="N157" s="19">
        <v>0.56520000000000004</v>
      </c>
      <c r="O157" s="19">
        <v>0.5</v>
      </c>
      <c r="P157" s="19">
        <v>0</v>
      </c>
      <c r="Q157" s="19" t="s">
        <v>36</v>
      </c>
      <c r="R157" s="20" t="s">
        <v>36</v>
      </c>
      <c r="S157" s="21" t="str">
        <f>HYPERLINK("https://www.cambridgehealth.edu/", "$19795")</f>
        <v>$19795</v>
      </c>
      <c r="T157" s="20">
        <v>21539</v>
      </c>
      <c r="U157" s="20">
        <v>23991</v>
      </c>
      <c r="V157" s="20" t="s">
        <v>36</v>
      </c>
      <c r="W157" s="20" t="s">
        <v>36</v>
      </c>
      <c r="Y157" s="19">
        <v>0.83489999999999998</v>
      </c>
      <c r="Z157" s="19">
        <v>0.71950000000000003</v>
      </c>
      <c r="AB157" s="18">
        <v>164</v>
      </c>
    </row>
    <row r="158" spans="1:28" ht="15.75" customHeight="1" x14ac:dyDescent="0.2">
      <c r="A158" s="36" t="str">
        <f>HYPERLINK("https://www.camdencc.edu", "Camden County College")</f>
        <v>Camden County College</v>
      </c>
      <c r="B158" s="18" t="s">
        <v>49</v>
      </c>
      <c r="C158" s="18" t="s">
        <v>141</v>
      </c>
      <c r="D158" s="18" t="s">
        <v>1070</v>
      </c>
      <c r="E158" s="18" t="s">
        <v>36</v>
      </c>
      <c r="F158" s="18" t="s">
        <v>36</v>
      </c>
      <c r="J158" s="19"/>
      <c r="K158" s="19">
        <v>0.15629999999999999</v>
      </c>
      <c r="L158" s="19">
        <v>0.11942959</v>
      </c>
      <c r="M158" s="19">
        <v>0.23780000000000001</v>
      </c>
      <c r="N158" s="19">
        <v>5.8999999999999997E-2</v>
      </c>
      <c r="O158" s="19">
        <v>9.7299999999999998E-2</v>
      </c>
      <c r="P158" s="19">
        <v>0.17780000000000001</v>
      </c>
      <c r="Q158" s="19">
        <v>9.7624640999999998E-2</v>
      </c>
      <c r="R158" s="20">
        <v>16076</v>
      </c>
      <c r="S158" s="21" t="str">
        <f>HYPERLINK("https://camdencc.edu/admissions-financial-aid/financial-aid/net-price-calculator/", "$10409")</f>
        <v>$10409</v>
      </c>
      <c r="T158" s="20">
        <v>13044</v>
      </c>
      <c r="U158" s="20">
        <v>15014</v>
      </c>
      <c r="V158" s="20">
        <v>4886</v>
      </c>
      <c r="W158" s="20">
        <v>5523.7801857585146</v>
      </c>
      <c r="Y158" s="19">
        <v>0.38569999999999999</v>
      </c>
      <c r="Z158" s="19">
        <v>0.53</v>
      </c>
      <c r="AB158" s="18">
        <v>9055</v>
      </c>
    </row>
    <row r="159" spans="1:28" ht="15.75" customHeight="1" x14ac:dyDescent="0.2">
      <c r="A159" s="36" t="str">
        <f>HYPERLINK("https://canadacollege.edu", "Canada College")</f>
        <v>Canada College</v>
      </c>
      <c r="B159" s="18" t="s">
        <v>49</v>
      </c>
      <c r="C159" s="18" t="s">
        <v>68</v>
      </c>
      <c r="D159" s="18" t="s">
        <v>1072</v>
      </c>
      <c r="E159" s="18" t="s">
        <v>36</v>
      </c>
      <c r="F159" s="18" t="s">
        <v>36</v>
      </c>
      <c r="J159" s="19"/>
      <c r="K159" s="19">
        <v>0.26340000000000002</v>
      </c>
      <c r="L159" s="19">
        <v>9.2402464000000004E-2</v>
      </c>
      <c r="M159" s="19">
        <v>0.36730000000000002</v>
      </c>
      <c r="N159" s="19">
        <v>0.1429</v>
      </c>
      <c r="O159" s="19">
        <v>0.17460000000000001</v>
      </c>
      <c r="P159" s="19">
        <v>0.3125</v>
      </c>
      <c r="Q159" s="19">
        <v>0.12140575100000001</v>
      </c>
      <c r="R159" s="20">
        <v>26409</v>
      </c>
      <c r="S159" s="21" t="str">
        <f>HYPERLINK("https://misweb.cccco.edu/npc/371/npcalc.htm", "$19234")</f>
        <v>$19234</v>
      </c>
      <c r="T159" s="20">
        <v>22124</v>
      </c>
      <c r="U159" s="20">
        <v>24064</v>
      </c>
      <c r="V159" s="20">
        <v>5949</v>
      </c>
      <c r="W159" s="20">
        <v>13285.90909090909</v>
      </c>
      <c r="Y159" s="19">
        <v>0.1087</v>
      </c>
      <c r="Z159" s="19">
        <v>0.74360000000000004</v>
      </c>
      <c r="AB159" s="18">
        <v>4996</v>
      </c>
    </row>
    <row r="160" spans="1:28" ht="15.75" customHeight="1" x14ac:dyDescent="0.2">
      <c r="A160" s="36" t="str">
        <f>HYPERLINK("https://www.littlehoop.edu", "Cankdeska Cikana Community College")</f>
        <v>Cankdeska Cikana Community College</v>
      </c>
      <c r="B160" s="18" t="s">
        <v>49</v>
      </c>
      <c r="C160" s="18" t="s">
        <v>730</v>
      </c>
      <c r="D160" s="18" t="s">
        <v>1073</v>
      </c>
      <c r="E160" s="18" t="s">
        <v>36</v>
      </c>
      <c r="F160" s="18" t="s">
        <v>36</v>
      </c>
      <c r="J160" s="19"/>
      <c r="K160" s="19">
        <v>0.20830000000000001</v>
      </c>
      <c r="L160" s="19" t="s">
        <v>36</v>
      </c>
      <c r="M160" s="19">
        <v>1</v>
      </c>
      <c r="N160" s="19" t="s">
        <v>36</v>
      </c>
      <c r="O160" s="19" t="s">
        <v>36</v>
      </c>
      <c r="P160" s="19" t="s">
        <v>36</v>
      </c>
      <c r="Q160" s="19" t="s">
        <v>36</v>
      </c>
      <c r="R160" s="20">
        <v>13550</v>
      </c>
      <c r="S160" s="21" t="str">
        <f>HYPERLINK("https://www.littlehoop.edu/content/images/NetPriceCalculator/npcalc.htm", "$8511")</f>
        <v>$8511</v>
      </c>
      <c r="T160" s="20" t="s">
        <v>36</v>
      </c>
      <c r="U160" s="20" t="s">
        <v>36</v>
      </c>
      <c r="V160" s="20">
        <v>4500</v>
      </c>
      <c r="W160" s="20">
        <v>4011.21052631579</v>
      </c>
      <c r="Y160" s="19">
        <v>0.72470000000000001</v>
      </c>
      <c r="Z160" s="19">
        <v>0.93330000000000002</v>
      </c>
      <c r="AB160" s="18">
        <v>225</v>
      </c>
    </row>
    <row r="161" spans="1:28" ht="15.75" customHeight="1" x14ac:dyDescent="0.2">
      <c r="A161" s="36" t="str">
        <f>HYPERLINK("https://www.capecod.edu", "Cape Cod Community College")</f>
        <v>Cape Cod Community College</v>
      </c>
      <c r="B161" s="18" t="s">
        <v>49</v>
      </c>
      <c r="C161" s="18" t="s">
        <v>33</v>
      </c>
      <c r="D161" s="18" t="s">
        <v>1076</v>
      </c>
      <c r="E161" s="18" t="s">
        <v>36</v>
      </c>
      <c r="F161" s="18" t="s">
        <v>36</v>
      </c>
      <c r="J161" s="19"/>
      <c r="K161" s="19">
        <v>0.2394</v>
      </c>
      <c r="L161" s="19">
        <v>0.202919708</v>
      </c>
      <c r="M161" s="19">
        <v>0.24249999999999999</v>
      </c>
      <c r="N161" s="19">
        <v>0.21429999999999999</v>
      </c>
      <c r="O161" s="19">
        <v>0.2</v>
      </c>
      <c r="P161" s="19">
        <v>0.42859999999999998</v>
      </c>
      <c r="Q161" s="19">
        <v>6.5481759E-2</v>
      </c>
      <c r="R161" s="20">
        <v>21444</v>
      </c>
      <c r="S161" s="21" t="str">
        <f>HYPERLINK("https://www.capecod.edu/web/finaid/net-price-calculator", "$15117")</f>
        <v>$15117</v>
      </c>
      <c r="T161" s="20">
        <v>17406</v>
      </c>
      <c r="U161" s="20">
        <v>20392</v>
      </c>
      <c r="V161" s="20">
        <v>5064</v>
      </c>
      <c r="W161" s="20">
        <v>10053.607843137261</v>
      </c>
      <c r="Y161" s="19">
        <v>0.32090000000000002</v>
      </c>
      <c r="Z161" s="19">
        <v>0.25590000000000002</v>
      </c>
      <c r="AB161" s="18">
        <v>2700</v>
      </c>
    </row>
    <row r="162" spans="1:28" ht="15.75" customHeight="1" x14ac:dyDescent="0.2">
      <c r="A162" s="36" t="str">
        <f>HYPERLINK("https://www.cfcc.edu", "Cape Fear Community College")</f>
        <v>Cape Fear Community College</v>
      </c>
      <c r="B162" s="18" t="s">
        <v>49</v>
      </c>
      <c r="C162" s="18" t="s">
        <v>103</v>
      </c>
      <c r="D162" s="18" t="s">
        <v>517</v>
      </c>
      <c r="E162" s="18" t="s">
        <v>36</v>
      </c>
      <c r="F162" s="18" t="s">
        <v>36</v>
      </c>
      <c r="J162" s="19"/>
      <c r="K162" s="19">
        <v>0.25390000000000001</v>
      </c>
      <c r="L162" s="19">
        <v>0.122174381</v>
      </c>
      <c r="M162" s="19">
        <v>0.26140000000000002</v>
      </c>
      <c r="N162" s="19">
        <v>0.18060000000000001</v>
      </c>
      <c r="O162" s="19">
        <v>0.2712</v>
      </c>
      <c r="P162" s="19">
        <v>0.57140000000000002</v>
      </c>
      <c r="Q162" s="19">
        <v>0.121484814</v>
      </c>
      <c r="R162" s="20">
        <v>22972</v>
      </c>
      <c r="S162" s="21" t="str">
        <f>HYPERLINK("https://cfcc.edu/resources/netprice/", "$17303")</f>
        <v>$17303</v>
      </c>
      <c r="T162" s="20">
        <v>18470</v>
      </c>
      <c r="U162" s="20">
        <v>21609</v>
      </c>
      <c r="V162" s="20">
        <v>7330</v>
      </c>
      <c r="W162" s="20">
        <v>9973.4902439024372</v>
      </c>
      <c r="Y162" s="19">
        <v>0.42080000000000001</v>
      </c>
      <c r="Z162" s="19">
        <v>0.26979999999999998</v>
      </c>
      <c r="AB162" s="18">
        <v>7080</v>
      </c>
    </row>
    <row r="163" spans="1:28" ht="15.75" customHeight="1" x14ac:dyDescent="0.2">
      <c r="A163" s="36" t="str">
        <f>HYPERLINK("https://www.ccc.commnet.edu", "Capital Community College")</f>
        <v>Capital Community College</v>
      </c>
      <c r="B163" s="18" t="s">
        <v>49</v>
      </c>
      <c r="C163" s="18" t="s">
        <v>94</v>
      </c>
      <c r="D163" s="18" t="s">
        <v>267</v>
      </c>
      <c r="E163" s="18" t="s">
        <v>36</v>
      </c>
      <c r="F163" s="18" t="s">
        <v>36</v>
      </c>
      <c r="J163" s="19"/>
      <c r="K163" s="19">
        <v>6.0199999999999997E-2</v>
      </c>
      <c r="L163" s="19">
        <v>0.13806706099999999</v>
      </c>
      <c r="M163" s="19">
        <v>6.9000000000000006E-2</v>
      </c>
      <c r="N163" s="19">
        <v>5.7599999999999998E-2</v>
      </c>
      <c r="O163" s="19">
        <v>6.1899999999999997E-2</v>
      </c>
      <c r="P163" s="19">
        <v>0</v>
      </c>
      <c r="Q163" s="19">
        <v>5.7183703000000002E-2</v>
      </c>
      <c r="R163" s="20">
        <v>28194</v>
      </c>
      <c r="S163" s="21" t="str">
        <f>HYPERLINK("https://www.ccc.commnet.edu/financialAid.htm", "$22483")</f>
        <v>$22483</v>
      </c>
      <c r="T163" s="20">
        <v>22379</v>
      </c>
      <c r="U163" s="20" t="s">
        <v>36</v>
      </c>
      <c r="V163" s="20">
        <v>7245</v>
      </c>
      <c r="W163" s="20">
        <v>15238.84146341463</v>
      </c>
      <c r="Y163" s="19">
        <v>0.54630000000000001</v>
      </c>
      <c r="Z163" s="19">
        <v>0.81740000000000002</v>
      </c>
      <c r="AB163" s="18">
        <v>2946</v>
      </c>
    </row>
    <row r="164" spans="1:28" ht="15.75" customHeight="1" x14ac:dyDescent="0.2">
      <c r="A164" s="36" t="str">
        <f>HYPERLINK("https://www.ccnn.edu", "Career College of Northern Nevada")</f>
        <v>Career College of Northern Nevada</v>
      </c>
      <c r="B164" s="18" t="s">
        <v>368</v>
      </c>
      <c r="C164" s="18" t="s">
        <v>476</v>
      </c>
      <c r="D164" s="18" t="s">
        <v>1078</v>
      </c>
      <c r="E164" s="18" t="s">
        <v>36</v>
      </c>
      <c r="F164" s="18" t="s">
        <v>36</v>
      </c>
      <c r="J164" s="19"/>
      <c r="K164" s="19">
        <v>0.5837</v>
      </c>
      <c r="L164" s="19">
        <v>0.51057401800000002</v>
      </c>
      <c r="M164" s="19">
        <v>0.57589999999999997</v>
      </c>
      <c r="N164" s="19">
        <v>0.58330000000000004</v>
      </c>
      <c r="O164" s="19">
        <v>0.63780000000000003</v>
      </c>
      <c r="P164" s="19">
        <v>0.5625</v>
      </c>
      <c r="Q164" s="19" t="s">
        <v>36</v>
      </c>
      <c r="R164" s="20" t="s">
        <v>36</v>
      </c>
      <c r="S164" s="21" t="str">
        <f>HYPERLINK("https://ccnn.edu/npc/index.html", "$16852")</f>
        <v>$16852</v>
      </c>
      <c r="T164" s="20">
        <v>19066</v>
      </c>
      <c r="U164" s="20">
        <v>19275</v>
      </c>
      <c r="V164" s="20" t="s">
        <v>36</v>
      </c>
      <c r="W164" s="20" t="s">
        <v>36</v>
      </c>
      <c r="Y164" s="19">
        <v>0.71230000000000004</v>
      </c>
      <c r="Z164" s="19">
        <v>0.44390000000000002</v>
      </c>
      <c r="AB164" s="18">
        <v>401</v>
      </c>
    </row>
    <row r="165" spans="1:28" ht="15.75" customHeight="1" x14ac:dyDescent="0.2">
      <c r="A165" s="36" t="str">
        <f>HYPERLINK("https://www.carlalbert.edu", "Carl Albert State College")</f>
        <v>Carl Albert State College</v>
      </c>
      <c r="B165" s="18" t="s">
        <v>49</v>
      </c>
      <c r="C165" s="18" t="s">
        <v>290</v>
      </c>
      <c r="D165" s="18" t="s">
        <v>1080</v>
      </c>
      <c r="E165" s="18" t="s">
        <v>36</v>
      </c>
      <c r="F165" s="18" t="s">
        <v>36</v>
      </c>
      <c r="J165" s="19"/>
      <c r="K165" s="19">
        <v>0.41639999999999999</v>
      </c>
      <c r="L165" s="19">
        <v>0.14617486299999999</v>
      </c>
      <c r="M165" s="19">
        <v>0.44359999999999999</v>
      </c>
      <c r="N165" s="19">
        <v>0.42309999999999998</v>
      </c>
      <c r="O165" s="19">
        <v>0.39579999999999999</v>
      </c>
      <c r="P165" s="19">
        <v>0.4</v>
      </c>
      <c r="Q165" s="19">
        <v>0.110395584</v>
      </c>
      <c r="R165" s="20">
        <v>15859</v>
      </c>
      <c r="S165" s="21" t="str">
        <f>HYPERLINK("https://www.carlalbert.edu/NetPrice/npcalc.htm", "$8575")</f>
        <v>$8575</v>
      </c>
      <c r="T165" s="20">
        <v>11639</v>
      </c>
      <c r="U165" s="20">
        <v>14406</v>
      </c>
      <c r="V165" s="20">
        <v>5429</v>
      </c>
      <c r="W165" s="20">
        <v>3146.4520547945208</v>
      </c>
      <c r="Y165" s="19">
        <v>0.48809999999999998</v>
      </c>
      <c r="Z165" s="19">
        <v>0.45350000000000001</v>
      </c>
      <c r="AB165" s="18">
        <v>1550</v>
      </c>
    </row>
    <row r="166" spans="1:28" ht="15.75" customHeight="1" x14ac:dyDescent="0.2">
      <c r="A166" s="36" t="str">
        <f>HYPERLINK("https://www.sandburg.edu", "Carl Sandburg College")</f>
        <v>Carl Sandburg College</v>
      </c>
      <c r="B166" s="18" t="s">
        <v>49</v>
      </c>
      <c r="C166" s="18" t="s">
        <v>137</v>
      </c>
      <c r="D166" s="18" t="s">
        <v>391</v>
      </c>
      <c r="E166" s="18" t="s">
        <v>36</v>
      </c>
      <c r="F166" s="18" t="s">
        <v>36</v>
      </c>
      <c r="J166" s="19"/>
      <c r="K166" s="19">
        <v>0.3054</v>
      </c>
      <c r="L166" s="19">
        <v>0.20035460999999999</v>
      </c>
      <c r="M166" s="19">
        <v>0.35499999999999998</v>
      </c>
      <c r="N166" s="19">
        <v>0.17860000000000001</v>
      </c>
      <c r="O166" s="19">
        <v>0.26090000000000002</v>
      </c>
      <c r="P166" s="19" t="s">
        <v>36</v>
      </c>
      <c r="Q166" s="19">
        <v>5.3817271999999999E-2</v>
      </c>
      <c r="R166" s="20">
        <v>15450</v>
      </c>
      <c r="S166" s="21" t="str">
        <f>HYPERLINK("https://www.sandburg.edu/About/Student%20Consumer%20Information/index.html", "$7190")</f>
        <v>$7190</v>
      </c>
      <c r="T166" s="20">
        <v>8969</v>
      </c>
      <c r="U166" s="20">
        <v>14152</v>
      </c>
      <c r="V166" s="20">
        <v>3396</v>
      </c>
      <c r="W166" s="20">
        <v>3794.8053691275159</v>
      </c>
      <c r="Y166" s="19">
        <v>0.48570000000000002</v>
      </c>
      <c r="Z166" s="19">
        <v>0.26279999999999998</v>
      </c>
      <c r="AB166" s="18">
        <v>1385</v>
      </c>
    </row>
    <row r="167" spans="1:28" ht="15.75" customHeight="1" x14ac:dyDescent="0.2">
      <c r="A167" s="36" t="str">
        <f>HYPERLINK("https://www.carolinascollege.edu", "Carolinas College of Health Sciences")</f>
        <v>Carolinas College of Health Sciences</v>
      </c>
      <c r="B167" s="18" t="s">
        <v>49</v>
      </c>
      <c r="C167" s="18" t="s">
        <v>103</v>
      </c>
      <c r="D167" s="18" t="s">
        <v>447</v>
      </c>
      <c r="E167" s="18" t="s">
        <v>36</v>
      </c>
      <c r="F167" s="18" t="s">
        <v>90</v>
      </c>
      <c r="J167" s="19"/>
      <c r="K167" s="19">
        <v>0.5</v>
      </c>
      <c r="L167" s="19">
        <v>0.60256410299999996</v>
      </c>
      <c r="M167" s="19">
        <v>0.5</v>
      </c>
      <c r="N167" s="19" t="s">
        <v>36</v>
      </c>
      <c r="O167" s="19" t="s">
        <v>36</v>
      </c>
      <c r="P167" s="19" t="s">
        <v>36</v>
      </c>
      <c r="Q167" s="19">
        <v>0.122580645</v>
      </c>
      <c r="R167" s="20">
        <v>47938</v>
      </c>
      <c r="S167" s="21" t="str">
        <f>HYPERLINK("https://www.carolinascollege.edu/NetPrice/npcalc.htm", "Not reported")</f>
        <v>Not reported</v>
      </c>
      <c r="T167" s="20" t="s">
        <v>36</v>
      </c>
      <c r="U167" s="20" t="s">
        <v>36</v>
      </c>
      <c r="V167" s="20">
        <v>9214</v>
      </c>
      <c r="W167" s="20" t="s">
        <v>36</v>
      </c>
      <c r="Y167" s="19">
        <v>0.26329999999999998</v>
      </c>
      <c r="Z167" s="19">
        <v>0.27700000000000002</v>
      </c>
      <c r="AB167" s="18">
        <v>444</v>
      </c>
    </row>
    <row r="168" spans="1:28" ht="15.75" customHeight="1" x14ac:dyDescent="0.2">
      <c r="A168" s="36" t="str">
        <f>HYPERLINK("https://carrington.edu/", "Carrington College-Pomona")</f>
        <v>Carrington College-Pomona</v>
      </c>
      <c r="B168" s="18" t="s">
        <v>368</v>
      </c>
      <c r="C168" s="18" t="s">
        <v>68</v>
      </c>
      <c r="D168" s="18" t="s">
        <v>602</v>
      </c>
      <c r="E168" s="18" t="s">
        <v>36</v>
      </c>
      <c r="F168" s="18" t="s">
        <v>45</v>
      </c>
      <c r="J168" s="19"/>
      <c r="K168" s="19">
        <v>0.47060000000000002</v>
      </c>
      <c r="L168" s="19">
        <v>0.60978767499999997</v>
      </c>
      <c r="M168" s="19">
        <v>0.61539999999999995</v>
      </c>
      <c r="N168" s="19">
        <v>0</v>
      </c>
      <c r="O168" s="19">
        <v>0.45590000000000003</v>
      </c>
      <c r="P168" s="19" t="s">
        <v>36</v>
      </c>
      <c r="Q168" s="19">
        <v>7.7771749999999999E-3</v>
      </c>
      <c r="R168" s="20" t="s">
        <v>36</v>
      </c>
      <c r="S168" s="21" t="str">
        <f>HYPERLINK("https://carrington.edu/financial-aid/how-much-will-it-cost/", "$15997")</f>
        <v>$15997</v>
      </c>
      <c r="T168" s="20">
        <v>18820</v>
      </c>
      <c r="U168" s="20">
        <v>20423</v>
      </c>
      <c r="V168" s="20" t="s">
        <v>36</v>
      </c>
      <c r="W168" s="20" t="s">
        <v>36</v>
      </c>
      <c r="Y168" s="19">
        <v>0.62050000000000005</v>
      </c>
      <c r="Z168" s="19">
        <v>0.74239999999999995</v>
      </c>
      <c r="AB168" s="18">
        <v>229</v>
      </c>
    </row>
    <row r="169" spans="1:28" ht="15.75" customHeight="1" x14ac:dyDescent="0.2">
      <c r="A169" s="36" t="str">
        <f>HYPERLINK("https://carrington.edu/", "Carrington College-Reno")</f>
        <v>Carrington College-Reno</v>
      </c>
      <c r="B169" s="18" t="s">
        <v>368</v>
      </c>
      <c r="C169" s="18" t="s">
        <v>476</v>
      </c>
      <c r="D169" s="18" t="s">
        <v>900</v>
      </c>
      <c r="E169" s="18" t="s">
        <v>36</v>
      </c>
      <c r="F169" s="18" t="s">
        <v>45</v>
      </c>
      <c r="J169" s="19"/>
      <c r="K169" s="19">
        <v>0.67649999999999999</v>
      </c>
      <c r="L169" s="19">
        <v>0.73791348599999995</v>
      </c>
      <c r="M169" s="19">
        <v>0.64290000000000003</v>
      </c>
      <c r="N169" s="19">
        <v>0</v>
      </c>
      <c r="O169" s="19">
        <v>0.76919999999999999</v>
      </c>
      <c r="P169" s="19">
        <v>0.8</v>
      </c>
      <c r="Q169" s="19" t="s">
        <v>36</v>
      </c>
      <c r="R169" s="20" t="s">
        <v>36</v>
      </c>
      <c r="S169" s="21" t="str">
        <f>HYPERLINK("https://carrington.edu/financial-aid/how-much-will-it-cost/", "$20493")</f>
        <v>$20493</v>
      </c>
      <c r="T169" s="20" t="s">
        <v>36</v>
      </c>
      <c r="U169" s="20">
        <v>26308</v>
      </c>
      <c r="V169" s="20" t="s">
        <v>36</v>
      </c>
      <c r="W169" s="20" t="s">
        <v>36</v>
      </c>
      <c r="Y169" s="19">
        <v>0.44059999999999999</v>
      </c>
      <c r="Z169" s="19">
        <v>0.35360000000000003</v>
      </c>
      <c r="AB169" s="18">
        <v>362</v>
      </c>
    </row>
    <row r="170" spans="1:28" ht="15.75" customHeight="1" x14ac:dyDescent="0.2">
      <c r="A170" s="36" t="str">
        <f>HYPERLINK("https://www.carrollcc.edu", "Carroll Community College")</f>
        <v>Carroll Community College</v>
      </c>
      <c r="B170" s="18" t="s">
        <v>49</v>
      </c>
      <c r="C170" s="18" t="s">
        <v>124</v>
      </c>
      <c r="D170" s="18" t="s">
        <v>414</v>
      </c>
      <c r="E170" s="18" t="s">
        <v>36</v>
      </c>
      <c r="F170" s="18" t="s">
        <v>36</v>
      </c>
      <c r="J170" s="19"/>
      <c r="K170" s="19">
        <v>0.34</v>
      </c>
      <c r="L170" s="19">
        <v>0.21951219499999999</v>
      </c>
      <c r="M170" s="19">
        <v>0.35</v>
      </c>
      <c r="N170" s="19">
        <v>0.1</v>
      </c>
      <c r="O170" s="19">
        <v>0.36359999999999998</v>
      </c>
      <c r="P170" s="19">
        <v>0.42859999999999998</v>
      </c>
      <c r="Q170" s="19">
        <v>6.7469879999999996E-2</v>
      </c>
      <c r="R170" s="20">
        <v>17912</v>
      </c>
      <c r="S170" s="21" t="str">
        <f>HYPERLINK("https://www.carrollcc.edu/extassets/NetPriceCalculator/NetPrice/npcalc.htm", "$12708")</f>
        <v>$12708</v>
      </c>
      <c r="T170" s="20">
        <v>15024</v>
      </c>
      <c r="U170" s="20">
        <v>16798</v>
      </c>
      <c r="V170" s="20">
        <v>4500</v>
      </c>
      <c r="W170" s="20">
        <v>8208.693181818182</v>
      </c>
      <c r="Y170" s="19">
        <v>0.2185</v>
      </c>
      <c r="Z170" s="19">
        <v>0.16220000000000001</v>
      </c>
      <c r="AB170" s="18">
        <v>2559</v>
      </c>
    </row>
    <row r="171" spans="1:28" ht="15.75" customHeight="1" x14ac:dyDescent="0.2">
      <c r="A171" s="36" t="str">
        <f>HYPERLINK("https://www.carver.edu", "Carver Bible College")</f>
        <v>Carver Bible College</v>
      </c>
      <c r="B171" s="18" t="s">
        <v>32</v>
      </c>
      <c r="C171" s="18" t="s">
        <v>107</v>
      </c>
      <c r="D171" s="18" t="s">
        <v>108</v>
      </c>
      <c r="E171" s="18" t="s">
        <v>36</v>
      </c>
      <c r="F171" s="18" t="s">
        <v>36</v>
      </c>
      <c r="J171" s="19"/>
      <c r="K171" s="19">
        <v>0.4375</v>
      </c>
      <c r="L171" s="19" t="s">
        <v>36</v>
      </c>
      <c r="M171" s="19" t="s">
        <v>36</v>
      </c>
      <c r="N171" s="19">
        <v>0.44440000000000002</v>
      </c>
      <c r="O171" s="19" t="s">
        <v>36</v>
      </c>
      <c r="P171" s="19">
        <v>0</v>
      </c>
      <c r="Q171" s="19" t="s">
        <v>36</v>
      </c>
      <c r="R171" s="20">
        <v>24672</v>
      </c>
      <c r="S171" s="21" t="str">
        <f>HYPERLINK("https://www.carver.edu", "$19605")</f>
        <v>$19605</v>
      </c>
      <c r="T171" s="20" t="s">
        <v>36</v>
      </c>
      <c r="U171" s="20" t="s">
        <v>36</v>
      </c>
      <c r="V171" s="20">
        <v>5291</v>
      </c>
      <c r="W171" s="20">
        <v>14314</v>
      </c>
      <c r="Y171" s="19">
        <v>0.78849999999999998</v>
      </c>
      <c r="Z171" s="19">
        <v>1</v>
      </c>
      <c r="AB171" s="18">
        <v>60</v>
      </c>
    </row>
    <row r="172" spans="1:28" ht="15.75" customHeight="1" x14ac:dyDescent="0.2">
      <c r="A172" s="36" t="str">
        <f>HYPERLINK("https://www.cascadia.edu", "Cascadia College")</f>
        <v>Cascadia College</v>
      </c>
      <c r="B172" s="18" t="s">
        <v>49</v>
      </c>
      <c r="C172" s="18" t="s">
        <v>184</v>
      </c>
      <c r="D172" s="18" t="s">
        <v>1084</v>
      </c>
      <c r="E172" s="18" t="s">
        <v>36</v>
      </c>
      <c r="F172" s="18" t="s">
        <v>36</v>
      </c>
      <c r="J172" s="19"/>
      <c r="K172" s="19">
        <v>0.28620000000000001</v>
      </c>
      <c r="L172" s="19">
        <v>0.18532818500000001</v>
      </c>
      <c r="M172" s="19">
        <v>0.31119999999999998</v>
      </c>
      <c r="N172" s="19">
        <v>0.25</v>
      </c>
      <c r="O172" s="19">
        <v>0.1</v>
      </c>
      <c r="P172" s="19">
        <v>0.2</v>
      </c>
      <c r="Q172" s="19">
        <v>0.18493150699999999</v>
      </c>
      <c r="R172" s="20">
        <v>23557</v>
      </c>
      <c r="S172" s="21" t="str">
        <f>HYPERLINK("https://tuitioncalculator.cascadia.edu/", "$16376")</f>
        <v>$16376</v>
      </c>
      <c r="T172" s="20">
        <v>20172</v>
      </c>
      <c r="U172" s="20">
        <v>23557</v>
      </c>
      <c r="V172" s="20">
        <v>4236</v>
      </c>
      <c r="W172" s="20">
        <v>12140.68181818182</v>
      </c>
      <c r="Y172" s="19">
        <v>0.1008</v>
      </c>
      <c r="Z172" s="19">
        <v>0.45960000000000001</v>
      </c>
      <c r="AB172" s="18">
        <v>2241</v>
      </c>
    </row>
    <row r="173" spans="1:28" ht="15.75" customHeight="1" x14ac:dyDescent="0.2">
      <c r="A173" s="36" t="str">
        <f>HYPERLINK("https://www.caspercollege.edu", "Casper College")</f>
        <v>Casper College</v>
      </c>
      <c r="B173" s="18" t="s">
        <v>49</v>
      </c>
      <c r="C173" s="18" t="s">
        <v>1086</v>
      </c>
      <c r="D173" s="18" t="s">
        <v>1087</v>
      </c>
      <c r="E173" s="18" t="s">
        <v>36</v>
      </c>
      <c r="F173" s="18" t="s">
        <v>36</v>
      </c>
      <c r="J173" s="19"/>
      <c r="K173" s="19">
        <v>0.34749999999999998</v>
      </c>
      <c r="L173" s="19">
        <v>6.013363E-2</v>
      </c>
      <c r="M173" s="19">
        <v>0.35749999999999998</v>
      </c>
      <c r="N173" s="19">
        <v>0.33329999999999999</v>
      </c>
      <c r="O173" s="19">
        <v>0.26319999999999999</v>
      </c>
      <c r="P173" s="19">
        <v>0.5</v>
      </c>
      <c r="Q173" s="19">
        <v>0.109833972</v>
      </c>
      <c r="R173" s="20">
        <v>17840</v>
      </c>
      <c r="S173" s="21" t="str">
        <f>HYPERLINK("https://www.caspercollege.edu/sites/default/files/net-price-calculator/npcalc.htm", "$12021")</f>
        <v>$12021</v>
      </c>
      <c r="T173" s="20">
        <v>14401</v>
      </c>
      <c r="U173" s="20">
        <v>16494</v>
      </c>
      <c r="V173" s="20">
        <v>3580</v>
      </c>
      <c r="W173" s="20">
        <v>8441.5182481751835</v>
      </c>
      <c r="Y173" s="19">
        <v>0.20799999999999999</v>
      </c>
      <c r="Z173" s="19">
        <v>0.1797</v>
      </c>
      <c r="AB173" s="18">
        <v>2298</v>
      </c>
    </row>
    <row r="174" spans="1:28" ht="15.75" customHeight="1" x14ac:dyDescent="0.2">
      <c r="A174" s="36" t="str">
        <f>HYPERLINK("https://www.cvcc.edu", "Catawba Valley Community College")</f>
        <v>Catawba Valley Community College</v>
      </c>
      <c r="B174" s="18" t="s">
        <v>49</v>
      </c>
      <c r="C174" s="18" t="s">
        <v>103</v>
      </c>
      <c r="D174" s="18" t="s">
        <v>908</v>
      </c>
      <c r="E174" s="18" t="s">
        <v>36</v>
      </c>
      <c r="F174" s="18" t="s">
        <v>36</v>
      </c>
      <c r="J174" s="19"/>
      <c r="K174" s="19">
        <v>0.2782</v>
      </c>
      <c r="L174" s="19">
        <v>0.20408163300000001</v>
      </c>
      <c r="M174" s="19">
        <v>0.2913</v>
      </c>
      <c r="N174" s="19">
        <v>0.15379999999999999</v>
      </c>
      <c r="O174" s="19">
        <v>0.25640000000000002</v>
      </c>
      <c r="P174" s="19">
        <v>0.39019999999999999</v>
      </c>
      <c r="Q174" s="19">
        <v>5.9653624000000002E-2</v>
      </c>
      <c r="R174" s="20">
        <v>27878</v>
      </c>
      <c r="S174" s="21" t="str">
        <f>HYPERLINK("https://www.cvcc.edu/Student_Services/Financial_Aid/NetPrice.cfm", "$22267")</f>
        <v>$22267</v>
      </c>
      <c r="T174" s="20">
        <v>23134</v>
      </c>
      <c r="U174" s="20">
        <v>25881</v>
      </c>
      <c r="V174" s="20">
        <v>9699</v>
      </c>
      <c r="W174" s="20">
        <v>12568.149122807021</v>
      </c>
      <c r="Y174" s="19">
        <v>0.38990000000000002</v>
      </c>
      <c r="Z174" s="19">
        <v>0.32150000000000001</v>
      </c>
      <c r="AB174" s="18">
        <v>3437</v>
      </c>
    </row>
    <row r="175" spans="1:28" ht="15.75" customHeight="1" x14ac:dyDescent="0.2">
      <c r="A175" s="36" t="str">
        <f>HYPERLINK("https://www.cayuga-cc.edu/", "SUNY Cayuga County Community College")</f>
        <v>SUNY Cayuga County Community College</v>
      </c>
      <c r="B175" s="18" t="s">
        <v>49</v>
      </c>
      <c r="C175" s="18" t="s">
        <v>38</v>
      </c>
      <c r="D175" s="18" t="s">
        <v>301</v>
      </c>
      <c r="E175" s="18" t="s">
        <v>36</v>
      </c>
      <c r="F175" s="18" t="s">
        <v>36</v>
      </c>
      <c r="J175" s="19"/>
      <c r="K175" s="19">
        <v>0.28670000000000001</v>
      </c>
      <c r="L175" s="19">
        <v>0.16390041499999999</v>
      </c>
      <c r="M175" s="19">
        <v>0.30170000000000002</v>
      </c>
      <c r="N175" s="19">
        <v>0.21740000000000001</v>
      </c>
      <c r="O175" s="19">
        <v>0.2727</v>
      </c>
      <c r="P175" s="19">
        <v>1</v>
      </c>
      <c r="Q175" s="19">
        <v>7.334525900000001E-2</v>
      </c>
      <c r="R175" s="20">
        <v>17219</v>
      </c>
      <c r="S175" s="21" t="str">
        <f>HYPERLINK("https://www.cayuga-cc.edu/financial-aid/resources/npc/", "$3994")</f>
        <v>$3994</v>
      </c>
      <c r="T175" s="20">
        <v>8914</v>
      </c>
      <c r="U175" s="20">
        <v>10362</v>
      </c>
      <c r="V175" s="20">
        <v>3603</v>
      </c>
      <c r="W175" s="20">
        <v>391</v>
      </c>
      <c r="Y175" s="19">
        <v>0.2979</v>
      </c>
      <c r="Z175" s="19">
        <v>0.19700000000000009</v>
      </c>
      <c r="AB175" s="18">
        <v>2157</v>
      </c>
    </row>
    <row r="176" spans="1:28" ht="15.75" customHeight="1" x14ac:dyDescent="0.2">
      <c r="A176" s="36" t="str">
        <f>HYPERLINK("https://www.cecil.edu", "Cecil College")</f>
        <v>Cecil College</v>
      </c>
      <c r="B176" s="18" t="s">
        <v>49</v>
      </c>
      <c r="C176" s="18" t="s">
        <v>124</v>
      </c>
      <c r="D176" s="18" t="s">
        <v>1089</v>
      </c>
      <c r="E176" s="18" t="s">
        <v>36</v>
      </c>
      <c r="F176" s="18" t="s">
        <v>36</v>
      </c>
      <c r="J176" s="19"/>
      <c r="K176" s="19">
        <v>0.20519999999999999</v>
      </c>
      <c r="L176" s="19">
        <v>0.139072848</v>
      </c>
      <c r="M176" s="19">
        <v>0.23830000000000001</v>
      </c>
      <c r="N176" s="19">
        <v>0.1176</v>
      </c>
      <c r="O176" s="19">
        <v>9.0899999999999995E-2</v>
      </c>
      <c r="P176" s="19">
        <v>0</v>
      </c>
      <c r="Q176" s="19">
        <v>7.0208728999999997E-2</v>
      </c>
      <c r="R176" s="20">
        <v>20865</v>
      </c>
      <c r="S176" s="21" t="str">
        <f>HYPERLINK("https://www.cecil.edu/Admissions-and-Aid/Financial-Aid-and-Scholarships/Documents/Cost-Calculator/npcalc.htm", "$15979")</f>
        <v>$15979</v>
      </c>
      <c r="T176" s="20">
        <v>18042</v>
      </c>
      <c r="U176" s="20">
        <v>20206</v>
      </c>
      <c r="V176" s="20">
        <v>6200</v>
      </c>
      <c r="W176" s="20">
        <v>9779.3513513513517</v>
      </c>
      <c r="Y176" s="19">
        <v>0.31090000000000001</v>
      </c>
      <c r="Z176" s="19">
        <v>0.25049999999999989</v>
      </c>
      <c r="AB176" s="18">
        <v>2112</v>
      </c>
    </row>
    <row r="177" spans="1:28" ht="15.75" customHeight="1" x14ac:dyDescent="0.2">
      <c r="A177" s="36" t="str">
        <f>HYPERLINK("https://www.centrahealth.com/CCON", "Centra College of Nursing")</f>
        <v>Centra College of Nursing</v>
      </c>
      <c r="B177" s="18" t="s">
        <v>32</v>
      </c>
      <c r="C177" s="18" t="s">
        <v>83</v>
      </c>
      <c r="D177" s="18" t="s">
        <v>449</v>
      </c>
      <c r="E177" s="18" t="s">
        <v>36</v>
      </c>
      <c r="F177" s="18" t="s">
        <v>36</v>
      </c>
      <c r="J177" s="19"/>
      <c r="K177" s="19" t="s">
        <v>36</v>
      </c>
      <c r="L177" s="19">
        <v>0.67567567599999989</v>
      </c>
      <c r="M177" s="19" t="s">
        <v>36</v>
      </c>
      <c r="N177" s="19" t="s">
        <v>36</v>
      </c>
      <c r="O177" s="19" t="s">
        <v>36</v>
      </c>
      <c r="P177" s="19" t="s">
        <v>36</v>
      </c>
      <c r="Q177" s="19" t="s">
        <v>36</v>
      </c>
      <c r="R177" s="20">
        <v>33112</v>
      </c>
      <c r="S177" s="21" t="str">
        <f>HYPERLINK("https://centracon.edu", "Not reported")</f>
        <v>Not reported</v>
      </c>
      <c r="T177" s="20" t="s">
        <v>36</v>
      </c>
      <c r="U177" s="20" t="s">
        <v>36</v>
      </c>
      <c r="V177" s="20">
        <v>9984</v>
      </c>
      <c r="W177" s="20" t="s">
        <v>36</v>
      </c>
      <c r="Y177" s="19">
        <v>0.46820000000000001</v>
      </c>
      <c r="Z177" s="19">
        <v>0.31459999999999999</v>
      </c>
      <c r="AB177" s="18">
        <v>302</v>
      </c>
    </row>
    <row r="178" spans="1:28" ht="15.75" customHeight="1" x14ac:dyDescent="0.2">
      <c r="A178" s="36" t="str">
        <f>HYPERLINK("https://www.cacc.edu", "Central Alabama Community College")</f>
        <v>Central Alabama Community College</v>
      </c>
      <c r="B178" s="18" t="s">
        <v>49</v>
      </c>
      <c r="C178" s="18" t="s">
        <v>300</v>
      </c>
      <c r="D178" s="18" t="s">
        <v>1090</v>
      </c>
      <c r="E178" s="18" t="s">
        <v>36</v>
      </c>
      <c r="F178" s="18" t="s">
        <v>36</v>
      </c>
      <c r="J178" s="19"/>
      <c r="K178" s="19">
        <v>0.27839999999999998</v>
      </c>
      <c r="L178" s="19" t="s">
        <v>36</v>
      </c>
      <c r="M178" s="19">
        <v>0.31390000000000001</v>
      </c>
      <c r="N178" s="19">
        <v>0.14710000000000001</v>
      </c>
      <c r="O178" s="19">
        <v>0.5</v>
      </c>
      <c r="P178" s="19" t="s">
        <v>36</v>
      </c>
      <c r="Q178" s="19">
        <v>9.037900900000001E-2</v>
      </c>
      <c r="R178" s="20">
        <v>17060</v>
      </c>
      <c r="S178" s="21" t="str">
        <f>HYPERLINK("https://www.cacc.edu/net-price-calculator/", "$11927")</f>
        <v>$11927</v>
      </c>
      <c r="T178" s="20">
        <v>13853</v>
      </c>
      <c r="U178" s="20">
        <v>15646</v>
      </c>
      <c r="V178" s="20">
        <v>3650</v>
      </c>
      <c r="W178" s="20">
        <v>8277.2718446601939</v>
      </c>
      <c r="Y178" s="19">
        <v>0.47920000000000001</v>
      </c>
      <c r="Z178" s="19">
        <v>0.29420000000000002</v>
      </c>
      <c r="AB178" s="18">
        <v>1404</v>
      </c>
    </row>
    <row r="179" spans="1:28" ht="15.75" customHeight="1" x14ac:dyDescent="0.2">
      <c r="A179" s="36" t="str">
        <f>HYPERLINK("https://www.cctech.edu", "Central Carolina Technical College")</f>
        <v>Central Carolina Technical College</v>
      </c>
      <c r="B179" s="18" t="s">
        <v>49</v>
      </c>
      <c r="C179" s="18" t="s">
        <v>208</v>
      </c>
      <c r="D179" s="18" t="s">
        <v>787</v>
      </c>
      <c r="E179" s="18" t="s">
        <v>36</v>
      </c>
      <c r="F179" s="18" t="s">
        <v>36</v>
      </c>
      <c r="J179" s="19"/>
      <c r="K179" s="19">
        <v>0.18659999999999999</v>
      </c>
      <c r="L179" s="19">
        <v>0.12599469499999999</v>
      </c>
      <c r="M179" s="19">
        <v>0.25119999999999998</v>
      </c>
      <c r="N179" s="19">
        <v>0.1118</v>
      </c>
      <c r="O179" s="19">
        <v>0</v>
      </c>
      <c r="P179" s="19">
        <v>0.25</v>
      </c>
      <c r="Q179" s="19">
        <v>5.0025787000000002E-2</v>
      </c>
      <c r="R179" s="20">
        <v>16962</v>
      </c>
      <c r="S179" s="21" t="str">
        <f>HYPERLINK("https://www.cctech.edu/NetPriceCalculator/npcalc.htm", "$10479")</f>
        <v>$10479</v>
      </c>
      <c r="T179" s="20">
        <v>11224</v>
      </c>
      <c r="U179" s="20">
        <v>12587</v>
      </c>
      <c r="V179" s="20">
        <v>2677</v>
      </c>
      <c r="W179" s="20">
        <v>7802.0436241610732</v>
      </c>
      <c r="Y179" s="19">
        <v>0.5907</v>
      </c>
      <c r="Z179" s="19">
        <v>0.55820000000000003</v>
      </c>
      <c r="AB179" s="18">
        <v>3078</v>
      </c>
    </row>
    <row r="180" spans="1:28" ht="15.75" customHeight="1" x14ac:dyDescent="0.2">
      <c r="A180" s="36" t="str">
        <f>HYPERLINK("https://WWW.CLCMN.EDU", "Central Lakes College-Brainerd")</f>
        <v>Central Lakes College-Brainerd</v>
      </c>
      <c r="B180" s="18" t="s">
        <v>49</v>
      </c>
      <c r="C180" s="18" t="s">
        <v>72</v>
      </c>
      <c r="D180" s="18" t="s">
        <v>1092</v>
      </c>
      <c r="E180" s="18" t="s">
        <v>36</v>
      </c>
      <c r="F180" s="18" t="s">
        <v>36</v>
      </c>
      <c r="J180" s="19"/>
      <c r="K180" s="19">
        <v>0.42599999999999999</v>
      </c>
      <c r="L180" s="19">
        <v>0.28128872399999999</v>
      </c>
      <c r="M180" s="19">
        <v>0.47220000000000001</v>
      </c>
      <c r="N180" s="19">
        <v>0.15379999999999999</v>
      </c>
      <c r="O180" s="19">
        <v>0.125</v>
      </c>
      <c r="P180" s="19">
        <v>0.33329999999999999</v>
      </c>
      <c r="Q180" s="19">
        <v>6.2322945999999997E-2</v>
      </c>
      <c r="R180" s="20">
        <v>19001</v>
      </c>
      <c r="S180" s="21" t="str">
        <f>HYPERLINK("https://www.MinnState.edu/admissions/calculator/centrallakes.html", "$12932")</f>
        <v>$12932</v>
      </c>
      <c r="T180" s="20">
        <v>14395</v>
      </c>
      <c r="U180" s="20">
        <v>17385</v>
      </c>
      <c r="V180" s="20">
        <v>7837</v>
      </c>
      <c r="W180" s="20">
        <v>5095.7590361445782</v>
      </c>
      <c r="Y180" s="19">
        <v>0.26340000000000002</v>
      </c>
      <c r="Z180" s="19">
        <v>0.15659999999999999</v>
      </c>
      <c r="AB180" s="18">
        <v>1909</v>
      </c>
    </row>
    <row r="181" spans="1:28" ht="15.75" customHeight="1" x14ac:dyDescent="0.2">
      <c r="A181" s="36" t="str">
        <f>HYPERLINK("https://www.cmcc.edu", "Central Maine Community College")</f>
        <v>Central Maine Community College</v>
      </c>
      <c r="B181" s="18" t="s">
        <v>49</v>
      </c>
      <c r="C181" s="18" t="s">
        <v>43</v>
      </c>
      <c r="D181" s="18" t="s">
        <v>301</v>
      </c>
      <c r="E181" s="18" t="s">
        <v>36</v>
      </c>
      <c r="F181" s="18" t="s">
        <v>36</v>
      </c>
      <c r="J181" s="19"/>
      <c r="K181" s="19">
        <v>0.23169999999999999</v>
      </c>
      <c r="L181" s="19">
        <v>0.29863481200000003</v>
      </c>
      <c r="M181" s="19">
        <v>0.24160000000000001</v>
      </c>
      <c r="N181" s="19">
        <v>0.1026</v>
      </c>
      <c r="O181" s="19">
        <v>0.1875</v>
      </c>
      <c r="P181" s="19">
        <v>0.4</v>
      </c>
      <c r="Q181" s="19">
        <v>6.0194175000000003E-2</v>
      </c>
      <c r="R181" s="20">
        <v>20623</v>
      </c>
      <c r="S181" s="21" t="str">
        <f>HYPERLINK("https://www.cmcc.edu/npc/npcalc.htm", "$14540")</f>
        <v>$14540</v>
      </c>
      <c r="T181" s="20">
        <v>17293</v>
      </c>
      <c r="U181" s="20">
        <v>19778</v>
      </c>
      <c r="V181" s="20">
        <v>4863</v>
      </c>
      <c r="W181" s="20">
        <v>9677.1376518218622</v>
      </c>
      <c r="Y181" s="19">
        <v>0.45639999999999997</v>
      </c>
      <c r="Z181" s="19">
        <v>0.19889999999999999</v>
      </c>
      <c r="AB181" s="18">
        <v>2272</v>
      </c>
    </row>
    <row r="182" spans="1:28" ht="15.75" customHeight="1" x14ac:dyDescent="0.2">
      <c r="A182" s="36" t="str">
        <f>HYPERLINK("https://www.cotc.edu", "Central Ohio Technical College")</f>
        <v>Central Ohio Technical College</v>
      </c>
      <c r="B182" s="18" t="s">
        <v>49</v>
      </c>
      <c r="C182" s="18" t="s">
        <v>75</v>
      </c>
      <c r="D182" s="18" t="s">
        <v>425</v>
      </c>
      <c r="E182" s="18" t="s">
        <v>36</v>
      </c>
      <c r="F182" s="18" t="s">
        <v>36</v>
      </c>
      <c r="J182" s="19"/>
      <c r="K182" s="19">
        <v>0.1731</v>
      </c>
      <c r="L182" s="19">
        <v>0.19830246900000001</v>
      </c>
      <c r="M182" s="19">
        <v>0.1731</v>
      </c>
      <c r="N182" s="19">
        <v>0.1154</v>
      </c>
      <c r="O182" s="19">
        <v>0.125</v>
      </c>
      <c r="P182" s="19">
        <v>0.5</v>
      </c>
      <c r="Q182" s="19">
        <v>4.9648946999999999E-2</v>
      </c>
      <c r="R182" s="20">
        <v>19672</v>
      </c>
      <c r="S182" s="21" t="str">
        <f>HYPERLINK("https://coursecast.cotc.edu/websitemediafiles/NetPriceCalculator/npcalc.htm", "$14963")</f>
        <v>$14963</v>
      </c>
      <c r="T182" s="20">
        <v>17679</v>
      </c>
      <c r="U182" s="20">
        <v>19051</v>
      </c>
      <c r="V182" s="20">
        <v>5696</v>
      </c>
      <c r="W182" s="20">
        <v>9267.1470588235297</v>
      </c>
      <c r="Y182" s="19">
        <v>0.35539999999999999</v>
      </c>
      <c r="Z182" s="19">
        <v>0.25740000000000002</v>
      </c>
      <c r="AB182" s="18">
        <v>2187</v>
      </c>
    </row>
    <row r="183" spans="1:28" ht="15.75" customHeight="1" x14ac:dyDescent="0.2">
      <c r="A183" s="36" t="str">
        <f>HYPERLINK("https://www.cocc.edu", "Central Oregon Community College")</f>
        <v>Central Oregon Community College</v>
      </c>
      <c r="B183" s="18" t="s">
        <v>49</v>
      </c>
      <c r="C183" s="18" t="s">
        <v>143</v>
      </c>
      <c r="D183" s="18" t="s">
        <v>1040</v>
      </c>
      <c r="E183" s="18" t="s">
        <v>36</v>
      </c>
      <c r="F183" s="18" t="s">
        <v>36</v>
      </c>
      <c r="J183" s="19"/>
      <c r="K183" s="19">
        <v>0.19869999999999999</v>
      </c>
      <c r="L183" s="19">
        <v>0.13036565999999999</v>
      </c>
      <c r="M183" s="19">
        <v>0.19939999999999999</v>
      </c>
      <c r="N183" s="19" t="s">
        <v>36</v>
      </c>
      <c r="O183" s="19">
        <v>0.29270000000000002</v>
      </c>
      <c r="P183" s="19">
        <v>0.2</v>
      </c>
      <c r="Q183" s="19">
        <v>6.6328380000000006E-2</v>
      </c>
      <c r="R183" s="20">
        <v>25356</v>
      </c>
      <c r="S183" s="21" t="str">
        <f>HYPERLINK("https://www.cocc.edu/departments/financial-aid/net-price-calculator.aspx", "$18047")</f>
        <v>$18047</v>
      </c>
      <c r="T183" s="20">
        <v>21160</v>
      </c>
      <c r="U183" s="20">
        <v>22590</v>
      </c>
      <c r="V183" s="20">
        <v>4800</v>
      </c>
      <c r="W183" s="20">
        <v>13247.375</v>
      </c>
      <c r="Y183" s="19">
        <v>0.36580000000000001</v>
      </c>
      <c r="Z183" s="19">
        <v>0.27510000000000001</v>
      </c>
      <c r="AB183" s="18">
        <v>4813</v>
      </c>
    </row>
    <row r="184" spans="1:28" ht="15.75" customHeight="1" x14ac:dyDescent="0.2">
      <c r="A184" s="36" t="str">
        <f>HYPERLINK("https://www.cpcc.edu", "Central Piedmont Community College")</f>
        <v>Central Piedmont Community College</v>
      </c>
      <c r="B184" s="18" t="s">
        <v>49</v>
      </c>
      <c r="C184" s="18" t="s">
        <v>103</v>
      </c>
      <c r="D184" s="18" t="s">
        <v>447</v>
      </c>
      <c r="E184" s="18" t="s">
        <v>36</v>
      </c>
      <c r="F184" s="18" t="s">
        <v>36</v>
      </c>
      <c r="J184" s="19"/>
      <c r="K184" s="19">
        <v>0.16500000000000001</v>
      </c>
      <c r="L184" s="19">
        <v>9.4833686999999986E-2</v>
      </c>
      <c r="M184" s="19">
        <v>0.2031</v>
      </c>
      <c r="N184" s="19">
        <v>7.17E-2</v>
      </c>
      <c r="O184" s="19">
        <v>0.18099999999999999</v>
      </c>
      <c r="P184" s="19">
        <v>0.1343</v>
      </c>
      <c r="Q184" s="19">
        <v>8.5457809999999995E-2</v>
      </c>
      <c r="R184" s="20">
        <v>26624</v>
      </c>
      <c r="S184" s="21" t="str">
        <f>HYPERLINK("https://www.cpcc.edu/services/paying-for-college/cost", "$21753")</f>
        <v>$21753</v>
      </c>
      <c r="T184" s="20">
        <v>22492</v>
      </c>
      <c r="U184" s="20">
        <v>23175</v>
      </c>
      <c r="V184" s="20">
        <v>8146</v>
      </c>
      <c r="W184" s="20">
        <v>13607.633802816899</v>
      </c>
      <c r="Y184" s="19">
        <v>0.37740000000000001</v>
      </c>
      <c r="Z184" s="19">
        <v>0.58820000000000006</v>
      </c>
      <c r="AB184" s="18">
        <v>17538</v>
      </c>
    </row>
    <row r="185" spans="1:28" ht="15.75" customHeight="1" x14ac:dyDescent="0.2">
      <c r="A185" s="36" t="str">
        <f>HYPERLINK("https://www.ctcd.edu", "Central Texas College")</f>
        <v>Central Texas College</v>
      </c>
      <c r="B185" s="18" t="s">
        <v>49</v>
      </c>
      <c r="C185" s="18" t="s">
        <v>146</v>
      </c>
      <c r="D185" s="18" t="s">
        <v>1098</v>
      </c>
      <c r="E185" s="18" t="s">
        <v>36</v>
      </c>
      <c r="F185" s="18" t="s">
        <v>36</v>
      </c>
      <c r="J185" s="19"/>
      <c r="K185" s="19">
        <v>0.161</v>
      </c>
      <c r="L185" s="19">
        <v>7.2343149999999995E-2</v>
      </c>
      <c r="M185" s="19">
        <v>0.20280000000000001</v>
      </c>
      <c r="N185" s="19">
        <v>0.12239999999999999</v>
      </c>
      <c r="O185" s="19">
        <v>0.17610000000000001</v>
      </c>
      <c r="P185" s="19">
        <v>5.8799999999999998E-2</v>
      </c>
      <c r="Q185" s="19">
        <v>0.13570236099999999</v>
      </c>
      <c r="R185" s="20">
        <v>17189</v>
      </c>
      <c r="S185" s="21" t="str">
        <f>HYPERLINK("https://www.collegeforalltexans.com/apps/CollegeMoney/", "$11540")</f>
        <v>$11540</v>
      </c>
      <c r="T185" s="20">
        <v>13401</v>
      </c>
      <c r="U185" s="20">
        <v>17166</v>
      </c>
      <c r="V185" s="20">
        <v>4539</v>
      </c>
      <c r="W185" s="20">
        <v>7001.8073394495405</v>
      </c>
      <c r="Y185" s="19">
        <v>0.3165</v>
      </c>
      <c r="Z185" s="19">
        <v>0.65359999999999996</v>
      </c>
      <c r="AB185" s="18">
        <v>10200</v>
      </c>
    </row>
    <row r="186" spans="1:28" ht="15.75" customHeight="1" x14ac:dyDescent="0.2">
      <c r="A186" s="36" t="str">
        <f>HYPERLINK("https://www.cwc.edu/", "Central Wyoming College")</f>
        <v>Central Wyoming College</v>
      </c>
      <c r="B186" s="18" t="s">
        <v>49</v>
      </c>
      <c r="C186" s="18" t="s">
        <v>1086</v>
      </c>
      <c r="D186" s="18" t="s">
        <v>1101</v>
      </c>
      <c r="E186" s="18" t="s">
        <v>36</v>
      </c>
      <c r="F186" s="18" t="s">
        <v>36</v>
      </c>
      <c r="J186" s="19"/>
      <c r="K186" s="19">
        <v>0.33019999999999999</v>
      </c>
      <c r="L186" s="19">
        <v>0.21895424799999999</v>
      </c>
      <c r="M186" s="19">
        <v>0.41830000000000001</v>
      </c>
      <c r="N186" s="19">
        <v>0</v>
      </c>
      <c r="O186" s="19">
        <v>0.13639999999999999</v>
      </c>
      <c r="P186" s="19" t="s">
        <v>36</v>
      </c>
      <c r="Q186" s="19">
        <v>3.7578288000000001E-2</v>
      </c>
      <c r="R186" s="20">
        <v>17917</v>
      </c>
      <c r="S186" s="21" t="str">
        <f>HYPERLINK("https://www3.cwc.edu/npc.aspx", "$11048")</f>
        <v>$11048</v>
      </c>
      <c r="T186" s="20">
        <v>12397</v>
      </c>
      <c r="U186" s="20">
        <v>16225</v>
      </c>
      <c r="V186" s="20">
        <v>3700</v>
      </c>
      <c r="W186" s="20">
        <v>7348.2352941176468</v>
      </c>
      <c r="Y186" s="19">
        <v>0.17050000000000001</v>
      </c>
      <c r="Z186" s="19">
        <v>0.36549999999999999</v>
      </c>
      <c r="AB186" s="18">
        <v>944</v>
      </c>
    </row>
    <row r="187" spans="1:28" ht="15.75" customHeight="1" x14ac:dyDescent="0.2">
      <c r="A187" s="36" t="str">
        <f>HYPERLINK("https://www.centuracollege.edu", "Centura College-Chesapeake")</f>
        <v>Centura College-Chesapeake</v>
      </c>
      <c r="B187" s="18" t="s">
        <v>368</v>
      </c>
      <c r="C187" s="18" t="s">
        <v>83</v>
      </c>
      <c r="D187" s="18" t="s">
        <v>1105</v>
      </c>
      <c r="E187" s="18" t="s">
        <v>36</v>
      </c>
      <c r="F187" s="18" t="s">
        <v>36</v>
      </c>
      <c r="J187" s="19"/>
      <c r="K187" s="19">
        <v>0.86670000000000003</v>
      </c>
      <c r="L187" s="19">
        <v>0.26465028400000001</v>
      </c>
      <c r="M187" s="19">
        <v>1</v>
      </c>
      <c r="N187" s="19">
        <v>0.71430000000000005</v>
      </c>
      <c r="O187" s="19">
        <v>1</v>
      </c>
      <c r="P187" s="19" t="s">
        <v>36</v>
      </c>
      <c r="Q187" s="19">
        <v>2.1255060999999999E-2</v>
      </c>
      <c r="R187" s="20">
        <v>32766</v>
      </c>
      <c r="S187" s="21" t="str">
        <f>HYPERLINK("https://www.centuracollege.edu/Your_Rights/price_calc.html", "$22494")</f>
        <v>$22494</v>
      </c>
      <c r="T187" s="20">
        <v>28482</v>
      </c>
      <c r="U187" s="20">
        <v>28482</v>
      </c>
      <c r="V187" s="20">
        <v>8779</v>
      </c>
      <c r="W187" s="20">
        <v>13715</v>
      </c>
      <c r="Y187" s="19">
        <v>0.68220000000000003</v>
      </c>
      <c r="Z187" s="19">
        <v>0.74209999999999998</v>
      </c>
      <c r="AB187" s="18">
        <v>190</v>
      </c>
    </row>
    <row r="188" spans="1:28" ht="15.75" customHeight="1" x14ac:dyDescent="0.2">
      <c r="A188" s="36" t="str">
        <f>HYPERLINK("https://www.centuracollege.edu", "Centura College-Newport News")</f>
        <v>Centura College-Newport News</v>
      </c>
      <c r="B188" s="18" t="s">
        <v>368</v>
      </c>
      <c r="C188" s="18" t="s">
        <v>83</v>
      </c>
      <c r="D188" s="18" t="s">
        <v>329</v>
      </c>
      <c r="E188" s="18" t="s">
        <v>36</v>
      </c>
      <c r="F188" s="18" t="s">
        <v>36</v>
      </c>
      <c r="J188" s="19"/>
      <c r="K188" s="19">
        <v>0.7</v>
      </c>
      <c r="L188" s="19">
        <v>0.26465028400000001</v>
      </c>
      <c r="M188" s="19">
        <v>0.57140000000000002</v>
      </c>
      <c r="N188" s="19">
        <v>0.76470000000000005</v>
      </c>
      <c r="O188" s="19">
        <v>0.75</v>
      </c>
      <c r="P188" s="19" t="s">
        <v>36</v>
      </c>
      <c r="Q188" s="19">
        <v>2.1255060999999999E-2</v>
      </c>
      <c r="R188" s="20">
        <v>32410</v>
      </c>
      <c r="S188" s="21" t="str">
        <f>HYPERLINK("https://www.centuracollege.edu/Your_Rights/price_calc.html", "$24630")</f>
        <v>$24630</v>
      </c>
      <c r="T188" s="20" t="s">
        <v>36</v>
      </c>
      <c r="U188" s="20" t="s">
        <v>36</v>
      </c>
      <c r="V188" s="20">
        <v>9173</v>
      </c>
      <c r="W188" s="20">
        <v>15457</v>
      </c>
      <c r="Y188" s="19">
        <v>0.69820000000000004</v>
      </c>
      <c r="Z188" s="19">
        <v>0.77090000000000003</v>
      </c>
      <c r="AB188" s="18">
        <v>179</v>
      </c>
    </row>
    <row r="189" spans="1:28" ht="15.75" customHeight="1" x14ac:dyDescent="0.2">
      <c r="A189" s="36" t="str">
        <f>HYPERLINK("https://www.centuracollege.edu", "Centura College-Virginia Beach")</f>
        <v>Centura College-Virginia Beach</v>
      </c>
      <c r="B189" s="18" t="s">
        <v>368</v>
      </c>
      <c r="C189" s="18" t="s">
        <v>83</v>
      </c>
      <c r="D189" s="18" t="s">
        <v>921</v>
      </c>
      <c r="E189" s="18" t="s">
        <v>36</v>
      </c>
      <c r="F189" s="18" t="s">
        <v>36</v>
      </c>
      <c r="J189" s="19"/>
      <c r="K189" s="19">
        <v>0.50790000000000002</v>
      </c>
      <c r="L189" s="19">
        <v>0.26465028400000001</v>
      </c>
      <c r="M189" s="19">
        <v>0.5968</v>
      </c>
      <c r="N189" s="19">
        <v>0.47370000000000001</v>
      </c>
      <c r="O189" s="19">
        <v>0.2</v>
      </c>
      <c r="P189" s="19" t="s">
        <v>36</v>
      </c>
      <c r="Q189" s="19">
        <v>2.1255060999999999E-2</v>
      </c>
      <c r="R189" s="20">
        <v>32410</v>
      </c>
      <c r="S189" s="21" t="str">
        <f>HYPERLINK("https://centuracollege.edu/Your_Rights/Shared_Documents/npcalc/CVABcalc.html", "$23152")</f>
        <v>$23152</v>
      </c>
      <c r="T189" s="20">
        <v>25810</v>
      </c>
      <c r="U189" s="20">
        <v>28193</v>
      </c>
      <c r="V189" s="20">
        <v>9173</v>
      </c>
      <c r="W189" s="20">
        <v>13979</v>
      </c>
      <c r="Y189" s="19">
        <v>0.66920000000000002</v>
      </c>
      <c r="Z189" s="19">
        <v>0.72670000000000001</v>
      </c>
      <c r="AB189" s="18">
        <v>150</v>
      </c>
    </row>
    <row r="190" spans="1:28" ht="15.75" customHeight="1" x14ac:dyDescent="0.2">
      <c r="A190" s="36" t="str">
        <f>HYPERLINK("https://www.century.edu", "Century College")</f>
        <v>Century College</v>
      </c>
      <c r="B190" s="18" t="s">
        <v>49</v>
      </c>
      <c r="C190" s="18" t="s">
        <v>72</v>
      </c>
      <c r="D190" s="18" t="s">
        <v>1112</v>
      </c>
      <c r="E190" s="18" t="s">
        <v>36</v>
      </c>
      <c r="F190" s="18" t="s">
        <v>36</v>
      </c>
      <c r="J190" s="19"/>
      <c r="K190" s="19">
        <v>0.18379999999999999</v>
      </c>
      <c r="L190" s="19">
        <v>0.17151956300000001</v>
      </c>
      <c r="M190" s="19">
        <v>0.23280000000000001</v>
      </c>
      <c r="N190" s="19">
        <v>9.2600000000000002E-2</v>
      </c>
      <c r="O190" s="19">
        <v>0.18970000000000001</v>
      </c>
      <c r="P190" s="19">
        <v>0.1096</v>
      </c>
      <c r="Q190" s="19">
        <v>7.7672392000000007E-2</v>
      </c>
      <c r="R190" s="20">
        <v>19153</v>
      </c>
      <c r="S190" s="21" t="str">
        <f>HYPERLINK("https://www.century.edu/cost-financial-aid/tuition-rates-fees/net-price-calculator", "$13836")</f>
        <v>$13836</v>
      </c>
      <c r="T190" s="20">
        <v>15437</v>
      </c>
      <c r="U190" s="20">
        <v>17855</v>
      </c>
      <c r="V190" s="20">
        <v>6594</v>
      </c>
      <c r="W190" s="20">
        <v>7242.8860759493673</v>
      </c>
      <c r="Y190" s="19">
        <v>0.38779999999999998</v>
      </c>
      <c r="Z190" s="19">
        <v>0.45190000000000002</v>
      </c>
      <c r="AB190" s="18">
        <v>7502</v>
      </c>
    </row>
    <row r="191" spans="1:28" ht="15.75" customHeight="1" x14ac:dyDescent="0.2">
      <c r="A191" s="36" t="str">
        <f>HYPERLINK("https://www.cerritos.edu", "Cerritos College")</f>
        <v>Cerritos College</v>
      </c>
      <c r="B191" s="18" t="s">
        <v>49</v>
      </c>
      <c r="C191" s="18" t="s">
        <v>68</v>
      </c>
      <c r="D191" s="18" t="s">
        <v>1116</v>
      </c>
      <c r="E191" s="18" t="s">
        <v>36</v>
      </c>
      <c r="F191" s="18" t="s">
        <v>36</v>
      </c>
      <c r="J191" s="19"/>
      <c r="K191" s="19">
        <v>0.24249999999999999</v>
      </c>
      <c r="L191" s="19">
        <v>6.4957265E-2</v>
      </c>
      <c r="M191" s="19">
        <v>0.18640000000000001</v>
      </c>
      <c r="N191" s="19">
        <v>0.2419</v>
      </c>
      <c r="O191" s="19">
        <v>0.22420000000000001</v>
      </c>
      <c r="P191" s="19">
        <v>0.39839999999999998</v>
      </c>
      <c r="Q191" s="19">
        <v>9.1771499000000006E-2</v>
      </c>
      <c r="R191" s="20">
        <v>28094</v>
      </c>
      <c r="S191" s="21" t="str">
        <f>HYPERLINK("https://misweb.cccco.edu/npc/811/npcalc.htm", "$22247")</f>
        <v>$22247</v>
      </c>
      <c r="T191" s="20">
        <v>25068</v>
      </c>
      <c r="U191" s="20">
        <v>26243</v>
      </c>
      <c r="V191" s="20">
        <v>6092</v>
      </c>
      <c r="W191" s="20">
        <v>16155.302958579879</v>
      </c>
      <c r="Y191" s="19">
        <v>0.41460000000000002</v>
      </c>
      <c r="Z191" s="19">
        <v>0.99009999999999998</v>
      </c>
      <c r="AB191" s="18">
        <v>16744</v>
      </c>
    </row>
    <row r="192" spans="1:28" ht="15.75" customHeight="1" x14ac:dyDescent="0.2">
      <c r="A192" s="36" t="str">
        <f>HYPERLINK("https://cerrocoso.edu", "Cerro Coso Community College")</f>
        <v>Cerro Coso Community College</v>
      </c>
      <c r="B192" s="18" t="s">
        <v>49</v>
      </c>
      <c r="C192" s="18" t="s">
        <v>68</v>
      </c>
      <c r="D192" s="18" t="s">
        <v>1118</v>
      </c>
      <c r="E192" s="18" t="s">
        <v>36</v>
      </c>
      <c r="F192" s="18" t="s">
        <v>36</v>
      </c>
      <c r="J192" s="19"/>
      <c r="K192" s="19">
        <v>0.18229999999999999</v>
      </c>
      <c r="L192" s="19">
        <v>4.3478260999999997E-2</v>
      </c>
      <c r="M192" s="19">
        <v>0.20549999999999999</v>
      </c>
      <c r="N192" s="19">
        <v>0.22220000000000001</v>
      </c>
      <c r="O192" s="19">
        <v>0.17810000000000001</v>
      </c>
      <c r="P192" s="19">
        <v>0</v>
      </c>
      <c r="Q192" s="19">
        <v>6.1588331000000003E-2</v>
      </c>
      <c r="R192" s="20">
        <v>26614</v>
      </c>
      <c r="S192" s="21" t="str">
        <f>HYPERLINK("https://misweb.cccco.edu/npc/522/npcalc.htm", "$20902")</f>
        <v>$20902</v>
      </c>
      <c r="T192" s="20">
        <v>23653</v>
      </c>
      <c r="U192" s="20" t="s">
        <v>36</v>
      </c>
      <c r="V192" s="20">
        <v>6095</v>
      </c>
      <c r="W192" s="20">
        <v>14807.888888888891</v>
      </c>
      <c r="Y192" s="19">
        <v>0.1585</v>
      </c>
      <c r="Z192" s="19">
        <v>0.57140000000000002</v>
      </c>
      <c r="AB192" s="18">
        <v>4736</v>
      </c>
    </row>
    <row r="193" spans="1:28" ht="15.75" customHeight="1" x14ac:dyDescent="0.2">
      <c r="A193" s="36" t="str">
        <f>HYPERLINK("https://www.chabotcollege.edu", "Chabot College")</f>
        <v>Chabot College</v>
      </c>
      <c r="B193" s="18" t="s">
        <v>49</v>
      </c>
      <c r="C193" s="18" t="s">
        <v>68</v>
      </c>
      <c r="D193" s="18" t="s">
        <v>606</v>
      </c>
      <c r="E193" s="18" t="s">
        <v>36</v>
      </c>
      <c r="F193" s="18" t="s">
        <v>36</v>
      </c>
      <c r="J193" s="19"/>
      <c r="K193" s="19">
        <v>0.32529999999999998</v>
      </c>
      <c r="L193" s="19">
        <v>4.9914918000000003E-2</v>
      </c>
      <c r="M193" s="19">
        <v>0.4299</v>
      </c>
      <c r="N193" s="19">
        <v>0.2319</v>
      </c>
      <c r="O193" s="19">
        <v>0.21779999999999999</v>
      </c>
      <c r="P193" s="19">
        <v>0.46250000000000002</v>
      </c>
      <c r="Q193" s="19">
        <v>9.8905724E-2</v>
      </c>
      <c r="R193" s="20">
        <v>26404</v>
      </c>
      <c r="S193" s="21" t="str">
        <f>HYPERLINK("https://misweb.cccco.edu/npc/482/npcalc.htm", "$19838")</f>
        <v>$19838</v>
      </c>
      <c r="T193" s="20">
        <v>22708</v>
      </c>
      <c r="U193" s="20">
        <v>22635</v>
      </c>
      <c r="V193" s="20">
        <v>6093</v>
      </c>
      <c r="W193" s="20">
        <v>13745.45299145299</v>
      </c>
      <c r="Y193" s="19">
        <v>0.1993</v>
      </c>
      <c r="Z193" s="19">
        <v>0.84289999999999998</v>
      </c>
      <c r="AB193" s="18">
        <v>12512</v>
      </c>
    </row>
    <row r="194" spans="1:28" ht="15.75" customHeight="1" x14ac:dyDescent="0.2">
      <c r="A194" s="36" t="str">
        <f>HYPERLINK("https://www.chaffey.edu", "Chaffey College")</f>
        <v>Chaffey College</v>
      </c>
      <c r="B194" s="18" t="s">
        <v>49</v>
      </c>
      <c r="C194" s="18" t="s">
        <v>68</v>
      </c>
      <c r="D194" s="18" t="s">
        <v>1124</v>
      </c>
      <c r="E194" s="18" t="s">
        <v>36</v>
      </c>
      <c r="F194" s="18" t="s">
        <v>36</v>
      </c>
      <c r="J194" s="19"/>
      <c r="K194" s="19">
        <v>0.23269999999999999</v>
      </c>
      <c r="L194" s="19" t="s">
        <v>36</v>
      </c>
      <c r="M194" s="19">
        <v>0.3175</v>
      </c>
      <c r="N194" s="19">
        <v>0.1023</v>
      </c>
      <c r="O194" s="19">
        <v>0.22770000000000001</v>
      </c>
      <c r="P194" s="19">
        <v>0.4118</v>
      </c>
      <c r="Q194" s="19">
        <v>0.125519151</v>
      </c>
      <c r="R194" s="20">
        <v>26436</v>
      </c>
      <c r="S194" s="21" t="str">
        <f>HYPERLINK("https://www.chaffey.edu/finaid/Links.shtml", "$19800")</f>
        <v>$19800</v>
      </c>
      <c r="T194" s="20">
        <v>22855</v>
      </c>
      <c r="U194" s="20" t="s">
        <v>36</v>
      </c>
      <c r="V194" s="20">
        <v>6092</v>
      </c>
      <c r="W194" s="20">
        <v>13708.16350710901</v>
      </c>
      <c r="Y194" s="19">
        <v>0.32319999999999999</v>
      </c>
      <c r="Z194" s="19">
        <v>0.84770000000000001</v>
      </c>
      <c r="AB194" s="18">
        <v>19725</v>
      </c>
    </row>
    <row r="195" spans="1:28" ht="15.75" customHeight="1" x14ac:dyDescent="0.2">
      <c r="A195" s="36" t="str">
        <f>HYPERLINK("https://www.cdrewu.edu", "Charles R Drew University of Medicine and Science")</f>
        <v>Charles R Drew University of Medicine and Science</v>
      </c>
      <c r="B195" s="18" t="s">
        <v>32</v>
      </c>
      <c r="C195" s="18" t="s">
        <v>68</v>
      </c>
      <c r="D195" s="18" t="s">
        <v>140</v>
      </c>
      <c r="E195" s="18">
        <v>1142</v>
      </c>
      <c r="F195" s="18" t="s">
        <v>115</v>
      </c>
      <c r="J195" s="19"/>
      <c r="K195" s="19">
        <v>0.25</v>
      </c>
      <c r="L195" s="19">
        <v>0.735294118</v>
      </c>
      <c r="M195" s="19" t="s">
        <v>36</v>
      </c>
      <c r="N195" s="19">
        <v>0</v>
      </c>
      <c r="O195" s="19">
        <v>0.5</v>
      </c>
      <c r="P195" s="19" t="s">
        <v>36</v>
      </c>
      <c r="Q195" s="19" t="s">
        <v>36</v>
      </c>
      <c r="R195" s="20">
        <v>33356</v>
      </c>
      <c r="S195" s="21" t="str">
        <f>HYPERLINK("https://npc.collegeboard.org/student/app/cdrewu", "Not reported")</f>
        <v>Not reported</v>
      </c>
      <c r="T195" s="20" t="s">
        <v>36</v>
      </c>
      <c r="U195" s="20" t="s">
        <v>36</v>
      </c>
      <c r="V195" s="20">
        <v>6090</v>
      </c>
      <c r="W195" s="20" t="s">
        <v>36</v>
      </c>
      <c r="Y195" s="19">
        <v>0.56820000000000004</v>
      </c>
      <c r="Z195" s="19">
        <v>0.96379999999999999</v>
      </c>
      <c r="AB195" s="18">
        <v>138</v>
      </c>
    </row>
    <row r="196" spans="1:28" ht="15.75" customHeight="1" x14ac:dyDescent="0.2">
      <c r="A196" s="36" t="str">
        <f>HYPERLINK("https://www.chatfield.edu", "Chatfield College")</f>
        <v>Chatfield College</v>
      </c>
      <c r="B196" s="18" t="s">
        <v>32</v>
      </c>
      <c r="C196" s="18" t="s">
        <v>75</v>
      </c>
      <c r="D196" s="18" t="s">
        <v>1125</v>
      </c>
      <c r="E196" s="18" t="s">
        <v>36</v>
      </c>
      <c r="F196" s="18" t="s">
        <v>36</v>
      </c>
      <c r="J196" s="19"/>
      <c r="K196" s="19">
        <v>0.24590000000000001</v>
      </c>
      <c r="L196" s="19" t="s">
        <v>36</v>
      </c>
      <c r="M196" s="19">
        <v>0.4118</v>
      </c>
      <c r="N196" s="19">
        <v>0.17069999999999999</v>
      </c>
      <c r="O196" s="19" t="s">
        <v>36</v>
      </c>
      <c r="P196" s="19">
        <v>1</v>
      </c>
      <c r="Q196" s="19">
        <v>0.12068965500000001</v>
      </c>
      <c r="R196" s="20">
        <v>21240</v>
      </c>
      <c r="S196" s="21" t="str">
        <f>HYPERLINK("https://www.chatfield.edu/net-price-calculator/", "$12328")</f>
        <v>$12328</v>
      </c>
      <c r="T196" s="20">
        <v>9709</v>
      </c>
      <c r="U196" s="20">
        <v>11306</v>
      </c>
      <c r="V196" s="20">
        <v>2700</v>
      </c>
      <c r="W196" s="20">
        <v>9628</v>
      </c>
      <c r="Y196" s="19">
        <v>0.48020000000000002</v>
      </c>
      <c r="Z196" s="19">
        <v>0.68920000000000003</v>
      </c>
      <c r="AB196" s="18">
        <v>148</v>
      </c>
    </row>
    <row r="197" spans="1:28" ht="15.75" customHeight="1" x14ac:dyDescent="0.2">
      <c r="A197" s="36" t="str">
        <f>HYPERLINK("https://www.cv.edu", "Chattahoochee Valley Community College")</f>
        <v>Chattahoochee Valley Community College</v>
      </c>
      <c r="B197" s="18" t="s">
        <v>49</v>
      </c>
      <c r="C197" s="18" t="s">
        <v>300</v>
      </c>
      <c r="D197" s="18" t="s">
        <v>1127</v>
      </c>
      <c r="E197" s="18" t="s">
        <v>36</v>
      </c>
      <c r="F197" s="18" t="s">
        <v>36</v>
      </c>
      <c r="J197" s="19"/>
      <c r="K197" s="19">
        <v>0.1958</v>
      </c>
      <c r="L197" s="19">
        <v>0.125</v>
      </c>
      <c r="M197" s="19">
        <v>0.28389999999999999</v>
      </c>
      <c r="N197" s="19">
        <v>0.10829999999999999</v>
      </c>
      <c r="O197" s="19">
        <v>6.6699999999999995E-2</v>
      </c>
      <c r="P197" s="19">
        <v>0.5</v>
      </c>
      <c r="Q197" s="19">
        <v>9.1549296000000002E-2</v>
      </c>
      <c r="R197" s="20">
        <v>15884</v>
      </c>
      <c r="S197" s="21" t="str">
        <f>HYPERLINK("https://www.cv.edu/about/consumer-information/", "Not reported")</f>
        <v>Not reported</v>
      </c>
      <c r="T197" s="20" t="s">
        <v>36</v>
      </c>
      <c r="U197" s="20" t="s">
        <v>36</v>
      </c>
      <c r="V197" s="20">
        <v>2600</v>
      </c>
      <c r="W197" s="20" t="s">
        <v>36</v>
      </c>
      <c r="Y197" s="19">
        <v>0.53799999999999992</v>
      </c>
      <c r="Z197" s="19">
        <v>0.51750000000000007</v>
      </c>
      <c r="AB197" s="18">
        <v>1370</v>
      </c>
    </row>
    <row r="198" spans="1:28" ht="15.75" customHeight="1" x14ac:dyDescent="0.2">
      <c r="A198" s="36" t="str">
        <f>HYPERLINK("https://www.chattanoogacollege.edu", "Chattanooga College Medical Dental and Technical Careers")</f>
        <v>Chattanooga College Medical Dental and Technical Careers</v>
      </c>
      <c r="B198" s="18" t="s">
        <v>368</v>
      </c>
      <c r="C198" s="18" t="s">
        <v>174</v>
      </c>
      <c r="D198" s="18" t="s">
        <v>1128</v>
      </c>
      <c r="E198" s="18" t="s">
        <v>36</v>
      </c>
      <c r="F198" s="18" t="s">
        <v>36</v>
      </c>
      <c r="J198" s="19"/>
      <c r="K198" s="19">
        <v>0.60980000000000001</v>
      </c>
      <c r="L198" s="19">
        <v>0.38709677399999998</v>
      </c>
      <c r="M198" s="19">
        <v>0.62749999999999995</v>
      </c>
      <c r="N198" s="19">
        <v>0.58620000000000005</v>
      </c>
      <c r="O198" s="19">
        <v>0.5</v>
      </c>
      <c r="P198" s="19" t="s">
        <v>36</v>
      </c>
      <c r="Q198" s="19" t="s">
        <v>36</v>
      </c>
      <c r="R198" s="20">
        <v>30505</v>
      </c>
      <c r="S198" s="21" t="str">
        <f>HYPERLINK("https://www.chattanoogacollege.edu", "$22023")</f>
        <v>$22023</v>
      </c>
      <c r="T198" s="20">
        <v>22651</v>
      </c>
      <c r="U198" s="20" t="s">
        <v>36</v>
      </c>
      <c r="V198" s="20">
        <v>11190</v>
      </c>
      <c r="W198" s="20">
        <v>10833</v>
      </c>
      <c r="Y198" s="19">
        <v>0.83730000000000004</v>
      </c>
      <c r="Z198" s="19">
        <v>0.41760000000000003</v>
      </c>
      <c r="AB198" s="18">
        <v>273</v>
      </c>
    </row>
    <row r="199" spans="1:28" ht="15.75" customHeight="1" x14ac:dyDescent="0.2">
      <c r="A199" s="36" t="str">
        <f>HYPERLINK("https://www.chattanoogastate.edu", "Chattanooga State Community College")</f>
        <v>Chattanooga State Community College</v>
      </c>
      <c r="B199" s="18" t="s">
        <v>49</v>
      </c>
      <c r="C199" s="18" t="s">
        <v>174</v>
      </c>
      <c r="D199" s="18" t="s">
        <v>1128</v>
      </c>
      <c r="E199" s="18" t="s">
        <v>36</v>
      </c>
      <c r="F199" s="18" t="s">
        <v>36</v>
      </c>
      <c r="J199" s="19"/>
      <c r="K199" s="19">
        <v>0.16350000000000001</v>
      </c>
      <c r="L199" s="19">
        <v>0.23885077199999999</v>
      </c>
      <c r="M199" s="19">
        <v>0.19070000000000001</v>
      </c>
      <c r="N199" s="19">
        <v>4.3499999999999997E-2</v>
      </c>
      <c r="O199" s="19">
        <v>0.22220000000000001</v>
      </c>
      <c r="P199" s="19">
        <v>0</v>
      </c>
      <c r="Q199" s="19">
        <v>5.3717840000000003E-2</v>
      </c>
      <c r="R199" s="20">
        <v>28627</v>
      </c>
      <c r="S199" s="21" t="str">
        <f>HYPERLINK("https://www.chattanoogastate.edu/financial/financial-aid/net-price-calculator", "$22412")</f>
        <v>$22412</v>
      </c>
      <c r="T199" s="20">
        <v>24456</v>
      </c>
      <c r="U199" s="20">
        <v>26984</v>
      </c>
      <c r="V199" s="20">
        <v>5700</v>
      </c>
      <c r="W199" s="20">
        <v>16712.156716417911</v>
      </c>
      <c r="Y199" s="19">
        <v>0.38919999999999999</v>
      </c>
      <c r="Z199" s="19">
        <v>0.22409999999999999</v>
      </c>
      <c r="AB199" s="18">
        <v>6402</v>
      </c>
    </row>
    <row r="200" spans="1:28" ht="15.75" customHeight="1" x14ac:dyDescent="0.2">
      <c r="A200" s="36" t="str">
        <f>HYPERLINK("https://www.chemeketa.edu", "Chemeketa Community College")</f>
        <v>Chemeketa Community College</v>
      </c>
      <c r="B200" s="18" t="s">
        <v>49</v>
      </c>
      <c r="C200" s="18" t="s">
        <v>143</v>
      </c>
      <c r="D200" s="18" t="s">
        <v>343</v>
      </c>
      <c r="E200" s="18" t="s">
        <v>36</v>
      </c>
      <c r="F200" s="18" t="s">
        <v>36</v>
      </c>
      <c r="J200" s="19"/>
      <c r="K200" s="19">
        <v>0.14799999999999999</v>
      </c>
      <c r="L200" s="19">
        <v>0.13256591200000001</v>
      </c>
      <c r="M200" s="19">
        <v>0.13689999999999999</v>
      </c>
      <c r="N200" s="19">
        <v>0.15379999999999999</v>
      </c>
      <c r="O200" s="19">
        <v>0.15110000000000001</v>
      </c>
      <c r="P200" s="19">
        <v>0.1</v>
      </c>
      <c r="Q200" s="19">
        <v>7.3249196000000003E-2</v>
      </c>
      <c r="R200" s="20">
        <v>26415</v>
      </c>
      <c r="S200" s="21" t="str">
        <f>HYPERLINK("https://www.chemeketa.edu/cost-aid/net-price-calculator/", "$22014")</f>
        <v>$22014</v>
      </c>
      <c r="T200" s="20">
        <v>23792</v>
      </c>
      <c r="U200" s="20">
        <v>26071</v>
      </c>
      <c r="V200" s="20">
        <v>3825</v>
      </c>
      <c r="W200" s="20">
        <v>18189.666666666672</v>
      </c>
      <c r="Y200" s="19">
        <v>0.36530000000000001</v>
      </c>
      <c r="Z200" s="19">
        <v>0.51790000000000003</v>
      </c>
      <c r="AB200" s="18">
        <v>8474</v>
      </c>
    </row>
    <row r="201" spans="1:28" ht="15.75" customHeight="1" x14ac:dyDescent="0.2">
      <c r="A201" s="36" t="str">
        <f>HYPERLINK("https://www.chesapeake.edu", "Chesapeake College")</f>
        <v>Chesapeake College</v>
      </c>
      <c r="B201" s="18" t="s">
        <v>49</v>
      </c>
      <c r="C201" s="18" t="s">
        <v>124</v>
      </c>
      <c r="D201" s="18" t="s">
        <v>1131</v>
      </c>
      <c r="E201" s="18" t="s">
        <v>36</v>
      </c>
      <c r="F201" s="18" t="s">
        <v>36</v>
      </c>
      <c r="J201" s="19"/>
      <c r="K201" s="19">
        <v>0.18099999999999999</v>
      </c>
      <c r="L201" s="19">
        <v>0.16078431400000001</v>
      </c>
      <c r="M201" s="19">
        <v>0.1888</v>
      </c>
      <c r="N201" s="19">
        <v>4.2599999999999999E-2</v>
      </c>
      <c r="O201" s="19">
        <v>0.375</v>
      </c>
      <c r="P201" s="19">
        <v>0.4</v>
      </c>
      <c r="Q201" s="19">
        <v>6.6473987999999998E-2</v>
      </c>
      <c r="R201" s="20">
        <v>15600</v>
      </c>
      <c r="S201" s="21" t="str">
        <f>HYPERLINK("https://www.chesapeake.edu/sites/default/files/npcalc18_0.htm", "$10315")</f>
        <v>$10315</v>
      </c>
      <c r="T201" s="20">
        <v>12169</v>
      </c>
      <c r="U201" s="20">
        <v>11198</v>
      </c>
      <c r="V201" s="20">
        <v>4672</v>
      </c>
      <c r="W201" s="20">
        <v>5643.4862385321103</v>
      </c>
      <c r="Y201" s="19">
        <v>0.37309999999999999</v>
      </c>
      <c r="Z201" s="19">
        <v>0.31940000000000002</v>
      </c>
      <c r="AB201" s="18">
        <v>1744</v>
      </c>
    </row>
    <row r="202" spans="1:28" ht="15.75" customHeight="1" x14ac:dyDescent="0.2">
      <c r="A202" s="36" t="str">
        <f>HYPERLINK("https://cdkc.edu", "Chief Dull Knife College")</f>
        <v>Chief Dull Knife College</v>
      </c>
      <c r="B202" s="18" t="s">
        <v>49</v>
      </c>
      <c r="C202" s="18" t="s">
        <v>421</v>
      </c>
      <c r="D202" s="18" t="s">
        <v>1132</v>
      </c>
      <c r="E202" s="18" t="s">
        <v>36</v>
      </c>
      <c r="F202" s="18" t="s">
        <v>36</v>
      </c>
      <c r="J202" s="19"/>
      <c r="K202" s="19">
        <v>0.3448</v>
      </c>
      <c r="L202" s="19" t="s">
        <v>36</v>
      </c>
      <c r="M202" s="19">
        <v>1</v>
      </c>
      <c r="N202" s="19" t="s">
        <v>36</v>
      </c>
      <c r="O202" s="19" t="s">
        <v>36</v>
      </c>
      <c r="P202" s="19" t="s">
        <v>36</v>
      </c>
      <c r="Q202" s="19" t="s">
        <v>36</v>
      </c>
      <c r="R202" s="20">
        <v>12660</v>
      </c>
      <c r="S202" s="21" t="str">
        <f>HYPERLINK("https://cdkc.edu", "$6794")</f>
        <v>$6794</v>
      </c>
      <c r="T202" s="20">
        <v>8582</v>
      </c>
      <c r="U202" s="20" t="s">
        <v>36</v>
      </c>
      <c r="V202" s="20">
        <v>5000</v>
      </c>
      <c r="W202" s="20">
        <v>1794</v>
      </c>
      <c r="Y202" s="19">
        <v>0.50600000000000001</v>
      </c>
      <c r="Z202" s="19">
        <v>0.90480000000000005</v>
      </c>
      <c r="AB202" s="18">
        <v>126</v>
      </c>
    </row>
    <row r="203" spans="1:28" ht="15.75" customHeight="1" x14ac:dyDescent="0.2">
      <c r="A203" s="36" t="str">
        <f>HYPERLINK("https://www.chipola.edu", "Chipola College")</f>
        <v>Chipola College</v>
      </c>
      <c r="B203" s="18" t="s">
        <v>49</v>
      </c>
      <c r="C203" s="18" t="s">
        <v>162</v>
      </c>
      <c r="D203" s="18" t="s">
        <v>1134</v>
      </c>
      <c r="E203" s="18" t="s">
        <v>36</v>
      </c>
      <c r="F203" s="18" t="s">
        <v>36</v>
      </c>
      <c r="J203" s="19"/>
      <c r="K203" s="19">
        <v>0.49540000000000001</v>
      </c>
      <c r="L203" s="19">
        <v>0.171348315</v>
      </c>
      <c r="M203" s="19">
        <v>0.5333</v>
      </c>
      <c r="N203" s="19">
        <v>0.33960000000000001</v>
      </c>
      <c r="O203" s="19">
        <v>0.33329999999999999</v>
      </c>
      <c r="P203" s="19">
        <v>0.5</v>
      </c>
      <c r="Q203" s="19">
        <v>0.100917431</v>
      </c>
      <c r="R203" s="20">
        <v>17245</v>
      </c>
      <c r="S203" s="21" t="str">
        <f>HYPERLINK("https://www.chipola.edu/financialaid/NetPriceCalculator-14/npcalc.htm", "$11244")</f>
        <v>$11244</v>
      </c>
      <c r="T203" s="20">
        <v>12951</v>
      </c>
      <c r="U203" s="20" t="s">
        <v>36</v>
      </c>
      <c r="V203" s="20">
        <v>3735</v>
      </c>
      <c r="W203" s="20">
        <v>7509.9363057324836</v>
      </c>
      <c r="Y203" s="19">
        <v>0.35680000000000001</v>
      </c>
      <c r="Z203" s="19">
        <v>0.28480000000000011</v>
      </c>
      <c r="AB203" s="18">
        <v>1482</v>
      </c>
    </row>
    <row r="204" spans="1:28" ht="15.75" customHeight="1" x14ac:dyDescent="0.2">
      <c r="A204" s="36" t="str">
        <f>HYPERLINK("https://www.christianlifecollege.edu", "Christian Life College")</f>
        <v>Christian Life College</v>
      </c>
      <c r="B204" s="18" t="s">
        <v>32</v>
      </c>
      <c r="C204" s="18" t="s">
        <v>137</v>
      </c>
      <c r="D204" s="18" t="s">
        <v>1136</v>
      </c>
      <c r="E204" s="18" t="s">
        <v>36</v>
      </c>
      <c r="F204" s="18" t="s">
        <v>36</v>
      </c>
      <c r="J204" s="19"/>
      <c r="K204" s="19">
        <v>0.4</v>
      </c>
      <c r="L204" s="19" t="s">
        <v>36</v>
      </c>
      <c r="M204" s="19">
        <v>0.5</v>
      </c>
      <c r="N204" s="19">
        <v>1</v>
      </c>
      <c r="O204" s="19" t="s">
        <v>36</v>
      </c>
      <c r="P204" s="19" t="s">
        <v>36</v>
      </c>
      <c r="Q204" s="19" t="s">
        <v>36</v>
      </c>
      <c r="R204" s="20">
        <v>12613</v>
      </c>
      <c r="S204" s="21" t="str">
        <f>HYPERLINK("https://www.christianlifecollege.edu/#/admissions/tuition", "Not reported")</f>
        <v>Not reported</v>
      </c>
      <c r="T204" s="20" t="s">
        <v>36</v>
      </c>
      <c r="U204" s="20">
        <v>11425</v>
      </c>
      <c r="V204" s="20">
        <v>2782</v>
      </c>
      <c r="W204" s="20" t="s">
        <v>36</v>
      </c>
      <c r="Y204" s="19">
        <v>0.15379999999999999</v>
      </c>
      <c r="Z204" s="19">
        <v>0.49249999999999999</v>
      </c>
      <c r="AB204" s="18">
        <v>67</v>
      </c>
    </row>
    <row r="205" spans="1:28" ht="15.75" customHeight="1" x14ac:dyDescent="0.2">
      <c r="A205" s="36" t="str">
        <f>HYPERLINK("https://WWW.CCMS.EDU", "Cincinnati College of Mortuary Science")</f>
        <v>Cincinnati College of Mortuary Science</v>
      </c>
      <c r="B205" s="18" t="s">
        <v>32</v>
      </c>
      <c r="C205" s="18" t="s">
        <v>75</v>
      </c>
      <c r="D205" s="18" t="s">
        <v>502</v>
      </c>
      <c r="E205" s="18" t="s">
        <v>36</v>
      </c>
      <c r="F205" s="18" t="s">
        <v>36</v>
      </c>
      <c r="J205" s="19"/>
      <c r="K205" s="19">
        <v>0.33329999999999999</v>
      </c>
      <c r="L205" s="19">
        <v>0.6875</v>
      </c>
      <c r="M205" s="19">
        <v>0</v>
      </c>
      <c r="N205" s="19">
        <v>0.5</v>
      </c>
      <c r="O205" s="19" t="s">
        <v>36</v>
      </c>
      <c r="P205" s="19" t="s">
        <v>36</v>
      </c>
      <c r="Q205" s="19" t="s">
        <v>36</v>
      </c>
      <c r="R205" s="20" t="s">
        <v>36</v>
      </c>
      <c r="S205" s="21" t="str">
        <f>HYPERLINK("https://WWW.CCMS.EDU", "Not reported")</f>
        <v>Not reported</v>
      </c>
      <c r="T205" s="20" t="s">
        <v>36</v>
      </c>
      <c r="U205" s="20" t="s">
        <v>36</v>
      </c>
      <c r="V205" s="20" t="s">
        <v>36</v>
      </c>
      <c r="W205" s="20" t="s">
        <v>36</v>
      </c>
      <c r="Y205" s="19">
        <v>0.34379999999999999</v>
      </c>
      <c r="Z205" s="19">
        <v>0.2</v>
      </c>
      <c r="AB205" s="18">
        <v>85</v>
      </c>
    </row>
    <row r="206" spans="1:28" ht="15.75" customHeight="1" x14ac:dyDescent="0.2">
      <c r="A206" s="36" t="str">
        <f>HYPERLINK("https://www.cincinnatistate.edu", "Cincinnati State Technical and Community College")</f>
        <v>Cincinnati State Technical and Community College</v>
      </c>
      <c r="B206" s="18" t="s">
        <v>49</v>
      </c>
      <c r="C206" s="18" t="s">
        <v>75</v>
      </c>
      <c r="D206" s="18" t="s">
        <v>502</v>
      </c>
      <c r="E206" s="18" t="s">
        <v>36</v>
      </c>
      <c r="F206" s="18" t="s">
        <v>36</v>
      </c>
      <c r="J206" s="19"/>
      <c r="K206" s="19">
        <v>0.1497</v>
      </c>
      <c r="L206" s="19">
        <v>6.8675745999999996E-2</v>
      </c>
      <c r="M206" s="19">
        <v>0.1769</v>
      </c>
      <c r="N206" s="19">
        <v>7.22E-2</v>
      </c>
      <c r="O206" s="19">
        <v>0.22220000000000001</v>
      </c>
      <c r="P206" s="19">
        <v>0.2</v>
      </c>
      <c r="Q206" s="19">
        <v>8.7605685000000003E-2</v>
      </c>
      <c r="R206" s="20">
        <v>15157</v>
      </c>
      <c r="S206" s="21" t="str">
        <f>HYPERLINK("https://www.cincinnatistate.edu/academics/financial-aid/financial-aid-resources", "$11869")</f>
        <v>$11869</v>
      </c>
      <c r="T206" s="20">
        <v>13536</v>
      </c>
      <c r="U206" s="20">
        <v>14574</v>
      </c>
      <c r="V206" s="20">
        <v>3492</v>
      </c>
      <c r="W206" s="20">
        <v>8377.9392857142848</v>
      </c>
      <c r="Y206" s="19">
        <v>0.33339999999999997</v>
      </c>
      <c r="Z206" s="19">
        <v>0.42749999999999999</v>
      </c>
      <c r="AB206" s="18">
        <v>6934</v>
      </c>
    </row>
    <row r="207" spans="1:28" ht="15.75" customHeight="1" x14ac:dyDescent="0.2">
      <c r="A207" s="36" t="str">
        <f>HYPERLINK("https://www.cisco.edu", "Cisco College")</f>
        <v>Cisco College</v>
      </c>
      <c r="B207" s="18" t="s">
        <v>49</v>
      </c>
      <c r="C207" s="18" t="s">
        <v>146</v>
      </c>
      <c r="D207" s="18" t="s">
        <v>1139</v>
      </c>
      <c r="E207" s="18" t="s">
        <v>36</v>
      </c>
      <c r="F207" s="18" t="s">
        <v>36</v>
      </c>
      <c r="J207" s="19"/>
      <c r="K207" s="19">
        <v>0.2379</v>
      </c>
      <c r="L207" s="19">
        <v>2.5025024999999999E-2</v>
      </c>
      <c r="M207" s="19">
        <v>0.26850000000000002</v>
      </c>
      <c r="N207" s="19">
        <v>7.1400000000000005E-2</v>
      </c>
      <c r="O207" s="19">
        <v>0.32429999999999998</v>
      </c>
      <c r="P207" s="19">
        <v>0</v>
      </c>
      <c r="Q207" s="19">
        <v>0.116536458</v>
      </c>
      <c r="R207" s="20">
        <v>15731</v>
      </c>
      <c r="S207" s="21" t="str">
        <f>HYPERLINK("https://www.collegeforalltexans.com/apps/CollegeMoney/", "$9714")</f>
        <v>$9714</v>
      </c>
      <c r="T207" s="20">
        <v>12300</v>
      </c>
      <c r="U207" s="20">
        <v>8351</v>
      </c>
      <c r="V207" s="20">
        <v>6743</v>
      </c>
      <c r="W207" s="20">
        <v>2971.2631578947371</v>
      </c>
      <c r="Y207" s="19">
        <v>0.2737</v>
      </c>
      <c r="Z207" s="19">
        <v>0.39150000000000001</v>
      </c>
      <c r="AB207" s="18">
        <v>3160</v>
      </c>
    </row>
    <row r="208" spans="1:28" ht="15.75" customHeight="1" x14ac:dyDescent="0.2">
      <c r="A208" s="36" t="str">
        <f>HYPERLINK("https://www.citruscollege.edu", "Citrus College")</f>
        <v>Citrus College</v>
      </c>
      <c r="B208" s="18" t="s">
        <v>49</v>
      </c>
      <c r="C208" s="18" t="s">
        <v>68</v>
      </c>
      <c r="D208" s="18" t="s">
        <v>1141</v>
      </c>
      <c r="E208" s="18" t="s">
        <v>36</v>
      </c>
      <c r="F208" s="18" t="s">
        <v>36</v>
      </c>
      <c r="J208" s="19"/>
      <c r="K208" s="19">
        <v>0.38490000000000002</v>
      </c>
      <c r="L208" s="19">
        <v>0.10290827700000001</v>
      </c>
      <c r="M208" s="19">
        <v>0.49059999999999998</v>
      </c>
      <c r="N208" s="19">
        <v>0.27589999999999998</v>
      </c>
      <c r="O208" s="19">
        <v>0.3347</v>
      </c>
      <c r="P208" s="19">
        <v>0.51139999999999997</v>
      </c>
      <c r="Q208" s="19">
        <v>0.100827097</v>
      </c>
      <c r="R208" s="20">
        <v>24400</v>
      </c>
      <c r="S208" s="21" t="str">
        <f>HYPERLINK("https://misweb.cccco.edu/npc/821/npcalc.htm", "$17997")</f>
        <v>$17997</v>
      </c>
      <c r="T208" s="20">
        <v>21435</v>
      </c>
      <c r="U208" s="20">
        <v>22624</v>
      </c>
      <c r="V208" s="20">
        <v>5949</v>
      </c>
      <c r="W208" s="20">
        <v>12048.031055900619</v>
      </c>
      <c r="Y208" s="19">
        <v>0.311</v>
      </c>
      <c r="Z208" s="19">
        <v>0.83360000000000001</v>
      </c>
      <c r="AB208" s="18">
        <v>11629</v>
      </c>
    </row>
    <row r="209" spans="1:28" ht="15.75" customHeight="1" x14ac:dyDescent="0.2">
      <c r="A209" s="36" t="str">
        <f>HYPERLINK("https://www.citycollege.edu", "City College-Altamonte Springs")</f>
        <v>City College-Altamonte Springs</v>
      </c>
      <c r="B209" s="18" t="s">
        <v>32</v>
      </c>
      <c r="C209" s="18" t="s">
        <v>162</v>
      </c>
      <c r="D209" s="18" t="s">
        <v>1142</v>
      </c>
      <c r="E209" s="18" t="s">
        <v>36</v>
      </c>
      <c r="F209" s="18" t="s">
        <v>36</v>
      </c>
      <c r="J209" s="19"/>
      <c r="K209" s="19">
        <v>0.28570000000000001</v>
      </c>
      <c r="L209" s="19">
        <v>0.32727272699999999</v>
      </c>
      <c r="M209" s="19">
        <v>0.33329999999999999</v>
      </c>
      <c r="N209" s="19">
        <v>0.1</v>
      </c>
      <c r="O209" s="19">
        <v>0.5</v>
      </c>
      <c r="P209" s="19">
        <v>0</v>
      </c>
      <c r="Q209" s="19">
        <v>5.1903114000000007E-2</v>
      </c>
      <c r="R209" s="20">
        <v>31283</v>
      </c>
      <c r="S209" s="21" t="str">
        <f>HYPERLINK("https://www.citycollege.edu/financial-aid/net-price-calculator/", "$18498")</f>
        <v>$18498</v>
      </c>
      <c r="T209" s="20" t="s">
        <v>36</v>
      </c>
      <c r="U209" s="20" t="s">
        <v>36</v>
      </c>
      <c r="V209" s="20">
        <v>7670</v>
      </c>
      <c r="W209" s="20">
        <v>10828</v>
      </c>
      <c r="Y209" s="19">
        <v>0.76139999999999997</v>
      </c>
      <c r="Z209" s="19">
        <v>0.73540000000000005</v>
      </c>
      <c r="AB209" s="18">
        <v>189</v>
      </c>
    </row>
    <row r="210" spans="1:28" ht="15.75" customHeight="1" x14ac:dyDescent="0.2">
      <c r="A210" s="36" t="str">
        <f>HYPERLINK("https://www.citycollege.edu", "City College-Fort Lauderdale")</f>
        <v>City College-Fort Lauderdale</v>
      </c>
      <c r="B210" s="18" t="s">
        <v>32</v>
      </c>
      <c r="C210" s="18" t="s">
        <v>162</v>
      </c>
      <c r="D210" s="18" t="s">
        <v>433</v>
      </c>
      <c r="E210" s="18" t="s">
        <v>36</v>
      </c>
      <c r="F210" s="18" t="s">
        <v>36</v>
      </c>
      <c r="J210" s="19"/>
      <c r="K210" s="19">
        <v>0.371</v>
      </c>
      <c r="L210" s="19">
        <v>0.350444225</v>
      </c>
      <c r="M210" s="19">
        <v>0.42859999999999998</v>
      </c>
      <c r="N210" s="19">
        <v>0.47060000000000002</v>
      </c>
      <c r="O210" s="19">
        <v>0.28570000000000001</v>
      </c>
      <c r="P210" s="19">
        <v>0</v>
      </c>
      <c r="Q210" s="19">
        <v>4.8324239999999997E-2</v>
      </c>
      <c r="R210" s="20">
        <v>31306</v>
      </c>
      <c r="S210" s="21" t="str">
        <f>HYPERLINK("https://www.citycollege.edu/financial_aid/net-price-calculator", "$21496")</f>
        <v>$21496</v>
      </c>
      <c r="T210" s="20" t="s">
        <v>36</v>
      </c>
      <c r="U210" s="20" t="s">
        <v>36</v>
      </c>
      <c r="V210" s="20">
        <v>7693</v>
      </c>
      <c r="W210" s="20">
        <v>13803</v>
      </c>
      <c r="Y210" s="19">
        <v>0.70089999999999997</v>
      </c>
      <c r="Z210" s="19">
        <v>0.8579</v>
      </c>
      <c r="AB210" s="18">
        <v>401</v>
      </c>
    </row>
    <row r="211" spans="1:28" ht="15.75" customHeight="1" x14ac:dyDescent="0.2">
      <c r="A211" s="36" t="str">
        <f>HYPERLINK("https://www.citycollege.edu", "City College-Gainesville")</f>
        <v>City College-Gainesville</v>
      </c>
      <c r="B211" s="18" t="s">
        <v>32</v>
      </c>
      <c r="C211" s="18" t="s">
        <v>162</v>
      </c>
      <c r="D211" s="18" t="s">
        <v>277</v>
      </c>
      <c r="E211" s="18" t="s">
        <v>36</v>
      </c>
      <c r="F211" s="18" t="s">
        <v>36</v>
      </c>
      <c r="J211" s="19"/>
      <c r="K211" s="19">
        <v>0.30430000000000001</v>
      </c>
      <c r="L211" s="19">
        <v>0.350444225</v>
      </c>
      <c r="M211" s="19">
        <v>0.26319999999999999</v>
      </c>
      <c r="N211" s="19">
        <v>0.1905</v>
      </c>
      <c r="O211" s="19">
        <v>1</v>
      </c>
      <c r="P211" s="19" t="s">
        <v>36</v>
      </c>
      <c r="Q211" s="19">
        <v>4.8324239999999997E-2</v>
      </c>
      <c r="R211" s="20">
        <v>31306</v>
      </c>
      <c r="S211" s="21" t="str">
        <f>HYPERLINK("https://www.citycollege.edu/financial_aid/net-price-calculator", "$19147")</f>
        <v>$19147</v>
      </c>
      <c r="T211" s="20">
        <v>19566</v>
      </c>
      <c r="U211" s="20" t="s">
        <v>36</v>
      </c>
      <c r="V211" s="20">
        <v>7693</v>
      </c>
      <c r="W211" s="20">
        <v>11454</v>
      </c>
      <c r="Y211" s="19">
        <v>0.85750000000000004</v>
      </c>
      <c r="Z211" s="19">
        <v>0.59529999999999994</v>
      </c>
      <c r="AB211" s="18">
        <v>257</v>
      </c>
    </row>
    <row r="212" spans="1:28" ht="15.75" customHeight="1" x14ac:dyDescent="0.2">
      <c r="A212" s="36" t="str">
        <f>HYPERLINK("https://www.citycollege.edu", "City College-Hollywood")</f>
        <v>City College-Hollywood</v>
      </c>
      <c r="B212" s="18" t="s">
        <v>32</v>
      </c>
      <c r="C212" s="18" t="s">
        <v>162</v>
      </c>
      <c r="D212" s="18" t="s">
        <v>762</v>
      </c>
      <c r="E212" s="18" t="s">
        <v>36</v>
      </c>
      <c r="F212" s="18" t="s">
        <v>36</v>
      </c>
      <c r="J212" s="19"/>
      <c r="K212" s="19">
        <v>0.2</v>
      </c>
      <c r="L212" s="19">
        <v>0.350444225</v>
      </c>
      <c r="M212" s="19">
        <v>0</v>
      </c>
      <c r="N212" s="19">
        <v>0</v>
      </c>
      <c r="O212" s="19">
        <v>0.5</v>
      </c>
      <c r="P212" s="19" t="s">
        <v>36</v>
      </c>
      <c r="Q212" s="19">
        <v>4.8324239999999997E-2</v>
      </c>
      <c r="R212" s="20">
        <v>31306</v>
      </c>
      <c r="S212" s="21" t="str">
        <f>HYPERLINK("https://www.citycollege.edu/financial_aid/net-price-calculator", "$18052")</f>
        <v>$18052</v>
      </c>
      <c r="T212" s="20">
        <v>22187</v>
      </c>
      <c r="U212" s="20" t="s">
        <v>36</v>
      </c>
      <c r="V212" s="20">
        <v>7693</v>
      </c>
      <c r="W212" s="20">
        <v>10359</v>
      </c>
      <c r="Y212" s="19">
        <v>0.69359999999999999</v>
      </c>
      <c r="Z212" s="19">
        <v>0.73730000000000007</v>
      </c>
      <c r="AB212" s="18">
        <v>255</v>
      </c>
    </row>
    <row r="213" spans="1:28" ht="15.75" customHeight="1" x14ac:dyDescent="0.2">
      <c r="A213" s="36" t="str">
        <f>HYPERLINK("https://www.citycollege.edu", "City College-Miami")</f>
        <v>City College-Miami</v>
      </c>
      <c r="B213" s="18" t="s">
        <v>32</v>
      </c>
      <c r="C213" s="18" t="s">
        <v>162</v>
      </c>
      <c r="D213" s="18" t="s">
        <v>359</v>
      </c>
      <c r="E213" s="18" t="s">
        <v>36</v>
      </c>
      <c r="F213" s="18" t="s">
        <v>36</v>
      </c>
      <c r="J213" s="19"/>
      <c r="K213" s="19">
        <v>0.35709999999999997</v>
      </c>
      <c r="L213" s="19">
        <v>0.350444225</v>
      </c>
      <c r="M213" s="19" t="s">
        <v>36</v>
      </c>
      <c r="N213" s="19">
        <v>0.44440000000000002</v>
      </c>
      <c r="O213" s="19">
        <v>0.31580000000000003</v>
      </c>
      <c r="P213" s="19" t="s">
        <v>36</v>
      </c>
      <c r="Q213" s="19">
        <v>4.8324239999999997E-2</v>
      </c>
      <c r="R213" s="20">
        <v>31306</v>
      </c>
      <c r="S213" s="21" t="str">
        <f>HYPERLINK("https://www.citycollege.edu/financial_aid/net-price-calculator", "$17560")</f>
        <v>$17560</v>
      </c>
      <c r="T213" s="20" t="s">
        <v>36</v>
      </c>
      <c r="U213" s="20" t="s">
        <v>36</v>
      </c>
      <c r="V213" s="20">
        <v>7693</v>
      </c>
      <c r="W213" s="20">
        <v>9867</v>
      </c>
      <c r="Y213" s="19">
        <v>0.74439999999999995</v>
      </c>
      <c r="Z213" s="19">
        <v>0.96240000000000003</v>
      </c>
      <c r="AB213" s="18">
        <v>186</v>
      </c>
    </row>
    <row r="214" spans="1:28" ht="15.75" customHeight="1" x14ac:dyDescent="0.2">
      <c r="A214" s="36" t="str">
        <f>HYPERLINK("https://www.ccc.edu/colleges/washington/Pages/default.aspx", "City Colleges of Chicago-Harold Washington College")</f>
        <v>City Colleges of Chicago-Harold Washington College</v>
      </c>
      <c r="B214" s="18" t="s">
        <v>49</v>
      </c>
      <c r="C214" s="18" t="s">
        <v>137</v>
      </c>
      <c r="D214" s="18" t="s">
        <v>161</v>
      </c>
      <c r="E214" s="18" t="s">
        <v>36</v>
      </c>
      <c r="F214" s="18" t="s">
        <v>36</v>
      </c>
      <c r="J214" s="19"/>
      <c r="K214" s="19">
        <v>0.17960000000000001</v>
      </c>
      <c r="L214" s="19">
        <v>8.4758094000000006E-2</v>
      </c>
      <c r="M214" s="19">
        <v>0.13789999999999999</v>
      </c>
      <c r="N214" s="19">
        <v>9.6000000000000002E-2</v>
      </c>
      <c r="O214" s="19">
        <v>0.2114</v>
      </c>
      <c r="P214" s="19">
        <v>0.3231</v>
      </c>
      <c r="Q214" s="19">
        <v>0.116373087</v>
      </c>
      <c r="R214" s="20">
        <v>22894</v>
      </c>
      <c r="S214" s="21" t="str">
        <f>HYPERLINK("https://www.ccc.edu/colleges/washington/services/Pages/Find-Out-How-Much-College-Will-Cost.aspx", "$17375")</f>
        <v>$17375</v>
      </c>
      <c r="T214" s="20">
        <v>19590</v>
      </c>
      <c r="U214" s="20">
        <v>21000</v>
      </c>
      <c r="V214" s="20">
        <v>3020</v>
      </c>
      <c r="W214" s="20">
        <v>14355.96624472574</v>
      </c>
      <c r="Y214" s="19">
        <v>0.44359999999999999</v>
      </c>
      <c r="Z214" s="19">
        <v>0.90539999999999998</v>
      </c>
      <c r="AB214" s="18">
        <v>7360</v>
      </c>
    </row>
    <row r="215" spans="1:28" ht="15.75" customHeight="1" x14ac:dyDescent="0.2">
      <c r="A215" s="36" t="str">
        <f>HYPERLINK("https://ccc.edu/colleges/truman/pages/default.aspx", "City Colleges of Chicago-Harry S Truman College")</f>
        <v>City Colleges of Chicago-Harry S Truman College</v>
      </c>
      <c r="B215" s="18" t="s">
        <v>49</v>
      </c>
      <c r="C215" s="18" t="s">
        <v>137</v>
      </c>
      <c r="D215" s="18" t="s">
        <v>161</v>
      </c>
      <c r="E215" s="18" t="s">
        <v>36</v>
      </c>
      <c r="F215" s="18" t="s">
        <v>36</v>
      </c>
      <c r="J215" s="19"/>
      <c r="K215" s="19">
        <v>0.17560000000000001</v>
      </c>
      <c r="L215" s="19">
        <v>0.109339408</v>
      </c>
      <c r="M215" s="19">
        <v>0.20449999999999999</v>
      </c>
      <c r="N215" s="19">
        <v>0.13919999999999999</v>
      </c>
      <c r="O215" s="19">
        <v>0.1933</v>
      </c>
      <c r="P215" s="19">
        <v>0.28570000000000001</v>
      </c>
      <c r="Q215" s="19">
        <v>9.7478176999999999E-2</v>
      </c>
      <c r="R215" s="20">
        <v>22894</v>
      </c>
      <c r="S215" s="21" t="str">
        <f>HYPERLINK("https://ccc.edu/colleges/truman/services/Pages/Find-Out-How-Much-College-Will-Cost.aspx", "$17371")</f>
        <v>$17371</v>
      </c>
      <c r="T215" s="20">
        <v>20035</v>
      </c>
      <c r="U215" s="20">
        <v>21796</v>
      </c>
      <c r="V215" s="20">
        <v>3020</v>
      </c>
      <c r="W215" s="20">
        <v>14351.309012875539</v>
      </c>
      <c r="Y215" s="19">
        <v>0.18</v>
      </c>
      <c r="Z215" s="19">
        <v>0.82109999999999994</v>
      </c>
      <c r="AB215" s="18">
        <v>3068</v>
      </c>
    </row>
    <row r="216" spans="1:28" ht="15.75" customHeight="1" x14ac:dyDescent="0.2">
      <c r="A216" s="36" t="str">
        <f>HYPERLINK("https://ccc.edu/colleges/wright/pages/default.aspx", "City Colleges of Chicago-Wilbur Wright College")</f>
        <v>City Colleges of Chicago-Wilbur Wright College</v>
      </c>
      <c r="B216" s="18" t="s">
        <v>49</v>
      </c>
      <c r="C216" s="18" t="s">
        <v>137</v>
      </c>
      <c r="D216" s="18" t="s">
        <v>161</v>
      </c>
      <c r="E216" s="18" t="s">
        <v>36</v>
      </c>
      <c r="F216" s="18" t="s">
        <v>36</v>
      </c>
      <c r="J216" s="19"/>
      <c r="K216" s="19">
        <v>0.1663</v>
      </c>
      <c r="L216" s="19">
        <v>0.13584117000000001</v>
      </c>
      <c r="M216" s="19">
        <v>0.16220000000000001</v>
      </c>
      <c r="N216" s="19">
        <v>0.16669999999999999</v>
      </c>
      <c r="O216" s="19">
        <v>0.1464</v>
      </c>
      <c r="P216" s="19">
        <v>0.2273</v>
      </c>
      <c r="Q216" s="19">
        <v>8.6728520000000003E-2</v>
      </c>
      <c r="R216" s="20">
        <v>22894</v>
      </c>
      <c r="S216" s="21" t="str">
        <f>HYPERLINK("https://www.ccc.edu/colleges/wright/services/Pages/Find-Out-How-Much-College-Will-Cost.aspx", "$17602")</f>
        <v>$17602</v>
      </c>
      <c r="T216" s="20">
        <v>19710</v>
      </c>
      <c r="U216" s="20">
        <v>20253</v>
      </c>
      <c r="V216" s="20">
        <v>3020</v>
      </c>
      <c r="W216" s="20">
        <v>14582.31775700935</v>
      </c>
      <c r="Y216" s="19">
        <v>0.29699999999999999</v>
      </c>
      <c r="Z216" s="19">
        <v>0.79649999999999999</v>
      </c>
      <c r="AB216" s="18">
        <v>6660</v>
      </c>
    </row>
    <row r="217" spans="1:28" ht="15.75" customHeight="1" x14ac:dyDescent="0.2">
      <c r="A217" s="36" t="str">
        <f>HYPERLINK("https://www.clackamas.edu", "Clackamas Community College")</f>
        <v>Clackamas Community College</v>
      </c>
      <c r="B217" s="18" t="s">
        <v>49</v>
      </c>
      <c r="C217" s="18" t="s">
        <v>143</v>
      </c>
      <c r="D217" s="18" t="s">
        <v>1144</v>
      </c>
      <c r="E217" s="18" t="s">
        <v>36</v>
      </c>
      <c r="F217" s="18" t="s">
        <v>36</v>
      </c>
      <c r="J217" s="19"/>
      <c r="K217" s="19">
        <v>0.20960000000000001</v>
      </c>
      <c r="L217" s="19">
        <v>0.149617258</v>
      </c>
      <c r="M217" s="19">
        <v>0.21460000000000001</v>
      </c>
      <c r="N217" s="19">
        <v>0.1875</v>
      </c>
      <c r="O217" s="19">
        <v>0.18279999999999999</v>
      </c>
      <c r="P217" s="19">
        <v>0.2</v>
      </c>
      <c r="Q217" s="19">
        <v>7.6106195000000001E-2</v>
      </c>
      <c r="R217" s="20">
        <v>26049</v>
      </c>
      <c r="S217" s="21" t="str">
        <f>HYPERLINK("https://www.clackamas.edu/docs/default-source/admissions-and-financial-aid/educational-tax-credits/net-price-calculator.htm", "$22971")</f>
        <v>$22971</v>
      </c>
      <c r="T217" s="20">
        <v>23263</v>
      </c>
      <c r="U217" s="20">
        <v>26049</v>
      </c>
      <c r="V217" s="20">
        <v>4650</v>
      </c>
      <c r="W217" s="20">
        <v>18321.10526315789</v>
      </c>
      <c r="Y217" s="19">
        <v>0.27060000000000001</v>
      </c>
      <c r="Z217" s="19">
        <v>0.33479999999999999</v>
      </c>
      <c r="AB217" s="18">
        <v>5591</v>
      </c>
    </row>
    <row r="218" spans="1:28" ht="15.75" customHeight="1" x14ac:dyDescent="0.2">
      <c r="A218" s="36" t="str">
        <f>HYPERLINK("https://www.clarendoncollege.edu", "Clarendon College")</f>
        <v>Clarendon College</v>
      </c>
      <c r="B218" s="18" t="s">
        <v>49</v>
      </c>
      <c r="C218" s="18" t="s">
        <v>146</v>
      </c>
      <c r="D218" s="18" t="s">
        <v>1145</v>
      </c>
      <c r="E218" s="18" t="s">
        <v>36</v>
      </c>
      <c r="F218" s="18" t="s">
        <v>36</v>
      </c>
      <c r="J218" s="19"/>
      <c r="K218" s="19">
        <v>0.4027</v>
      </c>
      <c r="L218" s="19">
        <v>5.5555555999999999E-2</v>
      </c>
      <c r="M218" s="19">
        <v>0.41799999999999998</v>
      </c>
      <c r="N218" s="19">
        <v>0.26469999999999999</v>
      </c>
      <c r="O218" s="19">
        <v>0.5</v>
      </c>
      <c r="P218" s="19">
        <v>1</v>
      </c>
      <c r="Q218" s="19">
        <v>0.114583333</v>
      </c>
      <c r="R218" s="20">
        <v>13596</v>
      </c>
      <c r="S218" s="21" t="str">
        <f>HYPERLINK("https://www.collegeforalltexans.com/apps/CollegeMoney/", "$7595")</f>
        <v>$7595</v>
      </c>
      <c r="T218" s="20">
        <v>9634</v>
      </c>
      <c r="U218" s="20">
        <v>12008</v>
      </c>
      <c r="V218" s="20">
        <v>5700</v>
      </c>
      <c r="W218" s="20">
        <v>1895.485714285714</v>
      </c>
      <c r="Y218" s="19">
        <v>0.31169999999999998</v>
      </c>
      <c r="Z218" s="19">
        <v>0.47030000000000011</v>
      </c>
      <c r="AB218" s="18">
        <v>1648</v>
      </c>
    </row>
    <row r="219" spans="1:28" ht="15.75" customHeight="1" x14ac:dyDescent="0.2">
      <c r="A219" s="36" t="str">
        <f>HYPERLINK("https://www.clark.edu", "Clark College")</f>
        <v>Clark College</v>
      </c>
      <c r="B219" s="18" t="s">
        <v>49</v>
      </c>
      <c r="C219" s="18" t="s">
        <v>184</v>
      </c>
      <c r="D219" s="18" t="s">
        <v>1146</v>
      </c>
      <c r="E219" s="18" t="s">
        <v>36</v>
      </c>
      <c r="F219" s="18" t="s">
        <v>36</v>
      </c>
      <c r="J219" s="19"/>
      <c r="K219" s="19">
        <v>0.2477</v>
      </c>
      <c r="L219" s="19">
        <v>0.19033989300000001</v>
      </c>
      <c r="M219" s="19">
        <v>0.25619999999999998</v>
      </c>
      <c r="N219" s="19">
        <v>0.23810000000000001</v>
      </c>
      <c r="O219" s="19">
        <v>0.19439999999999999</v>
      </c>
      <c r="P219" s="19">
        <v>0.37930000000000003</v>
      </c>
      <c r="Q219" s="19">
        <v>6.1865875000000001E-2</v>
      </c>
      <c r="R219" s="20">
        <v>23516</v>
      </c>
      <c r="S219" s="21" t="str">
        <f>HYPERLINK("https://www.clark.edu/NetPriceCalculator/", "$16456")</f>
        <v>$16456</v>
      </c>
      <c r="T219" s="20">
        <v>19107</v>
      </c>
      <c r="U219" s="20">
        <v>23369</v>
      </c>
      <c r="V219" s="20">
        <v>4290</v>
      </c>
      <c r="W219" s="20">
        <v>12166.304511278189</v>
      </c>
      <c r="Y219" s="19">
        <v>0.28170000000000001</v>
      </c>
      <c r="Z219" s="19">
        <v>0.34789999999999999</v>
      </c>
      <c r="AB219" s="18">
        <v>8170</v>
      </c>
    </row>
    <row r="220" spans="1:28" ht="15.75" customHeight="1" x14ac:dyDescent="0.2">
      <c r="A220" s="36" t="str">
        <f>HYPERLINK("https://www.clintoncollege.edu", "Clinton College")</f>
        <v>Clinton College</v>
      </c>
      <c r="B220" s="18" t="s">
        <v>32</v>
      </c>
      <c r="C220" s="18" t="s">
        <v>208</v>
      </c>
      <c r="D220" s="18" t="s">
        <v>1147</v>
      </c>
      <c r="E220" s="18" t="s">
        <v>36</v>
      </c>
      <c r="F220" s="18" t="s">
        <v>36</v>
      </c>
      <c r="J220" s="19"/>
      <c r="K220" s="19">
        <v>0.34849999999999998</v>
      </c>
      <c r="L220" s="19">
        <v>0.29824561399999999</v>
      </c>
      <c r="M220" s="19" t="s">
        <v>36</v>
      </c>
      <c r="N220" s="19">
        <v>0.34849999999999998</v>
      </c>
      <c r="O220" s="19" t="s">
        <v>36</v>
      </c>
      <c r="P220" s="19" t="s">
        <v>36</v>
      </c>
      <c r="Q220" s="19" t="s">
        <v>36</v>
      </c>
      <c r="R220" s="20">
        <v>19700</v>
      </c>
      <c r="S220" s="21" t="str">
        <f>HYPERLINK("https://www.clintoncollege.edu/studentaffairs.htm", "$13312")</f>
        <v>$13312</v>
      </c>
      <c r="T220" s="20">
        <v>16505</v>
      </c>
      <c r="U220" s="20">
        <v>17487</v>
      </c>
      <c r="V220" s="20">
        <v>2200</v>
      </c>
      <c r="W220" s="20">
        <v>11112</v>
      </c>
      <c r="Y220" s="19">
        <v>0.91</v>
      </c>
      <c r="Z220" s="19">
        <v>1</v>
      </c>
      <c r="AB220" s="18">
        <v>170</v>
      </c>
    </row>
    <row r="221" spans="1:28" ht="15.75" customHeight="1" x14ac:dyDescent="0.2">
      <c r="A221" s="36" t="str">
        <f>HYPERLINK("https://www.clinton.edu", "SUNY Clinton Community College")</f>
        <v>SUNY Clinton Community College</v>
      </c>
      <c r="B221" s="18" t="s">
        <v>49</v>
      </c>
      <c r="C221" s="18" t="s">
        <v>38</v>
      </c>
      <c r="D221" s="18" t="s">
        <v>1106</v>
      </c>
      <c r="E221" s="18" t="s">
        <v>36</v>
      </c>
      <c r="F221" s="18" t="s">
        <v>36</v>
      </c>
      <c r="J221" s="19"/>
      <c r="K221" s="19">
        <v>0.36840000000000001</v>
      </c>
      <c r="L221" s="19">
        <v>0.13902439</v>
      </c>
      <c r="M221" s="19">
        <v>0.42749999999999999</v>
      </c>
      <c r="N221" s="19">
        <v>3.2300000000000002E-2</v>
      </c>
      <c r="O221" s="19">
        <v>0.18179999999999999</v>
      </c>
      <c r="P221" s="19">
        <v>0.33329999999999999</v>
      </c>
      <c r="Q221" s="19">
        <v>9.5757575999999997E-2</v>
      </c>
      <c r="R221" s="20">
        <v>18614</v>
      </c>
      <c r="S221" s="21" t="str">
        <f>HYPERLINK("https://www.clinton.edu/FinancialAid/NetPriceCalculator.cxml", "$4436")</f>
        <v>$4436</v>
      </c>
      <c r="T221" s="20">
        <v>8475</v>
      </c>
      <c r="U221" s="20">
        <v>10636</v>
      </c>
      <c r="V221" s="20">
        <v>3140</v>
      </c>
      <c r="W221" s="20">
        <v>1296</v>
      </c>
      <c r="Y221" s="19">
        <v>0.36549999999999999</v>
      </c>
      <c r="Z221" s="19">
        <v>0.2379</v>
      </c>
      <c r="AB221" s="18">
        <v>950</v>
      </c>
    </row>
    <row r="222" spans="1:28" ht="15.75" customHeight="1" x14ac:dyDescent="0.2">
      <c r="A222" s="36" t="str">
        <f>HYPERLINK("https://www.cloud.edu", "Cloud County Community College")</f>
        <v>Cloud County Community College</v>
      </c>
      <c r="B222" s="18" t="s">
        <v>49</v>
      </c>
      <c r="C222" s="18" t="s">
        <v>307</v>
      </c>
      <c r="D222" s="18" t="s">
        <v>1149</v>
      </c>
      <c r="E222" s="18" t="s">
        <v>36</v>
      </c>
      <c r="F222" s="18" t="s">
        <v>36</v>
      </c>
      <c r="J222" s="19"/>
      <c r="K222" s="19">
        <v>0.36459999999999998</v>
      </c>
      <c r="L222" s="19">
        <v>0.14035087700000001</v>
      </c>
      <c r="M222" s="19">
        <v>0.41110000000000002</v>
      </c>
      <c r="N222" s="19">
        <v>0.3125</v>
      </c>
      <c r="O222" s="19">
        <v>0.13950000000000001</v>
      </c>
      <c r="P222" s="19">
        <v>0.5</v>
      </c>
      <c r="Q222" s="19">
        <v>0.12021857900000001</v>
      </c>
      <c r="R222" s="20">
        <v>12624</v>
      </c>
      <c r="S222" s="21" t="str">
        <f>HYPERLINK("https://www.cloud.edu/Admissions/Covering-the-Cost/Cost-Calculator/index", "$7189")</f>
        <v>$7189</v>
      </c>
      <c r="T222" s="20">
        <v>9763</v>
      </c>
      <c r="U222" s="20">
        <v>11527</v>
      </c>
      <c r="V222" s="20">
        <v>3554</v>
      </c>
      <c r="W222" s="20">
        <v>3635.0689655172409</v>
      </c>
      <c r="Y222" s="19">
        <v>0.26500000000000001</v>
      </c>
      <c r="Z222" s="19">
        <v>0.37690000000000001</v>
      </c>
      <c r="AB222" s="18">
        <v>1080</v>
      </c>
    </row>
    <row r="223" spans="1:28" ht="15.75" customHeight="1" x14ac:dyDescent="0.2">
      <c r="A223" s="36" t="str">
        <f>HYPERLINK("https://www.coahomacc.edu/", "Coahoma Community College")</f>
        <v>Coahoma Community College</v>
      </c>
      <c r="B223" s="18" t="s">
        <v>49</v>
      </c>
      <c r="C223" s="18" t="s">
        <v>59</v>
      </c>
      <c r="D223" s="18" t="s">
        <v>1152</v>
      </c>
      <c r="E223" s="18" t="s">
        <v>36</v>
      </c>
      <c r="F223" s="18" t="s">
        <v>36</v>
      </c>
      <c r="J223" s="19"/>
      <c r="K223" s="19">
        <v>0.29210000000000003</v>
      </c>
      <c r="L223" s="19">
        <v>0.22828282799999999</v>
      </c>
      <c r="M223" s="19">
        <v>9.5200000000000007E-2</v>
      </c>
      <c r="N223" s="19">
        <v>0.30149999999999999</v>
      </c>
      <c r="O223" s="19">
        <v>0</v>
      </c>
      <c r="P223" s="19" t="s">
        <v>36</v>
      </c>
      <c r="Q223" s="19">
        <v>3.7788018E-2</v>
      </c>
      <c r="R223" s="20">
        <v>9623</v>
      </c>
      <c r="S223" s="21" t="str">
        <f>HYPERLINK("https://www.coahomacc.edu/admissions-financial-aid/financial-aid/NetPriceCalculator/npcalc.htm", "$3533")</f>
        <v>$3533</v>
      </c>
      <c r="T223" s="20">
        <v>4509</v>
      </c>
      <c r="U223" s="20" t="s">
        <v>36</v>
      </c>
      <c r="V223" s="20">
        <v>2300</v>
      </c>
      <c r="W223" s="20">
        <v>1233.8791540785501</v>
      </c>
      <c r="Y223" s="19">
        <v>0.79510000000000003</v>
      </c>
      <c r="Z223" s="19">
        <v>0.95689999999999997</v>
      </c>
      <c r="AB223" s="18">
        <v>1625</v>
      </c>
    </row>
    <row r="224" spans="1:28" ht="15.75" customHeight="1" x14ac:dyDescent="0.2">
      <c r="A224" s="36" t="str">
        <f>HYPERLINK("https://www.coastalalabama.edu", "James H Faulkner State Community College")</f>
        <v>James H Faulkner State Community College</v>
      </c>
      <c r="B224" s="18" t="s">
        <v>49</v>
      </c>
      <c r="C224" s="18" t="s">
        <v>300</v>
      </c>
      <c r="D224" s="18" t="s">
        <v>1154</v>
      </c>
      <c r="E224" s="18" t="s">
        <v>36</v>
      </c>
      <c r="F224" s="18" t="s">
        <v>36</v>
      </c>
      <c r="J224" s="19"/>
      <c r="K224" s="19">
        <v>0.14319999999999999</v>
      </c>
      <c r="L224" s="19">
        <v>0.108221477</v>
      </c>
      <c r="M224" s="19">
        <v>0.14430000000000001</v>
      </c>
      <c r="N224" s="19">
        <v>0.14530000000000001</v>
      </c>
      <c r="O224" s="19">
        <v>0.16669999999999999</v>
      </c>
      <c r="P224" s="19">
        <v>0</v>
      </c>
      <c r="Q224" s="19">
        <v>0.119854091</v>
      </c>
      <c r="R224" s="20">
        <v>17550</v>
      </c>
      <c r="S224" s="21" t="str">
        <f>HYPERLINK("https://www.coastalalabama.edu", "$11165")</f>
        <v>$11165</v>
      </c>
      <c r="T224" s="20">
        <v>14055</v>
      </c>
      <c r="U224" s="20">
        <v>16336</v>
      </c>
      <c r="V224" s="20">
        <v>3860</v>
      </c>
      <c r="W224" s="20">
        <v>7305.1106471816274</v>
      </c>
      <c r="Y224" s="19">
        <v>0.40089999999999998</v>
      </c>
      <c r="Z224" s="19">
        <v>0.30480000000000002</v>
      </c>
      <c r="AB224" s="18">
        <v>4101</v>
      </c>
    </row>
    <row r="225" spans="1:28" ht="15.75" customHeight="1" x14ac:dyDescent="0.2">
      <c r="A225" s="36" t="str">
        <f>HYPERLINK("https://www.coastline.edu", "Coastline Community College")</f>
        <v>Coastline Community College</v>
      </c>
      <c r="B225" s="18" t="s">
        <v>49</v>
      </c>
      <c r="C225" s="18" t="s">
        <v>68</v>
      </c>
      <c r="D225" s="18" t="s">
        <v>1156</v>
      </c>
      <c r="E225" s="18" t="s">
        <v>36</v>
      </c>
      <c r="F225" s="18" t="s">
        <v>36</v>
      </c>
      <c r="J225" s="19"/>
      <c r="K225" s="19">
        <v>0.19139999999999999</v>
      </c>
      <c r="L225" s="19">
        <v>0.13141994000000001</v>
      </c>
      <c r="M225" s="19">
        <v>0.24390000000000001</v>
      </c>
      <c r="N225" s="19">
        <v>2.63E-2</v>
      </c>
      <c r="O225" s="19">
        <v>0.16</v>
      </c>
      <c r="P225" s="19">
        <v>0.30909999999999999</v>
      </c>
      <c r="Q225" s="19">
        <v>0.11874272399999999</v>
      </c>
      <c r="R225" s="20">
        <v>25891</v>
      </c>
      <c r="S225" s="21" t="str">
        <f>HYPERLINK("https://misweb.cccco.edu/npc/831/npcalc.htm", "$18976")</f>
        <v>$18976</v>
      </c>
      <c r="T225" s="20">
        <v>23158</v>
      </c>
      <c r="U225" s="20">
        <v>22337</v>
      </c>
      <c r="V225" s="20">
        <v>6094</v>
      </c>
      <c r="W225" s="20">
        <v>12882.409523809531</v>
      </c>
      <c r="Y225" s="19">
        <v>0.1447</v>
      </c>
      <c r="Z225" s="19">
        <v>0.68710000000000004</v>
      </c>
      <c r="AB225" s="18">
        <v>9764</v>
      </c>
    </row>
    <row r="226" spans="1:28" ht="15.75" customHeight="1" x14ac:dyDescent="0.2">
      <c r="A226" s="36" t="str">
        <f>HYPERLINK("https://www.cochise.edu", "Cochise County Community College District")</f>
        <v>Cochise County Community College District</v>
      </c>
      <c r="B226" s="18" t="s">
        <v>49</v>
      </c>
      <c r="C226" s="18" t="s">
        <v>354</v>
      </c>
      <c r="D226" s="18" t="s">
        <v>1157</v>
      </c>
      <c r="E226" s="18" t="s">
        <v>36</v>
      </c>
      <c r="F226" s="18" t="s">
        <v>36</v>
      </c>
      <c r="J226" s="19"/>
      <c r="K226" s="19">
        <v>0.25140000000000001</v>
      </c>
      <c r="L226" s="19">
        <v>9.1319053000000011E-2</v>
      </c>
      <c r="M226" s="19">
        <v>0.3</v>
      </c>
      <c r="N226" s="19">
        <v>0.28570000000000001</v>
      </c>
      <c r="O226" s="19">
        <v>0.21659999999999999</v>
      </c>
      <c r="P226" s="19">
        <v>0.5</v>
      </c>
      <c r="Q226" s="19">
        <v>0.105932203</v>
      </c>
      <c r="R226" s="20">
        <v>17735</v>
      </c>
      <c r="S226" s="21" t="str">
        <f>HYPERLINK("https://www.cochise.edu/netprice/npcalc.htm", "$12343")</f>
        <v>$12343</v>
      </c>
      <c r="T226" s="20">
        <v>14205</v>
      </c>
      <c r="U226" s="20" t="s">
        <v>36</v>
      </c>
      <c r="V226" s="20">
        <v>4591</v>
      </c>
      <c r="W226" s="20">
        <v>7752.4755555555566</v>
      </c>
      <c r="Y226" s="19">
        <v>0.35489999999999999</v>
      </c>
      <c r="Z226" s="19">
        <v>0.60799999999999998</v>
      </c>
      <c r="AB226" s="18">
        <v>3528</v>
      </c>
    </row>
    <row r="227" spans="1:28" ht="15.75" customHeight="1" x14ac:dyDescent="0.2">
      <c r="A227" s="36" t="str">
        <f>HYPERLINK("https://www.cochranschoolofnursing.us", "Cochran School of Nursing")</f>
        <v>Cochran School of Nursing</v>
      </c>
      <c r="B227" s="18" t="s">
        <v>32</v>
      </c>
      <c r="C227" s="18" t="s">
        <v>38</v>
      </c>
      <c r="D227" s="18" t="s">
        <v>1159</v>
      </c>
      <c r="E227" s="18" t="s">
        <v>36</v>
      </c>
      <c r="F227" s="18" t="s">
        <v>36</v>
      </c>
      <c r="J227" s="19"/>
      <c r="K227" s="19" t="s">
        <v>36</v>
      </c>
      <c r="L227" s="19" t="s">
        <v>36</v>
      </c>
      <c r="M227" s="19" t="s">
        <v>36</v>
      </c>
      <c r="N227" s="19" t="s">
        <v>36</v>
      </c>
      <c r="O227" s="19" t="s">
        <v>36</v>
      </c>
      <c r="P227" s="19" t="s">
        <v>36</v>
      </c>
      <c r="Q227" s="19" t="s">
        <v>36</v>
      </c>
      <c r="R227" s="20" t="s">
        <v>36</v>
      </c>
      <c r="S227" s="21" t="str">
        <f>HYPERLINK("https://www.cochranschoolofnursing.us/Admissions/SummaryofCost.aspx", "Not reported")</f>
        <v>Not reported</v>
      </c>
      <c r="T227" s="20" t="s">
        <v>36</v>
      </c>
      <c r="U227" s="20" t="s">
        <v>36</v>
      </c>
      <c r="V227" s="20" t="s">
        <v>36</v>
      </c>
      <c r="W227" s="20" t="s">
        <v>36</v>
      </c>
      <c r="Y227" s="19">
        <v>0.36459999999999998</v>
      </c>
      <c r="Z227" s="19">
        <v>0.93330000000000002</v>
      </c>
      <c r="AB227" s="18">
        <v>120</v>
      </c>
    </row>
    <row r="228" spans="1:28" ht="15.75" customHeight="1" x14ac:dyDescent="0.2">
      <c r="A228" s="36" t="str">
        <f>HYPERLINK("https://www.coconino.edu/", "Coconino Community College")</f>
        <v>Coconino Community College</v>
      </c>
      <c r="B228" s="18" t="s">
        <v>49</v>
      </c>
      <c r="C228" s="18" t="s">
        <v>354</v>
      </c>
      <c r="D228" s="18" t="s">
        <v>1014</v>
      </c>
      <c r="E228" s="18" t="s">
        <v>36</v>
      </c>
      <c r="F228" s="18" t="s">
        <v>36</v>
      </c>
      <c r="J228" s="19"/>
      <c r="K228" s="19">
        <v>0.1782</v>
      </c>
      <c r="L228" s="19">
        <v>8.4179970999999992E-2</v>
      </c>
      <c r="M228" s="19">
        <v>0.20860000000000001</v>
      </c>
      <c r="N228" s="19">
        <v>0</v>
      </c>
      <c r="O228" s="19">
        <v>0.18390000000000001</v>
      </c>
      <c r="P228" s="19">
        <v>0.33329999999999999</v>
      </c>
      <c r="Q228" s="19">
        <v>0.120837298</v>
      </c>
      <c r="R228" s="20">
        <v>27749</v>
      </c>
      <c r="S228" s="21" t="str">
        <f>HYPERLINK("https://www.coconino.edu/ccc-pages/netprice-calculator/", "$22000")</f>
        <v>$22000</v>
      </c>
      <c r="T228" s="20">
        <v>24811</v>
      </c>
      <c r="U228" s="20">
        <v>26790</v>
      </c>
      <c r="V228" s="20">
        <v>7140</v>
      </c>
      <c r="W228" s="20">
        <v>14860.36893203884</v>
      </c>
      <c r="Y228" s="19">
        <v>0.23139999999999999</v>
      </c>
      <c r="Z228" s="19">
        <v>0.49740000000000001</v>
      </c>
      <c r="AB228" s="18">
        <v>2459</v>
      </c>
    </row>
    <row r="229" spans="1:28" ht="15.75" customHeight="1" x14ac:dyDescent="0.2">
      <c r="A229" s="36" t="str">
        <f>HYPERLINK("https://www.coffeyville.edu", "Coffeyville Community College")</f>
        <v>Coffeyville Community College</v>
      </c>
      <c r="B229" s="18" t="s">
        <v>49</v>
      </c>
      <c r="C229" s="18" t="s">
        <v>307</v>
      </c>
      <c r="D229" s="18" t="s">
        <v>1163</v>
      </c>
      <c r="E229" s="18" t="s">
        <v>36</v>
      </c>
      <c r="F229" s="18" t="s">
        <v>36</v>
      </c>
      <c r="J229" s="19"/>
      <c r="K229" s="19">
        <v>0.39639999999999997</v>
      </c>
      <c r="L229" s="19">
        <v>0.163978495</v>
      </c>
      <c r="M229" s="19">
        <v>0.36509999999999998</v>
      </c>
      <c r="N229" s="19">
        <v>0.38269999999999998</v>
      </c>
      <c r="O229" s="19">
        <v>0.55259999999999998</v>
      </c>
      <c r="P229" s="19">
        <v>0.5</v>
      </c>
      <c r="Q229" s="19">
        <v>9.7756410000000002E-2</v>
      </c>
      <c r="R229" s="20">
        <v>13279</v>
      </c>
      <c r="S229" s="21" t="str">
        <f>HYPERLINK("https://access.coffeyville.edu/netprice/npcalc.htm", "$6983")</f>
        <v>$6983</v>
      </c>
      <c r="T229" s="20">
        <v>9064</v>
      </c>
      <c r="U229" s="20">
        <v>11122</v>
      </c>
      <c r="V229" s="20">
        <v>3367</v>
      </c>
      <c r="W229" s="20">
        <v>3616.708333333333</v>
      </c>
      <c r="Y229" s="19">
        <v>0.40110000000000001</v>
      </c>
      <c r="Z229" s="19">
        <v>0.53160000000000007</v>
      </c>
      <c r="AB229" s="18">
        <v>1044</v>
      </c>
    </row>
    <row r="230" spans="1:28" ht="15.75" customHeight="1" x14ac:dyDescent="0.2">
      <c r="A230" s="36" t="str">
        <f>HYPERLINK("https://www.colbycc.edu", "Colby Community College")</f>
        <v>Colby Community College</v>
      </c>
      <c r="B230" s="18" t="s">
        <v>49</v>
      </c>
      <c r="C230" s="18" t="s">
        <v>307</v>
      </c>
      <c r="D230" s="18" t="s">
        <v>1165</v>
      </c>
      <c r="E230" s="18" t="s">
        <v>36</v>
      </c>
      <c r="F230" s="18" t="s">
        <v>36</v>
      </c>
      <c r="J230" s="19"/>
      <c r="K230" s="19">
        <v>0.46970000000000001</v>
      </c>
      <c r="L230" s="19">
        <v>0.238410596</v>
      </c>
      <c r="M230" s="19">
        <v>0.56940000000000002</v>
      </c>
      <c r="N230" s="19">
        <v>0.66669999999999996</v>
      </c>
      <c r="O230" s="19">
        <v>0.36</v>
      </c>
      <c r="P230" s="19">
        <v>0.25</v>
      </c>
      <c r="Q230" s="19">
        <v>0.127071823</v>
      </c>
      <c r="R230" s="20">
        <v>15399</v>
      </c>
      <c r="S230" s="21" t="str">
        <f>HYPERLINK("https://nces.ed.gov/ipeds/netpricecalculator/", "$9162")</f>
        <v>$9162</v>
      </c>
      <c r="T230" s="20">
        <v>11950</v>
      </c>
      <c r="U230" s="20">
        <v>13263</v>
      </c>
      <c r="V230" s="20">
        <v>4100</v>
      </c>
      <c r="W230" s="20">
        <v>5062.3617021276586</v>
      </c>
      <c r="Y230" s="19">
        <v>0.26729999999999998</v>
      </c>
      <c r="Z230" s="19">
        <v>0.29659999999999997</v>
      </c>
      <c r="AB230" s="18">
        <v>799</v>
      </c>
    </row>
    <row r="231" spans="1:28" ht="15.75" customHeight="1" x14ac:dyDescent="0.2">
      <c r="A231" s="36" t="str">
        <f>HYPERLINK("https://www.cbt.edu", "College of Business and Technology-Kendall")</f>
        <v>College of Business and Technology-Kendall</v>
      </c>
      <c r="B231" s="18" t="s">
        <v>368</v>
      </c>
      <c r="C231" s="18" t="s">
        <v>162</v>
      </c>
      <c r="D231" s="18" t="s">
        <v>359</v>
      </c>
      <c r="E231" s="18" t="s">
        <v>36</v>
      </c>
      <c r="F231" s="18" t="s">
        <v>36</v>
      </c>
      <c r="J231" s="19"/>
      <c r="K231" s="19">
        <v>0.63370000000000004</v>
      </c>
      <c r="L231" s="19">
        <v>0.69642857099999989</v>
      </c>
      <c r="M231" s="19">
        <v>0</v>
      </c>
      <c r="N231" s="19">
        <v>0.8</v>
      </c>
      <c r="O231" s="19">
        <v>0.65769999999999995</v>
      </c>
      <c r="P231" s="19" t="s">
        <v>36</v>
      </c>
      <c r="Q231" s="19" t="s">
        <v>36</v>
      </c>
      <c r="R231" s="20">
        <v>24672</v>
      </c>
      <c r="S231" s="21" t="str">
        <f>HYPERLINK("https://www.cbt.edu/financial-aid/financial-aid-calculator", "Not reported")</f>
        <v>Not reported</v>
      </c>
      <c r="T231" s="20" t="s">
        <v>36</v>
      </c>
      <c r="U231" s="20" t="s">
        <v>36</v>
      </c>
      <c r="V231" s="20">
        <v>3300</v>
      </c>
      <c r="W231" s="20" t="s">
        <v>36</v>
      </c>
      <c r="Y231" s="19">
        <v>1</v>
      </c>
      <c r="Z231" s="19">
        <v>1</v>
      </c>
      <c r="AB231" s="18">
        <v>5</v>
      </c>
    </row>
    <row r="232" spans="1:28" ht="15.75" customHeight="1" x14ac:dyDescent="0.2">
      <c r="A232" s="36" t="str">
        <f>HYPERLINK("https://www.cf.edu", "College of Central Florida")</f>
        <v>College of Central Florida</v>
      </c>
      <c r="B232" s="18" t="s">
        <v>49</v>
      </c>
      <c r="C232" s="18" t="s">
        <v>162</v>
      </c>
      <c r="D232" s="18" t="s">
        <v>1167</v>
      </c>
      <c r="E232" s="18" t="s">
        <v>36</v>
      </c>
      <c r="F232" s="18" t="s">
        <v>36</v>
      </c>
      <c r="J232" s="19"/>
      <c r="K232" s="19">
        <v>0.37140000000000001</v>
      </c>
      <c r="L232" s="19">
        <v>0.228250702</v>
      </c>
      <c r="M232" s="19">
        <v>0.38590000000000002</v>
      </c>
      <c r="N232" s="19">
        <v>0.22919999999999999</v>
      </c>
      <c r="O232" s="19">
        <v>0.4</v>
      </c>
      <c r="P232" s="19">
        <v>0.61109999999999998</v>
      </c>
      <c r="Q232" s="19">
        <v>7.7284105000000006E-2</v>
      </c>
      <c r="R232" s="20">
        <v>20272</v>
      </c>
      <c r="S232" s="21" t="str">
        <f>HYPERLINK("https://mycf.cf.edu/ics/clientconfig/HtmlContent/npcalc.htm", "$15470")</f>
        <v>$15470</v>
      </c>
      <c r="T232" s="20">
        <v>17806</v>
      </c>
      <c r="U232" s="20">
        <v>19892</v>
      </c>
      <c r="V232" s="20">
        <v>4404</v>
      </c>
      <c r="W232" s="20">
        <v>11066.985748218531</v>
      </c>
      <c r="Y232" s="19">
        <v>0.45319999999999999</v>
      </c>
      <c r="Z232" s="19">
        <v>0.40289999999999998</v>
      </c>
      <c r="AB232" s="18">
        <v>5932</v>
      </c>
    </row>
    <row r="233" spans="1:28" ht="15.75" customHeight="1" x14ac:dyDescent="0.2">
      <c r="A233" s="36" t="str">
        <f>HYPERLINK("https://www.ccga.edu", "College of Coastal Georgia")</f>
        <v>College of Coastal Georgia</v>
      </c>
      <c r="B233" s="18" t="s">
        <v>49</v>
      </c>
      <c r="C233" s="18" t="s">
        <v>107</v>
      </c>
      <c r="D233" s="18" t="s">
        <v>57</v>
      </c>
      <c r="E233" s="18">
        <v>937</v>
      </c>
      <c r="F233" s="18" t="s">
        <v>35</v>
      </c>
      <c r="J233" s="19"/>
      <c r="K233" s="19">
        <v>0.1318</v>
      </c>
      <c r="L233" s="19">
        <v>0.178657074</v>
      </c>
      <c r="M233" s="19">
        <v>0.1108</v>
      </c>
      <c r="N233" s="19">
        <v>4.7E-2</v>
      </c>
      <c r="O233" s="19">
        <v>6.25E-2</v>
      </c>
      <c r="P233" s="19">
        <v>0</v>
      </c>
      <c r="Q233" s="19">
        <v>6.8685377000000006E-2</v>
      </c>
      <c r="R233" s="20">
        <v>29460</v>
      </c>
      <c r="S233" s="21" t="str">
        <f>HYPERLINK("https://www.ccga.edu/page.cfm?p=836", "$22839")</f>
        <v>$22839</v>
      </c>
      <c r="T233" s="20">
        <v>26097</v>
      </c>
      <c r="U233" s="20">
        <v>27513</v>
      </c>
      <c r="V233" s="20">
        <v>6692</v>
      </c>
      <c r="W233" s="20">
        <v>16147.6511627907</v>
      </c>
      <c r="Y233" s="19">
        <v>0.4698</v>
      </c>
      <c r="Z233" s="19">
        <v>0.35709999999999997</v>
      </c>
      <c r="AB233" s="18">
        <v>3190</v>
      </c>
    </row>
    <row r="234" spans="1:28" ht="15.75" customHeight="1" x14ac:dyDescent="0.2">
      <c r="A234" s="36" t="str">
        <f>HYPERLINK("https://www.ccr.edu", "College of Court Reporting Inc")</f>
        <v>College of Court Reporting Inc</v>
      </c>
      <c r="B234" s="18" t="s">
        <v>368</v>
      </c>
      <c r="C234" s="18" t="s">
        <v>148</v>
      </c>
      <c r="D234" s="18" t="s">
        <v>530</v>
      </c>
      <c r="E234" s="18" t="s">
        <v>36</v>
      </c>
      <c r="F234" s="18" t="s">
        <v>36</v>
      </c>
      <c r="J234" s="19"/>
      <c r="K234" s="19">
        <v>0.15670000000000001</v>
      </c>
      <c r="L234" s="19" t="s">
        <v>36</v>
      </c>
      <c r="M234" s="19">
        <v>0.19769999999999999</v>
      </c>
      <c r="N234" s="19">
        <v>6.25E-2</v>
      </c>
      <c r="O234" s="19">
        <v>0.1111</v>
      </c>
      <c r="P234" s="19">
        <v>0</v>
      </c>
      <c r="Q234" s="19">
        <v>6.7567567999999995E-2</v>
      </c>
      <c r="R234" s="20">
        <v>42171</v>
      </c>
      <c r="S234" s="21" t="str">
        <f>HYPERLINK("https://www.ccr.edu/index.php/financial/net-price-calculator", "$30750")</f>
        <v>$30750</v>
      </c>
      <c r="T234" s="20">
        <v>32932</v>
      </c>
      <c r="U234" s="20">
        <v>33862</v>
      </c>
      <c r="V234" s="20">
        <v>14794</v>
      </c>
      <c r="W234" s="20">
        <v>15956</v>
      </c>
      <c r="Y234" s="19">
        <v>0.49209999999999998</v>
      </c>
      <c r="Z234" s="19">
        <v>0.29690000000000011</v>
      </c>
      <c r="AB234" s="18">
        <v>229</v>
      </c>
    </row>
    <row r="235" spans="1:28" ht="15.75" customHeight="1" x14ac:dyDescent="0.2">
      <c r="A235" s="36" t="str">
        <f>HYPERLINK("https://www.cod.edu", "College of DuPage")</f>
        <v>College of DuPage</v>
      </c>
      <c r="B235" s="18" t="s">
        <v>49</v>
      </c>
      <c r="C235" s="18" t="s">
        <v>137</v>
      </c>
      <c r="D235" s="18" t="s">
        <v>1171</v>
      </c>
      <c r="E235" s="18" t="s">
        <v>36</v>
      </c>
      <c r="F235" s="18" t="s">
        <v>36</v>
      </c>
      <c r="J235" s="19"/>
      <c r="K235" s="19">
        <v>0.2261</v>
      </c>
      <c r="L235" s="19">
        <v>1.8558481000000002E-2</v>
      </c>
      <c r="M235" s="19">
        <v>0.25580000000000003</v>
      </c>
      <c r="N235" s="19">
        <v>0.1139</v>
      </c>
      <c r="O235" s="19">
        <v>0.18079999999999999</v>
      </c>
      <c r="P235" s="19">
        <v>0.25840000000000002</v>
      </c>
      <c r="Q235" s="19">
        <v>0.194305694</v>
      </c>
      <c r="R235" s="20">
        <v>26256</v>
      </c>
      <c r="S235" s="21" t="str">
        <f>HYPERLINK("https://www.cod.edu/about/consumerinformation/net_price_calculator/index.aspx", "$20086")</f>
        <v>$20086</v>
      </c>
      <c r="T235" s="20">
        <v>22788</v>
      </c>
      <c r="U235" s="20">
        <v>23353</v>
      </c>
      <c r="V235" s="20">
        <v>5343</v>
      </c>
      <c r="W235" s="20">
        <v>14743.27203065134</v>
      </c>
      <c r="Y235" s="19">
        <v>0.20780000000000001</v>
      </c>
      <c r="Z235" s="19">
        <v>0.47770000000000001</v>
      </c>
      <c r="AB235" s="18">
        <v>16628</v>
      </c>
    </row>
    <row r="236" spans="1:28" ht="15.75" customHeight="1" x14ac:dyDescent="0.2">
      <c r="A236" s="36" t="str">
        <f>HYPERLINK("https://www.cei.edu", "Eastern Idaho Technical College")</f>
        <v>Eastern Idaho Technical College</v>
      </c>
      <c r="B236" s="18" t="s">
        <v>49</v>
      </c>
      <c r="C236" s="18" t="s">
        <v>486</v>
      </c>
      <c r="D236" s="18" t="s">
        <v>1172</v>
      </c>
      <c r="E236" s="18" t="s">
        <v>36</v>
      </c>
      <c r="F236" s="18" t="s">
        <v>36</v>
      </c>
      <c r="J236" s="19"/>
      <c r="K236" s="19">
        <v>0.5333</v>
      </c>
      <c r="L236" s="19">
        <v>0.40865384599999999</v>
      </c>
      <c r="M236" s="19">
        <v>0.47220000000000001</v>
      </c>
      <c r="N236" s="19">
        <v>0</v>
      </c>
      <c r="O236" s="19">
        <v>1</v>
      </c>
      <c r="P236" s="19" t="s">
        <v>36</v>
      </c>
      <c r="Q236" s="19">
        <v>7.0287539999999996E-2</v>
      </c>
      <c r="R236" s="20">
        <v>25163</v>
      </c>
      <c r="S236" s="21" t="str">
        <f>HYPERLINK("https://www.cei.edu/NPCalc/index.html", "$20161")</f>
        <v>$20161</v>
      </c>
      <c r="T236" s="20">
        <v>22722</v>
      </c>
      <c r="U236" s="20">
        <v>25163</v>
      </c>
      <c r="V236" s="20">
        <v>9438</v>
      </c>
      <c r="W236" s="20">
        <v>10723.17948717949</v>
      </c>
      <c r="Y236" s="19">
        <v>0.47960000000000003</v>
      </c>
      <c r="Z236" s="19">
        <v>0.18770000000000001</v>
      </c>
      <c r="AB236" s="18">
        <v>698</v>
      </c>
    </row>
    <row r="237" spans="1:28" ht="15.75" customHeight="1" x14ac:dyDescent="0.2">
      <c r="A237" s="36" t="str">
        <f>HYPERLINK("https://www.marin.edu", "College of Marin")</f>
        <v>College of Marin</v>
      </c>
      <c r="B237" s="18" t="s">
        <v>49</v>
      </c>
      <c r="C237" s="18" t="s">
        <v>68</v>
      </c>
      <c r="D237" s="18" t="s">
        <v>1173</v>
      </c>
      <c r="E237" s="18" t="s">
        <v>36</v>
      </c>
      <c r="F237" s="18" t="s">
        <v>36</v>
      </c>
      <c r="J237" s="19"/>
      <c r="K237" s="19">
        <v>0.29559999999999997</v>
      </c>
      <c r="L237" s="19">
        <v>0.10492228000000001</v>
      </c>
      <c r="M237" s="19">
        <v>0.32879999999999998</v>
      </c>
      <c r="N237" s="19">
        <v>0</v>
      </c>
      <c r="O237" s="19">
        <v>0.28789999999999999</v>
      </c>
      <c r="P237" s="19">
        <v>0.36840000000000001</v>
      </c>
      <c r="Q237" s="19">
        <v>9.0618336999999993E-2</v>
      </c>
      <c r="R237" s="20">
        <v>32741</v>
      </c>
      <c r="S237" s="21" t="str">
        <f>HYPERLINK("https://www.marin.edu/financial_aid/NetPriceCalculator/npcalc.htm", "$24708")</f>
        <v>$24708</v>
      </c>
      <c r="T237" s="20">
        <v>28840</v>
      </c>
      <c r="U237" s="20">
        <v>29296</v>
      </c>
      <c r="V237" s="20">
        <v>5949</v>
      </c>
      <c r="W237" s="20">
        <v>18759.887323943662</v>
      </c>
      <c r="Y237" s="19">
        <v>0.1293</v>
      </c>
      <c r="Z237" s="19">
        <v>0.49239999999999989</v>
      </c>
      <c r="AB237" s="18">
        <v>4190</v>
      </c>
    </row>
    <row r="238" spans="1:28" ht="15.75" customHeight="1" x14ac:dyDescent="0.2">
      <c r="A238" s="36" t="str">
        <f>HYPERLINK("https://www.menominee.edu", "College of Menominee Nation")</f>
        <v>College of Menominee Nation</v>
      </c>
      <c r="B238" s="18" t="s">
        <v>32</v>
      </c>
      <c r="C238" s="18" t="s">
        <v>196</v>
      </c>
      <c r="D238" s="18" t="s">
        <v>1174</v>
      </c>
      <c r="E238" s="18" t="s">
        <v>36</v>
      </c>
      <c r="F238" s="18" t="s">
        <v>36</v>
      </c>
      <c r="J238" s="19"/>
      <c r="K238" s="19">
        <v>0.14710000000000001</v>
      </c>
      <c r="L238" s="19" t="s">
        <v>36</v>
      </c>
      <c r="M238" s="19">
        <v>0.1176</v>
      </c>
      <c r="N238" s="19">
        <v>0</v>
      </c>
      <c r="O238" s="19" t="s">
        <v>36</v>
      </c>
      <c r="P238" s="19" t="s">
        <v>36</v>
      </c>
      <c r="Q238" s="19" t="s">
        <v>36</v>
      </c>
      <c r="R238" s="20">
        <v>17783</v>
      </c>
      <c r="S238" s="21" t="str">
        <f>HYPERLINK("https://www.menominee.edu/npcalc/npcalc.htm", "$4560")</f>
        <v>$4560</v>
      </c>
      <c r="T238" s="20">
        <v>7440</v>
      </c>
      <c r="U238" s="20" t="s">
        <v>36</v>
      </c>
      <c r="V238" s="20">
        <v>4017</v>
      </c>
      <c r="W238" s="20">
        <v>543</v>
      </c>
      <c r="Y238" s="19">
        <v>0.55579999999999996</v>
      </c>
      <c r="Z238" s="19">
        <v>0.85919999999999996</v>
      </c>
      <c r="AB238" s="18">
        <v>213</v>
      </c>
    </row>
    <row r="239" spans="1:28" ht="15.75" customHeight="1" x14ac:dyDescent="0.2">
      <c r="A239" s="36" t="str">
        <f>HYPERLINK("https://www.comfsm.fm", "College of Micronesia-FSM")</f>
        <v>College of Micronesia-FSM</v>
      </c>
      <c r="B239" s="18" t="s">
        <v>49</v>
      </c>
      <c r="C239" s="18" t="s">
        <v>1176</v>
      </c>
      <c r="D239" s="18" t="s">
        <v>1177</v>
      </c>
      <c r="E239" s="18" t="s">
        <v>36</v>
      </c>
      <c r="F239" s="18" t="s">
        <v>90</v>
      </c>
      <c r="J239" s="19"/>
      <c r="K239" s="19">
        <v>0.22639999999999999</v>
      </c>
      <c r="L239" s="19" t="s">
        <v>36</v>
      </c>
      <c r="M239" s="19" t="s">
        <v>36</v>
      </c>
      <c r="N239" s="19" t="s">
        <v>36</v>
      </c>
      <c r="O239" s="19" t="s">
        <v>36</v>
      </c>
      <c r="P239" s="19" t="s">
        <v>36</v>
      </c>
      <c r="Q239" s="19">
        <v>5.2931599999999999E-3</v>
      </c>
      <c r="R239" s="20">
        <v>12113</v>
      </c>
      <c r="S239" s="21" t="str">
        <f>HYPERLINK("https://comfsm.fm/fao/NetPriceCalculator/npcalc.htm", "$6732")</f>
        <v>$6732</v>
      </c>
      <c r="T239" s="20">
        <v>6157</v>
      </c>
      <c r="U239" s="20" t="s">
        <v>36</v>
      </c>
      <c r="V239" s="20">
        <v>3100</v>
      </c>
      <c r="W239" s="20">
        <v>3632.3782837127851</v>
      </c>
      <c r="Y239" s="19">
        <v>0.89329999999999998</v>
      </c>
      <c r="Z239" s="19">
        <v>1</v>
      </c>
      <c r="AB239" s="18">
        <v>2016</v>
      </c>
    </row>
    <row r="240" spans="1:28" ht="15.75" customHeight="1" x14ac:dyDescent="0.2">
      <c r="A240" s="36" t="str">
        <f>HYPERLINK("https://www.csi.edu", "College of Southern Idaho")</f>
        <v>College of Southern Idaho</v>
      </c>
      <c r="B240" s="18" t="s">
        <v>49</v>
      </c>
      <c r="C240" s="18" t="s">
        <v>486</v>
      </c>
      <c r="D240" s="18" t="s">
        <v>1178</v>
      </c>
      <c r="E240" s="18" t="s">
        <v>36</v>
      </c>
      <c r="F240" s="18" t="s">
        <v>36</v>
      </c>
      <c r="J240" s="19"/>
      <c r="K240" s="19">
        <v>0.26490000000000002</v>
      </c>
      <c r="L240" s="19">
        <v>8.5010409000000009E-2</v>
      </c>
      <c r="M240" s="19">
        <v>0.26819999999999999</v>
      </c>
      <c r="N240" s="19">
        <v>0.3846</v>
      </c>
      <c r="O240" s="19">
        <v>0.23080000000000001</v>
      </c>
      <c r="P240" s="19">
        <v>0.1429</v>
      </c>
      <c r="Q240" s="19">
        <v>0.102807514</v>
      </c>
      <c r="R240" s="20">
        <v>17058</v>
      </c>
      <c r="S240" s="21" t="str">
        <f>HYPERLINK("https://www.csi.edu/prospectiveStudents_/studentServices/tuition_fees/npc/", "$11646")</f>
        <v>$11646</v>
      </c>
      <c r="T240" s="20">
        <v>13476</v>
      </c>
      <c r="U240" s="20">
        <v>14881</v>
      </c>
      <c r="V240" s="20">
        <v>5438</v>
      </c>
      <c r="W240" s="20">
        <v>6208.5989847715737</v>
      </c>
      <c r="Y240" s="19">
        <v>0.24099999999999999</v>
      </c>
      <c r="Z240" s="19">
        <v>0.36820000000000003</v>
      </c>
      <c r="AB240" s="18">
        <v>3696</v>
      </c>
    </row>
    <row r="241" spans="1:28" ht="15.75" customHeight="1" x14ac:dyDescent="0.2">
      <c r="A241" s="36" t="str">
        <f>HYPERLINK("https://www.csmd.edu/", "College of Southern Maryland")</f>
        <v>College of Southern Maryland</v>
      </c>
      <c r="B241" s="18" t="s">
        <v>49</v>
      </c>
      <c r="C241" s="18" t="s">
        <v>124</v>
      </c>
      <c r="D241" s="18" t="s">
        <v>1180</v>
      </c>
      <c r="E241" s="18" t="s">
        <v>36</v>
      </c>
      <c r="F241" s="18" t="s">
        <v>36</v>
      </c>
      <c r="J241" s="19"/>
      <c r="K241" s="19">
        <v>0.27900000000000003</v>
      </c>
      <c r="L241" s="19">
        <v>0.123348018</v>
      </c>
      <c r="M241" s="19">
        <v>0.32869999999999999</v>
      </c>
      <c r="N241" s="19">
        <v>0.17610000000000001</v>
      </c>
      <c r="O241" s="19">
        <v>0.23680000000000001</v>
      </c>
      <c r="P241" s="19">
        <v>0.46150000000000002</v>
      </c>
      <c r="Q241" s="19">
        <v>8.5947301999999989E-2</v>
      </c>
      <c r="R241" s="20">
        <v>23617</v>
      </c>
      <c r="S241" s="21" t="str">
        <f>HYPERLINK("https://www.csmd.edu/Financial/NPC.html", "$17778")</f>
        <v>$17778</v>
      </c>
      <c r="T241" s="20">
        <v>21347</v>
      </c>
      <c r="U241" s="20">
        <v>22595</v>
      </c>
      <c r="V241" s="20">
        <v>5359</v>
      </c>
      <c r="W241" s="20">
        <v>12419</v>
      </c>
      <c r="Y241" s="19">
        <v>0.2261</v>
      </c>
      <c r="Z241" s="19">
        <v>0.45100000000000012</v>
      </c>
      <c r="AB241" s="18">
        <v>6699</v>
      </c>
    </row>
    <row r="242" spans="1:28" ht="15.75" customHeight="1" x14ac:dyDescent="0.2">
      <c r="A242" s="36" t="str">
        <f>HYPERLINK("https://www.csn.edu", "College of Southern Nevada")</f>
        <v>College of Southern Nevada</v>
      </c>
      <c r="B242" s="18" t="s">
        <v>49</v>
      </c>
      <c r="C242" s="18" t="s">
        <v>476</v>
      </c>
      <c r="D242" s="18" t="s">
        <v>796</v>
      </c>
      <c r="E242" s="18" t="s">
        <v>36</v>
      </c>
      <c r="F242" s="18" t="s">
        <v>36</v>
      </c>
      <c r="J242" s="19"/>
      <c r="K242" s="19">
        <v>8.6400000000000005E-2</v>
      </c>
      <c r="L242" s="19">
        <v>7.5304540000000003E-2</v>
      </c>
      <c r="M242" s="19">
        <v>9.5799999999999996E-2</v>
      </c>
      <c r="N242" s="19">
        <v>3.9100000000000003E-2</v>
      </c>
      <c r="O242" s="19">
        <v>6.7100000000000007E-2</v>
      </c>
      <c r="P242" s="19">
        <v>6.4699999999999994E-2</v>
      </c>
      <c r="Q242" s="19">
        <v>7.4326935999999996E-2</v>
      </c>
      <c r="R242" s="20">
        <v>24261</v>
      </c>
      <c r="S242" s="21" t="str">
        <f>HYPERLINK("https://www.csn.edu/net-price-calculator", "$18993")</f>
        <v>$18993</v>
      </c>
      <c r="T242" s="20">
        <v>20853</v>
      </c>
      <c r="U242" s="20">
        <v>23018</v>
      </c>
      <c r="V242" s="20">
        <v>6432</v>
      </c>
      <c r="W242" s="20">
        <v>12561.322580645159</v>
      </c>
      <c r="Y242" s="19">
        <v>0.30380000000000001</v>
      </c>
      <c r="Z242" s="19">
        <v>0.69769999999999999</v>
      </c>
      <c r="AB242" s="18">
        <v>28959</v>
      </c>
    </row>
    <row r="243" spans="1:28" ht="15.75" customHeight="1" x14ac:dyDescent="0.2">
      <c r="A243" s="36" t="str">
        <f>HYPERLINK("https://cwidaho.cc/", "College of Western Idaho")</f>
        <v>College of Western Idaho</v>
      </c>
      <c r="B243" s="18" t="s">
        <v>49</v>
      </c>
      <c r="C243" s="18" t="s">
        <v>486</v>
      </c>
      <c r="D243" s="18" t="s">
        <v>1021</v>
      </c>
      <c r="E243" s="18" t="s">
        <v>36</v>
      </c>
      <c r="F243" s="18" t="s">
        <v>36</v>
      </c>
      <c r="J243" s="19"/>
      <c r="K243" s="19">
        <v>0.1182</v>
      </c>
      <c r="L243" s="19" t="s">
        <v>36</v>
      </c>
      <c r="M243" s="19">
        <v>0.11550000000000001</v>
      </c>
      <c r="N243" s="19">
        <v>0.15379999999999999</v>
      </c>
      <c r="O243" s="19">
        <v>0.1333</v>
      </c>
      <c r="P243" s="19">
        <v>0.25</v>
      </c>
      <c r="Q243" s="19" t="s">
        <v>36</v>
      </c>
      <c r="R243" s="20">
        <v>17200</v>
      </c>
      <c r="S243" s="21" t="str">
        <f>HYPERLINK("https://cwidaho.studentaidcalculator.com/welcome.aspx", "$11866")</f>
        <v>$11866</v>
      </c>
      <c r="T243" s="20">
        <v>14358</v>
      </c>
      <c r="U243" s="20">
        <v>16596</v>
      </c>
      <c r="V243" s="20">
        <v>4360</v>
      </c>
      <c r="W243" s="20">
        <v>7506.9371727748694</v>
      </c>
      <c r="Y243" s="19">
        <v>0.37930000000000003</v>
      </c>
      <c r="Z243" s="19">
        <v>0.32340000000000002</v>
      </c>
      <c r="AB243" s="18">
        <v>6641</v>
      </c>
    </row>
    <row r="244" spans="1:28" ht="15.75" customHeight="1" x14ac:dyDescent="0.2">
      <c r="A244" s="36" t="str">
        <f>HYPERLINK("https://www.albemarle.edu", "College of the Albemarle")</f>
        <v>College of the Albemarle</v>
      </c>
      <c r="B244" s="18" t="s">
        <v>49</v>
      </c>
      <c r="C244" s="18" t="s">
        <v>103</v>
      </c>
      <c r="D244" s="18" t="s">
        <v>725</v>
      </c>
      <c r="E244" s="18" t="s">
        <v>36</v>
      </c>
      <c r="F244" s="18" t="s">
        <v>36</v>
      </c>
      <c r="J244" s="19"/>
      <c r="K244" s="19">
        <v>0.2326</v>
      </c>
      <c r="L244" s="19">
        <v>0.18484288400000001</v>
      </c>
      <c r="M244" s="19">
        <v>0.25259999999999999</v>
      </c>
      <c r="N244" s="19">
        <v>0.21310000000000001</v>
      </c>
      <c r="O244" s="19">
        <v>0.2273</v>
      </c>
      <c r="P244" s="19">
        <v>0</v>
      </c>
      <c r="Q244" s="19">
        <v>5.7803467999999997E-2</v>
      </c>
      <c r="R244" s="20">
        <v>22552</v>
      </c>
      <c r="S244" s="21" t="str">
        <f>HYPERLINK("https://www.albemarle.edu", "$16498")</f>
        <v>$16498</v>
      </c>
      <c r="T244" s="20">
        <v>17228</v>
      </c>
      <c r="U244" s="20">
        <v>16557</v>
      </c>
      <c r="V244" s="20">
        <v>5345</v>
      </c>
      <c r="W244" s="20">
        <v>11153.872093023259</v>
      </c>
      <c r="Y244" s="19">
        <v>0.29770000000000002</v>
      </c>
      <c r="Z244" s="19">
        <v>0.32569999999999999</v>
      </c>
      <c r="AB244" s="18">
        <v>1526</v>
      </c>
    </row>
    <row r="245" spans="1:28" ht="15.75" customHeight="1" x14ac:dyDescent="0.2">
      <c r="A245" s="36" t="str">
        <f>HYPERLINK("https://www.canyons.edu", "College of the Canyons")</f>
        <v>College of the Canyons</v>
      </c>
      <c r="B245" s="18" t="s">
        <v>49</v>
      </c>
      <c r="C245" s="18" t="s">
        <v>68</v>
      </c>
      <c r="D245" s="18" t="s">
        <v>1185</v>
      </c>
      <c r="E245" s="18" t="s">
        <v>36</v>
      </c>
      <c r="F245" s="18" t="s">
        <v>36</v>
      </c>
      <c r="J245" s="19"/>
      <c r="K245" s="19">
        <v>0.36180000000000001</v>
      </c>
      <c r="L245" s="19">
        <v>0.11695040700000001</v>
      </c>
      <c r="M245" s="19">
        <v>0.4264</v>
      </c>
      <c r="N245" s="19">
        <v>0.2</v>
      </c>
      <c r="O245" s="19">
        <v>0.31090000000000001</v>
      </c>
      <c r="P245" s="19">
        <v>0.45390000000000003</v>
      </c>
      <c r="Q245" s="19">
        <v>0.17961654899999999</v>
      </c>
      <c r="R245" s="20">
        <v>25844</v>
      </c>
      <c r="S245" s="21" t="str">
        <f>HYPERLINK("https://www.canyons.edu/offices/FinAid/netcalc.asp", "$20038")</f>
        <v>$20038</v>
      </c>
      <c r="T245" s="20">
        <v>22658</v>
      </c>
      <c r="U245" s="20">
        <v>24543</v>
      </c>
      <c r="V245" s="20">
        <v>6093</v>
      </c>
      <c r="W245" s="20">
        <v>13945.018281535649</v>
      </c>
      <c r="Y245" s="19">
        <v>0.1978</v>
      </c>
      <c r="Z245" s="19">
        <v>0.6835</v>
      </c>
      <c r="AB245" s="18">
        <v>17828</v>
      </c>
    </row>
    <row r="246" spans="1:28" ht="15.75" customHeight="1" x14ac:dyDescent="0.2">
      <c r="A246" s="36" t="str">
        <f>HYPERLINK("https://collegeofthedesert.edu", "College of the Desert")</f>
        <v>College of the Desert</v>
      </c>
      <c r="B246" s="18" t="s">
        <v>49</v>
      </c>
      <c r="C246" s="18" t="s">
        <v>68</v>
      </c>
      <c r="D246" s="18" t="s">
        <v>1187</v>
      </c>
      <c r="E246" s="18" t="s">
        <v>36</v>
      </c>
      <c r="F246" s="18" t="s">
        <v>36</v>
      </c>
      <c r="J246" s="19"/>
      <c r="K246" s="19">
        <v>0.26400000000000001</v>
      </c>
      <c r="L246" s="19">
        <v>0.10263720599999999</v>
      </c>
      <c r="M246" s="19">
        <v>0.24579999999999999</v>
      </c>
      <c r="N246" s="19">
        <v>0.1176</v>
      </c>
      <c r="O246" s="19">
        <v>0.2661</v>
      </c>
      <c r="P246" s="19">
        <v>0.45710000000000001</v>
      </c>
      <c r="Q246" s="19">
        <v>8.0435910999999999E-2</v>
      </c>
      <c r="R246" s="20">
        <v>27049</v>
      </c>
      <c r="S246" s="21" t="str">
        <f>HYPERLINK("https://misweb.cccco.edu/npc/931/npcalc.htm", "$20183")</f>
        <v>$20183</v>
      </c>
      <c r="T246" s="20">
        <v>23624</v>
      </c>
      <c r="U246" s="20" t="s">
        <v>36</v>
      </c>
      <c r="V246" s="20">
        <v>6093</v>
      </c>
      <c r="W246" s="20">
        <v>14090.185059422751</v>
      </c>
      <c r="Y246" s="19">
        <v>0.38319999999999999</v>
      </c>
      <c r="Z246" s="19">
        <v>0.82489999999999997</v>
      </c>
      <c r="AB246" s="18">
        <v>10074</v>
      </c>
    </row>
    <row r="247" spans="1:28" ht="15.75" customHeight="1" x14ac:dyDescent="0.2">
      <c r="A247" s="36" t="str">
        <f>HYPERLINK("https://www.com.edu", "College of the Mainland")</f>
        <v>College of the Mainland</v>
      </c>
      <c r="B247" s="18" t="s">
        <v>49</v>
      </c>
      <c r="C247" s="18" t="s">
        <v>146</v>
      </c>
      <c r="D247" s="18" t="s">
        <v>1189</v>
      </c>
      <c r="E247" s="18" t="s">
        <v>36</v>
      </c>
      <c r="F247" s="18" t="s">
        <v>36</v>
      </c>
      <c r="J247" s="19"/>
      <c r="K247" s="19">
        <v>0.21290000000000001</v>
      </c>
      <c r="L247" s="19">
        <v>0.13777777799999999</v>
      </c>
      <c r="M247" s="19">
        <v>0.24</v>
      </c>
      <c r="N247" s="19">
        <v>0.15</v>
      </c>
      <c r="O247" s="19">
        <v>0.18870000000000001</v>
      </c>
      <c r="P247" s="19">
        <v>0</v>
      </c>
      <c r="Q247" s="19">
        <v>7.1165644E-2</v>
      </c>
      <c r="R247" s="20">
        <v>14010</v>
      </c>
      <c r="S247" s="21" t="str">
        <f>HYPERLINK("https://www.collegeforalltexans.com/apps/CollegeMoney/index.php", "$9268")</f>
        <v>$9268</v>
      </c>
      <c r="T247" s="20" t="s">
        <v>36</v>
      </c>
      <c r="U247" s="20" t="s">
        <v>36</v>
      </c>
      <c r="V247" s="20">
        <v>4472</v>
      </c>
      <c r="W247" s="20">
        <v>4796.6842105263167</v>
      </c>
      <c r="Y247" s="19">
        <v>0.20699999999999999</v>
      </c>
      <c r="Z247" s="19">
        <v>0.56279999999999997</v>
      </c>
      <c r="AB247" s="18">
        <v>3047</v>
      </c>
    </row>
    <row r="248" spans="1:28" ht="15.75" customHeight="1" x14ac:dyDescent="0.2">
      <c r="A248" s="36" t="str">
        <f>HYPERLINK("https://www.cmi.edu", "College of the Marshall Islands")</f>
        <v>College of the Marshall Islands</v>
      </c>
      <c r="B248" s="18" t="s">
        <v>49</v>
      </c>
      <c r="C248" s="18" t="s">
        <v>1191</v>
      </c>
      <c r="D248" s="18" t="s">
        <v>1192</v>
      </c>
      <c r="E248" s="18" t="s">
        <v>36</v>
      </c>
      <c r="F248" s="18" t="s">
        <v>36</v>
      </c>
      <c r="J248" s="19"/>
      <c r="K248" s="19">
        <v>4.9799999999999997E-2</v>
      </c>
      <c r="L248" s="19" t="s">
        <v>36</v>
      </c>
      <c r="M248" s="19" t="s">
        <v>36</v>
      </c>
      <c r="N248" s="19" t="s">
        <v>36</v>
      </c>
      <c r="O248" s="19" t="s">
        <v>36</v>
      </c>
      <c r="P248" s="19">
        <v>0</v>
      </c>
      <c r="Q248" s="19" t="s">
        <v>36</v>
      </c>
      <c r="R248" s="20">
        <v>9635</v>
      </c>
      <c r="S248" s="21" t="str">
        <f>HYPERLINK("https://www.cmi.edu", "$4584")</f>
        <v>$4584</v>
      </c>
      <c r="T248" s="20">
        <v>5205</v>
      </c>
      <c r="U248" s="20" t="s">
        <v>36</v>
      </c>
      <c r="V248" s="20">
        <v>3210</v>
      </c>
      <c r="W248" s="20">
        <v>1374.505660377358</v>
      </c>
      <c r="Y248" s="19">
        <v>0.87809999999999999</v>
      </c>
      <c r="Z248" s="19">
        <v>1</v>
      </c>
      <c r="AB248" s="18">
        <v>1024</v>
      </c>
    </row>
    <row r="249" spans="1:28" ht="15.75" customHeight="1" x14ac:dyDescent="0.2">
      <c r="A249" s="36" t="str">
        <f>HYPERLINK("https://cmn.edu", "College of the Muscogee Nation")</f>
        <v>College of the Muscogee Nation</v>
      </c>
      <c r="B249" s="18" t="s">
        <v>49</v>
      </c>
      <c r="C249" s="18" t="s">
        <v>290</v>
      </c>
      <c r="D249" s="18" t="s">
        <v>1193</v>
      </c>
      <c r="E249" s="18" t="s">
        <v>36</v>
      </c>
      <c r="F249" s="18" t="s">
        <v>36</v>
      </c>
      <c r="J249" s="19"/>
      <c r="K249" s="19">
        <v>0.17499999999999999</v>
      </c>
      <c r="L249" s="19" t="s">
        <v>36</v>
      </c>
      <c r="M249" s="19" t="s">
        <v>36</v>
      </c>
      <c r="N249" s="19" t="s">
        <v>36</v>
      </c>
      <c r="O249" s="19">
        <v>0</v>
      </c>
      <c r="P249" s="19" t="s">
        <v>36</v>
      </c>
      <c r="Q249" s="19" t="s">
        <v>36</v>
      </c>
      <c r="R249" s="20">
        <v>21940</v>
      </c>
      <c r="S249" s="21" t="str">
        <f>HYPERLINK("https://cmn.edu/NetPriceCalculator.html?authuser=0&amp;feat=directlink", "Not reported")</f>
        <v>Not reported</v>
      </c>
      <c r="T249" s="20">
        <v>10532</v>
      </c>
      <c r="U249" s="20" t="s">
        <v>36</v>
      </c>
      <c r="V249" s="20">
        <v>6840</v>
      </c>
      <c r="W249" s="20" t="s">
        <v>36</v>
      </c>
      <c r="Y249" s="19">
        <v>0.37090000000000001</v>
      </c>
      <c r="Z249" s="19">
        <v>1</v>
      </c>
      <c r="AB249" s="18">
        <v>194</v>
      </c>
    </row>
    <row r="250" spans="1:28" ht="15.75" customHeight="1" x14ac:dyDescent="0.2">
      <c r="A250" s="36" t="str">
        <f>HYPERLINK("https://www.redwoods.edu", "College of the Redwoods")</f>
        <v>College of the Redwoods</v>
      </c>
      <c r="B250" s="18" t="s">
        <v>49</v>
      </c>
      <c r="C250" s="18" t="s">
        <v>68</v>
      </c>
      <c r="D250" s="18" t="s">
        <v>742</v>
      </c>
      <c r="E250" s="18" t="s">
        <v>36</v>
      </c>
      <c r="F250" s="18" t="s">
        <v>36</v>
      </c>
      <c r="J250" s="19"/>
      <c r="K250" s="19">
        <v>0.2009</v>
      </c>
      <c r="L250" s="19">
        <v>0.107714702</v>
      </c>
      <c r="M250" s="19">
        <v>0.22550000000000001</v>
      </c>
      <c r="N250" s="19">
        <v>0</v>
      </c>
      <c r="O250" s="19">
        <v>0.12939999999999999</v>
      </c>
      <c r="P250" s="19">
        <v>0.2</v>
      </c>
      <c r="Q250" s="19">
        <v>5.7193395999999987E-2</v>
      </c>
      <c r="R250" s="20">
        <v>19299</v>
      </c>
      <c r="S250" s="21" t="str">
        <f>HYPERLINK("https://www.redwoods.edu/financialaid/Cost", "$12808")</f>
        <v>$12808</v>
      </c>
      <c r="T250" s="20">
        <v>12405</v>
      </c>
      <c r="U250" s="20" t="s">
        <v>36</v>
      </c>
      <c r="V250" s="20">
        <v>4392</v>
      </c>
      <c r="W250" s="20">
        <v>8416.7638888888887</v>
      </c>
      <c r="Y250" s="19">
        <v>0.36070000000000002</v>
      </c>
      <c r="Z250" s="19">
        <v>0.43930000000000002</v>
      </c>
      <c r="AB250" s="18">
        <v>3877</v>
      </c>
    </row>
    <row r="251" spans="1:28" ht="15.75" customHeight="1" x14ac:dyDescent="0.2">
      <c r="A251" s="36" t="str">
        <f>HYPERLINK("https://www.cos.edu", "College of the Sequoias")</f>
        <v>College of the Sequoias</v>
      </c>
      <c r="B251" s="18" t="s">
        <v>49</v>
      </c>
      <c r="C251" s="18" t="s">
        <v>68</v>
      </c>
      <c r="D251" s="18" t="s">
        <v>1197</v>
      </c>
      <c r="E251" s="18" t="s">
        <v>36</v>
      </c>
      <c r="F251" s="18" t="s">
        <v>36</v>
      </c>
      <c r="J251" s="19"/>
      <c r="K251" s="19">
        <v>0.29160000000000003</v>
      </c>
      <c r="L251" s="19">
        <v>9.7571189000000003E-2</v>
      </c>
      <c r="M251" s="19">
        <v>0.33650000000000002</v>
      </c>
      <c r="N251" s="19">
        <v>0.2326</v>
      </c>
      <c r="O251" s="19">
        <v>0.27700000000000002</v>
      </c>
      <c r="P251" s="19">
        <v>0.32</v>
      </c>
      <c r="Q251" s="19">
        <v>7.7324332999999995E-2</v>
      </c>
      <c r="R251" s="20">
        <v>24186</v>
      </c>
      <c r="S251" s="21" t="str">
        <f>HYPERLINK("https://www.cos.edu/FinancialAid/NetPriceCalculator/Pages/default.aspx", "$16992")</f>
        <v>$16992</v>
      </c>
      <c r="T251" s="20">
        <v>20134</v>
      </c>
      <c r="U251" s="20">
        <v>21772</v>
      </c>
      <c r="V251" s="20">
        <v>6000</v>
      </c>
      <c r="W251" s="20">
        <v>10992.501758499409</v>
      </c>
      <c r="Y251" s="19">
        <v>0.40670000000000001</v>
      </c>
      <c r="Z251" s="19">
        <v>0.78129999999999999</v>
      </c>
      <c r="AB251" s="18">
        <v>10727</v>
      </c>
    </row>
    <row r="252" spans="1:28" ht="15.75" customHeight="1" x14ac:dyDescent="0.2">
      <c r="A252" s="36" t="str">
        <f>HYPERLINK("https://www.siskiyous.edu", "College of the Siskiyous")</f>
        <v>College of the Siskiyous</v>
      </c>
      <c r="B252" s="18" t="s">
        <v>49</v>
      </c>
      <c r="C252" s="18" t="s">
        <v>68</v>
      </c>
      <c r="D252" s="18" t="s">
        <v>1198</v>
      </c>
      <c r="E252" s="18" t="s">
        <v>36</v>
      </c>
      <c r="F252" s="18" t="s">
        <v>36</v>
      </c>
      <c r="J252" s="19"/>
      <c r="K252" s="19">
        <v>0.29520000000000002</v>
      </c>
      <c r="L252" s="19">
        <v>6.9724770999999991E-2</v>
      </c>
      <c r="M252" s="19">
        <v>0.36359999999999998</v>
      </c>
      <c r="N252" s="19">
        <v>0.21429999999999999</v>
      </c>
      <c r="O252" s="19">
        <v>0.23080000000000001</v>
      </c>
      <c r="P252" s="19">
        <v>0.33329999999999999</v>
      </c>
      <c r="Q252" s="19">
        <v>5.6318681000000002E-2</v>
      </c>
      <c r="R252" s="20">
        <v>20856</v>
      </c>
      <c r="S252" s="21" t="str">
        <f>HYPERLINK("https://misweb.cccco.edu/npc/181/npcalc.htm", "$13228")</f>
        <v>$13228</v>
      </c>
      <c r="T252" s="20">
        <v>17624</v>
      </c>
      <c r="U252" s="20">
        <v>19250</v>
      </c>
      <c r="V252" s="20">
        <v>5094</v>
      </c>
      <c r="W252" s="20">
        <v>8134.424242424242</v>
      </c>
      <c r="Y252" s="19">
        <v>0.28149999999999997</v>
      </c>
      <c r="Z252" s="19">
        <v>0.4506</v>
      </c>
      <c r="AB252" s="18">
        <v>1791</v>
      </c>
    </row>
    <row r="253" spans="1:28" ht="15.75" customHeight="1" x14ac:dyDescent="0.2">
      <c r="A253" s="36" t="str">
        <f>HYPERLINK("https://www.collegeamerica.edu/", "CollegeAmerica-Colorado Springs")</f>
        <v>CollegeAmerica-Colorado Springs</v>
      </c>
      <c r="B253" s="18" t="s">
        <v>32</v>
      </c>
      <c r="C253" s="18" t="s">
        <v>87</v>
      </c>
      <c r="D253" s="18" t="s">
        <v>88</v>
      </c>
      <c r="E253" s="18" t="s">
        <v>36</v>
      </c>
      <c r="F253" s="18" t="s">
        <v>36</v>
      </c>
      <c r="J253" s="19"/>
      <c r="K253" s="19">
        <v>0.3347</v>
      </c>
      <c r="L253" s="19">
        <v>0.29132690900000002</v>
      </c>
      <c r="M253" s="19">
        <v>0.30370000000000003</v>
      </c>
      <c r="N253" s="19">
        <v>0.40539999999999998</v>
      </c>
      <c r="O253" s="19">
        <v>0.40479999999999999</v>
      </c>
      <c r="P253" s="19">
        <v>1</v>
      </c>
      <c r="Q253" s="19">
        <v>3.0642309999999999E-2</v>
      </c>
      <c r="R253" s="20">
        <v>33104</v>
      </c>
      <c r="S253" s="21" t="str">
        <f>HYPERLINK("https://collegeamerica.studentaidcalculator.com", "$27026")</f>
        <v>$27026</v>
      </c>
      <c r="T253" s="20">
        <v>31050</v>
      </c>
      <c r="U253" s="20" t="s">
        <v>36</v>
      </c>
      <c r="V253" s="20">
        <v>7424</v>
      </c>
      <c r="W253" s="20">
        <v>19602</v>
      </c>
      <c r="Y253" s="19">
        <v>0.79659999999999997</v>
      </c>
      <c r="Z253" s="19">
        <v>0.58250000000000002</v>
      </c>
      <c r="AB253" s="18">
        <v>206</v>
      </c>
    </row>
    <row r="254" spans="1:28" ht="15.75" customHeight="1" x14ac:dyDescent="0.2">
      <c r="A254" s="36" t="str">
        <f>HYPERLINK("https://www.collegeamerica.edu", "CollegeAmerica-Denver")</f>
        <v>CollegeAmerica-Denver</v>
      </c>
      <c r="B254" s="18" t="s">
        <v>32</v>
      </c>
      <c r="C254" s="18" t="s">
        <v>87</v>
      </c>
      <c r="D254" s="18" t="s">
        <v>508</v>
      </c>
      <c r="E254" s="18" t="s">
        <v>36</v>
      </c>
      <c r="F254" s="18" t="s">
        <v>36</v>
      </c>
      <c r="J254" s="19"/>
      <c r="K254" s="19">
        <v>0.38550000000000001</v>
      </c>
      <c r="L254" s="19">
        <v>0.29132690900000002</v>
      </c>
      <c r="M254" s="19">
        <v>0.30430000000000001</v>
      </c>
      <c r="N254" s="19">
        <v>0.5</v>
      </c>
      <c r="O254" s="19">
        <v>0.5333</v>
      </c>
      <c r="P254" s="19">
        <v>0.4</v>
      </c>
      <c r="Q254" s="19">
        <v>3.0642309999999999E-2</v>
      </c>
      <c r="R254" s="20">
        <v>33104</v>
      </c>
      <c r="S254" s="21" t="str">
        <f>HYPERLINK("https://collegeamerica.studentaidcalculator.com", "$27685")</f>
        <v>$27685</v>
      </c>
      <c r="T254" s="20">
        <v>29152</v>
      </c>
      <c r="U254" s="20" t="s">
        <v>36</v>
      </c>
      <c r="V254" s="20">
        <v>7424</v>
      </c>
      <c r="W254" s="20">
        <v>20261</v>
      </c>
      <c r="Y254" s="19">
        <v>0.6915</v>
      </c>
      <c r="Z254" s="19">
        <v>0.71940000000000004</v>
      </c>
      <c r="AB254" s="18">
        <v>139</v>
      </c>
    </row>
    <row r="255" spans="1:28" ht="15.75" customHeight="1" x14ac:dyDescent="0.2">
      <c r="A255" s="36" t="str">
        <f>HYPERLINK("https://www.collegeamerica.edu", "CollegeAmerica-Flagstaff")</f>
        <v>CollegeAmerica-Flagstaff</v>
      </c>
      <c r="B255" s="18" t="s">
        <v>32</v>
      </c>
      <c r="C255" s="18" t="s">
        <v>354</v>
      </c>
      <c r="D255" s="18" t="s">
        <v>1014</v>
      </c>
      <c r="E255" s="18" t="s">
        <v>36</v>
      </c>
      <c r="F255" s="18" t="s">
        <v>36</v>
      </c>
      <c r="J255" s="19"/>
      <c r="K255" s="19">
        <v>0.2893</v>
      </c>
      <c r="L255" s="19">
        <v>0.46112600500000001</v>
      </c>
      <c r="M255" s="19">
        <v>0.37140000000000001</v>
      </c>
      <c r="N255" s="19">
        <v>0.25</v>
      </c>
      <c r="O255" s="19">
        <v>0.25</v>
      </c>
      <c r="P255" s="19" t="s">
        <v>36</v>
      </c>
      <c r="Q255" s="19">
        <v>2.8634361000000001E-2</v>
      </c>
      <c r="R255" s="20">
        <v>33104</v>
      </c>
      <c r="S255" s="21" t="str">
        <f>HYPERLINK("https://www.collegeamerica.edu/net-price-calculator", "$26831")</f>
        <v>$26831</v>
      </c>
      <c r="T255" s="20">
        <v>30731</v>
      </c>
      <c r="U255" s="20" t="s">
        <v>36</v>
      </c>
      <c r="V255" s="20">
        <v>7424</v>
      </c>
      <c r="W255" s="20">
        <v>19407</v>
      </c>
      <c r="Y255" s="19">
        <v>0.78220000000000001</v>
      </c>
      <c r="Z255" s="19">
        <v>0.78210000000000002</v>
      </c>
      <c r="AB255" s="18">
        <v>78</v>
      </c>
    </row>
    <row r="256" spans="1:28" ht="15.75" customHeight="1" x14ac:dyDescent="0.2">
      <c r="A256" s="36" t="str">
        <f>HYPERLINK("https://www.collegeamerica.edu", "CollegeAmerica-Fort Collins")</f>
        <v>CollegeAmerica-Fort Collins</v>
      </c>
      <c r="B256" s="18" t="s">
        <v>32</v>
      </c>
      <c r="C256" s="18" t="s">
        <v>87</v>
      </c>
      <c r="D256" s="18" t="s">
        <v>339</v>
      </c>
      <c r="E256" s="18" t="s">
        <v>36</v>
      </c>
      <c r="F256" s="18" t="s">
        <v>36</v>
      </c>
      <c r="J256" s="19"/>
      <c r="K256" s="19">
        <v>0.26129999999999998</v>
      </c>
      <c r="L256" s="19">
        <v>0.29132690900000002</v>
      </c>
      <c r="M256" s="19">
        <v>0.2586</v>
      </c>
      <c r="N256" s="19">
        <v>0.5</v>
      </c>
      <c r="O256" s="19">
        <v>0.26190000000000002</v>
      </c>
      <c r="P256" s="19" t="s">
        <v>36</v>
      </c>
      <c r="Q256" s="19">
        <v>3.0642309999999999E-2</v>
      </c>
      <c r="R256" s="20">
        <v>33104</v>
      </c>
      <c r="S256" s="21" t="str">
        <f>HYPERLINK("https://collegeamerica.studentaidcalculator.com", "$27546")</f>
        <v>$27546</v>
      </c>
      <c r="T256" s="20">
        <v>31411</v>
      </c>
      <c r="U256" s="20" t="s">
        <v>36</v>
      </c>
      <c r="V256" s="20">
        <v>7424</v>
      </c>
      <c r="W256" s="20">
        <v>20122</v>
      </c>
      <c r="Y256" s="19">
        <v>0.76519999999999999</v>
      </c>
      <c r="Z256" s="19">
        <v>0.46829999999999999</v>
      </c>
      <c r="AB256" s="18">
        <v>126</v>
      </c>
    </row>
    <row r="257" spans="1:28" ht="15.75" customHeight="1" x14ac:dyDescent="0.2">
      <c r="A257" s="36" t="str">
        <f>HYPERLINK("https://www.collegeamerica.edu", "CollegeAmerica-Phoenix")</f>
        <v>CollegeAmerica-Phoenix</v>
      </c>
      <c r="B257" s="18" t="s">
        <v>32</v>
      </c>
      <c r="C257" s="18" t="s">
        <v>354</v>
      </c>
      <c r="D257" s="18" t="s">
        <v>369</v>
      </c>
      <c r="E257" s="18" t="s">
        <v>36</v>
      </c>
      <c r="F257" s="18" t="s">
        <v>36</v>
      </c>
      <c r="J257" s="19"/>
      <c r="K257" s="19">
        <v>0.4128</v>
      </c>
      <c r="L257" s="19">
        <v>0.46112600500000001</v>
      </c>
      <c r="M257" s="19">
        <v>0.51280000000000003</v>
      </c>
      <c r="N257" s="19">
        <v>0.31580000000000003</v>
      </c>
      <c r="O257" s="19">
        <v>0.4844</v>
      </c>
      <c r="P257" s="19" t="s">
        <v>36</v>
      </c>
      <c r="Q257" s="19">
        <v>2.8634361000000001E-2</v>
      </c>
      <c r="R257" s="20">
        <v>33104</v>
      </c>
      <c r="S257" s="21" t="str">
        <f>HYPERLINK("https://collegeamerica.studentaidcalculator.com/survey.aspx", "$26317")</f>
        <v>$26317</v>
      </c>
      <c r="T257" s="20">
        <v>30456</v>
      </c>
      <c r="U257" s="20" t="s">
        <v>36</v>
      </c>
      <c r="V257" s="20">
        <v>7424</v>
      </c>
      <c r="W257" s="20">
        <v>18893</v>
      </c>
      <c r="Y257" s="19">
        <v>0.86209999999999998</v>
      </c>
      <c r="Z257" s="19">
        <v>0.72070000000000001</v>
      </c>
      <c r="AB257" s="18">
        <v>512</v>
      </c>
    </row>
    <row r="258" spans="1:28" ht="15.75" customHeight="1" x14ac:dyDescent="0.2">
      <c r="A258" s="36" t="str">
        <f>HYPERLINK("https://www.collin.edu", "Collin County Community College District")</f>
        <v>Collin County Community College District</v>
      </c>
      <c r="B258" s="18" t="s">
        <v>49</v>
      </c>
      <c r="C258" s="18" t="s">
        <v>146</v>
      </c>
      <c r="D258" s="18" t="s">
        <v>1207</v>
      </c>
      <c r="E258" s="18" t="s">
        <v>36</v>
      </c>
      <c r="F258" s="18" t="s">
        <v>36</v>
      </c>
      <c r="J258" s="19"/>
      <c r="K258" s="19">
        <v>0.1628</v>
      </c>
      <c r="L258" s="19">
        <v>6.1756809000000003E-2</v>
      </c>
      <c r="M258" s="19">
        <v>0.1709</v>
      </c>
      <c r="N258" s="19">
        <v>0.1159</v>
      </c>
      <c r="O258" s="19">
        <v>0.1447</v>
      </c>
      <c r="P258" s="19">
        <v>0.20449999999999999</v>
      </c>
      <c r="Q258" s="19">
        <v>0.188795765</v>
      </c>
      <c r="R258" s="20">
        <v>20234</v>
      </c>
      <c r="S258" s="21" t="str">
        <f>HYPERLINK("https://www.collegeforalltexans.com/apps/CollegeMoney/", "$14866")</f>
        <v>$14866</v>
      </c>
      <c r="T258" s="20">
        <v>17760</v>
      </c>
      <c r="U258" s="20">
        <v>19456</v>
      </c>
      <c r="V258" s="20">
        <v>6092</v>
      </c>
      <c r="W258" s="20">
        <v>8774.0193548387106</v>
      </c>
      <c r="Y258" s="19">
        <v>0.16139999999999999</v>
      </c>
      <c r="Z258" s="19">
        <v>0.53859999999999997</v>
      </c>
      <c r="AB258" s="18">
        <v>25701</v>
      </c>
    </row>
    <row r="259" spans="1:28" ht="15.75" customHeight="1" x14ac:dyDescent="0.2">
      <c r="A259" s="36" t="str">
        <f>HYPERLINK("https://www.cavt.edu", "Colorado Academy of Veterinary Technology")</f>
        <v>Colorado Academy of Veterinary Technology</v>
      </c>
      <c r="B259" s="18" t="s">
        <v>368</v>
      </c>
      <c r="C259" s="18" t="s">
        <v>87</v>
      </c>
      <c r="D259" s="18" t="s">
        <v>88</v>
      </c>
      <c r="E259" s="18" t="s">
        <v>36</v>
      </c>
      <c r="F259" s="18" t="s">
        <v>45</v>
      </c>
      <c r="J259" s="19"/>
      <c r="K259" s="19">
        <v>0.33329999999999999</v>
      </c>
      <c r="L259" s="19" t="s">
        <v>36</v>
      </c>
      <c r="M259" s="19">
        <v>0.5</v>
      </c>
      <c r="N259" s="19" t="s">
        <v>36</v>
      </c>
      <c r="O259" s="19">
        <v>0</v>
      </c>
      <c r="P259" s="19" t="s">
        <v>36</v>
      </c>
      <c r="Q259" s="19" t="s">
        <v>36</v>
      </c>
      <c r="R259" s="20">
        <v>20859</v>
      </c>
      <c r="S259" s="21" t="str">
        <f>HYPERLINK("https://www.cavt.edu", "$15664")</f>
        <v>$15664</v>
      </c>
      <c r="T259" s="20">
        <v>19697</v>
      </c>
      <c r="U259" s="20">
        <v>19992</v>
      </c>
      <c r="V259" s="20">
        <v>3649</v>
      </c>
      <c r="W259" s="20">
        <v>12015</v>
      </c>
      <c r="Y259" s="19">
        <v>0.70509999999999995</v>
      </c>
      <c r="Z259" s="19">
        <v>0.22020000000000001</v>
      </c>
      <c r="AB259" s="18">
        <v>109</v>
      </c>
    </row>
    <row r="260" spans="1:28" ht="15.75" customHeight="1" x14ac:dyDescent="0.2">
      <c r="A260" s="36" t="str">
        <f>HYPERLINK("https://www.cncc.edu", "Colorado Northwestern Community College")</f>
        <v>Colorado Northwestern Community College</v>
      </c>
      <c r="B260" s="18" t="s">
        <v>49</v>
      </c>
      <c r="C260" s="18" t="s">
        <v>87</v>
      </c>
      <c r="D260" s="18" t="s">
        <v>1210</v>
      </c>
      <c r="E260" s="18" t="s">
        <v>36</v>
      </c>
      <c r="F260" s="18" t="s">
        <v>36</v>
      </c>
      <c r="J260" s="19"/>
      <c r="K260" s="19">
        <v>0.36670000000000003</v>
      </c>
      <c r="L260" s="19">
        <v>0.24083769599999999</v>
      </c>
      <c r="M260" s="19">
        <v>0.42709999999999998</v>
      </c>
      <c r="N260" s="19">
        <v>7.6899999999999996E-2</v>
      </c>
      <c r="O260" s="19">
        <v>0.26319999999999999</v>
      </c>
      <c r="P260" s="19" t="s">
        <v>36</v>
      </c>
      <c r="Q260" s="19">
        <v>7.0821529999999994E-2</v>
      </c>
      <c r="R260" s="20">
        <v>20612</v>
      </c>
      <c r="S260" s="21" t="str">
        <f>HYPERLINK("https://www.cncc.edu/net-price-calculator/npcalc.htm", "$13241")</f>
        <v>$13241</v>
      </c>
      <c r="T260" s="20">
        <v>16469</v>
      </c>
      <c r="U260" s="20">
        <v>18967</v>
      </c>
      <c r="V260" s="20">
        <v>7254</v>
      </c>
      <c r="W260" s="20">
        <v>5987.7567567567567</v>
      </c>
      <c r="Y260" s="19">
        <v>0.22040000000000001</v>
      </c>
      <c r="Z260" s="19">
        <v>0.2873</v>
      </c>
      <c r="AB260" s="18">
        <v>637</v>
      </c>
    </row>
    <row r="261" spans="1:28" ht="15.75" customHeight="1" x14ac:dyDescent="0.2">
      <c r="A261" s="36" t="str">
        <f>HYPERLINK("https://schooloftrades.edu/about", "Colorado School of Trades")</f>
        <v>Colorado School of Trades</v>
      </c>
      <c r="B261" s="18" t="s">
        <v>368</v>
      </c>
      <c r="C261" s="18" t="s">
        <v>87</v>
      </c>
      <c r="D261" s="18" t="s">
        <v>338</v>
      </c>
      <c r="E261" s="18" t="s">
        <v>36</v>
      </c>
      <c r="F261" s="18" t="s">
        <v>36</v>
      </c>
      <c r="J261" s="19"/>
      <c r="K261" s="19">
        <v>0.82350000000000001</v>
      </c>
      <c r="L261" s="19">
        <v>0.63013698600000001</v>
      </c>
      <c r="M261" s="19">
        <v>0.84719999999999995</v>
      </c>
      <c r="N261" s="19">
        <v>1</v>
      </c>
      <c r="O261" s="19">
        <v>0.875</v>
      </c>
      <c r="P261" s="19">
        <v>1</v>
      </c>
      <c r="Q261" s="19" t="s">
        <v>36</v>
      </c>
      <c r="R261" s="20" t="s">
        <v>36</v>
      </c>
      <c r="S261" s="21" t="str">
        <f>HYPERLINK("https://www.schooloftrades.edu/npc", "$17007")</f>
        <v>$17007</v>
      </c>
      <c r="T261" s="20" t="s">
        <v>36</v>
      </c>
      <c r="U261" s="20" t="s">
        <v>36</v>
      </c>
      <c r="V261" s="20" t="s">
        <v>36</v>
      </c>
      <c r="W261" s="20" t="s">
        <v>36</v>
      </c>
      <c r="Y261" s="19">
        <v>0.41980000000000001</v>
      </c>
      <c r="Z261" s="19">
        <v>0.63460000000000005</v>
      </c>
      <c r="AB261" s="18">
        <v>156</v>
      </c>
    </row>
    <row r="262" spans="1:28" ht="15.75" customHeight="1" x14ac:dyDescent="0.2">
      <c r="A262" s="36" t="str">
        <f>HYPERLINK("https://www.columbiabasin.edu", "Columbia Basin College")</f>
        <v>Columbia Basin College</v>
      </c>
      <c r="B262" s="18" t="s">
        <v>49</v>
      </c>
      <c r="C262" s="18" t="s">
        <v>184</v>
      </c>
      <c r="D262" s="18" t="s">
        <v>1212</v>
      </c>
      <c r="E262" s="18" t="s">
        <v>36</v>
      </c>
      <c r="F262" s="18" t="s">
        <v>36</v>
      </c>
      <c r="J262" s="19"/>
      <c r="K262" s="19">
        <v>0.29670000000000002</v>
      </c>
      <c r="L262" s="19">
        <v>0.145811789</v>
      </c>
      <c r="M262" s="19">
        <v>0.28989999999999999</v>
      </c>
      <c r="N262" s="19">
        <v>0.16669999999999999</v>
      </c>
      <c r="O262" s="19">
        <v>0.31</v>
      </c>
      <c r="P262" s="19">
        <v>0.47060000000000002</v>
      </c>
      <c r="Q262" s="19">
        <v>0.107776262</v>
      </c>
      <c r="R262" s="20">
        <v>19120</v>
      </c>
      <c r="S262" s="21" t="str">
        <f>HYPERLINK("https://www.columbiabasin.edu/npcalc/", "$12240")</f>
        <v>$12240</v>
      </c>
      <c r="T262" s="20">
        <v>14824</v>
      </c>
      <c r="U262" s="20">
        <v>19007</v>
      </c>
      <c r="V262" s="20">
        <v>2910</v>
      </c>
      <c r="W262" s="20">
        <v>9330.0407523510985</v>
      </c>
      <c r="Y262" s="19">
        <v>0.28089999999999998</v>
      </c>
      <c r="Z262" s="19">
        <v>0.5252</v>
      </c>
      <c r="AB262" s="18">
        <v>5731</v>
      </c>
    </row>
    <row r="263" spans="1:28" ht="15.75" customHeight="1" x14ac:dyDescent="0.2">
      <c r="A263" s="36" t="str">
        <f>HYPERLINK("https://www.columbiacentral.edu", "Columbia Central University-Caguas")</f>
        <v>Columbia Central University-Caguas</v>
      </c>
      <c r="B263" s="18" t="s">
        <v>368</v>
      </c>
      <c r="C263" s="18" t="s">
        <v>284</v>
      </c>
      <c r="D263" s="18" t="s">
        <v>1214</v>
      </c>
      <c r="E263" s="18" t="s">
        <v>36</v>
      </c>
      <c r="F263" s="18" t="s">
        <v>36</v>
      </c>
      <c r="J263" s="19"/>
      <c r="K263" s="19">
        <v>0.39350000000000002</v>
      </c>
      <c r="L263" s="19">
        <v>0.18653846199999999</v>
      </c>
      <c r="M263" s="19" t="s">
        <v>36</v>
      </c>
      <c r="N263" s="19" t="s">
        <v>36</v>
      </c>
      <c r="O263" s="19">
        <v>0.39350000000000002</v>
      </c>
      <c r="P263" s="19" t="s">
        <v>36</v>
      </c>
      <c r="Q263" s="19">
        <v>6.1485909999999998E-2</v>
      </c>
      <c r="R263" s="20">
        <v>15799</v>
      </c>
      <c r="S263" s="21" t="str">
        <f>HYPERLINK("https://www.columbiacentral.edu/asistencia-economica/net-price-calculator/net-price-calculator-caguas/", "$3619")</f>
        <v>$3619</v>
      </c>
      <c r="T263" s="20">
        <v>4630</v>
      </c>
      <c r="U263" s="20">
        <v>6330</v>
      </c>
      <c r="V263" s="20">
        <v>2422</v>
      </c>
      <c r="W263" s="20">
        <v>1197</v>
      </c>
      <c r="Y263" s="19">
        <v>0.89280000000000004</v>
      </c>
      <c r="Z263" s="19">
        <v>1</v>
      </c>
      <c r="AB263" s="18">
        <v>1270</v>
      </c>
    </row>
    <row r="264" spans="1:28" ht="15.75" customHeight="1" x14ac:dyDescent="0.2">
      <c r="A264" s="36" t="str">
        <f>HYPERLINK("https://www.columbiacentral.edu", "Columbia Central University-Yauco")</f>
        <v>Columbia Central University-Yauco</v>
      </c>
      <c r="B264" s="18" t="s">
        <v>368</v>
      </c>
      <c r="C264" s="18" t="s">
        <v>284</v>
      </c>
      <c r="D264" s="18" t="s">
        <v>1216</v>
      </c>
      <c r="E264" s="18" t="s">
        <v>36</v>
      </c>
      <c r="F264" s="18" t="s">
        <v>36</v>
      </c>
      <c r="J264" s="19"/>
      <c r="K264" s="19">
        <v>0.4516</v>
      </c>
      <c r="L264" s="19">
        <v>0.18653846199999999</v>
      </c>
      <c r="M264" s="19" t="s">
        <v>36</v>
      </c>
      <c r="N264" s="19" t="s">
        <v>36</v>
      </c>
      <c r="O264" s="19">
        <v>0.4516</v>
      </c>
      <c r="P264" s="19" t="s">
        <v>36</v>
      </c>
      <c r="Q264" s="19">
        <v>6.1485909999999998E-2</v>
      </c>
      <c r="R264" s="20">
        <v>15799</v>
      </c>
      <c r="S264" s="21" t="str">
        <f>HYPERLINK("https://www.columbiacentral.edu/asistencia-economica/net-price-calculator/net-price-calculator-yauco/", "$4582")</f>
        <v>$4582</v>
      </c>
      <c r="T264" s="20">
        <v>7839</v>
      </c>
      <c r="U264" s="20" t="s">
        <v>36</v>
      </c>
      <c r="V264" s="20">
        <v>2422</v>
      </c>
      <c r="W264" s="20">
        <v>2160</v>
      </c>
      <c r="Y264" s="19">
        <v>0.91390000000000005</v>
      </c>
      <c r="Z264" s="19">
        <v>1</v>
      </c>
      <c r="AB264" s="18">
        <v>345</v>
      </c>
    </row>
    <row r="265" spans="1:28" ht="15.75" customHeight="1" x14ac:dyDescent="0.2">
      <c r="A265" s="36" t="str">
        <f>HYPERLINK("https://www.gocolumbia.edu/", "Columbia College")</f>
        <v>Columbia College</v>
      </c>
      <c r="B265" s="18" t="s">
        <v>49</v>
      </c>
      <c r="C265" s="18" t="s">
        <v>68</v>
      </c>
      <c r="D265" s="18" t="s">
        <v>1217</v>
      </c>
      <c r="E265" s="18" t="s">
        <v>36</v>
      </c>
      <c r="F265" s="18" t="s">
        <v>36</v>
      </c>
      <c r="J265" s="19"/>
      <c r="K265" s="19">
        <v>0.2316</v>
      </c>
      <c r="L265" s="19">
        <v>9.1603053000000004E-2</v>
      </c>
      <c r="M265" s="19">
        <v>0.23180000000000001</v>
      </c>
      <c r="N265" s="19">
        <v>0</v>
      </c>
      <c r="O265" s="19">
        <v>0.28129999999999999</v>
      </c>
      <c r="P265" s="19">
        <v>0</v>
      </c>
      <c r="Q265" s="19">
        <v>6.9815194999999997E-2</v>
      </c>
      <c r="R265" s="20">
        <v>24607</v>
      </c>
      <c r="S265" s="21" t="str">
        <f>HYPERLINK("https://misweb.cccco.edu/npc/591/npcalc.htm", "$18323")</f>
        <v>$18323</v>
      </c>
      <c r="T265" s="20">
        <v>21308</v>
      </c>
      <c r="U265" s="20" t="s">
        <v>36</v>
      </c>
      <c r="V265" s="20">
        <v>5859</v>
      </c>
      <c r="W265" s="20">
        <v>12464.1875</v>
      </c>
      <c r="Y265" s="19">
        <v>0.29160000000000003</v>
      </c>
      <c r="Z265" s="19">
        <v>0.2712</v>
      </c>
      <c r="AB265" s="18">
        <v>2216</v>
      </c>
    </row>
    <row r="266" spans="1:28" ht="15.75" customHeight="1" x14ac:dyDescent="0.2">
      <c r="A266" s="36" t="str">
        <f>HYPERLINK("https://www.cgcc.edu", "Columbia Gorge Community College")</f>
        <v>Columbia Gorge Community College</v>
      </c>
      <c r="B266" s="18" t="s">
        <v>49</v>
      </c>
      <c r="C266" s="18" t="s">
        <v>143</v>
      </c>
      <c r="D266" s="18" t="s">
        <v>1219</v>
      </c>
      <c r="E266" s="18" t="s">
        <v>36</v>
      </c>
      <c r="F266" s="18" t="s">
        <v>36</v>
      </c>
      <c r="J266" s="19"/>
      <c r="K266" s="19">
        <v>0.2</v>
      </c>
      <c r="L266" s="19" t="s">
        <v>36</v>
      </c>
      <c r="M266" s="19">
        <v>0.1212</v>
      </c>
      <c r="N266" s="19" t="s">
        <v>36</v>
      </c>
      <c r="O266" s="19">
        <v>0.2432</v>
      </c>
      <c r="P266" s="19">
        <v>0</v>
      </c>
      <c r="Q266" s="19" t="s">
        <v>36</v>
      </c>
      <c r="R266" s="20">
        <v>23584</v>
      </c>
      <c r="S266" s="21" t="str">
        <f>HYPERLINK("https://www.cgcc.edu/sites/default/files/financial-aid/npc/npcalc.htm", "$17870")</f>
        <v>$17870</v>
      </c>
      <c r="T266" s="20">
        <v>19305</v>
      </c>
      <c r="U266" s="20">
        <v>22207</v>
      </c>
      <c r="V266" s="20">
        <v>4900</v>
      </c>
      <c r="W266" s="20">
        <v>12970.07317073171</v>
      </c>
      <c r="Y266" s="19">
        <v>0.37540000000000001</v>
      </c>
      <c r="Z266" s="19">
        <v>0.40389999999999998</v>
      </c>
      <c r="AB266" s="18">
        <v>661</v>
      </c>
    </row>
    <row r="267" spans="1:28" ht="15.75" customHeight="1" x14ac:dyDescent="0.2">
      <c r="A267" s="36" t="str">
        <f>HYPERLINK("https://www.columbiastate.edu", "Columbia State Community College")</f>
        <v>Columbia State Community College</v>
      </c>
      <c r="B267" s="18" t="s">
        <v>49</v>
      </c>
      <c r="C267" s="18" t="s">
        <v>174</v>
      </c>
      <c r="D267" s="18" t="s">
        <v>165</v>
      </c>
      <c r="E267" s="18" t="s">
        <v>36</v>
      </c>
      <c r="F267" s="18" t="s">
        <v>36</v>
      </c>
      <c r="J267" s="19"/>
      <c r="K267" s="19">
        <v>0.28289999999999998</v>
      </c>
      <c r="L267" s="19">
        <v>0.14833501499999999</v>
      </c>
      <c r="M267" s="19">
        <v>0.29509999999999997</v>
      </c>
      <c r="N267" s="19">
        <v>0.1739</v>
      </c>
      <c r="O267" s="19">
        <v>0.40629999999999999</v>
      </c>
      <c r="P267" s="19">
        <v>0.28570000000000001</v>
      </c>
      <c r="Q267" s="19">
        <v>8.2980012000000006E-2</v>
      </c>
      <c r="R267" s="20">
        <v>32129</v>
      </c>
      <c r="S267" s="21" t="str">
        <f>HYPERLINK("https://www.columbiastate.edu/IR/NetPriceCalc/NetPriceCalculator/npcalc.htm", "$25024")</f>
        <v>$25024</v>
      </c>
      <c r="T267" s="20">
        <v>26937</v>
      </c>
      <c r="U267" s="20">
        <v>27686</v>
      </c>
      <c r="V267" s="20">
        <v>5378</v>
      </c>
      <c r="W267" s="20">
        <v>19646.95550351288</v>
      </c>
      <c r="Y267" s="19">
        <v>0.33489999999999998</v>
      </c>
      <c r="Z267" s="19">
        <v>0.19839999999999999</v>
      </c>
      <c r="AB267" s="18">
        <v>4742</v>
      </c>
    </row>
    <row r="268" spans="1:28" ht="15.75" customHeight="1" x14ac:dyDescent="0.2">
      <c r="A268" s="36" t="str">
        <f>HYPERLINK("https://www.sunycgcc.edu", "SUNY Columbia-Greene Community College")</f>
        <v>SUNY Columbia-Greene Community College</v>
      </c>
      <c r="B268" s="18" t="s">
        <v>49</v>
      </c>
      <c r="C268" s="18" t="s">
        <v>38</v>
      </c>
      <c r="D268" s="18" t="s">
        <v>1065</v>
      </c>
      <c r="E268" s="18" t="s">
        <v>36</v>
      </c>
      <c r="F268" s="18" t="s">
        <v>36</v>
      </c>
      <c r="J268" s="19"/>
      <c r="K268" s="19">
        <v>0.32990000000000003</v>
      </c>
      <c r="L268" s="19">
        <v>0.31609195400000001</v>
      </c>
      <c r="M268" s="19">
        <v>0.3624</v>
      </c>
      <c r="N268" s="19">
        <v>0.15379999999999999</v>
      </c>
      <c r="O268" s="19">
        <v>0.18179999999999999</v>
      </c>
      <c r="P268" s="19">
        <v>0.5</v>
      </c>
      <c r="Q268" s="19">
        <v>4.6128501000000002E-2</v>
      </c>
      <c r="R268" s="20">
        <v>15704</v>
      </c>
      <c r="S268" s="21" t="str">
        <f>HYPERLINK("https://www.sunycgcc.edu/financial-aid/net-price-calculator/", "$4008")</f>
        <v>$4008</v>
      </c>
      <c r="T268" s="20">
        <v>8287</v>
      </c>
      <c r="U268" s="20">
        <v>10129</v>
      </c>
      <c r="V268" s="20">
        <v>3816</v>
      </c>
      <c r="W268" s="20">
        <v>192</v>
      </c>
      <c r="Y268" s="19">
        <v>0.36780000000000002</v>
      </c>
      <c r="Z268" s="19">
        <v>0.25119999999999998</v>
      </c>
      <c r="AB268" s="18">
        <v>1083</v>
      </c>
    </row>
    <row r="269" spans="1:28" ht="15.75" customHeight="1" x14ac:dyDescent="0.2">
      <c r="A269" s="36" t="str">
        <f>HYPERLINK("https://www.commonwealth.edu", "Commonwealth Institute of Funeral Service")</f>
        <v>Commonwealth Institute of Funeral Service</v>
      </c>
      <c r="B269" s="18" t="s">
        <v>32</v>
      </c>
      <c r="C269" s="18" t="s">
        <v>146</v>
      </c>
      <c r="D269" s="18" t="s">
        <v>147</v>
      </c>
      <c r="E269" s="18" t="s">
        <v>36</v>
      </c>
      <c r="F269" s="18" t="s">
        <v>36</v>
      </c>
      <c r="J269" s="19"/>
      <c r="K269" s="19">
        <v>0.75</v>
      </c>
      <c r="L269" s="19">
        <v>0.55555555600000006</v>
      </c>
      <c r="M269" s="19">
        <v>0.84619999999999995</v>
      </c>
      <c r="N269" s="19">
        <v>0.5</v>
      </c>
      <c r="O269" s="19">
        <v>0.75</v>
      </c>
      <c r="P269" s="19">
        <v>1</v>
      </c>
      <c r="Q269" s="19" t="s">
        <v>36</v>
      </c>
      <c r="R269" s="20">
        <v>31755</v>
      </c>
      <c r="S269" s="21" t="str">
        <f>HYPERLINK("https://www.commonwealth.edu", "$22418")</f>
        <v>$22418</v>
      </c>
      <c r="T269" s="20" t="s">
        <v>36</v>
      </c>
      <c r="U269" s="20" t="s">
        <v>36</v>
      </c>
      <c r="V269" s="20" t="s">
        <v>36</v>
      </c>
      <c r="W269" s="20" t="s">
        <v>36</v>
      </c>
      <c r="Y269" s="19">
        <v>0.35659999999999997</v>
      </c>
      <c r="Z269" s="19">
        <v>0.48839999999999989</v>
      </c>
      <c r="AB269" s="18">
        <v>215</v>
      </c>
    </row>
    <row r="270" spans="1:28" ht="15.75" customHeight="1" x14ac:dyDescent="0.2">
      <c r="A270" s="36" t="str">
        <f>HYPERLINK("https://www.cccollege.edu", "Community Christian College")</f>
        <v>Community Christian College</v>
      </c>
      <c r="B270" s="18" t="s">
        <v>32</v>
      </c>
      <c r="C270" s="18" t="s">
        <v>68</v>
      </c>
      <c r="D270" s="18" t="s">
        <v>521</v>
      </c>
      <c r="E270" s="18" t="s">
        <v>36</v>
      </c>
      <c r="F270" s="18" t="s">
        <v>36</v>
      </c>
      <c r="J270" s="19"/>
      <c r="K270" s="19">
        <v>0.26529999999999998</v>
      </c>
      <c r="L270" s="19" t="s">
        <v>36</v>
      </c>
      <c r="M270" s="19">
        <v>0.25</v>
      </c>
      <c r="N270" s="19">
        <v>0.66669999999999996</v>
      </c>
      <c r="O270" s="19">
        <v>0.27589999999999998</v>
      </c>
      <c r="P270" s="19" t="s">
        <v>36</v>
      </c>
      <c r="Q270" s="19">
        <v>0.17105263200000001</v>
      </c>
      <c r="R270" s="20">
        <v>22848</v>
      </c>
      <c r="S270" s="21" t="str">
        <f>HYPERLINK("https://www.cccollege.edu", "$5468")</f>
        <v>$5468</v>
      </c>
      <c r="T270" s="20" t="s">
        <v>36</v>
      </c>
      <c r="U270" s="20" t="s">
        <v>36</v>
      </c>
      <c r="V270" s="20">
        <v>7491</v>
      </c>
      <c r="W270" s="20">
        <v>-2023</v>
      </c>
      <c r="Y270" s="19">
        <v>0.29549999999999998</v>
      </c>
      <c r="Z270" s="19">
        <v>0.72340000000000004</v>
      </c>
      <c r="AB270" s="18">
        <v>47</v>
      </c>
    </row>
    <row r="271" spans="1:28" ht="15.75" customHeight="1" x14ac:dyDescent="0.2">
      <c r="A271" s="36" t="str">
        <f>HYPERLINK("https://www.ccac.edu", "Community College of Allegheny County")</f>
        <v>Community College of Allegheny County</v>
      </c>
      <c r="B271" s="18" t="s">
        <v>49</v>
      </c>
      <c r="C271" s="18" t="s">
        <v>65</v>
      </c>
      <c r="D271" s="18" t="s">
        <v>74</v>
      </c>
      <c r="E271" s="18" t="s">
        <v>36</v>
      </c>
      <c r="F271" s="18" t="s">
        <v>36</v>
      </c>
      <c r="J271" s="19"/>
      <c r="K271" s="19">
        <v>0.1363</v>
      </c>
      <c r="L271" s="19">
        <v>0.160949114</v>
      </c>
      <c r="M271" s="19">
        <v>0.15290000000000001</v>
      </c>
      <c r="N271" s="19">
        <v>6.6699999999999995E-2</v>
      </c>
      <c r="O271" s="19">
        <v>0.2</v>
      </c>
      <c r="P271" s="19">
        <v>0.12239999999999999</v>
      </c>
      <c r="Q271" s="19">
        <v>9.4712061E-2</v>
      </c>
      <c r="R271" s="20">
        <v>24113</v>
      </c>
      <c r="S271" s="21" t="str">
        <f>HYPERLINK("https://webapps.ccac.edu/NetPriceCalc/npcalc.htm", "$19165")</f>
        <v>$19165</v>
      </c>
      <c r="T271" s="20">
        <v>21467</v>
      </c>
      <c r="U271" s="20">
        <v>23753</v>
      </c>
      <c r="V271" s="20">
        <v>6860</v>
      </c>
      <c r="W271" s="20">
        <v>12305.102301790281</v>
      </c>
      <c r="Y271" s="19">
        <v>0.35099999999999998</v>
      </c>
      <c r="Z271" s="19">
        <v>0.39750000000000002</v>
      </c>
      <c r="AB271" s="18">
        <v>14804</v>
      </c>
    </row>
    <row r="272" spans="1:28" ht="15.75" customHeight="1" x14ac:dyDescent="0.2">
      <c r="A272" s="36" t="str">
        <f>HYPERLINK("https://www.ccaurora.edu", "Community College of Aurora")</f>
        <v>Community College of Aurora</v>
      </c>
      <c r="B272" s="18" t="s">
        <v>49</v>
      </c>
      <c r="C272" s="18" t="s">
        <v>87</v>
      </c>
      <c r="D272" s="18" t="s">
        <v>537</v>
      </c>
      <c r="E272" s="18" t="s">
        <v>36</v>
      </c>
      <c r="F272" s="18" t="s">
        <v>36</v>
      </c>
      <c r="J272" s="19"/>
      <c r="K272" s="19">
        <v>0.28520000000000001</v>
      </c>
      <c r="L272" s="19">
        <v>0.12878787899999999</v>
      </c>
      <c r="M272" s="19">
        <v>0.39679999999999999</v>
      </c>
      <c r="N272" s="19">
        <v>0.125</v>
      </c>
      <c r="O272" s="19">
        <v>0.23530000000000001</v>
      </c>
      <c r="P272" s="19">
        <v>0</v>
      </c>
      <c r="Q272" s="19">
        <v>9.6801706000000001E-2</v>
      </c>
      <c r="R272" s="20">
        <v>31482</v>
      </c>
      <c r="S272" s="21" t="str">
        <f>HYPERLINK("https://www.ccaurora.edu/net-price-calculator/index.htm", "$24205")</f>
        <v>$24205</v>
      </c>
      <c r="T272" s="20">
        <v>26776</v>
      </c>
      <c r="U272" s="20">
        <v>31069</v>
      </c>
      <c r="V272" s="20">
        <v>7254</v>
      </c>
      <c r="W272" s="20">
        <v>16951.464566929131</v>
      </c>
      <c r="Y272" s="19">
        <v>0.28349999999999997</v>
      </c>
      <c r="Z272" s="19">
        <v>0.6774</v>
      </c>
      <c r="AB272" s="18">
        <v>4711</v>
      </c>
    </row>
    <row r="273" spans="1:28" ht="15.75" customHeight="1" x14ac:dyDescent="0.2">
      <c r="A273" s="36" t="str">
        <f>HYPERLINK("https://www.ccbcmd.edu", "The Community College of Baltimore County")</f>
        <v>The Community College of Baltimore County</v>
      </c>
      <c r="B273" s="18" t="s">
        <v>49</v>
      </c>
      <c r="C273" s="18" t="s">
        <v>124</v>
      </c>
      <c r="D273" s="18" t="s">
        <v>125</v>
      </c>
      <c r="E273" s="18" t="s">
        <v>36</v>
      </c>
      <c r="F273" s="18" t="s">
        <v>36</v>
      </c>
      <c r="J273" s="19"/>
      <c r="K273" s="19">
        <v>0.1162</v>
      </c>
      <c r="L273" s="19">
        <v>0.127610209</v>
      </c>
      <c r="M273" s="19">
        <v>0.1825</v>
      </c>
      <c r="N273" s="19">
        <v>7.0999999999999994E-2</v>
      </c>
      <c r="O273" s="19">
        <v>3.8199999999999998E-2</v>
      </c>
      <c r="P273" s="19">
        <v>0.1203</v>
      </c>
      <c r="Q273" s="19">
        <v>6.7412379000000008E-2</v>
      </c>
      <c r="R273" s="20">
        <v>25341</v>
      </c>
      <c r="S273" s="21" t="str">
        <f>HYPERLINK("https://www.ccbcmd.edu/About-CCBC/Policies-and-Procedures/Consumer-Information.aspx", "$19949")</f>
        <v>$19949</v>
      </c>
      <c r="T273" s="20">
        <v>23061</v>
      </c>
      <c r="U273" s="20">
        <v>24656</v>
      </c>
      <c r="V273" s="20">
        <v>5108</v>
      </c>
      <c r="W273" s="20">
        <v>14841.2755344418</v>
      </c>
      <c r="Y273" s="19">
        <v>0.4163</v>
      </c>
      <c r="Z273" s="19">
        <v>0.60959999999999992</v>
      </c>
      <c r="AB273" s="18">
        <v>17614</v>
      </c>
    </row>
    <row r="274" spans="1:28" ht="15.75" customHeight="1" x14ac:dyDescent="0.2">
      <c r="A274" s="36" t="str">
        <f>HYPERLINK("https://www.ccbc.edu", "Community College of Beaver County")</f>
        <v>Community College of Beaver County</v>
      </c>
      <c r="B274" s="18" t="s">
        <v>49</v>
      </c>
      <c r="C274" s="18" t="s">
        <v>65</v>
      </c>
      <c r="D274" s="18" t="s">
        <v>1053</v>
      </c>
      <c r="E274" s="18" t="s">
        <v>36</v>
      </c>
      <c r="F274" s="18" t="s">
        <v>36</v>
      </c>
      <c r="J274" s="19"/>
      <c r="K274" s="19">
        <v>0.2492</v>
      </c>
      <c r="L274" s="19">
        <v>0.22986247500000001</v>
      </c>
      <c r="M274" s="19">
        <v>0.25879999999999997</v>
      </c>
      <c r="N274" s="19">
        <v>0.14710000000000001</v>
      </c>
      <c r="O274" s="19">
        <v>0.2</v>
      </c>
      <c r="P274" s="19">
        <v>0</v>
      </c>
      <c r="Q274" s="19">
        <v>8.934338E-2</v>
      </c>
      <c r="R274" s="20">
        <v>27175</v>
      </c>
      <c r="S274" s="21" t="str">
        <f>HYPERLINK("https://www.ccbc.edu/netpricecalculator/npcalc.htm", "$21325")</f>
        <v>$21325</v>
      </c>
      <c r="T274" s="20">
        <v>24133</v>
      </c>
      <c r="U274" s="20">
        <v>26358</v>
      </c>
      <c r="V274" s="20">
        <v>4020</v>
      </c>
      <c r="W274" s="20">
        <v>17305.023255813951</v>
      </c>
      <c r="Y274" s="19">
        <v>0.36309999999999998</v>
      </c>
      <c r="Z274" s="19">
        <v>0.19839999999999999</v>
      </c>
      <c r="AB274" s="18">
        <v>1769</v>
      </c>
    </row>
    <row r="275" spans="1:28" ht="15.75" customHeight="1" x14ac:dyDescent="0.2">
      <c r="A275" s="36" t="str">
        <f>HYPERLINK("https://www.ccd.edu", "Community College of Denver")</f>
        <v>Community College of Denver</v>
      </c>
      <c r="B275" s="18" t="s">
        <v>49</v>
      </c>
      <c r="C275" s="18" t="s">
        <v>87</v>
      </c>
      <c r="D275" s="18" t="s">
        <v>508</v>
      </c>
      <c r="E275" s="18" t="s">
        <v>36</v>
      </c>
      <c r="F275" s="18" t="s">
        <v>36</v>
      </c>
      <c r="J275" s="19"/>
      <c r="K275" s="19">
        <v>0.1008</v>
      </c>
      <c r="L275" s="19">
        <v>0.10144927500000001</v>
      </c>
      <c r="M275" s="19">
        <v>9.64E-2</v>
      </c>
      <c r="N275" s="19">
        <v>9.35E-2</v>
      </c>
      <c r="O275" s="19">
        <v>0.1139</v>
      </c>
      <c r="P275" s="19">
        <v>0.1111</v>
      </c>
      <c r="Q275" s="19">
        <v>9.1536339000000008E-2</v>
      </c>
      <c r="R275" s="20">
        <v>30936</v>
      </c>
      <c r="S275" s="21" t="str">
        <f>HYPERLINK("https://ccd.edu/cost_calculator/", "$23454")</f>
        <v>$23454</v>
      </c>
      <c r="T275" s="20">
        <v>26469</v>
      </c>
      <c r="U275" s="20">
        <v>29259</v>
      </c>
      <c r="V275" s="20">
        <v>5931</v>
      </c>
      <c r="W275" s="20">
        <v>17523.261904761901</v>
      </c>
      <c r="Y275" s="19">
        <v>0.62629999999999997</v>
      </c>
      <c r="Z275" s="19">
        <v>0.65010000000000001</v>
      </c>
      <c r="AB275" s="18">
        <v>6656</v>
      </c>
    </row>
    <row r="276" spans="1:28" ht="15.75" customHeight="1" x14ac:dyDescent="0.2">
      <c r="A276" s="36" t="str">
        <f>HYPERLINK("https://www.ccp.edu", "Community College of Philadelphia")</f>
        <v>Community College of Philadelphia</v>
      </c>
      <c r="B276" s="18" t="s">
        <v>49</v>
      </c>
      <c r="C276" s="18" t="s">
        <v>65</v>
      </c>
      <c r="D276" s="18" t="s">
        <v>168</v>
      </c>
      <c r="E276" s="18" t="s">
        <v>36</v>
      </c>
      <c r="F276" s="18" t="s">
        <v>36</v>
      </c>
      <c r="J276" s="19"/>
      <c r="K276" s="19">
        <v>0.13289999999999999</v>
      </c>
      <c r="L276" s="19">
        <v>0.135531136</v>
      </c>
      <c r="M276" s="19">
        <v>0.18590000000000001</v>
      </c>
      <c r="N276" s="19">
        <v>9.9500000000000005E-2</v>
      </c>
      <c r="O276" s="19">
        <v>0.11600000000000001</v>
      </c>
      <c r="P276" s="19">
        <v>0.1575</v>
      </c>
      <c r="Q276" s="19">
        <v>8.9816315999999993E-2</v>
      </c>
      <c r="R276" s="20">
        <v>27306</v>
      </c>
      <c r="S276" s="21" t="str">
        <f>HYPERLINK("https://www.ccp.edu/paying-college/financial-aid/net-price-calculator", "$22099")</f>
        <v>$22099</v>
      </c>
      <c r="T276" s="20">
        <v>25534</v>
      </c>
      <c r="U276" s="20">
        <v>27099</v>
      </c>
      <c r="V276" s="20">
        <v>4385</v>
      </c>
      <c r="W276" s="20">
        <v>17714.137931034478</v>
      </c>
      <c r="Y276" s="19">
        <v>0.60650000000000004</v>
      </c>
      <c r="Z276" s="19">
        <v>0.78410000000000002</v>
      </c>
      <c r="AB276" s="18">
        <v>16012</v>
      </c>
    </row>
    <row r="277" spans="1:28" ht="15.75" customHeight="1" x14ac:dyDescent="0.2">
      <c r="A277" s="36" t="str">
        <f>HYPERLINK("https://www.ccri.edu", "Community College of Rhode Island")</f>
        <v>Community College of Rhode Island</v>
      </c>
      <c r="B277" s="18" t="s">
        <v>49</v>
      </c>
      <c r="C277" s="18" t="s">
        <v>63</v>
      </c>
      <c r="D277" s="18" t="s">
        <v>1224</v>
      </c>
      <c r="E277" s="18" t="s">
        <v>36</v>
      </c>
      <c r="F277" s="18" t="s">
        <v>36</v>
      </c>
      <c r="J277" s="19"/>
      <c r="K277" s="19">
        <v>0.17899999999999999</v>
      </c>
      <c r="L277" s="19">
        <v>0.15116739200000001</v>
      </c>
      <c r="M277" s="19">
        <v>0.21790000000000001</v>
      </c>
      <c r="N277" s="19">
        <v>0.04</v>
      </c>
      <c r="O277" s="19">
        <v>8.6599999999999996E-2</v>
      </c>
      <c r="P277" s="19">
        <v>0.11899999999999999</v>
      </c>
      <c r="Q277" s="19">
        <v>7.9393172999999997E-2</v>
      </c>
      <c r="R277" s="20">
        <v>27460</v>
      </c>
      <c r="S277" s="21" t="str">
        <f>HYPERLINK("https://webfor.ccri.edu/calc/calc_pell.cfm", "$21757")</f>
        <v>$21757</v>
      </c>
      <c r="T277" s="20">
        <v>23576</v>
      </c>
      <c r="U277" s="20">
        <v>26537</v>
      </c>
      <c r="V277" s="20">
        <v>5828</v>
      </c>
      <c r="W277" s="20">
        <v>15929.10576923077</v>
      </c>
      <c r="Y277" s="19">
        <v>0.54079999999999995</v>
      </c>
      <c r="Z277" s="19">
        <v>0.43399999999999989</v>
      </c>
      <c r="AB277" s="18">
        <v>14013</v>
      </c>
    </row>
    <row r="278" spans="1:28" ht="15.75" customHeight="1" x14ac:dyDescent="0.2">
      <c r="A278" s="36" t="str">
        <f>HYPERLINK("https://www.ccv.edu", "Community College of Vermont")</f>
        <v>Community College of Vermont</v>
      </c>
      <c r="B278" s="18" t="s">
        <v>49</v>
      </c>
      <c r="C278" s="18" t="s">
        <v>47</v>
      </c>
      <c r="D278" s="18" t="s">
        <v>1225</v>
      </c>
      <c r="E278" s="18" t="s">
        <v>36</v>
      </c>
      <c r="F278" s="18" t="s">
        <v>36</v>
      </c>
      <c r="J278" s="19"/>
      <c r="K278" s="19">
        <v>0.2137</v>
      </c>
      <c r="L278" s="19">
        <v>0.123809524</v>
      </c>
      <c r="M278" s="19">
        <v>0.24210000000000001</v>
      </c>
      <c r="N278" s="19">
        <v>0.16669999999999999</v>
      </c>
      <c r="O278" s="19">
        <v>0</v>
      </c>
      <c r="P278" s="19">
        <v>0</v>
      </c>
      <c r="Q278" s="19">
        <v>0.133799534</v>
      </c>
      <c r="R278" s="20">
        <v>24760</v>
      </c>
      <c r="S278" s="21" t="str">
        <f>HYPERLINK("https://ccv.studentaidcalculator.com/survey.aspx", "$19311")</f>
        <v>$19311</v>
      </c>
      <c r="T278" s="20">
        <v>20303</v>
      </c>
      <c r="U278" s="20">
        <v>23889</v>
      </c>
      <c r="V278" s="20">
        <v>2712</v>
      </c>
      <c r="W278" s="20">
        <v>16599</v>
      </c>
      <c r="Y278" s="19">
        <v>0.30330000000000001</v>
      </c>
      <c r="Z278" s="19">
        <v>0.17710000000000001</v>
      </c>
      <c r="AB278" s="18">
        <v>3874</v>
      </c>
    </row>
    <row r="279" spans="1:28" ht="15.75" customHeight="1" x14ac:dyDescent="0.2">
      <c r="A279" s="36" t="str">
        <f>HYPERLINK("https://www.compton.edu", "El Camino College-Compton Center")</f>
        <v>El Camino College-Compton Center</v>
      </c>
      <c r="B279" s="18" t="s">
        <v>49</v>
      </c>
      <c r="C279" s="18" t="s">
        <v>68</v>
      </c>
      <c r="D279" s="18" t="s">
        <v>1226</v>
      </c>
      <c r="E279" s="18" t="s">
        <v>36</v>
      </c>
      <c r="F279" s="18" t="s">
        <v>36</v>
      </c>
      <c r="J279" s="19"/>
      <c r="K279" s="19">
        <v>0.18140000000000001</v>
      </c>
      <c r="L279" s="19">
        <v>0.102667745</v>
      </c>
      <c r="M279" s="19">
        <v>0.25</v>
      </c>
      <c r="N279" s="19">
        <v>0.1047</v>
      </c>
      <c r="O279" s="19">
        <v>0.2051</v>
      </c>
      <c r="P279" s="19">
        <v>0.33329999999999999</v>
      </c>
      <c r="Q279" s="19">
        <v>0.103280423</v>
      </c>
      <c r="R279" s="20">
        <v>25266</v>
      </c>
      <c r="S279" s="21" t="str">
        <f>HYPERLINK("https://misweb.cccco.edu/npc/721/npcalc.htm", "$18414")</f>
        <v>$18414</v>
      </c>
      <c r="T279" s="20">
        <v>21971</v>
      </c>
      <c r="U279" s="20" t="s">
        <v>36</v>
      </c>
      <c r="V279" s="20">
        <v>6127</v>
      </c>
      <c r="W279" s="20">
        <v>12287.88432835821</v>
      </c>
      <c r="Y279" s="19">
        <v>0.29349999999999998</v>
      </c>
      <c r="Z279" s="19">
        <v>0.96889999999999998</v>
      </c>
      <c r="AB279" s="18">
        <v>6212</v>
      </c>
    </row>
    <row r="280" spans="1:28" ht="15.75" customHeight="1" x14ac:dyDescent="0.2">
      <c r="A280" s="36" t="str">
        <f>HYPERLINK("https://www.ccal.edu/", "Concordia College Alabama")</f>
        <v>Concordia College Alabama</v>
      </c>
      <c r="B280" s="18" t="s">
        <v>32</v>
      </c>
      <c r="C280" s="18" t="s">
        <v>300</v>
      </c>
      <c r="D280" s="18" t="s">
        <v>1227</v>
      </c>
      <c r="E280" s="18" t="s">
        <v>36</v>
      </c>
      <c r="F280" s="18" t="s">
        <v>36</v>
      </c>
      <c r="J280" s="19"/>
      <c r="K280" s="19">
        <v>0.15129999999999999</v>
      </c>
      <c r="L280" s="19" t="s">
        <v>36</v>
      </c>
      <c r="M280" s="19">
        <v>0</v>
      </c>
      <c r="N280" s="19">
        <v>0.1729</v>
      </c>
      <c r="O280" s="19">
        <v>0</v>
      </c>
      <c r="P280" s="19">
        <v>0</v>
      </c>
      <c r="Q280" s="19">
        <v>0.11418685100000001</v>
      </c>
      <c r="R280" s="20">
        <v>27620</v>
      </c>
      <c r="S280" s="21" t="str">
        <f>HYPERLINK("https://www.ccal.edu/admissions/net-pricing-calculator/", "$22167")</f>
        <v>$22167</v>
      </c>
      <c r="T280" s="20">
        <v>25160</v>
      </c>
      <c r="U280" s="20" t="s">
        <v>36</v>
      </c>
      <c r="V280" s="20">
        <v>11600</v>
      </c>
      <c r="W280" s="20">
        <v>10567</v>
      </c>
      <c r="Y280" s="19">
        <v>0.85589999999999999</v>
      </c>
      <c r="Z280" s="19">
        <v>0.96660000000000001</v>
      </c>
      <c r="AB280" s="18">
        <v>389</v>
      </c>
    </row>
    <row r="281" spans="1:28" ht="15.75" customHeight="1" x14ac:dyDescent="0.2">
      <c r="A281" s="36" t="str">
        <f>HYPERLINK("https://www.connorsstate.edu", "Connors State College")</f>
        <v>Connors State College</v>
      </c>
      <c r="B281" s="18" t="s">
        <v>49</v>
      </c>
      <c r="C281" s="18" t="s">
        <v>290</v>
      </c>
      <c r="D281" s="18" t="s">
        <v>1229</v>
      </c>
      <c r="E281" s="18" t="s">
        <v>36</v>
      </c>
      <c r="F281" s="18" t="s">
        <v>36</v>
      </c>
      <c r="J281" s="19"/>
      <c r="K281" s="19">
        <v>0.2296</v>
      </c>
      <c r="L281" s="19">
        <v>0.15236427299999999</v>
      </c>
      <c r="M281" s="19">
        <v>0.2412</v>
      </c>
      <c r="N281" s="19">
        <v>0.14580000000000001</v>
      </c>
      <c r="O281" s="19">
        <v>7.1400000000000005E-2</v>
      </c>
      <c r="P281" s="19">
        <v>0</v>
      </c>
      <c r="Q281" s="19">
        <v>8.2949308999999999E-2</v>
      </c>
      <c r="R281" s="20">
        <v>21573</v>
      </c>
      <c r="S281" s="21" t="str">
        <f>HYPERLINK("https://www.connorsstate.edu/coa/", "$15193")</f>
        <v>$15193</v>
      </c>
      <c r="T281" s="20">
        <v>19446</v>
      </c>
      <c r="U281" s="20">
        <v>19487</v>
      </c>
      <c r="V281" s="20">
        <v>7040</v>
      </c>
      <c r="W281" s="20">
        <v>8153.3198653198651</v>
      </c>
      <c r="Y281" s="19">
        <v>0.48249999999999998</v>
      </c>
      <c r="Z281" s="19">
        <v>0.52839999999999998</v>
      </c>
      <c r="AB281" s="18">
        <v>1900</v>
      </c>
    </row>
    <row r="282" spans="1:28" ht="15.75" customHeight="1" x14ac:dyDescent="0.2">
      <c r="A282" s="36" t="str">
        <f>HYPERLINK("https://www.csb.edu", "Consolidated School of Business-York")</f>
        <v>Consolidated School of Business-York</v>
      </c>
      <c r="B282" s="18" t="s">
        <v>368</v>
      </c>
      <c r="C282" s="18" t="s">
        <v>65</v>
      </c>
      <c r="D282" s="18" t="s">
        <v>1064</v>
      </c>
      <c r="E282" s="18" t="s">
        <v>36</v>
      </c>
      <c r="F282" s="18" t="s">
        <v>36</v>
      </c>
      <c r="J282" s="19"/>
      <c r="K282" s="19">
        <v>0.59179999999999999</v>
      </c>
      <c r="L282" s="19" t="s">
        <v>36</v>
      </c>
      <c r="M282" s="19">
        <v>0.8</v>
      </c>
      <c r="N282" s="19">
        <v>0.66669999999999996</v>
      </c>
      <c r="O282" s="19">
        <v>0.35709999999999997</v>
      </c>
      <c r="P282" s="19" t="s">
        <v>36</v>
      </c>
      <c r="Q282" s="19" t="s">
        <v>36</v>
      </c>
      <c r="R282" s="20" t="s">
        <v>36</v>
      </c>
      <c r="S282" s="21" t="str">
        <f>HYPERLINK("https://www.csb.edu", "$10808")</f>
        <v>$10808</v>
      </c>
      <c r="T282" s="20">
        <v>11714</v>
      </c>
      <c r="U282" s="20">
        <v>12897</v>
      </c>
      <c r="V282" s="20" t="s">
        <v>36</v>
      </c>
      <c r="W282" s="20" t="s">
        <v>36</v>
      </c>
      <c r="Y282" s="19">
        <v>0.86209999999999998</v>
      </c>
      <c r="Z282" s="19">
        <v>0.73680000000000001</v>
      </c>
      <c r="AB282" s="18">
        <v>114</v>
      </c>
    </row>
    <row r="283" spans="1:28" ht="15.75" customHeight="1" x14ac:dyDescent="0.2">
      <c r="A283" s="36" t="str">
        <f>HYPERLINK("https://www.contracosta.edu", "Contra Costa College")</f>
        <v>Contra Costa College</v>
      </c>
      <c r="B283" s="18" t="s">
        <v>49</v>
      </c>
      <c r="C283" s="18" t="s">
        <v>68</v>
      </c>
      <c r="D283" s="18" t="s">
        <v>1231</v>
      </c>
      <c r="E283" s="18" t="s">
        <v>36</v>
      </c>
      <c r="F283" s="18" t="s">
        <v>36</v>
      </c>
      <c r="J283" s="19"/>
      <c r="K283" s="19">
        <v>0.24629999999999999</v>
      </c>
      <c r="L283" s="19" t="s">
        <v>36</v>
      </c>
      <c r="M283" s="19">
        <v>0.23530000000000001</v>
      </c>
      <c r="N283" s="19">
        <v>0.1837</v>
      </c>
      <c r="O283" s="19">
        <v>0.2321</v>
      </c>
      <c r="P283" s="19">
        <v>0.2979</v>
      </c>
      <c r="Q283" s="19">
        <v>7.8391274999999996E-2</v>
      </c>
      <c r="R283" s="20">
        <v>27812</v>
      </c>
      <c r="S283" s="21" t="str">
        <f>HYPERLINK("https://misweb.cccco.edu/npc/311/npcalc.htm", "$20903")</f>
        <v>$20903</v>
      </c>
      <c r="T283" s="20">
        <v>23340</v>
      </c>
      <c r="U283" s="20">
        <v>25671</v>
      </c>
      <c r="V283" s="20">
        <v>6094</v>
      </c>
      <c r="W283" s="20">
        <v>14809.675324675331</v>
      </c>
      <c r="Y283" s="19">
        <v>0.26269999999999999</v>
      </c>
      <c r="Z283" s="19">
        <v>0.88480000000000003</v>
      </c>
      <c r="AB283" s="18">
        <v>5372</v>
      </c>
    </row>
    <row r="284" spans="1:28" ht="15.75" customHeight="1" x14ac:dyDescent="0.2">
      <c r="A284" s="36" t="str">
        <f>HYPERLINK("https://www.colin.edu", "Copiah-Lincoln Community College")</f>
        <v>Copiah-Lincoln Community College</v>
      </c>
      <c r="B284" s="18" t="s">
        <v>49</v>
      </c>
      <c r="C284" s="18" t="s">
        <v>59</v>
      </c>
      <c r="D284" s="18" t="s">
        <v>1232</v>
      </c>
      <c r="E284" s="18" t="s">
        <v>36</v>
      </c>
      <c r="F284" s="18" t="s">
        <v>36</v>
      </c>
      <c r="J284" s="19"/>
      <c r="K284" s="19">
        <v>0.45479999999999998</v>
      </c>
      <c r="L284" s="19">
        <v>0.248689139</v>
      </c>
      <c r="M284" s="19">
        <v>0.49070000000000003</v>
      </c>
      <c r="N284" s="19">
        <v>0.4294</v>
      </c>
      <c r="O284" s="19">
        <v>0.30769999999999997</v>
      </c>
      <c r="P284" s="19">
        <v>0.5</v>
      </c>
      <c r="Q284" s="19">
        <v>6.2093435999999988E-2</v>
      </c>
      <c r="R284" s="20">
        <v>13230</v>
      </c>
      <c r="S284" s="21" t="str">
        <f>HYPERLINK("https://www.colin.edu/financial-aid/net-price-calculator", "$6881")</f>
        <v>$6881</v>
      </c>
      <c r="T284" s="20">
        <v>9549</v>
      </c>
      <c r="U284" s="20">
        <v>11150</v>
      </c>
      <c r="V284" s="20">
        <v>4000</v>
      </c>
      <c r="W284" s="20">
        <v>2881.930051813471</v>
      </c>
      <c r="Y284" s="19">
        <v>0.50370000000000004</v>
      </c>
      <c r="Z284" s="19">
        <v>0.4637</v>
      </c>
      <c r="AB284" s="18">
        <v>2385</v>
      </c>
    </row>
    <row r="285" spans="1:28" ht="15.75" customHeight="1" x14ac:dyDescent="0.2">
      <c r="A285" s="36" t="str">
        <f>HYPERLINK("https://www.cmccd.edu", "Copper Mountain Community College")</f>
        <v>Copper Mountain Community College</v>
      </c>
      <c r="B285" s="18" t="s">
        <v>49</v>
      </c>
      <c r="C285" s="18" t="s">
        <v>68</v>
      </c>
      <c r="D285" s="18" t="s">
        <v>1233</v>
      </c>
      <c r="E285" s="18" t="s">
        <v>36</v>
      </c>
      <c r="F285" s="18" t="s">
        <v>36</v>
      </c>
      <c r="J285" s="19"/>
      <c r="K285" s="19">
        <v>0.1812</v>
      </c>
      <c r="L285" s="19" t="s">
        <v>36</v>
      </c>
      <c r="M285" s="19">
        <v>0.22620000000000001</v>
      </c>
      <c r="N285" s="19">
        <v>0.28570000000000001</v>
      </c>
      <c r="O285" s="19">
        <v>0.1026</v>
      </c>
      <c r="P285" s="19">
        <v>0</v>
      </c>
      <c r="Q285" s="19">
        <v>6.5449011000000001E-2</v>
      </c>
      <c r="R285" s="20">
        <v>28058</v>
      </c>
      <c r="S285" s="21" t="str">
        <f>HYPERLINK("https://misweb.cccco.edu/npc/971/npcalc.htm", "$21552")</f>
        <v>$21552</v>
      </c>
      <c r="T285" s="20">
        <v>23512</v>
      </c>
      <c r="U285" s="20" t="s">
        <v>36</v>
      </c>
      <c r="V285" s="20">
        <v>6093</v>
      </c>
      <c r="W285" s="20">
        <v>15459.205128205131</v>
      </c>
      <c r="Y285" s="19">
        <v>0.53990000000000005</v>
      </c>
      <c r="Z285" s="19">
        <v>0.52710000000000001</v>
      </c>
      <c r="AB285" s="18">
        <v>1622</v>
      </c>
    </row>
    <row r="286" spans="1:28" ht="15.75" customHeight="1" x14ac:dyDescent="0.2">
      <c r="A286" s="36" t="str">
        <f>HYPERLINK("https://www.corning-cc.edu/", "SUNY Corning Community College")</f>
        <v>SUNY Corning Community College</v>
      </c>
      <c r="B286" s="18" t="s">
        <v>49</v>
      </c>
      <c r="C286" s="18" t="s">
        <v>38</v>
      </c>
      <c r="D286" s="18" t="s">
        <v>1235</v>
      </c>
      <c r="E286" s="18" t="s">
        <v>36</v>
      </c>
      <c r="F286" s="18" t="s">
        <v>36</v>
      </c>
      <c r="J286" s="19"/>
      <c r="K286" s="19">
        <v>0.35199999999999998</v>
      </c>
      <c r="L286" s="19">
        <v>0.211401425</v>
      </c>
      <c r="M286" s="19">
        <v>0.36859999999999998</v>
      </c>
      <c r="N286" s="19">
        <v>0.28570000000000001</v>
      </c>
      <c r="O286" s="19">
        <v>0.18179999999999999</v>
      </c>
      <c r="P286" s="19">
        <v>0.83330000000000004</v>
      </c>
      <c r="Q286" s="19">
        <v>4.8131729000000012E-2</v>
      </c>
      <c r="R286" s="20">
        <v>17260</v>
      </c>
      <c r="S286" s="21" t="str">
        <f>HYPERLINK("https://www.corning-cc.edu/suny-net-price-calculator", "$3957")</f>
        <v>$3957</v>
      </c>
      <c r="T286" s="20">
        <v>8889</v>
      </c>
      <c r="U286" s="20">
        <v>10988</v>
      </c>
      <c r="V286" s="20">
        <v>2800</v>
      </c>
      <c r="W286" s="20">
        <v>1157</v>
      </c>
      <c r="Y286" s="19">
        <v>0.33139999999999997</v>
      </c>
      <c r="Z286" s="19">
        <v>0.1804</v>
      </c>
      <c r="AB286" s="18">
        <v>2367</v>
      </c>
    </row>
    <row r="287" spans="1:28" ht="15.75" customHeight="1" x14ac:dyDescent="0.2">
      <c r="A287" s="36" t="str">
        <f>HYPERLINK("https://www.crc.losrios.edu/", "Cosumnes River College")</f>
        <v>Cosumnes River College</v>
      </c>
      <c r="B287" s="18" t="s">
        <v>49</v>
      </c>
      <c r="C287" s="18" t="s">
        <v>68</v>
      </c>
      <c r="D287" s="18" t="s">
        <v>609</v>
      </c>
      <c r="E287" s="18" t="s">
        <v>36</v>
      </c>
      <c r="F287" s="18" t="s">
        <v>36</v>
      </c>
      <c r="J287" s="19"/>
      <c r="K287" s="19">
        <v>0.2394</v>
      </c>
      <c r="L287" s="19">
        <v>5.9846547E-2</v>
      </c>
      <c r="M287" s="19">
        <v>0.2989</v>
      </c>
      <c r="N287" s="19">
        <v>0.1648</v>
      </c>
      <c r="O287" s="19">
        <v>0.15959999999999999</v>
      </c>
      <c r="P287" s="19">
        <v>0.30940000000000001</v>
      </c>
      <c r="Q287" s="19">
        <v>0.120905783</v>
      </c>
      <c r="R287" s="20">
        <v>27594</v>
      </c>
      <c r="S287" s="21" t="str">
        <f>HYPERLINK("https://www.crc.losrios.edu/students/netpricecalc", "$20711")</f>
        <v>$20711</v>
      </c>
      <c r="T287" s="20">
        <v>23188</v>
      </c>
      <c r="U287" s="20" t="s">
        <v>36</v>
      </c>
      <c r="V287" s="20">
        <v>6093</v>
      </c>
      <c r="W287" s="20">
        <v>14618.223021582729</v>
      </c>
      <c r="Y287" s="19">
        <v>0.24909999999999999</v>
      </c>
      <c r="Z287" s="19">
        <v>0.76859999999999995</v>
      </c>
      <c r="AB287" s="18">
        <v>13027</v>
      </c>
    </row>
    <row r="288" spans="1:28" ht="15.75" customHeight="1" x14ac:dyDescent="0.2">
      <c r="A288" s="36" t="str">
        <f>HYPERLINK("https://www.cottey.edu", "Cottey College")</f>
        <v>Cottey College</v>
      </c>
      <c r="B288" s="18" t="s">
        <v>32</v>
      </c>
      <c r="C288" s="18" t="s">
        <v>164</v>
      </c>
      <c r="D288" s="18" t="s">
        <v>1238</v>
      </c>
      <c r="E288" s="18">
        <v>1053</v>
      </c>
      <c r="F288" s="18" t="s">
        <v>35</v>
      </c>
      <c r="J288" s="19"/>
      <c r="K288" s="19">
        <v>0.67859999999999998</v>
      </c>
      <c r="L288" s="19" t="s">
        <v>36</v>
      </c>
      <c r="M288" s="19">
        <v>0.70909999999999995</v>
      </c>
      <c r="N288" s="19">
        <v>0.25</v>
      </c>
      <c r="O288" s="19">
        <v>0.35289999999999999</v>
      </c>
      <c r="P288" s="19">
        <v>0.88890000000000002</v>
      </c>
      <c r="Q288" s="19">
        <v>0.16666666699999999</v>
      </c>
      <c r="R288" s="20">
        <v>31140</v>
      </c>
      <c r="S288" s="21" t="str">
        <f>HYPERLINK("https://npc.collegeboard.org/student/app/cottey", "$14970")</f>
        <v>$14970</v>
      </c>
      <c r="T288" s="20">
        <v>16896</v>
      </c>
      <c r="U288" s="20">
        <v>19818</v>
      </c>
      <c r="V288" s="20">
        <v>3540</v>
      </c>
      <c r="W288" s="20">
        <v>11430</v>
      </c>
      <c r="Y288" s="19">
        <v>0.41670000000000001</v>
      </c>
      <c r="Z288" s="19">
        <v>0.35089999999999999</v>
      </c>
      <c r="AB288" s="18">
        <v>265</v>
      </c>
    </row>
    <row r="289" spans="1:28" ht="15.75" customHeight="1" x14ac:dyDescent="0.2">
      <c r="A289" s="36" t="str">
        <f>HYPERLINK("https://WWW.CCM.EDU", "County College of Morris")</f>
        <v>County College of Morris</v>
      </c>
      <c r="B289" s="18" t="s">
        <v>49</v>
      </c>
      <c r="C289" s="18" t="s">
        <v>141</v>
      </c>
      <c r="D289" s="18" t="s">
        <v>1240</v>
      </c>
      <c r="E289" s="18" t="s">
        <v>36</v>
      </c>
      <c r="F289" s="18" t="s">
        <v>36</v>
      </c>
      <c r="J289" s="19"/>
      <c r="K289" s="19">
        <v>0.30690000000000001</v>
      </c>
      <c r="L289" s="19">
        <v>0.22442748100000001</v>
      </c>
      <c r="M289" s="19">
        <v>0.32829999999999998</v>
      </c>
      <c r="N289" s="19">
        <v>0.16669999999999999</v>
      </c>
      <c r="O289" s="19">
        <v>0.24</v>
      </c>
      <c r="P289" s="19">
        <v>0.21540000000000001</v>
      </c>
      <c r="Q289" s="19">
        <v>0.13808900499999999</v>
      </c>
      <c r="R289" s="20">
        <v>28760</v>
      </c>
      <c r="S289" s="21" t="str">
        <f>HYPERLINK("https://www.ccm.edu/wp-content/uploads/FinancialAid/npcalc.htm", "$22482")</f>
        <v>$22482</v>
      </c>
      <c r="T289" s="20">
        <v>25919</v>
      </c>
      <c r="U289" s="20">
        <v>28304</v>
      </c>
      <c r="V289" s="20">
        <v>6170</v>
      </c>
      <c r="W289" s="20">
        <v>16312.4406779661</v>
      </c>
      <c r="Y289" s="19">
        <v>0.22539999999999999</v>
      </c>
      <c r="Z289" s="19">
        <v>0.43240000000000001</v>
      </c>
      <c r="AB289" s="18">
        <v>7017</v>
      </c>
    </row>
    <row r="290" spans="1:28" ht="15.75" customHeight="1" x14ac:dyDescent="0.2">
      <c r="A290" s="36" t="str">
        <f>HYPERLINK("https://www.cowley.edu", "Cowley County Community College")</f>
        <v>Cowley County Community College</v>
      </c>
      <c r="B290" s="18" t="s">
        <v>49</v>
      </c>
      <c r="C290" s="18" t="s">
        <v>307</v>
      </c>
      <c r="D290" s="18" t="s">
        <v>1242</v>
      </c>
      <c r="E290" s="18" t="s">
        <v>36</v>
      </c>
      <c r="F290" s="18" t="s">
        <v>36</v>
      </c>
      <c r="J290" s="19"/>
      <c r="K290" s="19">
        <v>0.36580000000000001</v>
      </c>
      <c r="L290" s="19">
        <v>0.14763552499999999</v>
      </c>
      <c r="M290" s="19">
        <v>0.3231</v>
      </c>
      <c r="N290" s="19">
        <v>0.52939999999999998</v>
      </c>
      <c r="O290" s="19">
        <v>0.38890000000000002</v>
      </c>
      <c r="P290" s="19">
        <v>0.75</v>
      </c>
      <c r="Q290" s="19">
        <v>7.7545515999999995E-2</v>
      </c>
      <c r="R290" s="20">
        <v>16212</v>
      </c>
      <c r="S290" s="21" t="str">
        <f>HYPERLINK("https://claws.cowley.edu/www/net_price_calculator/npcalc.htm", "$11881")</f>
        <v>$11881</v>
      </c>
      <c r="T290" s="20">
        <v>14484</v>
      </c>
      <c r="U290" s="20">
        <v>15806</v>
      </c>
      <c r="V290" s="20">
        <v>6500</v>
      </c>
      <c r="W290" s="20">
        <v>5381.6825396825407</v>
      </c>
      <c r="Y290" s="19">
        <v>0.4798</v>
      </c>
      <c r="Z290" s="19">
        <v>0.3</v>
      </c>
      <c r="AB290" s="18">
        <v>2697</v>
      </c>
    </row>
    <row r="291" spans="1:28" ht="15.75" customHeight="1" x14ac:dyDescent="0.2">
      <c r="A291" s="36" t="str">
        <f>HYPERLINK("https://www.craftonhills.edu", "Crafton Hills College")</f>
        <v>Crafton Hills College</v>
      </c>
      <c r="B291" s="18" t="s">
        <v>49</v>
      </c>
      <c r="C291" s="18" t="s">
        <v>68</v>
      </c>
      <c r="D291" s="18" t="s">
        <v>1243</v>
      </c>
      <c r="E291" s="18" t="s">
        <v>36</v>
      </c>
      <c r="F291" s="18" t="s">
        <v>36</v>
      </c>
      <c r="J291" s="19"/>
      <c r="K291" s="19">
        <v>0.29139999999999999</v>
      </c>
      <c r="L291" s="19">
        <v>8.4628670000000003E-2</v>
      </c>
      <c r="M291" s="19">
        <v>0.36099999999999999</v>
      </c>
      <c r="N291" s="19">
        <v>0.375</v>
      </c>
      <c r="O291" s="19">
        <v>0.23549999999999999</v>
      </c>
      <c r="P291" s="19">
        <v>0.33329999999999999</v>
      </c>
      <c r="Q291" s="19">
        <v>0.11832946599999999</v>
      </c>
      <c r="R291" s="20">
        <v>31113</v>
      </c>
      <c r="S291" s="21" t="str">
        <f>HYPERLINK("https://nces.ed.gov/ipeds/netpricecalculator/Npc_2.aspx", "$24765")</f>
        <v>$24765</v>
      </c>
      <c r="T291" s="20">
        <v>27907</v>
      </c>
      <c r="U291" s="20">
        <v>29268</v>
      </c>
      <c r="V291" s="20">
        <v>5862</v>
      </c>
      <c r="W291" s="20">
        <v>18903.69090909091</v>
      </c>
      <c r="Y291" s="19">
        <v>0.16589999999999999</v>
      </c>
      <c r="Z291" s="19">
        <v>0.63819999999999999</v>
      </c>
      <c r="AB291" s="18">
        <v>5373</v>
      </c>
    </row>
    <row r="292" spans="1:28" ht="15.75" customHeight="1" x14ac:dyDescent="0.2">
      <c r="A292" s="36" t="str">
        <f>HYPERLINK("https://www.cravencc.edu", "Craven Community College")</f>
        <v>Craven Community College</v>
      </c>
      <c r="B292" s="18" t="s">
        <v>49</v>
      </c>
      <c r="C292" s="18" t="s">
        <v>103</v>
      </c>
      <c r="D292" s="18" t="s">
        <v>1244</v>
      </c>
      <c r="E292" s="18" t="s">
        <v>36</v>
      </c>
      <c r="F292" s="18" t="s">
        <v>36</v>
      </c>
      <c r="J292" s="19"/>
      <c r="K292" s="19">
        <v>0.26840000000000003</v>
      </c>
      <c r="L292" s="19" t="s">
        <v>36</v>
      </c>
      <c r="M292" s="19">
        <v>0.26119999999999999</v>
      </c>
      <c r="N292" s="19">
        <v>0.19639999999999999</v>
      </c>
      <c r="O292" s="19">
        <v>0.4</v>
      </c>
      <c r="P292" s="19">
        <v>0.58330000000000004</v>
      </c>
      <c r="Q292" s="19">
        <v>9.0909090999999997E-2</v>
      </c>
      <c r="R292" s="20">
        <v>24896</v>
      </c>
      <c r="S292" s="21" t="str">
        <f>HYPERLINK("https://cravencc.edu/financialaid/net-price-calculator/", "$19839")</f>
        <v>$19839</v>
      </c>
      <c r="T292" s="20">
        <v>20474</v>
      </c>
      <c r="U292" s="20">
        <v>21648</v>
      </c>
      <c r="V292" s="20">
        <v>6724</v>
      </c>
      <c r="W292" s="20">
        <v>13115.677966101701</v>
      </c>
      <c r="Y292" s="19">
        <v>0.38340000000000002</v>
      </c>
      <c r="Z292" s="19">
        <v>0.39539999999999997</v>
      </c>
      <c r="AB292" s="18">
        <v>2625</v>
      </c>
    </row>
    <row r="293" spans="1:28" ht="15.75" customHeight="1" x14ac:dyDescent="0.2">
      <c r="A293" s="36" t="str">
        <f>HYPERLINK("https://www.crowder.edu", "Crowder College")</f>
        <v>Crowder College</v>
      </c>
      <c r="B293" s="18" t="s">
        <v>49</v>
      </c>
      <c r="C293" s="18" t="s">
        <v>164</v>
      </c>
      <c r="D293" s="18" t="s">
        <v>1246</v>
      </c>
      <c r="E293" s="18" t="s">
        <v>36</v>
      </c>
      <c r="F293" s="18" t="s">
        <v>36</v>
      </c>
      <c r="J293" s="19"/>
      <c r="K293" s="19">
        <v>0.2853</v>
      </c>
      <c r="L293" s="19">
        <v>0.22022684300000001</v>
      </c>
      <c r="M293" s="19">
        <v>0.29959999999999998</v>
      </c>
      <c r="N293" s="19">
        <v>0.3</v>
      </c>
      <c r="O293" s="19">
        <v>0.20430000000000001</v>
      </c>
      <c r="P293" s="19">
        <v>0.31580000000000003</v>
      </c>
      <c r="Q293" s="19">
        <v>5.3119209000000001E-2</v>
      </c>
      <c r="R293" s="20">
        <v>13342</v>
      </c>
      <c r="S293" s="21" t="str">
        <f>HYPERLINK("https://www.crowder.edu/custom-hooks/net-price-calc/npcalc.htm", "$8013")</f>
        <v>$8013</v>
      </c>
      <c r="T293" s="20">
        <v>9648</v>
      </c>
      <c r="U293" s="20">
        <v>11304</v>
      </c>
      <c r="V293" s="20">
        <v>3324</v>
      </c>
      <c r="W293" s="20">
        <v>4689.5555555555557</v>
      </c>
      <c r="Y293" s="19">
        <v>0.3669</v>
      </c>
      <c r="Z293" s="19">
        <v>0.2261</v>
      </c>
      <c r="AB293" s="18">
        <v>3344</v>
      </c>
    </row>
    <row r="294" spans="1:28" ht="15.75" customHeight="1" x14ac:dyDescent="0.2">
      <c r="A294" s="36" t="str">
        <f>HYPERLINK("https://www.cuesta.edu", "Cuesta College")</f>
        <v>Cuesta College</v>
      </c>
      <c r="B294" s="18" t="s">
        <v>49</v>
      </c>
      <c r="C294" s="18" t="s">
        <v>68</v>
      </c>
      <c r="D294" s="18" t="s">
        <v>204</v>
      </c>
      <c r="E294" s="18" t="s">
        <v>36</v>
      </c>
      <c r="F294" s="18" t="s">
        <v>36</v>
      </c>
      <c r="J294" s="19"/>
      <c r="K294" s="19">
        <v>0.32690000000000002</v>
      </c>
      <c r="L294" s="19">
        <v>6.3131312999999994E-2</v>
      </c>
      <c r="M294" s="19">
        <v>0.3458</v>
      </c>
      <c r="N294" s="19">
        <v>0.22220000000000001</v>
      </c>
      <c r="O294" s="19">
        <v>0.25</v>
      </c>
      <c r="P294" s="19">
        <v>0.66669999999999996</v>
      </c>
      <c r="Q294" s="19">
        <v>0.192105263</v>
      </c>
      <c r="R294" s="20">
        <v>26210</v>
      </c>
      <c r="S294" s="21" t="str">
        <f>HYPERLINK("https://misweb.cccco.edu/npc/641/npcalc.htm", "$19223")</f>
        <v>$19223</v>
      </c>
      <c r="T294" s="20">
        <v>22618</v>
      </c>
      <c r="U294" s="20">
        <v>23982</v>
      </c>
      <c r="V294" s="20">
        <v>6093</v>
      </c>
      <c r="W294" s="20">
        <v>13130.27272727273</v>
      </c>
      <c r="Y294" s="19">
        <v>0.1956</v>
      </c>
      <c r="Z294" s="19">
        <v>0.42620000000000002</v>
      </c>
      <c r="AB294" s="18">
        <v>7858</v>
      </c>
    </row>
    <row r="295" spans="1:28" ht="15.75" customHeight="1" x14ac:dyDescent="0.2">
      <c r="A295" s="36" t="str">
        <f>HYPERLINK("https://www.culinaryinstitute.edu", "Culinary Institute Inc")</f>
        <v>Culinary Institute Inc</v>
      </c>
      <c r="B295" s="18" t="s">
        <v>368</v>
      </c>
      <c r="C295" s="18" t="s">
        <v>146</v>
      </c>
      <c r="D295" s="18" t="s">
        <v>147</v>
      </c>
      <c r="E295" s="18" t="s">
        <v>36</v>
      </c>
      <c r="F295" s="18" t="s">
        <v>36</v>
      </c>
      <c r="J295" s="19"/>
      <c r="K295" s="19">
        <v>0.75</v>
      </c>
      <c r="L295" s="19">
        <v>0.53333333299999997</v>
      </c>
      <c r="M295" s="19">
        <v>1</v>
      </c>
      <c r="N295" s="19">
        <v>0.5</v>
      </c>
      <c r="O295" s="19">
        <v>0.5</v>
      </c>
      <c r="P295" s="19">
        <v>1</v>
      </c>
      <c r="Q295" s="19" t="s">
        <v>36</v>
      </c>
      <c r="R295" s="20">
        <v>31343</v>
      </c>
      <c r="S295" s="21" t="str">
        <f>HYPERLINK("https://www.culinaryinstitute.edu/npcalc/npcalc.htm", "$25958")</f>
        <v>$25958</v>
      </c>
      <c r="T295" s="20">
        <v>26645</v>
      </c>
      <c r="U295" s="20">
        <v>27915</v>
      </c>
      <c r="V295" s="20">
        <v>9089</v>
      </c>
      <c r="W295" s="20">
        <v>16869</v>
      </c>
      <c r="Y295" s="19">
        <v>0.54479999999999995</v>
      </c>
      <c r="Z295" s="19">
        <v>0.71940000000000004</v>
      </c>
      <c r="AB295" s="18">
        <v>360</v>
      </c>
    </row>
    <row r="296" spans="1:28" ht="15.75" customHeight="1" x14ac:dyDescent="0.2">
      <c r="A296" s="36" t="str">
        <f>HYPERLINK("https://www.ciachef.edu", "Culinary Institute of America")</f>
        <v>Culinary Institute of America</v>
      </c>
      <c r="B296" s="18" t="s">
        <v>32</v>
      </c>
      <c r="C296" s="18" t="s">
        <v>38</v>
      </c>
      <c r="D296" s="18" t="s">
        <v>1248</v>
      </c>
      <c r="E296" s="18" t="s">
        <v>36</v>
      </c>
      <c r="F296" s="18" t="s">
        <v>90</v>
      </c>
      <c r="J296" s="19"/>
      <c r="K296" s="19">
        <v>0.7288</v>
      </c>
      <c r="L296" s="19">
        <v>0.68275862099999995</v>
      </c>
      <c r="M296" s="19">
        <v>0.72030000000000005</v>
      </c>
      <c r="N296" s="19">
        <v>0.61539999999999995</v>
      </c>
      <c r="O296" s="19">
        <v>0.69740000000000002</v>
      </c>
      <c r="P296" s="19">
        <v>0.84850000000000003</v>
      </c>
      <c r="Q296" s="19">
        <v>2.8309741999999999E-2</v>
      </c>
      <c r="R296" s="20">
        <v>46846</v>
      </c>
      <c r="S296" s="21" t="str">
        <f>HYPERLINK("https://ciachef.studentaidcalculator.com/survey.aspx", "$27730")</f>
        <v>$27730</v>
      </c>
      <c r="T296" s="20">
        <v>30076</v>
      </c>
      <c r="U296" s="20">
        <v>33173</v>
      </c>
      <c r="V296" s="20">
        <v>4360</v>
      </c>
      <c r="W296" s="20">
        <v>23370</v>
      </c>
      <c r="Y296" s="19">
        <v>0.27939999999999998</v>
      </c>
      <c r="Z296" s="19">
        <v>0.50509999999999999</v>
      </c>
      <c r="AB296" s="18">
        <v>3116</v>
      </c>
    </row>
    <row r="297" spans="1:28" ht="15.75" customHeight="1" x14ac:dyDescent="0.2">
      <c r="A297" s="36" t="str">
        <f>HYPERLINK("https://www.cccnj.edu", "Cumberland County College")</f>
        <v>Cumberland County College</v>
      </c>
      <c r="B297" s="18" t="s">
        <v>49</v>
      </c>
      <c r="C297" s="18" t="s">
        <v>141</v>
      </c>
      <c r="D297" s="18" t="s">
        <v>1249</v>
      </c>
      <c r="E297" s="18" t="s">
        <v>36</v>
      </c>
      <c r="F297" s="18" t="s">
        <v>36</v>
      </c>
      <c r="J297" s="19"/>
      <c r="K297" s="19">
        <v>0.26329999999999998</v>
      </c>
      <c r="L297" s="19">
        <v>6.3559322000000001E-2</v>
      </c>
      <c r="M297" s="19">
        <v>0.37130000000000002</v>
      </c>
      <c r="N297" s="19">
        <v>0.1046</v>
      </c>
      <c r="O297" s="19">
        <v>0.22869999999999999</v>
      </c>
      <c r="P297" s="19">
        <v>0.25</v>
      </c>
      <c r="Q297" s="19">
        <v>0.115646259</v>
      </c>
      <c r="R297" s="20">
        <v>24598</v>
      </c>
      <c r="S297" s="21" t="str">
        <f>HYPERLINK("https://cec.cccnj.edu/netprice/", "$18672")</f>
        <v>$18672</v>
      </c>
      <c r="T297" s="20">
        <v>21642</v>
      </c>
      <c r="U297" s="20">
        <v>23675</v>
      </c>
      <c r="V297" s="20">
        <v>7454</v>
      </c>
      <c r="W297" s="20">
        <v>11218.827893175079</v>
      </c>
      <c r="Y297" s="19">
        <v>0.54320000000000002</v>
      </c>
      <c r="Z297" s="19">
        <v>0.6089</v>
      </c>
      <c r="AB297" s="18">
        <v>3045</v>
      </c>
    </row>
    <row r="298" spans="1:28" ht="15.75" customHeight="1" x14ac:dyDescent="0.2">
      <c r="A298" s="36" t="str">
        <f>HYPERLINK("https://www.tri-c.edu", "Cuyahoga Community College District")</f>
        <v>Cuyahoga Community College District</v>
      </c>
      <c r="B298" s="18" t="s">
        <v>49</v>
      </c>
      <c r="C298" s="18" t="s">
        <v>75</v>
      </c>
      <c r="D298" s="18" t="s">
        <v>76</v>
      </c>
      <c r="E298" s="18" t="s">
        <v>36</v>
      </c>
      <c r="F298" s="18" t="s">
        <v>36</v>
      </c>
      <c r="J298" s="19"/>
      <c r="K298" s="19">
        <v>0.15190000000000001</v>
      </c>
      <c r="L298" s="19">
        <v>9.2277394999999998E-2</v>
      </c>
      <c r="M298" s="19">
        <v>0.21199999999999999</v>
      </c>
      <c r="N298" s="19">
        <v>6.7699999999999996E-2</v>
      </c>
      <c r="O298" s="19">
        <v>0.1017</v>
      </c>
      <c r="P298" s="19">
        <v>0.1842</v>
      </c>
      <c r="Q298" s="19">
        <v>7.5835341000000001E-2</v>
      </c>
      <c r="R298" s="20">
        <v>17188</v>
      </c>
      <c r="S298" s="21" t="str">
        <f>HYPERLINK("https://www.tri-c.edu/payingforcollege/Pages/TuitionPaymentSchedule.aspx", "$12021")</f>
        <v>$12021</v>
      </c>
      <c r="T298" s="20">
        <v>14452</v>
      </c>
      <c r="U298" s="20">
        <v>16221</v>
      </c>
      <c r="V298" s="20">
        <v>3540</v>
      </c>
      <c r="W298" s="20">
        <v>8481.7880184331807</v>
      </c>
      <c r="Y298" s="19">
        <v>0.38059999999999999</v>
      </c>
      <c r="Z298" s="19">
        <v>0.45739999999999997</v>
      </c>
      <c r="AB298" s="18">
        <v>18942</v>
      </c>
    </row>
    <row r="299" spans="1:28" ht="15.75" customHeight="1" x14ac:dyDescent="0.2">
      <c r="A299" s="36" t="str">
        <f>HYPERLINK("https://www.cuyamaca.edu", "Cuyamaca College")</f>
        <v>Cuyamaca College</v>
      </c>
      <c r="B299" s="18" t="s">
        <v>49</v>
      </c>
      <c r="C299" s="18" t="s">
        <v>68</v>
      </c>
      <c r="D299" s="18" t="s">
        <v>1251</v>
      </c>
      <c r="E299" s="18" t="s">
        <v>36</v>
      </c>
      <c r="F299" s="18" t="s">
        <v>36</v>
      </c>
      <c r="J299" s="19"/>
      <c r="K299" s="19">
        <v>0.26069999999999999</v>
      </c>
      <c r="L299" s="19" t="s">
        <v>36</v>
      </c>
      <c r="M299" s="19">
        <v>0.28870000000000001</v>
      </c>
      <c r="N299" s="19">
        <v>0.1923</v>
      </c>
      <c r="O299" s="19">
        <v>0.2432</v>
      </c>
      <c r="P299" s="19">
        <v>0.29409999999999997</v>
      </c>
      <c r="Q299" s="19">
        <v>0.11054172800000001</v>
      </c>
      <c r="R299" s="20">
        <v>24196</v>
      </c>
      <c r="S299" s="21" t="str">
        <f>HYPERLINK("https://misweb.cccco.edu/npc/021/npcalc.htm", "$16885")</f>
        <v>$16885</v>
      </c>
      <c r="T299" s="20">
        <v>20019</v>
      </c>
      <c r="U299" s="20">
        <v>21257</v>
      </c>
      <c r="V299" s="20">
        <v>5700</v>
      </c>
      <c r="W299" s="20">
        <v>11185.554216867469</v>
      </c>
      <c r="Y299" s="19">
        <v>0.27760000000000001</v>
      </c>
      <c r="Z299" s="19">
        <v>0.52390000000000003</v>
      </c>
      <c r="AB299" s="18">
        <v>7922</v>
      </c>
    </row>
    <row r="300" spans="1:28" ht="15.75" customHeight="1" x14ac:dyDescent="0.2">
      <c r="A300" s="36" t="str">
        <f>HYPERLINK("https://www.cypresscollege.edu", "Cypress College")</f>
        <v>Cypress College</v>
      </c>
      <c r="B300" s="18" t="s">
        <v>49</v>
      </c>
      <c r="C300" s="18" t="s">
        <v>68</v>
      </c>
      <c r="D300" s="18" t="s">
        <v>1253</v>
      </c>
      <c r="E300" s="18" t="s">
        <v>36</v>
      </c>
      <c r="F300" s="18" t="s">
        <v>36</v>
      </c>
      <c r="J300" s="19"/>
      <c r="K300" s="19">
        <v>0.36099999999999999</v>
      </c>
      <c r="L300" s="19">
        <v>8.5127691999999991E-2</v>
      </c>
      <c r="M300" s="19">
        <v>0.31690000000000002</v>
      </c>
      <c r="N300" s="19">
        <v>0.47620000000000001</v>
      </c>
      <c r="O300" s="19">
        <v>0.28449999999999998</v>
      </c>
      <c r="P300" s="19">
        <v>0.51270000000000004</v>
      </c>
      <c r="Q300" s="19">
        <v>0.114002933</v>
      </c>
      <c r="R300" s="20">
        <v>25432</v>
      </c>
      <c r="S300" s="21" t="str">
        <f>HYPERLINK("https://www.cypresscollege.edu/NetPriceCalculator/npcalc.htm", "$18310")</f>
        <v>$18310</v>
      </c>
      <c r="T300" s="20">
        <v>21231</v>
      </c>
      <c r="U300" s="20">
        <v>22866</v>
      </c>
      <c r="V300" s="20">
        <v>5985</v>
      </c>
      <c r="W300" s="20">
        <v>12325.3660130719</v>
      </c>
      <c r="Y300" s="19">
        <v>0.2782</v>
      </c>
      <c r="Z300" s="19">
        <v>0.83610000000000007</v>
      </c>
      <c r="AB300" s="18">
        <v>14434</v>
      </c>
    </row>
    <row r="301" spans="1:28" ht="15.75" customHeight="1" x14ac:dyDescent="0.2">
      <c r="A301" s="36" t="str">
        <f>HYPERLINK("https://www.dakotacollege.edu", "Dakota College at Bottineau")</f>
        <v>Dakota College at Bottineau</v>
      </c>
      <c r="B301" s="18" t="s">
        <v>49</v>
      </c>
      <c r="C301" s="18" t="s">
        <v>730</v>
      </c>
      <c r="D301" s="18" t="s">
        <v>1254</v>
      </c>
      <c r="E301" s="18" t="s">
        <v>36</v>
      </c>
      <c r="F301" s="18" t="s">
        <v>36</v>
      </c>
      <c r="J301" s="19"/>
      <c r="K301" s="19">
        <v>0.19539999999999999</v>
      </c>
      <c r="L301" s="19">
        <v>0.30232558100000001</v>
      </c>
      <c r="M301" s="19">
        <v>0.35289999999999999</v>
      </c>
      <c r="N301" s="19">
        <v>7.2499999999999995E-2</v>
      </c>
      <c r="O301" s="19">
        <v>8.3299999999999999E-2</v>
      </c>
      <c r="P301" s="19">
        <v>0</v>
      </c>
      <c r="Q301" s="19">
        <v>8.3650189999999999E-2</v>
      </c>
      <c r="R301" s="20">
        <v>17953</v>
      </c>
      <c r="S301" s="21" t="str">
        <f>HYPERLINK("https://www.dakotacollege.edu/npcalc.php", "$10869")</f>
        <v>$10869</v>
      </c>
      <c r="T301" s="20">
        <v>13299</v>
      </c>
      <c r="U301" s="20">
        <v>16119</v>
      </c>
      <c r="V301" s="20">
        <v>4520</v>
      </c>
      <c r="W301" s="20">
        <v>6349.625</v>
      </c>
      <c r="Y301" s="19">
        <v>0.25890000000000002</v>
      </c>
      <c r="Z301" s="19">
        <v>0.47139999999999999</v>
      </c>
      <c r="AB301" s="18">
        <v>454</v>
      </c>
    </row>
    <row r="302" spans="1:28" ht="15.75" customHeight="1" x14ac:dyDescent="0.2">
      <c r="A302" s="36" t="str">
        <f>HYPERLINK("https://www.dallasinstitute.edu", "Dallas Institute of Funeral Service")</f>
        <v>Dallas Institute of Funeral Service</v>
      </c>
      <c r="B302" s="18" t="s">
        <v>32</v>
      </c>
      <c r="C302" s="18" t="s">
        <v>146</v>
      </c>
      <c r="D302" s="18" t="s">
        <v>152</v>
      </c>
      <c r="E302" s="18" t="s">
        <v>36</v>
      </c>
      <c r="F302" s="18" t="s">
        <v>36</v>
      </c>
      <c r="J302" s="19"/>
      <c r="K302" s="19">
        <v>0.47060000000000002</v>
      </c>
      <c r="L302" s="19">
        <v>0.546875</v>
      </c>
      <c r="M302" s="19">
        <v>0.5</v>
      </c>
      <c r="N302" s="19">
        <v>0.5</v>
      </c>
      <c r="O302" s="19">
        <v>0.41670000000000001</v>
      </c>
      <c r="P302" s="19" t="s">
        <v>36</v>
      </c>
      <c r="Q302" s="19" t="s">
        <v>36</v>
      </c>
      <c r="R302" s="20">
        <v>22520</v>
      </c>
      <c r="S302" s="21" t="str">
        <f>HYPERLINK("https://www.dallasinstitute.edu/admissions/net-price-calculator", "$11961")</f>
        <v>$11961</v>
      </c>
      <c r="T302" s="20">
        <v>17583</v>
      </c>
      <c r="U302" s="20" t="s">
        <v>36</v>
      </c>
      <c r="V302" s="20" t="s">
        <v>36</v>
      </c>
      <c r="W302" s="20" t="s">
        <v>36</v>
      </c>
      <c r="Y302" s="19">
        <v>0.38950000000000001</v>
      </c>
      <c r="Z302" s="19">
        <v>0.59460000000000002</v>
      </c>
      <c r="AB302" s="18">
        <v>111</v>
      </c>
    </row>
    <row r="303" spans="1:28" ht="15.75" customHeight="1" x14ac:dyDescent="0.2">
      <c r="A303" s="36" t="str">
        <f>HYPERLINK("https://www.dacc.edu", "Danville Area Community College")</f>
        <v>Danville Area Community College</v>
      </c>
      <c r="B303" s="18" t="s">
        <v>49</v>
      </c>
      <c r="C303" s="18" t="s">
        <v>137</v>
      </c>
      <c r="D303" s="18" t="s">
        <v>206</v>
      </c>
      <c r="E303" s="18" t="s">
        <v>36</v>
      </c>
      <c r="F303" s="18" t="s">
        <v>36</v>
      </c>
      <c r="J303" s="19"/>
      <c r="K303" s="19">
        <v>0.33779999999999999</v>
      </c>
      <c r="L303" s="19">
        <v>0.125937032</v>
      </c>
      <c r="M303" s="19">
        <v>0.37269999999999998</v>
      </c>
      <c r="N303" s="19">
        <v>0.1923</v>
      </c>
      <c r="O303" s="19">
        <v>0.31580000000000003</v>
      </c>
      <c r="P303" s="19">
        <v>0.5</v>
      </c>
      <c r="Q303" s="19">
        <v>5.5727554000000012E-2</v>
      </c>
      <c r="R303" s="20">
        <v>14878</v>
      </c>
      <c r="S303" s="21" t="str">
        <f>HYPERLINK("https://dacc.edu/tuition/", "$9617")</f>
        <v>$9617</v>
      </c>
      <c r="T303" s="20">
        <v>12755</v>
      </c>
      <c r="U303" s="20">
        <v>14456</v>
      </c>
      <c r="V303" s="20">
        <v>3503</v>
      </c>
      <c r="W303" s="20">
        <v>6114.2867647058811</v>
      </c>
      <c r="Y303" s="19">
        <v>0.308</v>
      </c>
      <c r="Z303" s="19">
        <v>0.33029999999999998</v>
      </c>
      <c r="AB303" s="18">
        <v>1732</v>
      </c>
    </row>
    <row r="304" spans="1:28" ht="15.75" customHeight="1" x14ac:dyDescent="0.2">
      <c r="A304" s="36" t="str">
        <f>HYPERLINK("https://www.daviscollege.edu", "Davis College")</f>
        <v>Davis College</v>
      </c>
      <c r="B304" s="18" t="s">
        <v>368</v>
      </c>
      <c r="C304" s="18" t="s">
        <v>75</v>
      </c>
      <c r="D304" s="18" t="s">
        <v>1256</v>
      </c>
      <c r="E304" s="18" t="s">
        <v>36</v>
      </c>
      <c r="F304" s="18" t="s">
        <v>36</v>
      </c>
      <c r="J304" s="19"/>
      <c r="K304" s="19">
        <v>0.25</v>
      </c>
      <c r="L304" s="19">
        <v>0.184397163</v>
      </c>
      <c r="M304" s="19">
        <v>0</v>
      </c>
      <c r="N304" s="19">
        <v>0.5</v>
      </c>
      <c r="O304" s="19" t="s">
        <v>36</v>
      </c>
      <c r="P304" s="19" t="s">
        <v>36</v>
      </c>
      <c r="Q304" s="19" t="s">
        <v>36</v>
      </c>
      <c r="R304" s="20">
        <v>29838</v>
      </c>
      <c r="S304" s="21" t="str">
        <f>HYPERLINK("https://www.daviscollege.edu/npcalc.html", "$23581")</f>
        <v>$23581</v>
      </c>
      <c r="T304" s="20" t="s">
        <v>36</v>
      </c>
      <c r="U304" s="20" t="s">
        <v>36</v>
      </c>
      <c r="V304" s="20">
        <v>7584</v>
      </c>
      <c r="W304" s="20">
        <v>15997</v>
      </c>
      <c r="Y304" s="19">
        <v>0.78949999999999998</v>
      </c>
      <c r="Z304" s="19">
        <v>0.46150000000000002</v>
      </c>
      <c r="AB304" s="18">
        <v>91</v>
      </c>
    </row>
    <row r="305" spans="1:28" ht="15.75" customHeight="1" x14ac:dyDescent="0.2">
      <c r="A305" s="36" t="str">
        <f>HYPERLINK("https://www.dawson.edu", "Dawson Community College")</f>
        <v>Dawson Community College</v>
      </c>
      <c r="B305" s="18" t="s">
        <v>49</v>
      </c>
      <c r="C305" s="18" t="s">
        <v>421</v>
      </c>
      <c r="D305" s="18" t="s">
        <v>1257</v>
      </c>
      <c r="E305" s="18" t="s">
        <v>36</v>
      </c>
      <c r="F305" s="18" t="s">
        <v>36</v>
      </c>
      <c r="J305" s="19"/>
      <c r="K305" s="19">
        <v>0.3735</v>
      </c>
      <c r="L305" s="19">
        <v>0.19444444399999999</v>
      </c>
      <c r="M305" s="19">
        <v>0.43330000000000002</v>
      </c>
      <c r="N305" s="19">
        <v>0.2</v>
      </c>
      <c r="O305" s="19">
        <v>0.6</v>
      </c>
      <c r="P305" s="19">
        <v>0.5</v>
      </c>
      <c r="Q305" s="19">
        <v>6.2111800999999987E-2</v>
      </c>
      <c r="R305" s="20">
        <v>19245</v>
      </c>
      <c r="S305" s="21" t="str">
        <f>HYPERLINK("https://www.dawson.edu/future/financial-aid/net-price-calculator/", "$14044")</f>
        <v>$14044</v>
      </c>
      <c r="T305" s="20">
        <v>18337</v>
      </c>
      <c r="U305" s="20">
        <v>17102</v>
      </c>
      <c r="V305" s="20">
        <v>5400</v>
      </c>
      <c r="W305" s="20">
        <v>8644.5</v>
      </c>
      <c r="Y305" s="19">
        <v>0.30299999999999999</v>
      </c>
      <c r="Z305" s="19">
        <v>0.27979999999999999</v>
      </c>
      <c r="AB305" s="18">
        <v>243</v>
      </c>
    </row>
    <row r="306" spans="1:28" ht="15.75" customHeight="1" x14ac:dyDescent="0.2">
      <c r="A306" s="36" t="str">
        <f>HYPERLINK("https://www.daymarcollege.edu", "Daymar College-Owensboro")</f>
        <v>Daymar College-Owensboro</v>
      </c>
      <c r="B306" s="18" t="s">
        <v>368</v>
      </c>
      <c r="C306" s="18" t="s">
        <v>205</v>
      </c>
      <c r="D306" s="18" t="s">
        <v>586</v>
      </c>
      <c r="E306" s="18" t="s">
        <v>36</v>
      </c>
      <c r="F306" s="18" t="s">
        <v>36</v>
      </c>
      <c r="J306" s="19"/>
      <c r="K306" s="19">
        <v>0.33329999999999999</v>
      </c>
      <c r="L306" s="19">
        <v>0.249429224</v>
      </c>
      <c r="M306" s="19">
        <v>0.3846</v>
      </c>
      <c r="N306" s="19">
        <v>0</v>
      </c>
      <c r="O306" s="19" t="s">
        <v>36</v>
      </c>
      <c r="P306" s="19" t="s">
        <v>36</v>
      </c>
      <c r="Q306" s="19">
        <v>3.2258065000000002E-2</v>
      </c>
      <c r="R306" s="20">
        <v>26988</v>
      </c>
      <c r="S306" s="21" t="str">
        <f>HYPERLINK("https://www.daymarcollege.edu/admissions/net-price-calculator/", "$20551")</f>
        <v>$20551</v>
      </c>
      <c r="T306" s="20" t="s">
        <v>36</v>
      </c>
      <c r="U306" s="20" t="s">
        <v>36</v>
      </c>
      <c r="V306" s="20" t="s">
        <v>36</v>
      </c>
      <c r="W306" s="20" t="s">
        <v>36</v>
      </c>
      <c r="Y306" s="19">
        <v>0.91549999999999998</v>
      </c>
      <c r="Z306" s="19">
        <v>0.1429</v>
      </c>
      <c r="AB306" s="18">
        <v>14</v>
      </c>
    </row>
    <row r="307" spans="1:28" ht="15.75" customHeight="1" x14ac:dyDescent="0.2">
      <c r="A307" s="36" t="str">
        <f>HYPERLINK("https://www.DaytonaState.edu", "Daytona State College")</f>
        <v>Daytona State College</v>
      </c>
      <c r="B307" s="18" t="s">
        <v>49</v>
      </c>
      <c r="C307" s="18" t="s">
        <v>162</v>
      </c>
      <c r="D307" s="18" t="s">
        <v>578</v>
      </c>
      <c r="E307" s="18" t="s">
        <v>36</v>
      </c>
      <c r="F307" s="18" t="s">
        <v>36</v>
      </c>
      <c r="J307" s="19"/>
      <c r="K307" s="19">
        <v>0.35759999999999997</v>
      </c>
      <c r="L307" s="19">
        <v>0.29061284100000001</v>
      </c>
      <c r="M307" s="19">
        <v>0.40799999999999997</v>
      </c>
      <c r="N307" s="19">
        <v>0.15840000000000001</v>
      </c>
      <c r="O307" s="19">
        <v>0.3095</v>
      </c>
      <c r="P307" s="19">
        <v>0.4</v>
      </c>
      <c r="Q307" s="19">
        <v>6.1041293000000003E-2</v>
      </c>
      <c r="R307" s="20">
        <v>22298</v>
      </c>
      <c r="S307" s="21" t="str">
        <f>HYPERLINK("https://www.daytonastate.edu/finaid/calculator.html", "$17705")</f>
        <v>$17705</v>
      </c>
      <c r="T307" s="20">
        <v>20143</v>
      </c>
      <c r="U307" s="20">
        <v>21974</v>
      </c>
      <c r="V307" s="20">
        <v>4300</v>
      </c>
      <c r="W307" s="20">
        <v>13405.469613259669</v>
      </c>
      <c r="Y307" s="19">
        <v>0.40760000000000002</v>
      </c>
      <c r="Z307" s="19">
        <v>0.375</v>
      </c>
      <c r="AB307" s="18">
        <v>10892</v>
      </c>
    </row>
    <row r="308" spans="1:28" ht="15.75" customHeight="1" x14ac:dyDescent="0.2">
      <c r="A308" s="36" t="str">
        <f>HYPERLINK("https://www.deanza.edu/", "De Anza College")</f>
        <v>De Anza College</v>
      </c>
      <c r="B308" s="18" t="s">
        <v>49</v>
      </c>
      <c r="C308" s="18" t="s">
        <v>68</v>
      </c>
      <c r="D308" s="18" t="s">
        <v>1260</v>
      </c>
      <c r="E308" s="18" t="s">
        <v>36</v>
      </c>
      <c r="F308" s="18" t="s">
        <v>36</v>
      </c>
      <c r="J308" s="19"/>
      <c r="K308" s="19">
        <v>0.62380000000000002</v>
      </c>
      <c r="L308" s="19" t="s">
        <v>36</v>
      </c>
      <c r="M308" s="19">
        <v>0.59060000000000001</v>
      </c>
      <c r="N308" s="19">
        <v>0.48649999999999999</v>
      </c>
      <c r="O308" s="19">
        <v>0.43930000000000002</v>
      </c>
      <c r="P308" s="19">
        <v>0.73560000000000003</v>
      </c>
      <c r="Q308" s="19">
        <v>0.25537634399999998</v>
      </c>
      <c r="R308" s="20">
        <v>28408</v>
      </c>
      <c r="S308" s="21" t="str">
        <f>HYPERLINK("https://misweb.cccco.edu/npc/421/npcalc.htm", "$21690")</f>
        <v>$21690</v>
      </c>
      <c r="T308" s="20">
        <v>24932</v>
      </c>
      <c r="U308" s="20">
        <v>26306</v>
      </c>
      <c r="V308" s="20">
        <v>6363</v>
      </c>
      <c r="W308" s="20">
        <v>15327.841423948221</v>
      </c>
      <c r="Y308" s="19">
        <v>0.17949999999999999</v>
      </c>
      <c r="Z308" s="19">
        <v>0.81469999999999998</v>
      </c>
      <c r="AB308" s="18">
        <v>18183</v>
      </c>
    </row>
    <row r="309" spans="1:28" ht="15.75" customHeight="1" x14ac:dyDescent="0.2">
      <c r="A309" s="36" t="str">
        <f>HYPERLINK("https://www.dean.edu", "Dean College")</f>
        <v>Dean College</v>
      </c>
      <c r="B309" s="18" t="s">
        <v>32</v>
      </c>
      <c r="C309" s="18" t="s">
        <v>33</v>
      </c>
      <c r="D309" s="18" t="s">
        <v>774</v>
      </c>
      <c r="E309" s="18">
        <v>1002</v>
      </c>
      <c r="F309" s="18" t="s">
        <v>115</v>
      </c>
      <c r="J309" s="19"/>
      <c r="K309" s="19">
        <v>0.41789999999999999</v>
      </c>
      <c r="L309" s="19">
        <v>0.30645161300000001</v>
      </c>
      <c r="M309" s="19">
        <v>0.43319999999999997</v>
      </c>
      <c r="N309" s="19">
        <v>0.3</v>
      </c>
      <c r="O309" s="19">
        <v>0.32350000000000001</v>
      </c>
      <c r="P309" s="19">
        <v>0.25</v>
      </c>
      <c r="Q309" s="19">
        <v>0.12857142899999999</v>
      </c>
      <c r="R309" s="20">
        <v>56936</v>
      </c>
      <c r="S309" s="21" t="str">
        <f>HYPERLINK("https://www.dean.edu/net-price-calculator.aspx", "$26189")</f>
        <v>$26189</v>
      </c>
      <c r="T309" s="20">
        <v>29492</v>
      </c>
      <c r="U309" s="20">
        <v>31269</v>
      </c>
      <c r="V309" s="20">
        <v>2500</v>
      </c>
      <c r="W309" s="20">
        <v>23689</v>
      </c>
      <c r="Y309" s="19">
        <v>0.34810000000000002</v>
      </c>
      <c r="Z309" s="19">
        <v>0.4556</v>
      </c>
      <c r="AB309" s="18">
        <v>1260</v>
      </c>
    </row>
    <row r="310" spans="1:28" ht="15.75" customHeight="1" x14ac:dyDescent="0.2">
      <c r="A310" s="36" t="str">
        <f>HYPERLINK("https://www.deantech.edu", "Dean Institute of Technology")</f>
        <v>Dean Institute of Technology</v>
      </c>
      <c r="B310" s="18" t="s">
        <v>368</v>
      </c>
      <c r="C310" s="18" t="s">
        <v>65</v>
      </c>
      <c r="D310" s="18" t="s">
        <v>74</v>
      </c>
      <c r="E310" s="18" t="s">
        <v>36</v>
      </c>
      <c r="F310" s="18" t="s">
        <v>36</v>
      </c>
      <c r="J310" s="19"/>
      <c r="K310" s="19">
        <v>0.86270000000000002</v>
      </c>
      <c r="L310" s="19">
        <v>0.67741935499999995</v>
      </c>
      <c r="M310" s="19">
        <v>0.83330000000000004</v>
      </c>
      <c r="N310" s="19">
        <v>0.90480000000000005</v>
      </c>
      <c r="O310" s="19" t="s">
        <v>36</v>
      </c>
      <c r="P310" s="19" t="s">
        <v>36</v>
      </c>
      <c r="Q310" s="19" t="s">
        <v>36</v>
      </c>
      <c r="R310" s="20">
        <v>29950</v>
      </c>
      <c r="S310" s="21" t="str">
        <f>HYPERLINK("https://www.deantech.edu", "$21166")</f>
        <v>$21166</v>
      </c>
      <c r="T310" s="20">
        <v>24545</v>
      </c>
      <c r="U310" s="20" t="s">
        <v>36</v>
      </c>
      <c r="V310" s="20">
        <v>6825</v>
      </c>
      <c r="W310" s="20">
        <v>14341</v>
      </c>
      <c r="Y310" s="19">
        <v>0.74</v>
      </c>
      <c r="Z310" s="19">
        <v>0.36420000000000002</v>
      </c>
      <c r="AB310" s="18">
        <v>151</v>
      </c>
    </row>
    <row r="311" spans="1:28" ht="15.75" customHeight="1" x14ac:dyDescent="0.2">
      <c r="A311" s="36" t="str">
        <f>HYPERLINK("https://www.delmar.edu", "Del Mar College")</f>
        <v>Del Mar College</v>
      </c>
      <c r="B311" s="18" t="s">
        <v>49</v>
      </c>
      <c r="C311" s="18" t="s">
        <v>146</v>
      </c>
      <c r="D311" s="18" t="s">
        <v>860</v>
      </c>
      <c r="E311" s="18" t="s">
        <v>36</v>
      </c>
      <c r="F311" s="18" t="s">
        <v>36</v>
      </c>
      <c r="J311" s="19"/>
      <c r="K311" s="19">
        <v>0.16039999999999999</v>
      </c>
      <c r="L311" s="19">
        <v>0.13636363600000001</v>
      </c>
      <c r="M311" s="19">
        <v>0.17730000000000001</v>
      </c>
      <c r="N311" s="19">
        <v>0</v>
      </c>
      <c r="O311" s="19">
        <v>0.16389999999999999</v>
      </c>
      <c r="P311" s="19">
        <v>0.2</v>
      </c>
      <c r="Q311" s="19">
        <v>6.1306533000000003E-2</v>
      </c>
      <c r="R311" s="20">
        <v>16646</v>
      </c>
      <c r="S311" s="21" t="str">
        <f>HYPERLINK("https://www.delmar.edu/becoming-a-viking/afford/index.html", "$10979")</f>
        <v>$10979</v>
      </c>
      <c r="T311" s="20">
        <v>13492</v>
      </c>
      <c r="U311" s="20">
        <v>16197</v>
      </c>
      <c r="V311" s="20">
        <v>4653</v>
      </c>
      <c r="W311" s="20">
        <v>6326.3425605536322</v>
      </c>
      <c r="Y311" s="19">
        <v>0.32650000000000001</v>
      </c>
      <c r="Z311" s="19">
        <v>0.75239999999999996</v>
      </c>
      <c r="AB311" s="18">
        <v>11476</v>
      </c>
    </row>
    <row r="312" spans="1:28" ht="15.75" customHeight="1" x14ac:dyDescent="0.2">
      <c r="A312" s="36" t="str">
        <f>HYPERLINK("https://www.dcad.edu", "Delaware College of Art and Design")</f>
        <v>Delaware College of Art and Design</v>
      </c>
      <c r="B312" s="18" t="s">
        <v>32</v>
      </c>
      <c r="C312" s="18" t="s">
        <v>507</v>
      </c>
      <c r="D312" s="18" t="s">
        <v>517</v>
      </c>
      <c r="E312" s="18" t="s">
        <v>36</v>
      </c>
      <c r="F312" s="18" t="s">
        <v>90</v>
      </c>
      <c r="J312" s="19"/>
      <c r="K312" s="19">
        <v>0.59040000000000004</v>
      </c>
      <c r="L312" s="19">
        <v>0.56756756799999997</v>
      </c>
      <c r="M312" s="19">
        <v>0.65629999999999999</v>
      </c>
      <c r="N312" s="19">
        <v>0.54549999999999998</v>
      </c>
      <c r="O312" s="19">
        <v>0.66669999999999996</v>
      </c>
      <c r="P312" s="19" t="s">
        <v>36</v>
      </c>
      <c r="Q312" s="19" t="s">
        <v>36</v>
      </c>
      <c r="R312" s="20">
        <v>45460</v>
      </c>
      <c r="S312" s="21" t="str">
        <f>HYPERLINK("https://www.dcad.edu/netprice2017/index.html", "$25392")</f>
        <v>$25392</v>
      </c>
      <c r="T312" s="20">
        <v>29322</v>
      </c>
      <c r="U312" s="20">
        <v>32080</v>
      </c>
      <c r="V312" s="20">
        <v>7300</v>
      </c>
      <c r="W312" s="20">
        <v>18092</v>
      </c>
      <c r="Y312" s="19">
        <v>0.50890000000000002</v>
      </c>
      <c r="Z312" s="19">
        <v>0.48949999999999999</v>
      </c>
      <c r="AB312" s="18">
        <v>143</v>
      </c>
    </row>
    <row r="313" spans="1:28" ht="15.75" customHeight="1" x14ac:dyDescent="0.2">
      <c r="A313" s="36" t="str">
        <f>HYPERLINK("https://www.dccc.edu", "Delaware County Community College")</f>
        <v>Delaware County Community College</v>
      </c>
      <c r="B313" s="18" t="s">
        <v>49</v>
      </c>
      <c r="C313" s="18" t="s">
        <v>65</v>
      </c>
      <c r="D313" s="18" t="s">
        <v>1054</v>
      </c>
      <c r="E313" s="18" t="s">
        <v>36</v>
      </c>
      <c r="F313" s="18" t="s">
        <v>36</v>
      </c>
      <c r="J313" s="19"/>
      <c r="K313" s="19">
        <v>0.1651</v>
      </c>
      <c r="L313" s="19">
        <v>0.16180048699999999</v>
      </c>
      <c r="M313" s="19">
        <v>0.20610000000000001</v>
      </c>
      <c r="N313" s="19">
        <v>9.1700000000000004E-2</v>
      </c>
      <c r="O313" s="19">
        <v>9.0899999999999995E-2</v>
      </c>
      <c r="P313" s="19">
        <v>0.13789999999999999</v>
      </c>
      <c r="Q313" s="19">
        <v>0.12304749800000001</v>
      </c>
      <c r="R313" s="20">
        <v>27810</v>
      </c>
      <c r="S313" s="21" t="str">
        <f>HYPERLINK("https://extranet.dccc.edu/net-price-calculator/npcalc.htm", "$22315")</f>
        <v>$22315</v>
      </c>
      <c r="T313" s="20">
        <v>24898</v>
      </c>
      <c r="U313" s="20">
        <v>27364</v>
      </c>
      <c r="V313" s="20">
        <v>8390</v>
      </c>
      <c r="W313" s="20">
        <v>13925.65091863517</v>
      </c>
      <c r="Y313" s="19">
        <v>0.35389999999999999</v>
      </c>
      <c r="Z313" s="19">
        <v>0.44400000000000001</v>
      </c>
      <c r="AB313" s="18">
        <v>11030</v>
      </c>
    </row>
    <row r="314" spans="1:28" ht="15.75" customHeight="1" x14ac:dyDescent="0.2">
      <c r="A314" s="36" t="str">
        <f>HYPERLINK("https://www.dtcc.edu", "Delaware Technical Community College-Terry")</f>
        <v>Delaware Technical Community College-Terry</v>
      </c>
      <c r="B314" s="18" t="s">
        <v>49</v>
      </c>
      <c r="C314" s="18" t="s">
        <v>507</v>
      </c>
      <c r="D314" s="18" t="s">
        <v>728</v>
      </c>
      <c r="E314" s="18" t="s">
        <v>36</v>
      </c>
      <c r="F314" s="18" t="s">
        <v>36</v>
      </c>
      <c r="J314" s="19"/>
      <c r="K314" s="19">
        <v>0.1321</v>
      </c>
      <c r="L314" s="19">
        <v>8.7387386999999997E-2</v>
      </c>
      <c r="M314" s="19">
        <v>0.15809999999999999</v>
      </c>
      <c r="N314" s="19">
        <v>4.8300000000000003E-2</v>
      </c>
      <c r="O314" s="19">
        <v>0.12230000000000001</v>
      </c>
      <c r="P314" s="19">
        <v>0.33329999999999999</v>
      </c>
      <c r="Q314" s="19">
        <v>9.8888239000000003E-2</v>
      </c>
      <c r="R314" s="20">
        <v>24417</v>
      </c>
      <c r="S314" s="21" t="str">
        <f>HYPERLINK("https://www.dtcc.edu/admissions-financial-aid/tuition-fees/net-price-calculator", "$20082")</f>
        <v>$20082</v>
      </c>
      <c r="T314" s="20">
        <v>21057</v>
      </c>
      <c r="U314" s="20">
        <v>22013</v>
      </c>
      <c r="V314" s="20">
        <v>5170</v>
      </c>
      <c r="W314" s="20">
        <v>14912.69580419581</v>
      </c>
      <c r="Y314" s="19">
        <v>0.39050000000000001</v>
      </c>
      <c r="Z314" s="19">
        <v>0.48039999999999999</v>
      </c>
      <c r="AB314" s="18">
        <v>12408</v>
      </c>
    </row>
    <row r="315" spans="1:28" ht="15.75" customHeight="1" x14ac:dyDescent="0.2">
      <c r="A315" s="36" t="str">
        <f>HYPERLINK("https://www.delta.edu", "Delta College")</f>
        <v>Delta College</v>
      </c>
      <c r="B315" s="18" t="s">
        <v>49</v>
      </c>
      <c r="C315" s="18" t="s">
        <v>226</v>
      </c>
      <c r="D315" s="18" t="s">
        <v>1126</v>
      </c>
      <c r="E315" s="18" t="s">
        <v>36</v>
      </c>
      <c r="F315" s="18" t="s">
        <v>36</v>
      </c>
      <c r="J315" s="19"/>
      <c r="K315" s="19">
        <v>0.1401</v>
      </c>
      <c r="L315" s="19">
        <v>0.16193302300000001</v>
      </c>
      <c r="M315" s="19">
        <v>0.15260000000000001</v>
      </c>
      <c r="N315" s="19">
        <v>5.4100000000000002E-2</v>
      </c>
      <c r="O315" s="19">
        <v>0.125</v>
      </c>
      <c r="P315" s="19">
        <v>0</v>
      </c>
      <c r="Q315" s="19">
        <v>7.2330654000000008E-2</v>
      </c>
      <c r="R315" s="20">
        <v>19142</v>
      </c>
      <c r="S315" s="21" t="str">
        <f>HYPERLINK("https://apps.delta.edu/NetPriceCalc/npcalc.htm", "$12637")</f>
        <v>$12637</v>
      </c>
      <c r="T315" s="20">
        <v>15905</v>
      </c>
      <c r="U315" s="20">
        <v>18349</v>
      </c>
      <c r="V315" s="20">
        <v>4800</v>
      </c>
      <c r="W315" s="20">
        <v>7837.9396135265706</v>
      </c>
      <c r="Y315" s="19">
        <v>0.38030000000000003</v>
      </c>
      <c r="Z315" s="19">
        <v>0.21229999999999999</v>
      </c>
      <c r="AB315" s="18">
        <v>7291</v>
      </c>
    </row>
    <row r="316" spans="1:28" ht="15.75" customHeight="1" x14ac:dyDescent="0.2">
      <c r="A316" s="36" t="str">
        <f>HYPERLINK("https://www.deltatech.edu", "Delta School of Business and Technology")</f>
        <v>Delta School of Business and Technology</v>
      </c>
      <c r="B316" s="18" t="s">
        <v>368</v>
      </c>
      <c r="C316" s="18" t="s">
        <v>158</v>
      </c>
      <c r="D316" s="18" t="s">
        <v>954</v>
      </c>
      <c r="E316" s="18" t="s">
        <v>36</v>
      </c>
      <c r="F316" s="18" t="s">
        <v>36</v>
      </c>
      <c r="J316" s="19"/>
      <c r="K316" s="19">
        <v>0.69840000000000002</v>
      </c>
      <c r="L316" s="19">
        <v>0.44059405899999998</v>
      </c>
      <c r="M316" s="19">
        <v>0.52270000000000005</v>
      </c>
      <c r="N316" s="19">
        <v>0.77270000000000005</v>
      </c>
      <c r="O316" s="19">
        <v>1</v>
      </c>
      <c r="P316" s="19" t="s">
        <v>36</v>
      </c>
      <c r="Q316" s="19" t="s">
        <v>36</v>
      </c>
      <c r="R316" s="20">
        <v>25406</v>
      </c>
      <c r="S316" s="21" t="str">
        <f>HYPERLINK("https://www.deltatech.edu", "$16199")</f>
        <v>$16199</v>
      </c>
      <c r="T316" s="20">
        <v>19384</v>
      </c>
      <c r="U316" s="20">
        <v>22331</v>
      </c>
      <c r="V316" s="20">
        <v>6007</v>
      </c>
      <c r="W316" s="20">
        <v>10192</v>
      </c>
      <c r="Y316" s="19">
        <v>0.79449999999999998</v>
      </c>
      <c r="Z316" s="19">
        <v>0.46810000000000002</v>
      </c>
      <c r="AB316" s="18">
        <v>47</v>
      </c>
    </row>
    <row r="317" spans="1:28" ht="15.75" customHeight="1" x14ac:dyDescent="0.2">
      <c r="A317" s="36" t="str">
        <f>HYPERLINK("https://www.dmacc.edu", "Des Moines Area Community College")</f>
        <v>Des Moines Area Community College</v>
      </c>
      <c r="B317" s="18" t="s">
        <v>49</v>
      </c>
      <c r="C317" s="18" t="s">
        <v>211</v>
      </c>
      <c r="D317" s="18" t="s">
        <v>1266</v>
      </c>
      <c r="E317" s="18" t="s">
        <v>36</v>
      </c>
      <c r="F317" s="18" t="s">
        <v>36</v>
      </c>
      <c r="J317" s="19"/>
      <c r="K317" s="19">
        <v>0.28739999999999999</v>
      </c>
      <c r="L317" s="19">
        <v>0.168056279</v>
      </c>
      <c r="M317" s="19">
        <v>0.3145</v>
      </c>
      <c r="N317" s="19">
        <v>0.125</v>
      </c>
      <c r="O317" s="19">
        <v>0.21579999999999999</v>
      </c>
      <c r="P317" s="19">
        <v>0.26</v>
      </c>
      <c r="Q317" s="19">
        <v>7.6021635000000004E-2</v>
      </c>
      <c r="R317" s="20">
        <v>19388</v>
      </c>
      <c r="S317" s="21" t="str">
        <f>HYPERLINK("https://www.dmacc.edu/fin_aid/Pages/welcome.aspx", "$14601")</f>
        <v>$14601</v>
      </c>
      <c r="T317" s="20">
        <v>16531</v>
      </c>
      <c r="U317" s="20">
        <v>18425</v>
      </c>
      <c r="V317" s="20">
        <v>3042</v>
      </c>
      <c r="W317" s="20">
        <v>11559.03606557377</v>
      </c>
      <c r="Y317" s="19">
        <v>0.2046</v>
      </c>
      <c r="Z317" s="19">
        <v>0.29690000000000011</v>
      </c>
      <c r="AB317" s="18">
        <v>12521</v>
      </c>
    </row>
    <row r="318" spans="1:28" ht="15.75" customHeight="1" x14ac:dyDescent="0.2">
      <c r="A318" s="36" t="str">
        <f>HYPERLINK("https://dewey.edu", "Dewey University-Manati")</f>
        <v>Dewey University-Manati</v>
      </c>
      <c r="B318" s="18" t="s">
        <v>32</v>
      </c>
      <c r="C318" s="18" t="s">
        <v>284</v>
      </c>
      <c r="D318" s="18" t="s">
        <v>925</v>
      </c>
      <c r="E318" s="18" t="s">
        <v>36</v>
      </c>
      <c r="F318" s="18" t="s">
        <v>36</v>
      </c>
      <c r="J318" s="19"/>
      <c r="K318" s="19">
        <v>0.69740000000000002</v>
      </c>
      <c r="L318" s="19">
        <v>5.8823529000000013E-2</v>
      </c>
      <c r="M318" s="19" t="s">
        <v>36</v>
      </c>
      <c r="N318" s="19" t="s">
        <v>36</v>
      </c>
      <c r="O318" s="19">
        <v>0.69740000000000002</v>
      </c>
      <c r="P318" s="19" t="s">
        <v>36</v>
      </c>
      <c r="Q318" s="19">
        <v>2.2205009000000001E-2</v>
      </c>
      <c r="R318" s="20">
        <v>14127</v>
      </c>
      <c r="S318" s="21" t="str">
        <f>HYPERLINK("https://dewey.edu/jdc/matricula2012/NetPriceCalculator/npcalc.htm", "$4623")</f>
        <v>$4623</v>
      </c>
      <c r="T318" s="20">
        <v>5714</v>
      </c>
      <c r="U318" s="20" t="s">
        <v>36</v>
      </c>
      <c r="V318" s="20">
        <v>1900</v>
      </c>
      <c r="W318" s="20">
        <v>2723</v>
      </c>
      <c r="Y318" s="19">
        <v>0.95879999999999999</v>
      </c>
      <c r="Z318" s="19">
        <v>1</v>
      </c>
      <c r="AB318" s="18">
        <v>302</v>
      </c>
    </row>
    <row r="319" spans="1:28" ht="15.75" customHeight="1" x14ac:dyDescent="0.2">
      <c r="A319" s="36" t="str">
        <f>HYPERLINK("https://dewey.edu", "Dewey University-Mayaguez")</f>
        <v>Dewey University-Mayaguez</v>
      </c>
      <c r="B319" s="18" t="s">
        <v>32</v>
      </c>
      <c r="C319" s="18" t="s">
        <v>284</v>
      </c>
      <c r="D319" s="18" t="s">
        <v>1052</v>
      </c>
      <c r="E319" s="18" t="s">
        <v>36</v>
      </c>
      <c r="F319" s="18" t="s">
        <v>36</v>
      </c>
      <c r="J319" s="19"/>
      <c r="K319" s="19">
        <v>0.27779999999999999</v>
      </c>
      <c r="L319" s="19">
        <v>5.8823529000000013E-2</v>
      </c>
      <c r="M319" s="19" t="s">
        <v>36</v>
      </c>
      <c r="N319" s="19" t="s">
        <v>36</v>
      </c>
      <c r="O319" s="19">
        <v>0.27779999999999999</v>
      </c>
      <c r="P319" s="19" t="s">
        <v>36</v>
      </c>
      <c r="Q319" s="19">
        <v>2.2205009000000001E-2</v>
      </c>
      <c r="R319" s="20">
        <v>12467</v>
      </c>
      <c r="S319" s="21" t="str">
        <f>HYPERLINK("https://dewey.edu/jdc/matricula2012/NetPriceCalculator/npcalc.htm", "$3593")</f>
        <v>$3593</v>
      </c>
      <c r="T319" s="20">
        <v>4970</v>
      </c>
      <c r="U319" s="20" t="s">
        <v>36</v>
      </c>
      <c r="V319" s="20">
        <v>1900</v>
      </c>
      <c r="W319" s="20">
        <v>1693</v>
      </c>
      <c r="Y319" s="19">
        <v>0.78759999999999997</v>
      </c>
      <c r="Z319" s="19">
        <v>1</v>
      </c>
      <c r="AB319" s="18">
        <v>27</v>
      </c>
    </row>
    <row r="320" spans="1:28" ht="15.75" customHeight="1" x14ac:dyDescent="0.2">
      <c r="A320" s="36" t="str">
        <f>HYPERLINK("https://www.dvc.edu", "Diablo Valley College")</f>
        <v>Diablo Valley College</v>
      </c>
      <c r="B320" s="18" t="s">
        <v>49</v>
      </c>
      <c r="C320" s="18" t="s">
        <v>68</v>
      </c>
      <c r="D320" s="18" t="s">
        <v>1268</v>
      </c>
      <c r="E320" s="18" t="s">
        <v>36</v>
      </c>
      <c r="F320" s="18" t="s">
        <v>36</v>
      </c>
      <c r="J320" s="19"/>
      <c r="K320" s="19">
        <v>0.4476</v>
      </c>
      <c r="L320" s="19" t="s">
        <v>36</v>
      </c>
      <c r="M320" s="19">
        <v>0.40479999999999999</v>
      </c>
      <c r="N320" s="19">
        <v>0.12</v>
      </c>
      <c r="O320" s="19">
        <v>0.28920000000000001</v>
      </c>
      <c r="P320" s="19">
        <v>0.45889999999999997</v>
      </c>
      <c r="Q320" s="19">
        <v>0.208677686</v>
      </c>
      <c r="R320" s="20">
        <v>27812</v>
      </c>
      <c r="S320" s="21" t="str">
        <f>HYPERLINK("https://misweb.cccco.edu/npc/312/npcalc.htm", "$20691")</f>
        <v>$20691</v>
      </c>
      <c r="T320" s="20">
        <v>23875</v>
      </c>
      <c r="U320" s="20">
        <v>25505</v>
      </c>
      <c r="V320" s="20">
        <v>6094</v>
      </c>
      <c r="W320" s="20">
        <v>14597.19553072626</v>
      </c>
      <c r="Y320" s="19">
        <v>0.16450000000000001</v>
      </c>
      <c r="Z320" s="19">
        <v>0.6391</v>
      </c>
      <c r="AB320" s="18">
        <v>17926</v>
      </c>
    </row>
    <row r="321" spans="1:28" ht="15.75" customHeight="1" x14ac:dyDescent="0.2">
      <c r="A321" s="36" t="str">
        <f>HYPERLINK("https://www.dinecollege.edu", "Dine College")</f>
        <v>Dine College</v>
      </c>
      <c r="B321" s="18" t="s">
        <v>49</v>
      </c>
      <c r="C321" s="18" t="s">
        <v>354</v>
      </c>
      <c r="D321" s="18" t="s">
        <v>1269</v>
      </c>
      <c r="E321" s="18" t="s">
        <v>36</v>
      </c>
      <c r="F321" s="18" t="s">
        <v>36</v>
      </c>
      <c r="J321" s="19"/>
      <c r="K321" s="19">
        <v>0.13270000000000001</v>
      </c>
      <c r="L321" s="19">
        <v>7.6106195000000001E-2</v>
      </c>
      <c r="M321" s="19">
        <v>0</v>
      </c>
      <c r="N321" s="19" t="s">
        <v>36</v>
      </c>
      <c r="O321" s="19">
        <v>0</v>
      </c>
      <c r="P321" s="19" t="s">
        <v>36</v>
      </c>
      <c r="Q321" s="19">
        <v>5.1034482999999999E-2</v>
      </c>
      <c r="R321" s="20">
        <v>12000</v>
      </c>
      <c r="S321" s="21" t="str">
        <f>HYPERLINK("https://www.dinecollege.edu/admissions/net-price-calculator/", "$8320")</f>
        <v>$8320</v>
      </c>
      <c r="T321" s="20">
        <v>9076</v>
      </c>
      <c r="U321" s="20" t="s">
        <v>36</v>
      </c>
      <c r="V321" s="20">
        <v>6350</v>
      </c>
      <c r="W321" s="20">
        <v>1970.1839080459779</v>
      </c>
      <c r="Y321" s="19">
        <v>0.57450000000000001</v>
      </c>
      <c r="Z321" s="19">
        <v>0.99709999999999999</v>
      </c>
      <c r="AB321" s="18">
        <v>1363</v>
      </c>
    </row>
    <row r="322" spans="1:28" ht="15.75" customHeight="1" x14ac:dyDescent="0.2">
      <c r="A322" s="36" t="str">
        <f>HYPERLINK("https://dixie.edu/", "Dixie State University")</f>
        <v>Dixie State University</v>
      </c>
      <c r="B322" s="18" t="s">
        <v>49</v>
      </c>
      <c r="C322" s="18" t="s">
        <v>199</v>
      </c>
      <c r="D322" s="18" t="s">
        <v>1271</v>
      </c>
      <c r="E322" s="18" t="s">
        <v>36</v>
      </c>
      <c r="F322" s="18" t="s">
        <v>36</v>
      </c>
      <c r="J322" s="19"/>
      <c r="K322" s="19">
        <v>0.34200000000000003</v>
      </c>
      <c r="L322" s="19">
        <v>0.107958478</v>
      </c>
      <c r="M322" s="19">
        <v>0.37930000000000003</v>
      </c>
      <c r="N322" s="19">
        <v>0.1346</v>
      </c>
      <c r="O322" s="19">
        <v>0.1774</v>
      </c>
      <c r="P322" s="19">
        <v>0.33329999999999999</v>
      </c>
      <c r="Q322" s="19">
        <v>8.9569160999999994E-2</v>
      </c>
      <c r="R322" s="20">
        <v>30204</v>
      </c>
      <c r="S322" s="21" t="str">
        <f>HYPERLINK("https://financialaid.dixie.edu/net-price-calculator/", "$23888")</f>
        <v>$23888</v>
      </c>
      <c r="T322" s="20">
        <v>25798</v>
      </c>
      <c r="U322" s="20">
        <v>25984</v>
      </c>
      <c r="V322" s="20">
        <v>9328</v>
      </c>
      <c r="W322" s="20">
        <v>14560.168246445501</v>
      </c>
      <c r="Y322" s="19">
        <v>0.37430000000000002</v>
      </c>
      <c r="Z322" s="19">
        <v>0.25149999999999989</v>
      </c>
      <c r="AB322" s="18">
        <v>7687</v>
      </c>
    </row>
    <row r="323" spans="1:28" ht="15.75" customHeight="1" x14ac:dyDescent="0.2">
      <c r="A323" s="36" t="str">
        <f>HYPERLINK("https://www.dc3.edu", "Dodge City Community College")</f>
        <v>Dodge City Community College</v>
      </c>
      <c r="B323" s="18" t="s">
        <v>49</v>
      </c>
      <c r="C323" s="18" t="s">
        <v>307</v>
      </c>
      <c r="D323" s="18" t="s">
        <v>1272</v>
      </c>
      <c r="E323" s="18" t="s">
        <v>36</v>
      </c>
      <c r="F323" s="18" t="s">
        <v>36</v>
      </c>
      <c r="J323" s="19"/>
      <c r="K323" s="19">
        <v>0.42409999999999998</v>
      </c>
      <c r="L323" s="19">
        <v>0.13445378199999999</v>
      </c>
      <c r="M323" s="19">
        <v>0.50680000000000003</v>
      </c>
      <c r="N323" s="19">
        <v>0.14080000000000001</v>
      </c>
      <c r="O323" s="19">
        <v>0.48370000000000002</v>
      </c>
      <c r="P323" s="19">
        <v>0.5</v>
      </c>
      <c r="Q323" s="19">
        <v>0.11682243</v>
      </c>
      <c r="R323" s="20">
        <v>14628</v>
      </c>
      <c r="S323" s="21" t="str">
        <f>HYPERLINK("https://www.dc3.edu/financial-aid/net-price-calculator", "$8651")</f>
        <v>$8651</v>
      </c>
      <c r="T323" s="20">
        <v>11071</v>
      </c>
      <c r="U323" s="20">
        <v>12542</v>
      </c>
      <c r="V323" s="20">
        <v>4528</v>
      </c>
      <c r="W323" s="20">
        <v>4123.6220472440946</v>
      </c>
      <c r="Y323" s="19">
        <v>0.2777</v>
      </c>
      <c r="Z323" s="19">
        <v>0.60289999999999999</v>
      </c>
      <c r="AB323" s="18">
        <v>1103</v>
      </c>
    </row>
    <row r="324" spans="1:28" ht="15.75" customHeight="1" x14ac:dyDescent="0.2">
      <c r="A324" s="36" t="str">
        <f>HYPERLINK("https://www.dbumn.edu", "Duluth Business University")</f>
        <v>Duluth Business University</v>
      </c>
      <c r="B324" s="18" t="s">
        <v>368</v>
      </c>
      <c r="C324" s="18" t="s">
        <v>72</v>
      </c>
      <c r="D324" s="18" t="s">
        <v>1222</v>
      </c>
      <c r="E324" s="18" t="s">
        <v>36</v>
      </c>
      <c r="F324" s="18" t="s">
        <v>36</v>
      </c>
      <c r="J324" s="19"/>
      <c r="K324" s="19">
        <v>0.17649999999999999</v>
      </c>
      <c r="L324" s="19">
        <v>0.21559633</v>
      </c>
      <c r="M324" s="19">
        <v>0.21429999999999999</v>
      </c>
      <c r="N324" s="19">
        <v>0</v>
      </c>
      <c r="O324" s="19" t="s">
        <v>36</v>
      </c>
      <c r="P324" s="19" t="s">
        <v>36</v>
      </c>
      <c r="Q324" s="19" t="s">
        <v>36</v>
      </c>
      <c r="R324" s="20">
        <v>37020</v>
      </c>
      <c r="S324" s="21" t="str">
        <f>HYPERLINK("https://www.dbumn.edu/financial-aid/npcalc.htm", "$25119")</f>
        <v>$25119</v>
      </c>
      <c r="T324" s="20" t="s">
        <v>36</v>
      </c>
      <c r="U324" s="20" t="s">
        <v>36</v>
      </c>
      <c r="V324" s="20">
        <v>8239</v>
      </c>
      <c r="W324" s="20">
        <v>16880</v>
      </c>
      <c r="Y324" s="19">
        <v>0.6129</v>
      </c>
      <c r="Z324" s="19">
        <v>4.3499999999999983E-2</v>
      </c>
      <c r="AB324" s="18">
        <v>46</v>
      </c>
    </row>
    <row r="325" spans="1:28" ht="15.75" customHeight="1" x14ac:dyDescent="0.2">
      <c r="A325" s="36" t="str">
        <f>HYPERLINK("https://www.dunwoody.edu", "Dunwoody College of Technology")</f>
        <v>Dunwoody College of Technology</v>
      </c>
      <c r="B325" s="18" t="s">
        <v>32</v>
      </c>
      <c r="C325" s="18" t="s">
        <v>72</v>
      </c>
      <c r="D325" s="18" t="s">
        <v>283</v>
      </c>
      <c r="E325" s="18" t="s">
        <v>36</v>
      </c>
      <c r="F325" s="18" t="s">
        <v>90</v>
      </c>
      <c r="J325" s="19"/>
      <c r="K325" s="19">
        <v>0.63500000000000001</v>
      </c>
      <c r="L325" s="19">
        <v>0.40289855099999999</v>
      </c>
      <c r="M325" s="19">
        <v>0.73909999999999998</v>
      </c>
      <c r="N325" s="19">
        <v>1</v>
      </c>
      <c r="O325" s="19">
        <v>0.25</v>
      </c>
      <c r="P325" s="19">
        <v>0.5</v>
      </c>
      <c r="Q325" s="19">
        <v>2.3738872000000001E-2</v>
      </c>
      <c r="R325" s="20">
        <v>32508</v>
      </c>
      <c r="S325" s="21" t="str">
        <f>HYPERLINK("https://dunwoody.studentaidcalculator.com/survey.aspx", "$18375")</f>
        <v>$18375</v>
      </c>
      <c r="T325" s="20">
        <v>18987</v>
      </c>
      <c r="U325" s="20">
        <v>23574</v>
      </c>
      <c r="V325" s="20">
        <v>3448</v>
      </c>
      <c r="W325" s="20">
        <v>14927</v>
      </c>
      <c r="Y325" s="19">
        <v>0.39950000000000002</v>
      </c>
      <c r="Z325" s="19">
        <v>0.26090000000000002</v>
      </c>
      <c r="AB325" s="18">
        <v>1288</v>
      </c>
    </row>
    <row r="326" spans="1:28" ht="15.75" customHeight="1" x14ac:dyDescent="0.2">
      <c r="A326" s="36" t="str">
        <f>HYPERLINK("https://www.sunydutchess.edu", "SUNY Dutchess Community College")</f>
        <v>SUNY Dutchess Community College</v>
      </c>
      <c r="B326" s="18" t="s">
        <v>49</v>
      </c>
      <c r="C326" s="18" t="s">
        <v>38</v>
      </c>
      <c r="D326" s="18" t="s">
        <v>176</v>
      </c>
      <c r="E326" s="18" t="s">
        <v>36</v>
      </c>
      <c r="F326" s="18" t="s">
        <v>36</v>
      </c>
      <c r="G326" s="18" t="s">
        <v>51</v>
      </c>
      <c r="I326" s="18" t="s">
        <v>1275</v>
      </c>
      <c r="J326" s="19"/>
      <c r="K326" s="19">
        <v>0.27789999999999998</v>
      </c>
      <c r="L326" s="19">
        <v>0.20357497499999999</v>
      </c>
      <c r="M326" s="19">
        <v>0.31380000000000002</v>
      </c>
      <c r="N326" s="19">
        <v>0.1993</v>
      </c>
      <c r="O326" s="19">
        <v>0.25580000000000003</v>
      </c>
      <c r="P326" s="19">
        <v>0.25</v>
      </c>
      <c r="Q326" s="19">
        <v>9.1229839000000007E-2</v>
      </c>
      <c r="R326" s="20">
        <v>19586</v>
      </c>
      <c r="S326" s="21" t="str">
        <f>HYPERLINK("https://www.sunydutchess.edu/aboutdcc/consumerinformation/", "$6068")</f>
        <v>$6068</v>
      </c>
      <c r="T326" s="20">
        <v>10590</v>
      </c>
      <c r="U326" s="20">
        <v>12537</v>
      </c>
      <c r="V326" s="20">
        <v>4600</v>
      </c>
      <c r="W326" s="20">
        <v>1468</v>
      </c>
      <c r="Y326" s="19">
        <v>0.2374</v>
      </c>
      <c r="Z326" s="19">
        <v>0.44700000000000012</v>
      </c>
      <c r="AB326" s="18">
        <v>5655</v>
      </c>
    </row>
    <row r="327" spans="1:28" ht="15.75" customHeight="1" x14ac:dyDescent="0.2">
      <c r="A327" s="36" t="str">
        <f>HYPERLINK("https://www.dscc.edu", "Dyersburg State Community College")</f>
        <v>Dyersburg State Community College</v>
      </c>
      <c r="B327" s="18" t="s">
        <v>49</v>
      </c>
      <c r="C327" s="18" t="s">
        <v>174</v>
      </c>
      <c r="D327" s="18" t="s">
        <v>1277</v>
      </c>
      <c r="E327" s="18" t="s">
        <v>36</v>
      </c>
      <c r="F327" s="18" t="s">
        <v>36</v>
      </c>
      <c r="J327" s="19"/>
      <c r="K327" s="19">
        <v>0.1744</v>
      </c>
      <c r="L327" s="19">
        <v>0.133744856</v>
      </c>
      <c r="M327" s="19">
        <v>0.18179999999999999</v>
      </c>
      <c r="N327" s="19">
        <v>0.1139</v>
      </c>
      <c r="O327" s="19">
        <v>0.22220000000000001</v>
      </c>
      <c r="P327" s="19" t="s">
        <v>36</v>
      </c>
      <c r="Q327" s="19">
        <v>4.9754729999999997E-2</v>
      </c>
      <c r="R327" s="20">
        <v>29732</v>
      </c>
      <c r="S327" s="21" t="str">
        <f>HYPERLINK("https://www.dscc.edu/paying%20for%20college/what%20it%20costs/net%20price%20calculator", "$22484")</f>
        <v>$22484</v>
      </c>
      <c r="T327" s="20">
        <v>24960</v>
      </c>
      <c r="U327" s="20">
        <v>26740</v>
      </c>
      <c r="V327" s="20">
        <v>3780</v>
      </c>
      <c r="W327" s="20">
        <v>18704.056537102471</v>
      </c>
      <c r="Y327" s="19">
        <v>0.39129999999999998</v>
      </c>
      <c r="Z327" s="19">
        <v>0.27929999999999999</v>
      </c>
      <c r="AB327" s="18">
        <v>1826</v>
      </c>
    </row>
    <row r="328" spans="1:28" ht="15.75" customHeight="1" x14ac:dyDescent="0.2">
      <c r="A328" s="36" t="str">
        <f>HYPERLINK("https://www.ecpi.edu", "ECPI University")</f>
        <v>ECPI University</v>
      </c>
      <c r="B328" s="18" t="s">
        <v>368</v>
      </c>
      <c r="C328" s="18" t="s">
        <v>83</v>
      </c>
      <c r="D328" s="18" t="s">
        <v>921</v>
      </c>
      <c r="E328" s="18" t="s">
        <v>36</v>
      </c>
      <c r="F328" s="18" t="s">
        <v>45</v>
      </c>
      <c r="J328" s="19"/>
      <c r="K328" s="19">
        <v>0.47410000000000002</v>
      </c>
      <c r="L328" s="19">
        <v>0.45603547999999999</v>
      </c>
      <c r="M328" s="19">
        <v>0.54210000000000003</v>
      </c>
      <c r="N328" s="19">
        <v>0.40870000000000001</v>
      </c>
      <c r="O328" s="19">
        <v>0.39679999999999999</v>
      </c>
      <c r="P328" s="19">
        <v>0.6</v>
      </c>
      <c r="Q328" s="19">
        <v>3.0196717000000001E-2</v>
      </c>
      <c r="R328" s="20">
        <v>27717</v>
      </c>
      <c r="S328" s="21" t="str">
        <f>HYPERLINK("https://www.npc.ecpi.edu", "$19878")</f>
        <v>$19878</v>
      </c>
      <c r="T328" s="20">
        <v>21605</v>
      </c>
      <c r="U328" s="20">
        <v>22128</v>
      </c>
      <c r="V328" s="20">
        <v>3996</v>
      </c>
      <c r="W328" s="20">
        <v>15882</v>
      </c>
      <c r="Y328" s="19">
        <v>0.44209999999999999</v>
      </c>
      <c r="Z328" s="19">
        <v>0.59139999999999993</v>
      </c>
      <c r="AB328" s="18">
        <v>11512</v>
      </c>
    </row>
    <row r="329" spans="1:28" ht="15.75" customHeight="1" x14ac:dyDescent="0.2">
      <c r="A329" s="36" t="str">
        <f>HYPERLINK("https://www.edpuniversity.edu", "EDP Univeristy of Puerto Rico Inc-San Juan")</f>
        <v>EDP Univeristy of Puerto Rico Inc-San Juan</v>
      </c>
      <c r="B329" s="18" t="s">
        <v>32</v>
      </c>
      <c r="C329" s="18" t="s">
        <v>284</v>
      </c>
      <c r="D329" s="18" t="s">
        <v>285</v>
      </c>
      <c r="E329" s="18" t="s">
        <v>36</v>
      </c>
      <c r="F329" s="18" t="s">
        <v>45</v>
      </c>
      <c r="J329" s="19"/>
      <c r="K329" s="19">
        <v>0.36259999999999998</v>
      </c>
      <c r="L329" s="19">
        <v>0.22280471800000001</v>
      </c>
      <c r="M329" s="19" t="s">
        <v>36</v>
      </c>
      <c r="N329" s="19" t="s">
        <v>36</v>
      </c>
      <c r="O329" s="19">
        <v>0.36259999999999998</v>
      </c>
      <c r="P329" s="19" t="s">
        <v>36</v>
      </c>
      <c r="Q329" s="19">
        <v>4.2857143E-2</v>
      </c>
      <c r="R329" s="20">
        <v>22202</v>
      </c>
      <c r="S329" s="21" t="str">
        <f>HYPERLINK("https://edpuniversity.edu/coa_net_calculator/", "$7278")</f>
        <v>$7278</v>
      </c>
      <c r="T329" s="20">
        <v>6682</v>
      </c>
      <c r="U329" s="20">
        <v>6682</v>
      </c>
      <c r="V329" s="20">
        <v>5250</v>
      </c>
      <c r="W329" s="20">
        <v>2028</v>
      </c>
      <c r="Y329" s="19">
        <v>0.72299999999999998</v>
      </c>
      <c r="Z329" s="19">
        <v>1</v>
      </c>
      <c r="AB329" s="18">
        <v>1958</v>
      </c>
    </row>
    <row r="330" spans="1:28" ht="15.75" customHeight="1" x14ac:dyDescent="0.2">
      <c r="A330" s="36" t="str">
        <f>HYPERLINK("https://www.edpuniversity.edu/", "EDP University of Puerto Rico Inc-San Sebastian")</f>
        <v>EDP University of Puerto Rico Inc-San Sebastian</v>
      </c>
      <c r="B330" s="18" t="s">
        <v>32</v>
      </c>
      <c r="C330" s="18" t="s">
        <v>284</v>
      </c>
      <c r="D330" s="18" t="s">
        <v>1280</v>
      </c>
      <c r="E330" s="18" t="s">
        <v>36</v>
      </c>
      <c r="F330" s="18" t="s">
        <v>36</v>
      </c>
      <c r="J330" s="19"/>
      <c r="K330" s="19">
        <v>0.03</v>
      </c>
      <c r="L330" s="19">
        <v>0.22280471800000001</v>
      </c>
      <c r="M330" s="19" t="s">
        <v>36</v>
      </c>
      <c r="N330" s="19" t="s">
        <v>36</v>
      </c>
      <c r="O330" s="19">
        <v>0.03</v>
      </c>
      <c r="P330" s="19" t="s">
        <v>36</v>
      </c>
      <c r="Q330" s="19">
        <v>4.2857143E-2</v>
      </c>
      <c r="R330" s="20">
        <v>22202</v>
      </c>
      <c r="S330" s="21" t="str">
        <f>HYPERLINK("https://edpuniversity.edu/coa-net-calculator/", "$7921")</f>
        <v>$7921</v>
      </c>
      <c r="T330" s="20">
        <v>11473</v>
      </c>
      <c r="U330" s="20" t="s">
        <v>36</v>
      </c>
      <c r="V330" s="20">
        <v>5250</v>
      </c>
      <c r="W330" s="20">
        <v>2671</v>
      </c>
      <c r="Y330" s="19">
        <v>0.82269999999999999</v>
      </c>
      <c r="Z330" s="19">
        <v>1</v>
      </c>
      <c r="AB330" s="18">
        <v>1048</v>
      </c>
    </row>
    <row r="331" spans="1:28" ht="15.75" customHeight="1" x14ac:dyDescent="0.2">
      <c r="A331" s="36" t="str">
        <f>HYPERLINK("https://www.eastcentral.edu", "East Central College")</f>
        <v>East Central College</v>
      </c>
      <c r="B331" s="18" t="s">
        <v>49</v>
      </c>
      <c r="C331" s="18" t="s">
        <v>164</v>
      </c>
      <c r="D331" s="18" t="s">
        <v>870</v>
      </c>
      <c r="E331" s="18" t="s">
        <v>36</v>
      </c>
      <c r="F331" s="18" t="s">
        <v>36</v>
      </c>
      <c r="J331" s="19"/>
      <c r="K331" s="19">
        <v>0.2114</v>
      </c>
      <c r="L331" s="19">
        <v>0.15783783800000001</v>
      </c>
      <c r="M331" s="19">
        <v>0.21740000000000001</v>
      </c>
      <c r="N331" s="19">
        <v>0</v>
      </c>
      <c r="O331" s="19">
        <v>0.1</v>
      </c>
      <c r="P331" s="19" t="s">
        <v>36</v>
      </c>
      <c r="Q331" s="19">
        <v>7.9221682000000002E-2</v>
      </c>
      <c r="R331" s="20">
        <v>23668</v>
      </c>
      <c r="S331" s="21" t="str">
        <f>HYPERLINK("https://www.eastcentral.edu/finaid/net-price-calculator/", "$18128")</f>
        <v>$18128</v>
      </c>
      <c r="T331" s="20">
        <v>20429</v>
      </c>
      <c r="U331" s="20">
        <v>22301</v>
      </c>
      <c r="V331" s="20">
        <v>5424</v>
      </c>
      <c r="W331" s="20">
        <v>12704.67487684729</v>
      </c>
      <c r="Y331" s="19">
        <v>0.4204</v>
      </c>
      <c r="Z331" s="19">
        <v>6.700000000000006E-2</v>
      </c>
      <c r="AB331" s="18">
        <v>2163</v>
      </c>
    </row>
    <row r="332" spans="1:28" ht="15.75" customHeight="1" x14ac:dyDescent="0.2">
      <c r="A332" s="36" t="str">
        <f>HYPERLINK("https://www.eccc.edu", "East Central Community College")</f>
        <v>East Central Community College</v>
      </c>
      <c r="B332" s="18" t="s">
        <v>49</v>
      </c>
      <c r="C332" s="18" t="s">
        <v>59</v>
      </c>
      <c r="D332" s="18" t="s">
        <v>189</v>
      </c>
      <c r="E332" s="18" t="s">
        <v>36</v>
      </c>
      <c r="F332" s="18" t="s">
        <v>36</v>
      </c>
      <c r="J332" s="19"/>
      <c r="K332" s="19">
        <v>0.40329999999999999</v>
      </c>
      <c r="L332" s="19">
        <v>0.153598281</v>
      </c>
      <c r="M332" s="19">
        <v>0.49519999999999997</v>
      </c>
      <c r="N332" s="19">
        <v>0.2923</v>
      </c>
      <c r="O332" s="19">
        <v>0.61109999999999998</v>
      </c>
      <c r="P332" s="19">
        <v>0.5</v>
      </c>
      <c r="Q332" s="19">
        <v>5.3017944999999997E-2</v>
      </c>
      <c r="R332" s="20">
        <v>13320</v>
      </c>
      <c r="S332" s="21" t="str">
        <f>HYPERLINK("https://my.eccc.edu/ics/clientconfig/NetPrice/npcalc.htm", "$7225")</f>
        <v>$7225</v>
      </c>
      <c r="T332" s="20">
        <v>9673</v>
      </c>
      <c r="U332" s="20">
        <v>11666</v>
      </c>
      <c r="V332" s="20">
        <v>4800</v>
      </c>
      <c r="W332" s="20">
        <v>2425.980821917808</v>
      </c>
      <c r="Y332" s="19">
        <v>0.51929999999999998</v>
      </c>
      <c r="Z332" s="19">
        <v>0.49249999999999999</v>
      </c>
      <c r="AB332" s="18">
        <v>2077</v>
      </c>
    </row>
    <row r="333" spans="1:28" ht="15.75" customHeight="1" x14ac:dyDescent="0.2">
      <c r="A333" s="36" t="str">
        <f>HYPERLINK("https://www.ega.edu", "East Georgia State College")</f>
        <v>East Georgia State College</v>
      </c>
      <c r="B333" s="18" t="s">
        <v>49</v>
      </c>
      <c r="C333" s="18" t="s">
        <v>107</v>
      </c>
      <c r="D333" s="18" t="s">
        <v>1283</v>
      </c>
      <c r="E333" s="18" t="s">
        <v>36</v>
      </c>
      <c r="F333" s="18" t="s">
        <v>36</v>
      </c>
      <c r="J333" s="19"/>
      <c r="K333" s="19">
        <v>6.2300000000000001E-2</v>
      </c>
      <c r="L333" s="19">
        <v>6.1833688999999997E-2</v>
      </c>
      <c r="M333" s="19">
        <v>8.9800000000000005E-2</v>
      </c>
      <c r="N333" s="19">
        <v>3.8800000000000001E-2</v>
      </c>
      <c r="O333" s="19">
        <v>6.9800000000000001E-2</v>
      </c>
      <c r="P333" s="19">
        <v>0.1429</v>
      </c>
      <c r="Q333" s="19">
        <v>0.15610406900000001</v>
      </c>
      <c r="R333" s="20">
        <v>22112</v>
      </c>
      <c r="S333" s="21" t="str">
        <f>HYPERLINK("https://www.ega.edu/npcalc/", "$16921")</f>
        <v>$16921</v>
      </c>
      <c r="T333" s="20">
        <v>19079</v>
      </c>
      <c r="U333" s="20">
        <v>20572</v>
      </c>
      <c r="V333" s="20">
        <v>4200</v>
      </c>
      <c r="W333" s="20">
        <v>12721.41812865497</v>
      </c>
      <c r="Y333" s="19">
        <v>0.57579999999999998</v>
      </c>
      <c r="Z333" s="19">
        <v>0.60020000000000007</v>
      </c>
      <c r="AB333" s="18">
        <v>2596</v>
      </c>
    </row>
    <row r="334" spans="1:28" ht="15.75" customHeight="1" x14ac:dyDescent="0.2">
      <c r="A334" s="36" t="str">
        <f>HYPERLINK("https://www.eastms.edu/", "East Mississippi Community College")</f>
        <v>East Mississippi Community College</v>
      </c>
      <c r="B334" s="18" t="s">
        <v>49</v>
      </c>
      <c r="C334" s="18" t="s">
        <v>59</v>
      </c>
      <c r="D334" s="18" t="s">
        <v>1285</v>
      </c>
      <c r="E334" s="18" t="s">
        <v>36</v>
      </c>
      <c r="F334" s="18" t="s">
        <v>36</v>
      </c>
      <c r="J334" s="19"/>
      <c r="K334" s="19">
        <v>0.41039999999999999</v>
      </c>
      <c r="L334" s="19">
        <v>0.157923799</v>
      </c>
      <c r="M334" s="19">
        <v>0.49370000000000003</v>
      </c>
      <c r="N334" s="19">
        <v>0.3211</v>
      </c>
      <c r="O334" s="19">
        <v>0.29409999999999997</v>
      </c>
      <c r="P334" s="19">
        <v>0.66669999999999996</v>
      </c>
      <c r="Q334" s="19">
        <v>7.5841499999999992E-2</v>
      </c>
      <c r="R334" s="20">
        <v>15555</v>
      </c>
      <c r="S334" s="21" t="str">
        <f>HYPERLINK("https://www.eastms.edu/admissions/financial-aid/tuition-calculator.html", "$8809")</f>
        <v>$8809</v>
      </c>
      <c r="T334" s="20">
        <v>10803</v>
      </c>
      <c r="U334" s="20">
        <v>13508</v>
      </c>
      <c r="V334" s="20">
        <v>4665</v>
      </c>
      <c r="W334" s="20">
        <v>4144.6851851851861</v>
      </c>
      <c r="Y334" s="19">
        <v>0.52739999999999998</v>
      </c>
      <c r="Z334" s="19">
        <v>0.51140000000000008</v>
      </c>
      <c r="AB334" s="18">
        <v>3422</v>
      </c>
    </row>
    <row r="335" spans="1:28" ht="15.75" customHeight="1" x14ac:dyDescent="0.2">
      <c r="A335" s="36" t="str">
        <f>HYPERLINK("https://www.easternflorida.edu", "Eastern Florida State College")</f>
        <v>Eastern Florida State College</v>
      </c>
      <c r="B335" s="18" t="s">
        <v>49</v>
      </c>
      <c r="C335" s="18" t="s">
        <v>162</v>
      </c>
      <c r="D335" s="18" t="s">
        <v>1287</v>
      </c>
      <c r="E335" s="18" t="s">
        <v>36</v>
      </c>
      <c r="F335" s="18" t="s">
        <v>36</v>
      </c>
      <c r="J335" s="19"/>
      <c r="K335" s="19">
        <v>0.41720000000000002</v>
      </c>
      <c r="L335" s="19">
        <v>0.29304286699999998</v>
      </c>
      <c r="M335" s="19">
        <v>0.4582</v>
      </c>
      <c r="N335" s="19">
        <v>0.22800000000000001</v>
      </c>
      <c r="O335" s="19">
        <v>0.38390000000000002</v>
      </c>
      <c r="P335" s="19">
        <v>0.60529999999999995</v>
      </c>
      <c r="Q335" s="19">
        <v>6.7323875999999991E-2</v>
      </c>
      <c r="R335" s="20">
        <v>21659</v>
      </c>
      <c r="S335" s="21" t="str">
        <f>HYPERLINK("https://www.easternflorida.edu/admissions/financial-aid-scholarships/financial-aid-information/npcalc-iframe.cfm", "$17265")</f>
        <v>$17265</v>
      </c>
      <c r="T335" s="20">
        <v>19286</v>
      </c>
      <c r="U335" s="20">
        <v>21444</v>
      </c>
      <c r="V335" s="20">
        <v>5690</v>
      </c>
      <c r="W335" s="20">
        <v>11575.32871012483</v>
      </c>
      <c r="Y335" s="19">
        <v>0.37830000000000003</v>
      </c>
      <c r="Z335" s="19">
        <v>0.35370000000000001</v>
      </c>
      <c r="AB335" s="18">
        <v>12306</v>
      </c>
    </row>
    <row r="336" spans="1:28" ht="15.75" customHeight="1" x14ac:dyDescent="0.2">
      <c r="A336" s="36" t="str">
        <f>HYPERLINK("https://www.egcc.edu", "Eastern Gateway Community College")</f>
        <v>Eastern Gateway Community College</v>
      </c>
      <c r="B336" s="18" t="s">
        <v>49</v>
      </c>
      <c r="C336" s="18" t="s">
        <v>75</v>
      </c>
      <c r="D336" s="18" t="s">
        <v>362</v>
      </c>
      <c r="E336" s="18" t="s">
        <v>36</v>
      </c>
      <c r="F336" s="18" t="s">
        <v>36</v>
      </c>
      <c r="J336" s="19"/>
      <c r="K336" s="19">
        <v>8.1199999999999994E-2</v>
      </c>
      <c r="L336" s="19">
        <v>0.14423076900000001</v>
      </c>
      <c r="M336" s="19">
        <v>0.1205</v>
      </c>
      <c r="N336" s="19">
        <v>1.8599999999999998E-2</v>
      </c>
      <c r="O336" s="19">
        <v>0</v>
      </c>
      <c r="P336" s="19" t="s">
        <v>36</v>
      </c>
      <c r="Q336" s="19">
        <v>5.4719561999999999E-2</v>
      </c>
      <c r="R336" s="20">
        <v>11985</v>
      </c>
      <c r="S336" s="21" t="str">
        <f>HYPERLINK("https://egcc.edu/disclosures/", "$7051")</f>
        <v>$7051</v>
      </c>
      <c r="T336" s="20">
        <v>8201</v>
      </c>
      <c r="U336" s="20">
        <v>11330</v>
      </c>
      <c r="V336" s="20">
        <v>1500</v>
      </c>
      <c r="W336" s="20">
        <v>5551.8079470198672</v>
      </c>
      <c r="Y336" s="19">
        <v>0.3649</v>
      </c>
      <c r="Z336" s="19">
        <v>0.37969999999999998</v>
      </c>
      <c r="AB336" s="18">
        <v>7446</v>
      </c>
    </row>
    <row r="337" spans="1:28" ht="15.75" customHeight="1" x14ac:dyDescent="0.2">
      <c r="A337" s="36" t="str">
        <f>HYPERLINK("https://www.eicollege.edu", "Eastern International College-Belleville")</f>
        <v>Eastern International College-Belleville</v>
      </c>
      <c r="B337" s="18" t="s">
        <v>368</v>
      </c>
      <c r="C337" s="18" t="s">
        <v>141</v>
      </c>
      <c r="D337" s="18" t="s">
        <v>919</v>
      </c>
      <c r="E337" s="18" t="s">
        <v>36</v>
      </c>
      <c r="F337" s="18" t="s">
        <v>36</v>
      </c>
      <c r="J337" s="19"/>
      <c r="K337" s="19">
        <v>0.80559999999999998</v>
      </c>
      <c r="L337" s="19">
        <v>0.52549019600000002</v>
      </c>
      <c r="M337" s="19">
        <v>0.83330000000000004</v>
      </c>
      <c r="N337" s="19">
        <v>0.8</v>
      </c>
      <c r="O337" s="19">
        <v>0.8125</v>
      </c>
      <c r="P337" s="19">
        <v>0.75</v>
      </c>
      <c r="Q337" s="19" t="s">
        <v>36</v>
      </c>
      <c r="R337" s="20">
        <v>33376</v>
      </c>
      <c r="S337" s="21" t="str">
        <f>HYPERLINK("https://www.eicollege.edu/financial-aid/net-price-calculator.aspx", "$19713")</f>
        <v>$19713</v>
      </c>
      <c r="T337" s="20">
        <v>23819</v>
      </c>
      <c r="U337" s="20">
        <v>24903</v>
      </c>
      <c r="V337" s="20">
        <v>5043</v>
      </c>
      <c r="W337" s="20">
        <v>14670</v>
      </c>
      <c r="Y337" s="19">
        <v>0.89190000000000003</v>
      </c>
      <c r="Z337" s="19">
        <v>0.78279999999999994</v>
      </c>
      <c r="AB337" s="18">
        <v>244</v>
      </c>
    </row>
    <row r="338" spans="1:28" ht="15.75" customHeight="1" x14ac:dyDescent="0.2">
      <c r="A338" s="36" t="str">
        <f>HYPERLINK("https://www.eicollege.edu", "Eastern International College-Jersey City")</f>
        <v>Eastern International College-Jersey City</v>
      </c>
      <c r="B338" s="18" t="s">
        <v>368</v>
      </c>
      <c r="C338" s="18" t="s">
        <v>141</v>
      </c>
      <c r="D338" s="18" t="s">
        <v>1004</v>
      </c>
      <c r="E338" s="18" t="s">
        <v>36</v>
      </c>
      <c r="F338" s="18" t="s">
        <v>36</v>
      </c>
      <c r="J338" s="19"/>
      <c r="K338" s="19">
        <v>0.79659999999999997</v>
      </c>
      <c r="L338" s="19">
        <v>0.52549019600000002</v>
      </c>
      <c r="M338" s="19">
        <v>0.85709999999999997</v>
      </c>
      <c r="N338" s="19">
        <v>0.72219999999999995</v>
      </c>
      <c r="O338" s="19">
        <v>0.86960000000000004</v>
      </c>
      <c r="P338" s="19">
        <v>0.83330000000000004</v>
      </c>
      <c r="Q338" s="19" t="s">
        <v>36</v>
      </c>
      <c r="R338" s="20">
        <v>33376</v>
      </c>
      <c r="S338" s="21" t="str">
        <f>HYPERLINK("https://www.eicollege.edu/financial-aid/net-price-calculator.aspx", "$19683")</f>
        <v>$19683</v>
      </c>
      <c r="T338" s="20">
        <v>24725</v>
      </c>
      <c r="U338" s="20">
        <v>24725</v>
      </c>
      <c r="V338" s="20">
        <v>5043</v>
      </c>
      <c r="W338" s="20">
        <v>14640</v>
      </c>
      <c r="Y338" s="19">
        <v>0.83860000000000001</v>
      </c>
      <c r="Z338" s="19">
        <v>0.83479999999999999</v>
      </c>
      <c r="AB338" s="18">
        <v>230</v>
      </c>
    </row>
    <row r="339" spans="1:28" ht="15.75" customHeight="1" x14ac:dyDescent="0.2">
      <c r="A339" s="36" t="str">
        <f>HYPERLINK("https://www.eicc.edu", "Eastern Iowa Community College District")</f>
        <v>Eastern Iowa Community College District</v>
      </c>
      <c r="B339" s="18" t="s">
        <v>49</v>
      </c>
      <c r="C339" s="18" t="s">
        <v>211</v>
      </c>
      <c r="D339" s="18" t="s">
        <v>818</v>
      </c>
      <c r="E339" s="18" t="s">
        <v>36</v>
      </c>
      <c r="F339" s="18" t="s">
        <v>36</v>
      </c>
      <c r="J339" s="19"/>
      <c r="K339" s="19">
        <v>0.38400000000000001</v>
      </c>
      <c r="L339" s="19">
        <v>0.17184643499999999</v>
      </c>
      <c r="M339" s="19">
        <v>0.4178</v>
      </c>
      <c r="N339" s="19">
        <v>0.27500000000000002</v>
      </c>
      <c r="O339" s="19">
        <v>0.35</v>
      </c>
      <c r="P339" s="19">
        <v>0.25</v>
      </c>
      <c r="Q339" s="19">
        <v>9.5256311999999996E-2</v>
      </c>
      <c r="R339" s="20">
        <v>18692</v>
      </c>
      <c r="S339" s="21" t="str">
        <f>HYPERLINK("https://www.eicc.edu/future-students/financial-aid/net-price-calculator.aspx", "$13257")</f>
        <v>$13257</v>
      </c>
      <c r="T339" s="20">
        <v>16329</v>
      </c>
      <c r="U339" s="20">
        <v>18292</v>
      </c>
      <c r="V339" s="20">
        <v>4840</v>
      </c>
      <c r="W339" s="20">
        <v>8417.3058823529409</v>
      </c>
      <c r="Y339" s="19">
        <v>0.3468</v>
      </c>
      <c r="Z339" s="19">
        <v>0.30020000000000002</v>
      </c>
      <c r="AB339" s="18">
        <v>3185</v>
      </c>
    </row>
    <row r="340" spans="1:28" ht="15.75" customHeight="1" x14ac:dyDescent="0.2">
      <c r="A340" s="36" t="str">
        <f>HYPERLINK("https://www.emcc.edu", "Eastern Maine Community College")</f>
        <v>Eastern Maine Community College</v>
      </c>
      <c r="B340" s="18" t="s">
        <v>49</v>
      </c>
      <c r="C340" s="18" t="s">
        <v>43</v>
      </c>
      <c r="D340" s="18" t="s">
        <v>750</v>
      </c>
      <c r="E340" s="18" t="s">
        <v>36</v>
      </c>
      <c r="F340" s="18" t="s">
        <v>36</v>
      </c>
      <c r="J340" s="19"/>
      <c r="K340" s="19">
        <v>0.25619999999999998</v>
      </c>
      <c r="L340" s="19">
        <v>0.243128964</v>
      </c>
      <c r="M340" s="19">
        <v>0.26190000000000002</v>
      </c>
      <c r="N340" s="19">
        <v>5.5599999999999997E-2</v>
      </c>
      <c r="O340" s="19">
        <v>0.22220000000000001</v>
      </c>
      <c r="P340" s="19">
        <v>0.4</v>
      </c>
      <c r="Q340" s="19">
        <v>7.3053891999999995E-2</v>
      </c>
      <c r="R340" s="20">
        <v>20849</v>
      </c>
      <c r="S340" s="21" t="str">
        <f>HYPERLINK("https://www.emcc.edu/wp-content/uploads/2017/11/npcalc.htm", "$14547")</f>
        <v>$14547</v>
      </c>
      <c r="T340" s="20">
        <v>17377</v>
      </c>
      <c r="U340" s="20">
        <v>19893</v>
      </c>
      <c r="V340" s="20">
        <v>6212</v>
      </c>
      <c r="W340" s="20">
        <v>8335.8888888888887</v>
      </c>
      <c r="Y340" s="19">
        <v>0.41599999999999998</v>
      </c>
      <c r="Z340" s="19">
        <v>0.10589999999999999</v>
      </c>
      <c r="AB340" s="18">
        <v>1870</v>
      </c>
    </row>
    <row r="341" spans="1:28" ht="15.75" customHeight="1" x14ac:dyDescent="0.2">
      <c r="A341" s="36" t="str">
        <f>HYPERLINK("https://www.eosc.edu", "Eastern Oklahoma State College")</f>
        <v>Eastern Oklahoma State College</v>
      </c>
      <c r="B341" s="18" t="s">
        <v>49</v>
      </c>
      <c r="C341" s="18" t="s">
        <v>290</v>
      </c>
      <c r="D341" s="18" t="s">
        <v>1292</v>
      </c>
      <c r="E341" s="18" t="s">
        <v>36</v>
      </c>
      <c r="F341" s="18" t="s">
        <v>36</v>
      </c>
      <c r="J341" s="19"/>
      <c r="K341" s="19">
        <v>0.23880000000000001</v>
      </c>
      <c r="L341" s="19">
        <v>0.13693693700000001</v>
      </c>
      <c r="M341" s="19">
        <v>0.25</v>
      </c>
      <c r="N341" s="19">
        <v>9.3799999999999994E-2</v>
      </c>
      <c r="O341" s="19">
        <v>0.40739999999999998</v>
      </c>
      <c r="P341" s="19">
        <v>0</v>
      </c>
      <c r="Q341" s="19">
        <v>6.5491184000000008E-2</v>
      </c>
      <c r="R341" s="20">
        <v>17906</v>
      </c>
      <c r="S341" s="21" t="str">
        <f>HYPERLINK("https://www.eosc.edu/financial_aid_scholarships/tuition_fees/tuition_calculator.aspx", "Not reported")</f>
        <v>Not reported</v>
      </c>
      <c r="T341" s="20" t="s">
        <v>36</v>
      </c>
      <c r="U341" s="20" t="s">
        <v>36</v>
      </c>
      <c r="V341" s="20">
        <v>3912</v>
      </c>
      <c r="W341" s="20" t="s">
        <v>36</v>
      </c>
      <c r="Y341" s="19">
        <v>0.52729999999999999</v>
      </c>
      <c r="Z341" s="19">
        <v>0.4728</v>
      </c>
      <c r="AB341" s="18">
        <v>1049</v>
      </c>
    </row>
    <row r="342" spans="1:28" ht="15.75" customHeight="1" x14ac:dyDescent="0.2">
      <c r="A342" s="36" t="str">
        <f>HYPERLINK("https://www.Easternwv.edu", "Eastern West Virginia Community and Technical College")</f>
        <v>Eastern West Virginia Community and Technical College</v>
      </c>
      <c r="B342" s="18" t="s">
        <v>49</v>
      </c>
      <c r="C342" s="18" t="s">
        <v>574</v>
      </c>
      <c r="D342" s="18" t="s">
        <v>1294</v>
      </c>
      <c r="E342" s="18" t="s">
        <v>36</v>
      </c>
      <c r="F342" s="18" t="s">
        <v>36</v>
      </c>
      <c r="J342" s="19"/>
      <c r="K342" s="19">
        <v>0.31669999999999998</v>
      </c>
      <c r="L342" s="19">
        <v>0.16942148800000001</v>
      </c>
      <c r="M342" s="19">
        <v>0.3276</v>
      </c>
      <c r="N342" s="19">
        <v>0</v>
      </c>
      <c r="O342" s="19">
        <v>0</v>
      </c>
      <c r="P342" s="19" t="s">
        <v>36</v>
      </c>
      <c r="Q342" s="19">
        <v>4.9132948000000003E-2</v>
      </c>
      <c r="R342" s="20">
        <v>17997</v>
      </c>
      <c r="S342" s="21" t="str">
        <f>HYPERLINK("https://easternwv.edu/financial-aid/net-price-calculator", "$11624")</f>
        <v>$11624</v>
      </c>
      <c r="T342" s="20">
        <v>13199</v>
      </c>
      <c r="U342" s="20">
        <v>17997</v>
      </c>
      <c r="V342" s="20">
        <v>4733</v>
      </c>
      <c r="W342" s="20">
        <v>6891.608695652174</v>
      </c>
      <c r="Y342" s="19">
        <v>0.33610000000000001</v>
      </c>
      <c r="Z342" s="19">
        <v>4.3300000000000012E-2</v>
      </c>
      <c r="AB342" s="18">
        <v>300</v>
      </c>
    </row>
    <row r="343" spans="1:28" ht="15.75" customHeight="1" x14ac:dyDescent="0.2">
      <c r="A343" s="36" t="str">
        <f>HYPERLINK("https://ewc.wy.edu", "Eastern Wyoming College")</f>
        <v>Eastern Wyoming College</v>
      </c>
      <c r="B343" s="18" t="s">
        <v>49</v>
      </c>
      <c r="C343" s="18" t="s">
        <v>1086</v>
      </c>
      <c r="D343" s="18" t="s">
        <v>1295</v>
      </c>
      <c r="E343" s="18" t="s">
        <v>36</v>
      </c>
      <c r="F343" s="18" t="s">
        <v>36</v>
      </c>
      <c r="J343" s="19"/>
      <c r="K343" s="19">
        <v>0.45860000000000001</v>
      </c>
      <c r="L343" s="19">
        <v>0.24113475200000001</v>
      </c>
      <c r="M343" s="19">
        <v>0.48849999999999999</v>
      </c>
      <c r="N343" s="19">
        <v>0</v>
      </c>
      <c r="O343" s="19">
        <v>0.3846</v>
      </c>
      <c r="P343" s="19">
        <v>1</v>
      </c>
      <c r="Q343" s="19">
        <v>4.1825095E-2</v>
      </c>
      <c r="R343" s="20">
        <v>18522</v>
      </c>
      <c r="S343" s="21" t="str">
        <f>HYPERLINK("https://ewc.wy.edu/future-students/financial-aid/net-price-calculator/", "$11556")</f>
        <v>$11556</v>
      </c>
      <c r="T343" s="20">
        <v>11571</v>
      </c>
      <c r="U343" s="20">
        <v>12967</v>
      </c>
      <c r="V343" s="20">
        <v>4180</v>
      </c>
      <c r="W343" s="20">
        <v>7376.8461538461543</v>
      </c>
      <c r="Y343" s="19">
        <v>0.1303</v>
      </c>
      <c r="Z343" s="19">
        <v>0.1726</v>
      </c>
      <c r="AB343" s="18">
        <v>620</v>
      </c>
    </row>
    <row r="344" spans="1:28" ht="15.75" customHeight="1" x14ac:dyDescent="0.2">
      <c r="A344" s="36" t="str">
        <f>HYPERLINK("https://www.eastfieldcollege.edu/", "Eastfield College")</f>
        <v>Eastfield College</v>
      </c>
      <c r="B344" s="18" t="s">
        <v>49</v>
      </c>
      <c r="C344" s="18" t="s">
        <v>146</v>
      </c>
      <c r="D344" s="18" t="s">
        <v>1297</v>
      </c>
      <c r="E344" s="18" t="s">
        <v>36</v>
      </c>
      <c r="F344" s="18" t="s">
        <v>36</v>
      </c>
      <c r="J344" s="19"/>
      <c r="K344" s="19">
        <v>0.16420000000000001</v>
      </c>
      <c r="L344" s="19" t="s">
        <v>36</v>
      </c>
      <c r="M344" s="19">
        <v>0.15</v>
      </c>
      <c r="N344" s="19">
        <v>0.1313</v>
      </c>
      <c r="O344" s="19">
        <v>0.2011</v>
      </c>
      <c r="P344" s="19">
        <v>0.13639999999999999</v>
      </c>
      <c r="Q344" s="19">
        <v>0.11352656999999999</v>
      </c>
      <c r="R344" s="20">
        <v>20621</v>
      </c>
      <c r="S344" s="21" t="str">
        <f>HYPERLINK("https://www.dcccd.edu/pc/cost/pages/coa.aspx", "$15448")</f>
        <v>$15448</v>
      </c>
      <c r="T344" s="20">
        <v>17873</v>
      </c>
      <c r="U344" s="20">
        <v>20201</v>
      </c>
      <c r="V344" s="20">
        <v>5456</v>
      </c>
      <c r="W344" s="20">
        <v>9992.4679802955652</v>
      </c>
      <c r="Y344" s="19">
        <v>0.28439999999999999</v>
      </c>
      <c r="Z344" s="19">
        <v>0.81390000000000007</v>
      </c>
      <c r="AB344" s="18">
        <v>10460</v>
      </c>
    </row>
    <row r="345" spans="1:28" ht="15.75" customHeight="1" x14ac:dyDescent="0.2">
      <c r="A345" s="36" t="str">
        <f>HYPERLINK("https://www.eastwickcollege.edu", "Eastwick College-Nutley")</f>
        <v>Eastwick College-Nutley</v>
      </c>
      <c r="B345" s="18" t="s">
        <v>368</v>
      </c>
      <c r="C345" s="18" t="s">
        <v>141</v>
      </c>
      <c r="D345" s="18" t="s">
        <v>1298</v>
      </c>
      <c r="E345" s="18" t="s">
        <v>36</v>
      </c>
      <c r="F345" s="18" t="s">
        <v>45</v>
      </c>
      <c r="J345" s="19"/>
      <c r="K345" s="19">
        <v>0.55069999999999997</v>
      </c>
      <c r="L345" s="19">
        <v>0.642441861</v>
      </c>
      <c r="M345" s="19">
        <v>0.8</v>
      </c>
      <c r="N345" s="19">
        <v>0.44440000000000002</v>
      </c>
      <c r="O345" s="19">
        <v>0.46879999999999999</v>
      </c>
      <c r="P345" s="19">
        <v>0.66669999999999996</v>
      </c>
      <c r="Q345" s="19" t="s">
        <v>36</v>
      </c>
      <c r="R345" s="20">
        <v>28824</v>
      </c>
      <c r="S345" s="21" t="str">
        <f>HYPERLINK("https://www.eastwickcollege.edu/Net_Price.php", "$16455")</f>
        <v>$16455</v>
      </c>
      <c r="T345" s="20">
        <v>16084</v>
      </c>
      <c r="U345" s="20">
        <v>24294</v>
      </c>
      <c r="V345" s="20">
        <v>5671</v>
      </c>
      <c r="W345" s="20">
        <v>10784</v>
      </c>
      <c r="Y345" s="19">
        <v>0.65839999999999999</v>
      </c>
      <c r="Z345" s="19">
        <v>0.73049999999999993</v>
      </c>
      <c r="AB345" s="18">
        <v>486</v>
      </c>
    </row>
    <row r="346" spans="1:28" ht="15.75" customHeight="1" x14ac:dyDescent="0.2">
      <c r="A346" s="36" t="str">
        <f>HYPERLINK("https://www.eastwickcollege.edu", "Eastwick College-Ramsey")</f>
        <v>Eastwick College-Ramsey</v>
      </c>
      <c r="B346" s="18" t="s">
        <v>368</v>
      </c>
      <c r="C346" s="18" t="s">
        <v>141</v>
      </c>
      <c r="D346" s="18" t="s">
        <v>1299</v>
      </c>
      <c r="E346" s="18" t="s">
        <v>36</v>
      </c>
      <c r="F346" s="18" t="s">
        <v>45</v>
      </c>
      <c r="J346" s="19"/>
      <c r="K346" s="19">
        <v>0.76</v>
      </c>
      <c r="L346" s="19">
        <v>0.59271523199999998</v>
      </c>
      <c r="M346" s="19">
        <v>0.8649</v>
      </c>
      <c r="N346" s="19">
        <v>0.88239999999999996</v>
      </c>
      <c r="O346" s="19">
        <v>0.52939999999999998</v>
      </c>
      <c r="P346" s="19">
        <v>0</v>
      </c>
      <c r="Q346" s="19" t="s">
        <v>36</v>
      </c>
      <c r="R346" s="20">
        <v>39951</v>
      </c>
      <c r="S346" s="21" t="str">
        <f>HYPERLINK("https://www.eastwickcollege.edu/Net_Price.php", "$25649")</f>
        <v>$25649</v>
      </c>
      <c r="T346" s="20">
        <v>29020</v>
      </c>
      <c r="U346" s="20">
        <v>30054</v>
      </c>
      <c r="V346" s="20">
        <v>8255</v>
      </c>
      <c r="W346" s="20">
        <v>17394</v>
      </c>
      <c r="Y346" s="19">
        <v>0.47689999999999999</v>
      </c>
      <c r="Z346" s="19">
        <v>0.56119999999999992</v>
      </c>
      <c r="AB346" s="18">
        <v>768</v>
      </c>
    </row>
    <row r="347" spans="1:28" ht="15.75" customHeight="1" x14ac:dyDescent="0.2">
      <c r="A347" s="36" t="str">
        <f>HYPERLINK("https://www.ecotechinstitute.com", "Ecotech Institute")</f>
        <v>Ecotech Institute</v>
      </c>
      <c r="B347" s="18" t="s">
        <v>368</v>
      </c>
      <c r="C347" s="18" t="s">
        <v>87</v>
      </c>
      <c r="D347" s="18" t="s">
        <v>537</v>
      </c>
      <c r="E347" s="18" t="s">
        <v>36</v>
      </c>
      <c r="F347" s="18" t="s">
        <v>36</v>
      </c>
      <c r="J347" s="19"/>
      <c r="K347" s="19">
        <v>0.44919999999999999</v>
      </c>
      <c r="L347" s="19">
        <v>0.30252664499999998</v>
      </c>
      <c r="M347" s="19">
        <v>0.4194</v>
      </c>
      <c r="N347" s="19">
        <v>0.125</v>
      </c>
      <c r="O347" s="19">
        <v>0.47370000000000001</v>
      </c>
      <c r="P347" s="19" t="s">
        <v>36</v>
      </c>
      <c r="Q347" s="19">
        <v>2.3974295999999999E-2</v>
      </c>
      <c r="R347" s="20" t="s">
        <v>36</v>
      </c>
      <c r="S347" s="21" t="str">
        <f>HYPERLINK("https://enroll.ecotechinstitute.com/npc", "$20439")</f>
        <v>$20439</v>
      </c>
      <c r="T347" s="20">
        <v>23316</v>
      </c>
      <c r="U347" s="20">
        <v>21795</v>
      </c>
      <c r="V347" s="20" t="s">
        <v>36</v>
      </c>
      <c r="W347" s="20" t="s">
        <v>36</v>
      </c>
      <c r="Y347" s="19">
        <v>0.42359999999999998</v>
      </c>
      <c r="Z347" s="19">
        <v>0.62860000000000005</v>
      </c>
      <c r="AB347" s="18">
        <v>280</v>
      </c>
    </row>
    <row r="348" spans="1:28" ht="15.75" customHeight="1" x14ac:dyDescent="0.2">
      <c r="A348" s="36" t="str">
        <f>HYPERLINK("https://www.edgecombe.edu", "Edgecombe Community College")</f>
        <v>Edgecombe Community College</v>
      </c>
      <c r="B348" s="18" t="s">
        <v>49</v>
      </c>
      <c r="C348" s="18" t="s">
        <v>103</v>
      </c>
      <c r="D348" s="18" t="s">
        <v>1301</v>
      </c>
      <c r="E348" s="18" t="s">
        <v>36</v>
      </c>
      <c r="F348" s="18" t="s">
        <v>36</v>
      </c>
      <c r="J348" s="19"/>
      <c r="K348" s="19">
        <v>0.13059999999999999</v>
      </c>
      <c r="L348" s="19">
        <v>0.14031971600000001</v>
      </c>
      <c r="M348" s="19">
        <v>0.26669999999999999</v>
      </c>
      <c r="N348" s="19">
        <v>6.2100000000000002E-2</v>
      </c>
      <c r="O348" s="19">
        <v>0.36359999999999998</v>
      </c>
      <c r="P348" s="19" t="s">
        <v>36</v>
      </c>
      <c r="Q348" s="19">
        <v>3.7091987999999999E-2</v>
      </c>
      <c r="R348" s="20">
        <v>19101</v>
      </c>
      <c r="S348" s="21" t="str">
        <f>HYPERLINK("https://www.edgecombe.edu/current-students/financial-aid/net-price-calculator/", "$13942")</f>
        <v>$13942</v>
      </c>
      <c r="T348" s="20">
        <v>15935</v>
      </c>
      <c r="U348" s="20">
        <v>17107</v>
      </c>
      <c r="V348" s="20">
        <v>4815</v>
      </c>
      <c r="W348" s="20">
        <v>9127.9550561797751</v>
      </c>
      <c r="Y348" s="19">
        <v>0.60960000000000003</v>
      </c>
      <c r="Z348" s="19">
        <v>0.68789999999999996</v>
      </c>
      <c r="AB348" s="18">
        <v>1775</v>
      </c>
    </row>
    <row r="349" spans="1:28" ht="15.75" customHeight="1" x14ac:dyDescent="0.2">
      <c r="A349" s="36" t="str">
        <f>HYPERLINK("https://www.edisonOHIO.edu", "Edison State Community College")</f>
        <v>Edison State Community College</v>
      </c>
      <c r="B349" s="18" t="s">
        <v>49</v>
      </c>
      <c r="C349" s="18" t="s">
        <v>75</v>
      </c>
      <c r="D349" s="18" t="s">
        <v>1302</v>
      </c>
      <c r="E349" s="18" t="s">
        <v>36</v>
      </c>
      <c r="F349" s="18" t="s">
        <v>36</v>
      </c>
      <c r="J349" s="19"/>
      <c r="K349" s="19">
        <v>0.245</v>
      </c>
      <c r="L349" s="19">
        <v>0.18531468500000001</v>
      </c>
      <c r="M349" s="19">
        <v>0.26889999999999997</v>
      </c>
      <c r="N349" s="19">
        <v>0.05</v>
      </c>
      <c r="O349" s="19">
        <v>0</v>
      </c>
      <c r="P349" s="19">
        <v>0</v>
      </c>
      <c r="Q349" s="19">
        <v>4.7974414000000007E-2</v>
      </c>
      <c r="R349" s="20">
        <v>20238</v>
      </c>
      <c r="S349" s="21" t="str">
        <f>HYPERLINK("https://www.edisonohio.edu/Net-Price-Calculator/", "$15733")</f>
        <v>$15733</v>
      </c>
      <c r="T349" s="20">
        <v>17812</v>
      </c>
      <c r="U349" s="20">
        <v>18310</v>
      </c>
      <c r="V349" s="20">
        <v>4424</v>
      </c>
      <c r="W349" s="20">
        <v>11309.33333333333</v>
      </c>
      <c r="Y349" s="19">
        <v>0.23150000000000001</v>
      </c>
      <c r="Z349" s="19">
        <v>0.12429999999999999</v>
      </c>
      <c r="AB349" s="18">
        <v>1730</v>
      </c>
    </row>
    <row r="350" spans="1:28" ht="15.75" customHeight="1" x14ac:dyDescent="0.2">
      <c r="A350" s="36" t="str">
        <f>HYPERLINK("https://www.elcamino.edu", "El Camino Community College District")</f>
        <v>El Camino Community College District</v>
      </c>
      <c r="B350" s="18" t="s">
        <v>49</v>
      </c>
      <c r="C350" s="18" t="s">
        <v>68</v>
      </c>
      <c r="D350" s="18" t="s">
        <v>1303</v>
      </c>
      <c r="E350" s="18" t="s">
        <v>36</v>
      </c>
      <c r="F350" s="18" t="s">
        <v>36</v>
      </c>
      <c r="J350" s="19"/>
      <c r="K350" s="19">
        <v>0.31740000000000002</v>
      </c>
      <c r="L350" s="19">
        <v>0.102667745</v>
      </c>
      <c r="M350" s="19">
        <v>0.46029999999999999</v>
      </c>
      <c r="N350" s="19">
        <v>0.16</v>
      </c>
      <c r="O350" s="19">
        <v>0.24429999999999999</v>
      </c>
      <c r="P350" s="19">
        <v>0.5161</v>
      </c>
      <c r="Q350" s="19">
        <v>0.103280423</v>
      </c>
      <c r="R350" s="20">
        <v>25266</v>
      </c>
      <c r="S350" s="21" t="str">
        <f>HYPERLINK("https://www.finaid.org/calculators/studentbudget.phtml", "$18057")</f>
        <v>$18057</v>
      </c>
      <c r="T350" s="20">
        <v>20977</v>
      </c>
      <c r="U350" s="20">
        <v>21859</v>
      </c>
      <c r="V350" s="20">
        <v>6127</v>
      </c>
      <c r="W350" s="20">
        <v>11930.56451612903</v>
      </c>
      <c r="Y350" s="19">
        <v>0.29499999999999998</v>
      </c>
      <c r="Z350" s="19">
        <v>0.86850000000000005</v>
      </c>
      <c r="AB350" s="18">
        <v>21663</v>
      </c>
    </row>
    <row r="351" spans="1:28" ht="15.75" customHeight="1" x14ac:dyDescent="0.2">
      <c r="A351" s="36" t="str">
        <f>HYPERLINK("https://www.elcentrocollege.edu", "El Centro College")</f>
        <v>El Centro College</v>
      </c>
      <c r="B351" s="18" t="s">
        <v>49</v>
      </c>
      <c r="C351" s="18" t="s">
        <v>146</v>
      </c>
      <c r="D351" s="18" t="s">
        <v>152</v>
      </c>
      <c r="E351" s="18" t="s">
        <v>36</v>
      </c>
      <c r="F351" s="18" t="s">
        <v>36</v>
      </c>
      <c r="J351" s="19"/>
      <c r="K351" s="19">
        <v>9.74E-2</v>
      </c>
      <c r="L351" s="19" t="s">
        <v>36</v>
      </c>
      <c r="M351" s="19">
        <v>0.1143</v>
      </c>
      <c r="N351" s="19">
        <v>2.1299999999999999E-2</v>
      </c>
      <c r="O351" s="19">
        <v>0.13550000000000001</v>
      </c>
      <c r="P351" s="19">
        <v>0.4</v>
      </c>
      <c r="Q351" s="19">
        <v>0.104696252</v>
      </c>
      <c r="R351" s="20">
        <v>20621</v>
      </c>
      <c r="S351" s="21" t="str">
        <f>HYPERLINK("https://www.elcentrocollege.edu/pc/cost/tuition/pages/tuitioncalc.aspx", "$15140")</f>
        <v>$15140</v>
      </c>
      <c r="T351" s="20">
        <v>18241</v>
      </c>
      <c r="U351" s="20" t="s">
        <v>36</v>
      </c>
      <c r="V351" s="20">
        <v>5456</v>
      </c>
      <c r="W351" s="20">
        <v>9684.652173913044</v>
      </c>
      <c r="Y351" s="19">
        <v>0.3004</v>
      </c>
      <c r="Z351" s="19">
        <v>0.81440000000000001</v>
      </c>
      <c r="AB351" s="18">
        <v>7823</v>
      </c>
    </row>
    <row r="352" spans="1:28" ht="15.75" customHeight="1" x14ac:dyDescent="0.2">
      <c r="A352" s="36" t="str">
        <f>HYPERLINK("https://www.epcc.edu", "El Paso Community College")</f>
        <v>El Paso Community College</v>
      </c>
      <c r="B352" s="18" t="s">
        <v>49</v>
      </c>
      <c r="C352" s="18" t="s">
        <v>146</v>
      </c>
      <c r="D352" s="18" t="s">
        <v>869</v>
      </c>
      <c r="E352" s="18" t="s">
        <v>36</v>
      </c>
      <c r="F352" s="18" t="s">
        <v>36</v>
      </c>
      <c r="J352" s="19"/>
      <c r="K352" s="19">
        <v>0.18759999999999999</v>
      </c>
      <c r="L352" s="19">
        <v>0.13892733600000001</v>
      </c>
      <c r="M352" s="19">
        <v>0.21160000000000001</v>
      </c>
      <c r="N352" s="19">
        <v>0.129</v>
      </c>
      <c r="O352" s="19">
        <v>0.184</v>
      </c>
      <c r="P352" s="19">
        <v>0.375</v>
      </c>
      <c r="Q352" s="19">
        <v>0.116492865</v>
      </c>
      <c r="R352" s="20">
        <v>18177</v>
      </c>
      <c r="S352" s="21" t="str">
        <f>HYPERLINK("https://www.epcc.edu/FinancialAid/", "$12033")</f>
        <v>$12033</v>
      </c>
      <c r="T352" s="20">
        <v>14704</v>
      </c>
      <c r="U352" s="20">
        <v>17546</v>
      </c>
      <c r="V352" s="20">
        <v>5299</v>
      </c>
      <c r="W352" s="20">
        <v>6734.1090182648404</v>
      </c>
      <c r="Y352" s="19">
        <v>0.43180000000000002</v>
      </c>
      <c r="Z352" s="19">
        <v>0.92620000000000002</v>
      </c>
      <c r="AB352" s="18">
        <v>27172</v>
      </c>
    </row>
    <row r="353" spans="1:28" ht="15.75" customHeight="1" x14ac:dyDescent="0.2">
      <c r="A353" s="36" t="str">
        <f>HYPERLINK("https://www.elgin.edu", "Elgin Community College")</f>
        <v>Elgin Community College</v>
      </c>
      <c r="B353" s="18" t="s">
        <v>49</v>
      </c>
      <c r="C353" s="18" t="s">
        <v>137</v>
      </c>
      <c r="D353" s="18" t="s">
        <v>863</v>
      </c>
      <c r="E353" s="18" t="s">
        <v>36</v>
      </c>
      <c r="F353" s="18" t="s">
        <v>36</v>
      </c>
      <c r="J353" s="19"/>
      <c r="K353" s="19">
        <v>0.36870000000000003</v>
      </c>
      <c r="L353" s="19">
        <v>0.22953328200000001</v>
      </c>
      <c r="M353" s="19">
        <v>0.3881</v>
      </c>
      <c r="N353" s="19">
        <v>0.1905</v>
      </c>
      <c r="O353" s="19">
        <v>0.37859999999999999</v>
      </c>
      <c r="P353" s="19">
        <v>0.40820000000000001</v>
      </c>
      <c r="Q353" s="19">
        <v>8.2556590999999999E-2</v>
      </c>
      <c r="R353" s="20">
        <v>22614</v>
      </c>
      <c r="S353" s="21" t="str">
        <f>HYPERLINK("https://elgin.edu/collegecostcalculator", "$17906")</f>
        <v>$17906</v>
      </c>
      <c r="T353" s="20">
        <v>21719</v>
      </c>
      <c r="U353" s="20">
        <v>21908</v>
      </c>
      <c r="V353" s="20">
        <v>4650</v>
      </c>
      <c r="W353" s="20">
        <v>13256.12</v>
      </c>
      <c r="Y353" s="19">
        <v>0.24479999999999999</v>
      </c>
      <c r="Z353" s="19">
        <v>0.56220000000000003</v>
      </c>
      <c r="AB353" s="18">
        <v>7648</v>
      </c>
    </row>
    <row r="354" spans="1:28" ht="15.75" customHeight="1" x14ac:dyDescent="0.2">
      <c r="A354" s="36" t="str">
        <f>HYPERLINK("https://ecc.iavalley.edu/", "Ellsworth Community College")</f>
        <v>Ellsworth Community College</v>
      </c>
      <c r="B354" s="18" t="s">
        <v>49</v>
      </c>
      <c r="C354" s="18" t="s">
        <v>211</v>
      </c>
      <c r="D354" s="18" t="s">
        <v>1308</v>
      </c>
      <c r="E354" s="18" t="s">
        <v>36</v>
      </c>
      <c r="F354" s="18" t="s">
        <v>36</v>
      </c>
      <c r="J354" s="19"/>
      <c r="K354" s="19">
        <v>0.33879999999999999</v>
      </c>
      <c r="L354" s="19">
        <v>8.4444444000000007E-2</v>
      </c>
      <c r="M354" s="19">
        <v>0.46150000000000002</v>
      </c>
      <c r="N354" s="19">
        <v>0.1474</v>
      </c>
      <c r="O354" s="19">
        <v>0.21049999999999999</v>
      </c>
      <c r="P354" s="19">
        <v>0</v>
      </c>
      <c r="Q354" s="19">
        <v>0.14699331900000001</v>
      </c>
      <c r="R354" s="20">
        <v>18142</v>
      </c>
      <c r="S354" s="21" t="str">
        <f>HYPERLINK("https://ecc.iavalley.edu/admissions/financial-aid/costs/", "$11497")</f>
        <v>$11497</v>
      </c>
      <c r="T354" s="20">
        <v>13908</v>
      </c>
      <c r="U354" s="20">
        <v>16105</v>
      </c>
      <c r="V354" s="20">
        <v>6100</v>
      </c>
      <c r="W354" s="20">
        <v>5397.9166666666679</v>
      </c>
      <c r="Y354" s="19">
        <v>0.3856</v>
      </c>
      <c r="Z354" s="19">
        <v>0.40089999999999998</v>
      </c>
      <c r="AB354" s="18">
        <v>691</v>
      </c>
    </row>
    <row r="355" spans="1:28" ht="15.75" customHeight="1" x14ac:dyDescent="0.2">
      <c r="A355" s="36" t="str">
        <f>HYPERLINK("https://www.ebi.edu", "Elmira Business Institute")</f>
        <v>Elmira Business Institute</v>
      </c>
      <c r="B355" s="18" t="s">
        <v>368</v>
      </c>
      <c r="C355" s="18" t="s">
        <v>38</v>
      </c>
      <c r="D355" s="18" t="s">
        <v>729</v>
      </c>
      <c r="E355" s="18" t="s">
        <v>36</v>
      </c>
      <c r="F355" s="18" t="s">
        <v>36</v>
      </c>
      <c r="J355" s="19"/>
      <c r="K355" s="19">
        <v>0.26319999999999999</v>
      </c>
      <c r="L355" s="19">
        <v>0.44743935299999998</v>
      </c>
      <c r="M355" s="19">
        <v>0.33329999999999999</v>
      </c>
      <c r="N355" s="19">
        <v>0</v>
      </c>
      <c r="O355" s="19">
        <v>0</v>
      </c>
      <c r="P355" s="19" t="s">
        <v>36</v>
      </c>
      <c r="Q355" s="19" t="s">
        <v>36</v>
      </c>
      <c r="R355" s="20">
        <v>54356</v>
      </c>
      <c r="S355" s="21" t="str">
        <f>HYPERLINK("https://www.ebi.edu/disclosures", "$50184")</f>
        <v>$50184</v>
      </c>
      <c r="T355" s="20" t="s">
        <v>36</v>
      </c>
      <c r="U355" s="20" t="s">
        <v>36</v>
      </c>
      <c r="V355" s="20">
        <v>21928</v>
      </c>
      <c r="W355" s="20">
        <v>28256</v>
      </c>
      <c r="Y355" s="19">
        <v>0.86960000000000004</v>
      </c>
      <c r="Z355" s="19">
        <v>0.17560000000000001</v>
      </c>
      <c r="AB355" s="18">
        <v>205</v>
      </c>
    </row>
    <row r="356" spans="1:28" ht="15.75" customHeight="1" x14ac:dyDescent="0.2">
      <c r="A356" s="36" t="str">
        <f>HYPERLINK("https://www.escc.edu", "Enterprise State Community College")</f>
        <v>Enterprise State Community College</v>
      </c>
      <c r="B356" s="18" t="s">
        <v>49</v>
      </c>
      <c r="C356" s="18" t="s">
        <v>300</v>
      </c>
      <c r="D356" s="18" t="s">
        <v>1309</v>
      </c>
      <c r="E356" s="18" t="s">
        <v>36</v>
      </c>
      <c r="F356" s="18" t="s">
        <v>36</v>
      </c>
      <c r="J356" s="19"/>
      <c r="K356" s="19">
        <v>0.193</v>
      </c>
      <c r="L356" s="19" t="s">
        <v>36</v>
      </c>
      <c r="M356" s="19">
        <v>0.1651</v>
      </c>
      <c r="N356" s="19">
        <v>0.19400000000000001</v>
      </c>
      <c r="O356" s="19">
        <v>0.25</v>
      </c>
      <c r="P356" s="19">
        <v>0.4</v>
      </c>
      <c r="Q356" s="19">
        <v>6.0798548000000001E-2</v>
      </c>
      <c r="R356" s="20">
        <v>17106</v>
      </c>
      <c r="S356" s="21" t="str">
        <f>HYPERLINK("https://www.escc.edu/netprice/npcalc.htm", "$15201")</f>
        <v>$15201</v>
      </c>
      <c r="T356" s="20">
        <v>16202</v>
      </c>
      <c r="U356" s="20">
        <v>16866</v>
      </c>
      <c r="V356" s="20">
        <v>3696</v>
      </c>
      <c r="W356" s="20">
        <v>11505.43884892086</v>
      </c>
      <c r="Y356" s="19">
        <v>0.41199999999999998</v>
      </c>
      <c r="Z356" s="19">
        <v>0.32819999999999999</v>
      </c>
      <c r="AB356" s="18">
        <v>1365</v>
      </c>
    </row>
    <row r="357" spans="1:28" ht="15.75" customHeight="1" x14ac:dyDescent="0.2">
      <c r="A357" s="36" t="str">
        <f>HYPERLINK("https://EPIC.edu", "Epic Bible College")</f>
        <v>Epic Bible College</v>
      </c>
      <c r="B357" s="18" t="s">
        <v>32</v>
      </c>
      <c r="C357" s="18" t="s">
        <v>68</v>
      </c>
      <c r="D357" s="18" t="s">
        <v>609</v>
      </c>
      <c r="E357" s="18" t="s">
        <v>36</v>
      </c>
      <c r="F357" s="18" t="s">
        <v>36</v>
      </c>
      <c r="J357" s="19"/>
      <c r="K357" s="19">
        <v>0</v>
      </c>
      <c r="L357" s="19" t="s">
        <v>36</v>
      </c>
      <c r="M357" s="19">
        <v>0</v>
      </c>
      <c r="N357" s="19">
        <v>0</v>
      </c>
      <c r="O357" s="19">
        <v>0</v>
      </c>
      <c r="P357" s="19">
        <v>0</v>
      </c>
      <c r="Q357" s="19" t="s">
        <v>36</v>
      </c>
      <c r="R357" s="20">
        <v>25415</v>
      </c>
      <c r="S357" s="21" t="str">
        <f>HYPERLINK("https://epic.edu/financial/netpricecalculator/", "$7601")</f>
        <v>$7601</v>
      </c>
      <c r="T357" s="20" t="s">
        <v>36</v>
      </c>
      <c r="U357" s="20" t="s">
        <v>36</v>
      </c>
      <c r="V357" s="20">
        <v>3450</v>
      </c>
      <c r="W357" s="20">
        <v>4151</v>
      </c>
      <c r="Y357" s="19">
        <v>0.83630000000000004</v>
      </c>
      <c r="Z357" s="19">
        <v>0.58739999999999992</v>
      </c>
      <c r="AB357" s="18">
        <v>143</v>
      </c>
    </row>
    <row r="358" spans="1:28" ht="15.75" customHeight="1" x14ac:dyDescent="0.2">
      <c r="A358" s="36" t="str">
        <f>HYPERLINK("https://www.ecc.edu", "SUNY Erie Community College")</f>
        <v>SUNY Erie Community College</v>
      </c>
      <c r="B358" s="18" t="s">
        <v>49</v>
      </c>
      <c r="C358" s="18" t="s">
        <v>38</v>
      </c>
      <c r="D358" s="18" t="s">
        <v>322</v>
      </c>
      <c r="E358" s="18" t="s">
        <v>36</v>
      </c>
      <c r="F358" s="18" t="s">
        <v>36</v>
      </c>
      <c r="G358" s="18" t="s">
        <v>51</v>
      </c>
      <c r="I358" s="18" t="s">
        <v>1312</v>
      </c>
      <c r="J358" s="19"/>
      <c r="K358" s="19">
        <v>0.23</v>
      </c>
      <c r="L358" s="19">
        <v>0.116287879</v>
      </c>
      <c r="M358" s="19">
        <v>0.27379999999999999</v>
      </c>
      <c r="N358" s="19">
        <v>0.1124</v>
      </c>
      <c r="O358" s="19">
        <v>0.17780000000000001</v>
      </c>
      <c r="P358" s="19">
        <v>0.28849999999999998</v>
      </c>
      <c r="Q358" s="19">
        <v>0.107545165</v>
      </c>
      <c r="R358" s="20">
        <v>15186</v>
      </c>
      <c r="S358" s="21" t="str">
        <f>HYPERLINK("https://www.suny.edu/howmuch/", "$3454")</f>
        <v>$3454</v>
      </c>
      <c r="T358" s="20">
        <v>8044</v>
      </c>
      <c r="U358" s="20">
        <v>10371</v>
      </c>
      <c r="V358" s="20">
        <v>3111</v>
      </c>
      <c r="W358" s="20">
        <v>343</v>
      </c>
      <c r="Y358" s="19">
        <v>0.42349999999999999</v>
      </c>
      <c r="Z358" s="19">
        <v>0.38750000000000001</v>
      </c>
      <c r="AB358" s="18">
        <v>9356</v>
      </c>
    </row>
    <row r="359" spans="1:28" ht="15.75" customHeight="1" x14ac:dyDescent="0.2">
      <c r="A359" s="36" t="str">
        <f>HYPERLINK("https://www.essex.edu", "Essex County College")</f>
        <v>Essex County College</v>
      </c>
      <c r="B359" s="18" t="s">
        <v>49</v>
      </c>
      <c r="C359" s="18" t="s">
        <v>141</v>
      </c>
      <c r="D359" s="18" t="s">
        <v>425</v>
      </c>
      <c r="E359" s="18" t="s">
        <v>36</v>
      </c>
      <c r="F359" s="18" t="s">
        <v>36</v>
      </c>
      <c r="J359" s="19"/>
      <c r="K359" s="19">
        <v>0.1333</v>
      </c>
      <c r="L359" s="19">
        <v>0.16082749399999999</v>
      </c>
      <c r="M359" s="19">
        <v>0.15670000000000001</v>
      </c>
      <c r="N359" s="19">
        <v>0.1148</v>
      </c>
      <c r="O359" s="19">
        <v>0.1396</v>
      </c>
      <c r="P359" s="19">
        <v>0.26190000000000002</v>
      </c>
      <c r="Q359" s="19">
        <v>6.4774194000000007E-2</v>
      </c>
      <c r="R359" s="20">
        <v>24050</v>
      </c>
      <c r="S359" s="21" t="str">
        <f>HYPERLINK("https://www.essex.edu/NetPriceCalculator/npcalc.htm", "$19282")</f>
        <v>$19282</v>
      </c>
      <c r="T359" s="20">
        <v>20929</v>
      </c>
      <c r="U359" s="20">
        <v>21501</v>
      </c>
      <c r="V359" s="20">
        <v>4260</v>
      </c>
      <c r="W359" s="20">
        <v>15022.50496141125</v>
      </c>
      <c r="Y359" s="19">
        <v>0.56140000000000001</v>
      </c>
      <c r="Z359" s="19">
        <v>0.92159999999999997</v>
      </c>
      <c r="AB359" s="18">
        <v>8083</v>
      </c>
    </row>
    <row r="360" spans="1:28" ht="15.75" customHeight="1" x14ac:dyDescent="0.2">
      <c r="A360" s="36" t="str">
        <f>HYPERLINK("https://www.estrellamountain.edu", "Estrella Mountain Community College")</f>
        <v>Estrella Mountain Community College</v>
      </c>
      <c r="B360" s="18" t="s">
        <v>49</v>
      </c>
      <c r="C360" s="18" t="s">
        <v>354</v>
      </c>
      <c r="D360" s="18" t="s">
        <v>1314</v>
      </c>
      <c r="E360" s="18" t="s">
        <v>36</v>
      </c>
      <c r="F360" s="18" t="s">
        <v>36</v>
      </c>
      <c r="J360" s="19"/>
      <c r="K360" s="19">
        <v>0.20230000000000001</v>
      </c>
      <c r="L360" s="19">
        <v>6.9822485000000004E-2</v>
      </c>
      <c r="M360" s="19">
        <v>0.2346</v>
      </c>
      <c r="N360" s="19">
        <v>0.19400000000000001</v>
      </c>
      <c r="O360" s="19">
        <v>0.19209999999999999</v>
      </c>
      <c r="P360" s="19">
        <v>0.4</v>
      </c>
      <c r="Q360" s="19">
        <v>0.12783002399999999</v>
      </c>
      <c r="R360" s="20">
        <v>21565</v>
      </c>
      <c r="S360" s="21" t="str">
        <f>HYPERLINK("https://www.estrellamountain.edu/disclosures", "$16318")</f>
        <v>$16318</v>
      </c>
      <c r="T360" s="20">
        <v>18597</v>
      </c>
      <c r="U360" s="20">
        <v>20123</v>
      </c>
      <c r="V360" s="20">
        <v>7907</v>
      </c>
      <c r="W360" s="20">
        <v>8411.9705882352937</v>
      </c>
      <c r="Y360" s="19">
        <v>0.38569999999999999</v>
      </c>
      <c r="Z360" s="19">
        <v>0.72489999999999999</v>
      </c>
      <c r="AB360" s="18">
        <v>7709</v>
      </c>
    </row>
    <row r="361" spans="1:28" ht="15.75" customHeight="1" x14ac:dyDescent="0.2">
      <c r="A361" s="36" t="str">
        <f>HYPERLINK("https://www.everest.edu/campus/south_orlando", "Everest University-South Orlando")</f>
        <v>Everest University-South Orlando</v>
      </c>
      <c r="B361" s="18" t="s">
        <v>32</v>
      </c>
      <c r="C361" s="18" t="s">
        <v>162</v>
      </c>
      <c r="D361" s="18" t="s">
        <v>1230</v>
      </c>
      <c r="E361" s="18" t="s">
        <v>36</v>
      </c>
      <c r="F361" s="18" t="s">
        <v>36</v>
      </c>
      <c r="J361" s="19"/>
      <c r="K361" s="19">
        <v>9.7600000000000006E-2</v>
      </c>
      <c r="L361" s="19">
        <v>0.15723533100000001</v>
      </c>
      <c r="M361" s="19">
        <v>0.1239</v>
      </c>
      <c r="N361" s="19">
        <v>6.8199999999999997E-2</v>
      </c>
      <c r="O361" s="19">
        <v>0.2157</v>
      </c>
      <c r="P361" s="19">
        <v>0.125</v>
      </c>
      <c r="Q361" s="19">
        <v>8.4738616999999988E-2</v>
      </c>
      <c r="R361" s="20" t="s">
        <v>36</v>
      </c>
      <c r="S361" s="21" t="str">
        <f>HYPERLINK("https://www.Everest.edu/npc", "Not reported")</f>
        <v>Not reported</v>
      </c>
      <c r="T361" s="20" t="s">
        <v>36</v>
      </c>
      <c r="U361" s="20" t="s">
        <v>36</v>
      </c>
      <c r="V361" s="20" t="s">
        <v>36</v>
      </c>
      <c r="W361" s="20" t="s">
        <v>36</v>
      </c>
      <c r="Y361" s="19">
        <v>0.8276</v>
      </c>
      <c r="Z361" s="19">
        <v>0.67169999999999996</v>
      </c>
      <c r="AB361" s="18">
        <v>725</v>
      </c>
    </row>
    <row r="362" spans="1:28" ht="15.75" customHeight="1" x14ac:dyDescent="0.2">
      <c r="A362" s="36" t="str">
        <f>HYPERLINK("https://www.everettcc.edu", "Everett Community College")</f>
        <v>Everett Community College</v>
      </c>
      <c r="B362" s="18" t="s">
        <v>49</v>
      </c>
      <c r="C362" s="18" t="s">
        <v>184</v>
      </c>
      <c r="D362" s="18" t="s">
        <v>1315</v>
      </c>
      <c r="E362" s="18" t="s">
        <v>36</v>
      </c>
      <c r="F362" s="18" t="s">
        <v>36</v>
      </c>
      <c r="J362" s="19"/>
      <c r="K362" s="19">
        <v>0.3523</v>
      </c>
      <c r="L362" s="19">
        <v>0.19252640100000001</v>
      </c>
      <c r="M362" s="19">
        <v>0.3826</v>
      </c>
      <c r="N362" s="19">
        <v>0.23080000000000001</v>
      </c>
      <c r="O362" s="19">
        <v>0.1774</v>
      </c>
      <c r="P362" s="19">
        <v>0.23330000000000001</v>
      </c>
      <c r="Q362" s="19">
        <v>6.5754865999999995E-2</v>
      </c>
      <c r="R362" s="20">
        <v>23478</v>
      </c>
      <c r="S362" s="21" t="str">
        <f>HYPERLINK("https://www.everettcc.edu/students/financial/financial-aid/netprice-calculator/", "$16265")</f>
        <v>$16265</v>
      </c>
      <c r="T362" s="20">
        <v>17625</v>
      </c>
      <c r="U362" s="20">
        <v>22302</v>
      </c>
      <c r="V362" s="20">
        <v>4270</v>
      </c>
      <c r="W362" s="20">
        <v>11995.177777777781</v>
      </c>
      <c r="Y362" s="19">
        <v>0.15720000000000001</v>
      </c>
      <c r="Z362" s="19">
        <v>0.40749999999999997</v>
      </c>
      <c r="AB362" s="18">
        <v>5512</v>
      </c>
    </row>
    <row r="363" spans="1:28" ht="15.75" customHeight="1" x14ac:dyDescent="0.2">
      <c r="A363" s="36" t="str">
        <f>HYPERLINK("https://www.evc.edu", "Evergreen Valley College")</f>
        <v>Evergreen Valley College</v>
      </c>
      <c r="B363" s="18" t="s">
        <v>49</v>
      </c>
      <c r="C363" s="18" t="s">
        <v>68</v>
      </c>
      <c r="D363" s="18" t="s">
        <v>659</v>
      </c>
      <c r="E363" s="18" t="s">
        <v>36</v>
      </c>
      <c r="F363" s="18" t="s">
        <v>36</v>
      </c>
      <c r="J363" s="19"/>
      <c r="K363" s="19">
        <v>0.32369999999999999</v>
      </c>
      <c r="L363" s="19">
        <v>6.7204300999999994E-2</v>
      </c>
      <c r="M363" s="19">
        <v>0.46429999999999999</v>
      </c>
      <c r="N363" s="19">
        <v>0.66669999999999996</v>
      </c>
      <c r="O363" s="19">
        <v>0.27760000000000001</v>
      </c>
      <c r="P363" s="19">
        <v>0.33329999999999999</v>
      </c>
      <c r="Q363" s="19">
        <v>0.123232323</v>
      </c>
      <c r="R363" s="20">
        <v>27445</v>
      </c>
      <c r="S363" s="21" t="str">
        <f>HYPERLINK("https://misweb.cccco.edu/npc/471/npcalc.htm", "$20570")</f>
        <v>$20570</v>
      </c>
      <c r="T363" s="20">
        <v>23223</v>
      </c>
      <c r="U363" s="20">
        <v>23751</v>
      </c>
      <c r="V363" s="20">
        <v>6300</v>
      </c>
      <c r="W363" s="20">
        <v>14270.107142857139</v>
      </c>
      <c r="Y363" s="19">
        <v>0.27679999999999999</v>
      </c>
      <c r="Z363" s="19">
        <v>0.93069999999999997</v>
      </c>
      <c r="AB363" s="18">
        <v>7780</v>
      </c>
    </row>
    <row r="364" spans="1:28" ht="15.75" customHeight="1" x14ac:dyDescent="0.2">
      <c r="A364" s="36" t="str">
        <f>HYPERLINK("https://www.fidm.edu", "Fashion Institute of Design &amp; Merchandising-Los Angeles")</f>
        <v>Fashion Institute of Design &amp; Merchandising-Los Angeles</v>
      </c>
      <c r="B364" s="18" t="s">
        <v>368</v>
      </c>
      <c r="C364" s="18" t="s">
        <v>68</v>
      </c>
      <c r="D364" s="18" t="s">
        <v>140</v>
      </c>
      <c r="E364" s="18" t="s">
        <v>36</v>
      </c>
      <c r="F364" s="18" t="s">
        <v>90</v>
      </c>
      <c r="J364" s="19"/>
      <c r="K364" s="19">
        <v>0.74229999999999996</v>
      </c>
      <c r="L364" s="19">
        <v>0.57730811999999998</v>
      </c>
      <c r="M364" s="19">
        <v>0.72119999999999995</v>
      </c>
      <c r="N364" s="19">
        <v>0.77080000000000004</v>
      </c>
      <c r="O364" s="19">
        <v>0.72460000000000002</v>
      </c>
      <c r="P364" s="19">
        <v>0.90159999999999996</v>
      </c>
      <c r="Q364" s="19">
        <v>3.5684647E-2</v>
      </c>
      <c r="R364" s="20">
        <v>53533</v>
      </c>
      <c r="S364" s="21" t="str">
        <f>HYPERLINK("https://npc.collegeboard.org/student/app/fidm", "$38392")</f>
        <v>$38392</v>
      </c>
      <c r="T364" s="20">
        <v>42641</v>
      </c>
      <c r="U364" s="20">
        <v>44075</v>
      </c>
      <c r="V364" s="20">
        <v>7100</v>
      </c>
      <c r="W364" s="20">
        <v>31292</v>
      </c>
      <c r="Y364" s="19">
        <v>0.28689999999999999</v>
      </c>
      <c r="Z364" s="19">
        <v>0.65610000000000002</v>
      </c>
      <c r="AB364" s="18">
        <v>2367</v>
      </c>
    </row>
    <row r="365" spans="1:28" ht="15.75" customHeight="1" x14ac:dyDescent="0.2">
      <c r="A365" s="36" t="str">
        <f>HYPERLINK("https://www.FIDM.edu", "Fashion Institute of Design &amp; Merchandising-Orange County")</f>
        <v>Fashion Institute of Design &amp; Merchandising-Orange County</v>
      </c>
      <c r="B365" s="18" t="s">
        <v>368</v>
      </c>
      <c r="C365" s="18" t="s">
        <v>68</v>
      </c>
      <c r="D365" s="18" t="s">
        <v>340</v>
      </c>
      <c r="E365" s="18" t="s">
        <v>36</v>
      </c>
      <c r="F365" s="18" t="s">
        <v>90</v>
      </c>
      <c r="J365" s="19"/>
      <c r="K365" s="19">
        <v>0.69410000000000005</v>
      </c>
      <c r="L365" s="19">
        <v>0.57730811999999998</v>
      </c>
      <c r="M365" s="19">
        <v>0.71430000000000005</v>
      </c>
      <c r="N365" s="19">
        <v>0.63639999999999997</v>
      </c>
      <c r="O365" s="19">
        <v>0.71150000000000002</v>
      </c>
      <c r="P365" s="19">
        <v>0.85709999999999997</v>
      </c>
      <c r="Q365" s="19">
        <v>3.5684647E-2</v>
      </c>
      <c r="R365" s="20">
        <v>53541</v>
      </c>
      <c r="S365" s="21" t="str">
        <f>HYPERLINK("https://npc.collegeboard.org/student/app/fidm", "$32039")</f>
        <v>$32039</v>
      </c>
      <c r="T365" s="20">
        <v>34717</v>
      </c>
      <c r="U365" s="20">
        <v>35421</v>
      </c>
      <c r="V365" s="20">
        <v>7100</v>
      </c>
      <c r="W365" s="20">
        <v>24939</v>
      </c>
      <c r="Y365" s="19">
        <v>0.39600000000000002</v>
      </c>
      <c r="Z365" s="19">
        <v>0.67609999999999992</v>
      </c>
      <c r="AB365" s="18">
        <v>71</v>
      </c>
    </row>
    <row r="366" spans="1:28" ht="15.75" customHeight="1" x14ac:dyDescent="0.2">
      <c r="A366" s="36" t="str">
        <f>HYPERLINK("https://www.FIDM.edu", "Fashion Institute of Design &amp; Merchandising-San Diego")</f>
        <v>Fashion Institute of Design &amp; Merchandising-San Diego</v>
      </c>
      <c r="B366" s="18" t="s">
        <v>368</v>
      </c>
      <c r="C366" s="18" t="s">
        <v>68</v>
      </c>
      <c r="D366" s="18" t="s">
        <v>288</v>
      </c>
      <c r="E366" s="18" t="s">
        <v>36</v>
      </c>
      <c r="F366" s="18" t="s">
        <v>90</v>
      </c>
      <c r="J366" s="19"/>
      <c r="K366" s="19">
        <v>0.7</v>
      </c>
      <c r="L366" s="19">
        <v>0.57730811999999998</v>
      </c>
      <c r="M366" s="19">
        <v>0.7097</v>
      </c>
      <c r="N366" s="19">
        <v>0.8</v>
      </c>
      <c r="O366" s="19">
        <v>0.68969999999999998</v>
      </c>
      <c r="P366" s="19">
        <v>0.85709999999999997</v>
      </c>
      <c r="Q366" s="19">
        <v>3.5684647E-2</v>
      </c>
      <c r="R366" s="20">
        <v>53541</v>
      </c>
      <c r="S366" s="21" t="str">
        <f>HYPERLINK("https://npc.collegeboard.org/student/app/fidm", "$29033")</f>
        <v>$29033</v>
      </c>
      <c r="T366" s="20">
        <v>34386</v>
      </c>
      <c r="U366" s="20">
        <v>38202</v>
      </c>
      <c r="V366" s="20">
        <v>7100</v>
      </c>
      <c r="W366" s="20">
        <v>21933</v>
      </c>
      <c r="Y366" s="19">
        <v>0.41560000000000002</v>
      </c>
      <c r="Z366" s="19">
        <v>0.60610000000000008</v>
      </c>
      <c r="AB366" s="18">
        <v>66</v>
      </c>
    </row>
    <row r="367" spans="1:28" ht="15.75" customHeight="1" x14ac:dyDescent="0.2">
      <c r="A367" s="36" t="str">
        <f>HYPERLINK("https://WWW.FIDM.EDU", "Fashion Institute of Design &amp; Merchandising-San Francisco")</f>
        <v>Fashion Institute of Design &amp; Merchandising-San Francisco</v>
      </c>
      <c r="B367" s="18" t="s">
        <v>368</v>
      </c>
      <c r="C367" s="18" t="s">
        <v>68</v>
      </c>
      <c r="D367" s="18" t="s">
        <v>522</v>
      </c>
      <c r="E367" s="18" t="s">
        <v>36</v>
      </c>
      <c r="F367" s="18" t="s">
        <v>90</v>
      </c>
      <c r="J367" s="19"/>
      <c r="K367" s="19">
        <v>0.71640000000000004</v>
      </c>
      <c r="L367" s="19">
        <v>0.57730811999999998</v>
      </c>
      <c r="M367" s="19">
        <v>0.71740000000000004</v>
      </c>
      <c r="N367" s="19">
        <v>0.66669999999999996</v>
      </c>
      <c r="O367" s="19">
        <v>0.73170000000000002</v>
      </c>
      <c r="P367" s="19">
        <v>0.90910000000000002</v>
      </c>
      <c r="Q367" s="19">
        <v>3.5684647E-2</v>
      </c>
      <c r="R367" s="20">
        <v>53541</v>
      </c>
      <c r="S367" s="21" t="str">
        <f>HYPERLINK("https://npc.collegeboard.org/student/app/fidm", "$32782")</f>
        <v>$32782</v>
      </c>
      <c r="T367" s="20">
        <v>37927</v>
      </c>
      <c r="U367" s="20">
        <v>41588</v>
      </c>
      <c r="V367" s="20">
        <v>7100</v>
      </c>
      <c r="W367" s="20">
        <v>25682</v>
      </c>
      <c r="Y367" s="19">
        <v>0.30359999999999998</v>
      </c>
      <c r="Z367" s="19">
        <v>0.63440000000000007</v>
      </c>
      <c r="AB367" s="18">
        <v>279</v>
      </c>
    </row>
    <row r="368" spans="1:28" ht="15.75" customHeight="1" x14ac:dyDescent="0.2">
      <c r="A368" s="36" t="str">
        <f>HYPERLINK("https://www.FMC.EDU", "FINE Mortuary College")</f>
        <v>FINE Mortuary College</v>
      </c>
      <c r="B368" s="18" t="s">
        <v>368</v>
      </c>
      <c r="C368" s="18" t="s">
        <v>33</v>
      </c>
      <c r="D368" s="18" t="s">
        <v>1319</v>
      </c>
      <c r="E368" s="18" t="s">
        <v>36</v>
      </c>
      <c r="F368" s="18" t="s">
        <v>36</v>
      </c>
      <c r="J368" s="19"/>
      <c r="K368" s="19">
        <v>1</v>
      </c>
      <c r="L368" s="19" t="s">
        <v>36</v>
      </c>
      <c r="M368" s="19">
        <v>1</v>
      </c>
      <c r="N368" s="19" t="s">
        <v>36</v>
      </c>
      <c r="O368" s="19" t="s">
        <v>36</v>
      </c>
      <c r="P368" s="19" t="s">
        <v>36</v>
      </c>
      <c r="Q368" s="19" t="s">
        <v>36</v>
      </c>
      <c r="R368" s="20">
        <v>41578</v>
      </c>
      <c r="S368" s="21" t="str">
        <f>HYPERLINK("https://www.fmc.edu", "Not reported")</f>
        <v>Not reported</v>
      </c>
      <c r="T368" s="20">
        <v>36818</v>
      </c>
      <c r="U368" s="20" t="s">
        <v>36</v>
      </c>
      <c r="V368" s="20" t="s">
        <v>36</v>
      </c>
      <c r="W368" s="20" t="s">
        <v>36</v>
      </c>
      <c r="Y368" s="19">
        <v>0.45050000000000001</v>
      </c>
      <c r="Z368" s="19">
        <v>0.1414</v>
      </c>
      <c r="AB368" s="18">
        <v>99</v>
      </c>
    </row>
    <row r="369" spans="1:28" ht="15.75" customHeight="1" x14ac:dyDescent="0.2">
      <c r="A369" s="36" t="str">
        <f>HYPERLINK("https://www.fitnyc.edu", "SUNY Fashion Institute of Technology")</f>
        <v>SUNY Fashion Institute of Technology</v>
      </c>
      <c r="B369" s="18" t="s">
        <v>49</v>
      </c>
      <c r="C369" s="18" t="s">
        <v>38</v>
      </c>
      <c r="D369" s="18" t="s">
        <v>39</v>
      </c>
      <c r="E369" s="18" t="s">
        <v>36</v>
      </c>
      <c r="F369" s="18" t="s">
        <v>45</v>
      </c>
      <c r="G369" s="18" t="s">
        <v>51</v>
      </c>
      <c r="I369" s="18" t="s">
        <v>1321</v>
      </c>
      <c r="J369" s="19"/>
      <c r="K369" s="19">
        <v>0.76759999999999995</v>
      </c>
      <c r="L369" s="19">
        <v>0.63130434800000002</v>
      </c>
      <c r="M369" s="19">
        <v>0.78069999999999995</v>
      </c>
      <c r="N369" s="19">
        <v>0.75</v>
      </c>
      <c r="O369" s="19">
        <v>0.7198</v>
      </c>
      <c r="P369" s="19">
        <v>0.77910000000000001</v>
      </c>
      <c r="Q369" s="19">
        <v>5.0286442000000001E-2</v>
      </c>
      <c r="R369" s="20">
        <v>23428</v>
      </c>
      <c r="S369" s="21" t="str">
        <f>HYPERLINK("https://www.fitnyc.edu/admissions/costs/net-price-calculator.php", "$7974")</f>
        <v>$7974</v>
      </c>
      <c r="T369" s="20">
        <v>13602</v>
      </c>
      <c r="U369" s="20">
        <v>16306</v>
      </c>
      <c r="V369" s="20">
        <v>4000</v>
      </c>
      <c r="W369" s="20">
        <v>3974</v>
      </c>
      <c r="Y369" s="19">
        <v>0.26300000000000001</v>
      </c>
      <c r="Z369" s="19">
        <v>0.55089999999999995</v>
      </c>
      <c r="AB369" s="18">
        <v>7924</v>
      </c>
    </row>
    <row r="370" spans="1:28" ht="15.75" customHeight="1" x14ac:dyDescent="0.2">
      <c r="A370" s="36" t="str">
        <f>HYPERLINK("https://www.frc.edu", "Feather River Community College District")</f>
        <v>Feather River Community College District</v>
      </c>
      <c r="B370" s="18" t="s">
        <v>49</v>
      </c>
      <c r="C370" s="18" t="s">
        <v>68</v>
      </c>
      <c r="D370" s="18" t="s">
        <v>716</v>
      </c>
      <c r="E370" s="18" t="s">
        <v>36</v>
      </c>
      <c r="F370" s="18" t="s">
        <v>36</v>
      </c>
      <c r="J370" s="19"/>
      <c r="K370" s="19">
        <v>0.35499999999999998</v>
      </c>
      <c r="L370" s="19">
        <v>0.13103448300000001</v>
      </c>
      <c r="M370" s="19">
        <v>0.44829999999999998</v>
      </c>
      <c r="N370" s="19">
        <v>0.1852</v>
      </c>
      <c r="O370" s="19">
        <v>0.27910000000000001</v>
      </c>
      <c r="P370" s="19">
        <v>0.33329999999999999</v>
      </c>
      <c r="Q370" s="19">
        <v>5.0925926000000003E-2</v>
      </c>
      <c r="R370" s="20">
        <v>22141</v>
      </c>
      <c r="S370" s="21" t="str">
        <f>HYPERLINK("https://misweb.cccco.edu/npc/121/npcalc.htm", "$14571")</f>
        <v>$14571</v>
      </c>
      <c r="T370" s="20">
        <v>19032</v>
      </c>
      <c r="U370" s="20">
        <v>20106</v>
      </c>
      <c r="V370" s="20">
        <v>4257</v>
      </c>
      <c r="W370" s="20">
        <v>10314.6875</v>
      </c>
      <c r="Y370" s="19">
        <v>0.1681</v>
      </c>
      <c r="Z370" s="19">
        <v>0.52150000000000007</v>
      </c>
      <c r="AB370" s="18">
        <v>1346</v>
      </c>
    </row>
    <row r="371" spans="1:28" ht="15.75" customHeight="1" x14ac:dyDescent="0.2">
      <c r="A371" s="36" t="str">
        <f>HYPERLINK("https://www.flcc.edu", "SUNY Finger Lakes Community College")</f>
        <v>SUNY Finger Lakes Community College</v>
      </c>
      <c r="B371" s="18" t="s">
        <v>49</v>
      </c>
      <c r="C371" s="18" t="s">
        <v>38</v>
      </c>
      <c r="D371" s="18" t="s">
        <v>1323</v>
      </c>
      <c r="E371" s="18" t="s">
        <v>36</v>
      </c>
      <c r="F371" s="18" t="s">
        <v>36</v>
      </c>
      <c r="G371" s="18" t="s">
        <v>51</v>
      </c>
      <c r="I371" s="18" t="s">
        <v>1324</v>
      </c>
      <c r="J371" s="19"/>
      <c r="K371" s="19">
        <v>0.31240000000000001</v>
      </c>
      <c r="L371" s="19">
        <v>0.20569902100000001</v>
      </c>
      <c r="M371" s="19">
        <v>0.37219999999999998</v>
      </c>
      <c r="N371" s="19">
        <v>0.1094</v>
      </c>
      <c r="O371" s="19">
        <v>0.1757</v>
      </c>
      <c r="P371" s="19">
        <v>0.33329999999999999</v>
      </c>
      <c r="Q371" s="19">
        <v>6.8590349999999994E-2</v>
      </c>
      <c r="R371" s="20">
        <v>18724</v>
      </c>
      <c r="S371" s="21" t="str">
        <f>HYPERLINK("https://www.flcc.edu/costs/netcalculator", "$8181")</f>
        <v>$8181</v>
      </c>
      <c r="T371" s="20">
        <v>12502</v>
      </c>
      <c r="U371" s="20">
        <v>14581</v>
      </c>
      <c r="V371" s="20">
        <v>4041</v>
      </c>
      <c r="W371" s="20">
        <v>4140</v>
      </c>
      <c r="Y371" s="19">
        <v>0.27639999999999998</v>
      </c>
      <c r="Z371" s="19">
        <v>0.2447</v>
      </c>
      <c r="AB371" s="18">
        <v>3417</v>
      </c>
    </row>
    <row r="372" spans="1:28" ht="15.75" customHeight="1" x14ac:dyDescent="0.2">
      <c r="A372" s="36" t="str">
        <f>HYPERLINK("https://flashpoint.columbiacollege.edu/", "Tribeca Flashpoint College")</f>
        <v>Tribeca Flashpoint College</v>
      </c>
      <c r="B372" s="18" t="s">
        <v>368</v>
      </c>
      <c r="C372" s="18" t="s">
        <v>137</v>
      </c>
      <c r="D372" s="18" t="s">
        <v>161</v>
      </c>
      <c r="E372" s="18" t="s">
        <v>36</v>
      </c>
      <c r="F372" s="18" t="s">
        <v>45</v>
      </c>
      <c r="J372" s="19"/>
      <c r="K372" s="19">
        <v>0.75680000000000003</v>
      </c>
      <c r="L372" s="19" t="s">
        <v>36</v>
      </c>
      <c r="M372" s="19">
        <v>0.79700000000000004</v>
      </c>
      <c r="N372" s="19">
        <v>0</v>
      </c>
      <c r="O372" s="19">
        <v>0.71430000000000005</v>
      </c>
      <c r="P372" s="19">
        <v>0.5</v>
      </c>
      <c r="Q372" s="19" t="s">
        <v>36</v>
      </c>
      <c r="R372" s="20">
        <v>44604</v>
      </c>
      <c r="S372" s="21" t="str">
        <f>HYPERLINK("https://flashpoint.columbiacollege.edu/net-price-calculator/", "$29814")</f>
        <v>$29814</v>
      </c>
      <c r="T372" s="20">
        <v>37361</v>
      </c>
      <c r="U372" s="20">
        <v>36477</v>
      </c>
      <c r="V372" s="20">
        <v>8000</v>
      </c>
      <c r="W372" s="20">
        <v>21814</v>
      </c>
      <c r="Y372" s="19">
        <v>0.53649999999999998</v>
      </c>
      <c r="Z372" s="19">
        <v>0.66880000000000006</v>
      </c>
      <c r="AB372" s="18">
        <v>314</v>
      </c>
    </row>
    <row r="373" spans="1:28" ht="15.75" customHeight="1" x14ac:dyDescent="0.2">
      <c r="A373" s="36" t="str">
        <f>HYPERLINK("https://www.fvcc.edu", "Flathead Valley Community College")</f>
        <v>Flathead Valley Community College</v>
      </c>
      <c r="B373" s="18" t="s">
        <v>49</v>
      </c>
      <c r="C373" s="18" t="s">
        <v>421</v>
      </c>
      <c r="D373" s="18" t="s">
        <v>1326</v>
      </c>
      <c r="E373" s="18" t="s">
        <v>36</v>
      </c>
      <c r="F373" s="18" t="s">
        <v>36</v>
      </c>
      <c r="J373" s="19"/>
      <c r="K373" s="19">
        <v>0.24479999999999999</v>
      </c>
      <c r="L373" s="19">
        <v>0.13117546899999999</v>
      </c>
      <c r="M373" s="19">
        <v>0.25109999999999999</v>
      </c>
      <c r="N373" s="19">
        <v>0</v>
      </c>
      <c r="O373" s="19">
        <v>0</v>
      </c>
      <c r="P373" s="19">
        <v>0.5</v>
      </c>
      <c r="Q373" s="19">
        <v>7.2302558000000003E-2</v>
      </c>
      <c r="R373" s="20">
        <v>24624</v>
      </c>
      <c r="S373" s="21" t="str">
        <f>HYPERLINK("https://webwp.fvcc.edu/NetPriceCalculator/npcalc.htm", "$18887")</f>
        <v>$18887</v>
      </c>
      <c r="T373" s="20">
        <v>20798</v>
      </c>
      <c r="U373" s="20">
        <v>23090</v>
      </c>
      <c r="V373" s="20">
        <v>5240</v>
      </c>
      <c r="W373" s="20">
        <v>13647.857142857139</v>
      </c>
      <c r="Y373" s="19">
        <v>0.2853</v>
      </c>
      <c r="Z373" s="19">
        <v>0.15540000000000001</v>
      </c>
      <c r="AB373" s="18">
        <v>1538</v>
      </c>
    </row>
    <row r="374" spans="1:28" ht="15.75" customHeight="1" x14ac:dyDescent="0.2">
      <c r="A374" s="36" t="str">
        <f>HYPERLINK("https://WWW.FDTC.EDU", "Florence-Darlington Technical College")</f>
        <v>Florence-Darlington Technical College</v>
      </c>
      <c r="B374" s="18" t="s">
        <v>49</v>
      </c>
      <c r="C374" s="18" t="s">
        <v>208</v>
      </c>
      <c r="D374" s="18" t="s">
        <v>772</v>
      </c>
      <c r="E374" s="18" t="s">
        <v>36</v>
      </c>
      <c r="F374" s="18" t="s">
        <v>36</v>
      </c>
      <c r="J374" s="19"/>
      <c r="K374" s="19">
        <v>0.1193</v>
      </c>
      <c r="L374" s="19">
        <v>0.17532105000000001</v>
      </c>
      <c r="M374" s="19">
        <v>0.1734</v>
      </c>
      <c r="N374" s="19">
        <v>7.2300000000000003E-2</v>
      </c>
      <c r="O374" s="19">
        <v>0.15379999999999999</v>
      </c>
      <c r="P374" s="19">
        <v>0</v>
      </c>
      <c r="Q374" s="19">
        <v>5.9100642000000002E-2</v>
      </c>
      <c r="R374" s="20">
        <v>17104</v>
      </c>
      <c r="S374" s="21" t="str">
        <f>HYPERLINK("https://www.fdtc.edu/apps/net-price-calculator/", "$9667")</f>
        <v>$9667</v>
      </c>
      <c r="T374" s="20">
        <v>10929</v>
      </c>
      <c r="U374" s="20">
        <v>12564</v>
      </c>
      <c r="V374" s="20">
        <v>4560</v>
      </c>
      <c r="W374" s="20">
        <v>5107.8238213399491</v>
      </c>
      <c r="Y374" s="19">
        <v>0.46489999999999998</v>
      </c>
      <c r="Z374" s="19">
        <v>0.58600000000000008</v>
      </c>
      <c r="AB374" s="18">
        <v>4560</v>
      </c>
    </row>
    <row r="375" spans="1:28" ht="15.75" customHeight="1" x14ac:dyDescent="0.2">
      <c r="A375" s="36" t="str">
        <f>HYPERLINK("https://www.fgc.edu/", "Florida Gateway College")</f>
        <v>Florida Gateway College</v>
      </c>
      <c r="B375" s="18" t="s">
        <v>49</v>
      </c>
      <c r="C375" s="18" t="s">
        <v>162</v>
      </c>
      <c r="D375" s="18" t="s">
        <v>1329</v>
      </c>
      <c r="E375" s="18" t="s">
        <v>36</v>
      </c>
      <c r="F375" s="18" t="s">
        <v>36</v>
      </c>
      <c r="J375" s="19"/>
      <c r="K375" s="19">
        <v>0.4113</v>
      </c>
      <c r="L375" s="19">
        <v>0.14055636899999999</v>
      </c>
      <c r="M375" s="19">
        <v>0.43159999999999998</v>
      </c>
      <c r="N375" s="19">
        <v>0.21149999999999999</v>
      </c>
      <c r="O375" s="19">
        <v>0.71430000000000005</v>
      </c>
      <c r="P375" s="19">
        <v>1</v>
      </c>
      <c r="Q375" s="19">
        <v>8.6823288999999998E-2</v>
      </c>
      <c r="R375" s="20">
        <v>22216</v>
      </c>
      <c r="S375" s="21" t="str">
        <f>HYPERLINK("https://www.fgc.edu/nc/npcalc.htm", "$15945")</f>
        <v>$15945</v>
      </c>
      <c r="T375" s="20">
        <v>19155</v>
      </c>
      <c r="U375" s="20">
        <v>20916</v>
      </c>
      <c r="V375" s="20">
        <v>3267</v>
      </c>
      <c r="W375" s="20">
        <v>12678</v>
      </c>
      <c r="Y375" s="19">
        <v>0.3034</v>
      </c>
      <c r="Z375" s="19">
        <v>0.27789999999999998</v>
      </c>
      <c r="AB375" s="18">
        <v>2285</v>
      </c>
    </row>
    <row r="376" spans="1:28" ht="15.75" customHeight="1" x14ac:dyDescent="0.2">
      <c r="A376" s="36" t="str">
        <f>HYPERLINK("https://www.fkcc.edu", "Florida Keys Community College")</f>
        <v>Florida Keys Community College</v>
      </c>
      <c r="B376" s="18" t="s">
        <v>49</v>
      </c>
      <c r="C376" s="18" t="s">
        <v>162</v>
      </c>
      <c r="D376" s="18" t="s">
        <v>1330</v>
      </c>
      <c r="E376" s="18" t="s">
        <v>36</v>
      </c>
      <c r="F376" s="18" t="s">
        <v>36</v>
      </c>
      <c r="J376" s="19"/>
      <c r="K376" s="19">
        <v>0.3226</v>
      </c>
      <c r="L376" s="19">
        <v>0.13725490200000001</v>
      </c>
      <c r="M376" s="19">
        <v>0.32319999999999999</v>
      </c>
      <c r="N376" s="19">
        <v>0.3846</v>
      </c>
      <c r="O376" s="19">
        <v>0.28570000000000001</v>
      </c>
      <c r="P376" s="19">
        <v>0</v>
      </c>
      <c r="Q376" s="19">
        <v>9.8557691999999988E-2</v>
      </c>
      <c r="R376" s="20">
        <v>29967</v>
      </c>
      <c r="S376" s="21" t="str">
        <f>HYPERLINK("https://www.fkcc.edu/skins/userfiles/file/Financial%20Aid/net_price_calc/npcalc.htm", "$24077")</f>
        <v>$24077</v>
      </c>
      <c r="T376" s="20">
        <v>27375</v>
      </c>
      <c r="U376" s="20">
        <v>29313</v>
      </c>
      <c r="V376" s="20">
        <v>2866</v>
      </c>
      <c r="W376" s="20">
        <v>21211.75</v>
      </c>
      <c r="Y376" s="19">
        <v>0.24979999999999999</v>
      </c>
      <c r="Z376" s="19">
        <v>0.47589999999999999</v>
      </c>
      <c r="AB376" s="18">
        <v>830</v>
      </c>
    </row>
    <row r="377" spans="1:28" ht="15.75" customHeight="1" x14ac:dyDescent="0.2">
      <c r="A377" s="36" t="str">
        <f>HYPERLINK("https://www.fnu.edu", "Florida National University-Main Campus")</f>
        <v>Florida National University-Main Campus</v>
      </c>
      <c r="B377" s="18" t="s">
        <v>368</v>
      </c>
      <c r="C377" s="18" t="s">
        <v>162</v>
      </c>
      <c r="D377" s="18" t="s">
        <v>1331</v>
      </c>
      <c r="E377" s="18" t="s">
        <v>36</v>
      </c>
      <c r="F377" s="18" t="s">
        <v>36</v>
      </c>
      <c r="J377" s="19"/>
      <c r="K377" s="19">
        <v>0.6119</v>
      </c>
      <c r="L377" s="19">
        <v>0.35300859600000001</v>
      </c>
      <c r="M377" s="19">
        <v>0.5</v>
      </c>
      <c r="N377" s="19">
        <v>0.58819999999999995</v>
      </c>
      <c r="O377" s="19">
        <v>0.62360000000000004</v>
      </c>
      <c r="P377" s="19" t="s">
        <v>36</v>
      </c>
      <c r="Q377" s="19">
        <v>3.7113401999999997E-2</v>
      </c>
      <c r="R377" s="20">
        <v>31293</v>
      </c>
      <c r="S377" s="21" t="str">
        <f>HYPERLINK("https://www.fnu.edu/NetPriceCalculator/npcalc.htm", "$19162")</f>
        <v>$19162</v>
      </c>
      <c r="T377" s="20">
        <v>21491</v>
      </c>
      <c r="U377" s="20" t="s">
        <v>36</v>
      </c>
      <c r="V377" s="20">
        <v>8296</v>
      </c>
      <c r="W377" s="20">
        <v>10866</v>
      </c>
      <c r="Y377" s="19">
        <v>0.74580000000000002</v>
      </c>
      <c r="Z377" s="19">
        <v>0.98460000000000003</v>
      </c>
      <c r="AB377" s="18">
        <v>3117</v>
      </c>
    </row>
    <row r="378" spans="1:28" ht="15.75" customHeight="1" x14ac:dyDescent="0.2">
      <c r="A378" s="36" t="str">
        <f>HYPERLINK("https://www.fsw.edu", "Florida SouthWestern State College")</f>
        <v>Florida SouthWestern State College</v>
      </c>
      <c r="B378" s="18" t="s">
        <v>49</v>
      </c>
      <c r="C378" s="18" t="s">
        <v>162</v>
      </c>
      <c r="D378" s="18" t="s">
        <v>766</v>
      </c>
      <c r="E378" s="18" t="s">
        <v>36</v>
      </c>
      <c r="F378" s="18" t="s">
        <v>36</v>
      </c>
      <c r="J378" s="19"/>
      <c r="K378" s="19">
        <v>0.34810000000000002</v>
      </c>
      <c r="L378" s="19">
        <v>0.25705229800000001</v>
      </c>
      <c r="M378" s="19">
        <v>0.35270000000000001</v>
      </c>
      <c r="N378" s="19">
        <v>0.31219999999999998</v>
      </c>
      <c r="O378" s="19">
        <v>0.32969999999999999</v>
      </c>
      <c r="P378" s="19">
        <v>0.47499999999999998</v>
      </c>
      <c r="Q378" s="19">
        <v>7.9813159999999994E-2</v>
      </c>
      <c r="R378" s="20">
        <v>27969</v>
      </c>
      <c r="S378" s="21" t="str">
        <f>HYPERLINK("https://www.fsw.edu/financialaid/netprice", "$22672")</f>
        <v>$22672</v>
      </c>
      <c r="T378" s="20">
        <v>25224</v>
      </c>
      <c r="U378" s="20">
        <v>27150</v>
      </c>
      <c r="V378" s="20">
        <v>5990</v>
      </c>
      <c r="W378" s="20">
        <v>16682.17312072893</v>
      </c>
      <c r="Y378" s="19">
        <v>0.33479999999999999</v>
      </c>
      <c r="Z378" s="19">
        <v>0.54299999999999993</v>
      </c>
      <c r="AB378" s="18">
        <v>12618</v>
      </c>
    </row>
    <row r="379" spans="1:28" ht="15.75" customHeight="1" x14ac:dyDescent="0.2">
      <c r="A379" s="36" t="str">
        <f>HYPERLINK("https://www.fscj.edu", "Florida State College at Jacksonville")</f>
        <v>Florida State College at Jacksonville</v>
      </c>
      <c r="B379" s="18" t="s">
        <v>49</v>
      </c>
      <c r="C379" s="18" t="s">
        <v>162</v>
      </c>
      <c r="D379" s="18" t="s">
        <v>382</v>
      </c>
      <c r="E379" s="18" t="s">
        <v>36</v>
      </c>
      <c r="F379" s="18" t="s">
        <v>36</v>
      </c>
      <c r="J379" s="19"/>
      <c r="K379" s="19">
        <v>0.35099999999999998</v>
      </c>
      <c r="L379" s="19">
        <v>0.192307692</v>
      </c>
      <c r="M379" s="19">
        <v>0.4083</v>
      </c>
      <c r="N379" s="19">
        <v>0.2024</v>
      </c>
      <c r="O379" s="19">
        <v>0.39510000000000001</v>
      </c>
      <c r="P379" s="19">
        <v>0.53849999999999998</v>
      </c>
      <c r="Q379" s="19">
        <v>8.9766606999999998E-2</v>
      </c>
      <c r="R379" s="20">
        <v>21788</v>
      </c>
      <c r="S379" s="21" t="str">
        <f>HYPERLINK("https://www.fscj.edu/admissions-aid/financial-aid/applying-for-aid/net-price-calculator", "$16304")</f>
        <v>$16304</v>
      </c>
      <c r="T379" s="20">
        <v>19726</v>
      </c>
      <c r="U379" s="20">
        <v>21155</v>
      </c>
      <c r="V379" s="20">
        <v>2850</v>
      </c>
      <c r="W379" s="20">
        <v>13454.888888888891</v>
      </c>
      <c r="Y379" s="19">
        <v>0.33550000000000002</v>
      </c>
      <c r="Z379" s="19">
        <v>0.52049999999999996</v>
      </c>
      <c r="AB379" s="18">
        <v>18789</v>
      </c>
    </row>
    <row r="380" spans="1:28" ht="15.75" customHeight="1" x14ac:dyDescent="0.2">
      <c r="A380" s="36" t="str">
        <f>HYPERLINK("https://www.flc.losrios.edu/", "Folsom Lake College")</f>
        <v>Folsom Lake College</v>
      </c>
      <c r="B380" s="18" t="s">
        <v>49</v>
      </c>
      <c r="C380" s="18" t="s">
        <v>68</v>
      </c>
      <c r="D380" s="18" t="s">
        <v>1335</v>
      </c>
      <c r="E380" s="18" t="s">
        <v>36</v>
      </c>
      <c r="F380" s="18" t="s">
        <v>36</v>
      </c>
      <c r="J380" s="19"/>
      <c r="K380" s="19">
        <v>0.30509999999999998</v>
      </c>
      <c r="L380" s="19">
        <v>6.9154775000000002E-2</v>
      </c>
      <c r="M380" s="19">
        <v>0.31669999999999998</v>
      </c>
      <c r="N380" s="19">
        <v>0.1429</v>
      </c>
      <c r="O380" s="19">
        <v>0.21929999999999999</v>
      </c>
      <c r="P380" s="19">
        <v>0.57579999999999998</v>
      </c>
      <c r="Q380" s="19">
        <v>0.10856658199999999</v>
      </c>
      <c r="R380" s="20">
        <v>27594</v>
      </c>
      <c r="S380" s="21" t="str">
        <f>HYPERLINK("https://www.flc.losrios.edu/student-services/net-price-calculator", "$20941")</f>
        <v>$20941</v>
      </c>
      <c r="T380" s="20">
        <v>24818</v>
      </c>
      <c r="U380" s="20">
        <v>23594</v>
      </c>
      <c r="V380" s="20">
        <v>6093</v>
      </c>
      <c r="W380" s="20">
        <v>14848.96226415094</v>
      </c>
      <c r="Y380" s="19">
        <v>0.18329999999999999</v>
      </c>
      <c r="Z380" s="19">
        <v>0.42980000000000002</v>
      </c>
      <c r="AB380" s="18">
        <v>7911</v>
      </c>
    </row>
    <row r="381" spans="1:28" ht="15.75" customHeight="1" x14ac:dyDescent="0.2">
      <c r="A381" s="36" t="str">
        <f>HYPERLINK("https://www.fdltcc.edu", "Fond du Lac Tribal and Community College")</f>
        <v>Fond du Lac Tribal and Community College</v>
      </c>
      <c r="B381" s="18" t="s">
        <v>49</v>
      </c>
      <c r="C381" s="18" t="s">
        <v>72</v>
      </c>
      <c r="D381" s="18" t="s">
        <v>1336</v>
      </c>
      <c r="E381" s="18" t="s">
        <v>36</v>
      </c>
      <c r="F381" s="18" t="s">
        <v>36</v>
      </c>
      <c r="J381" s="19"/>
      <c r="K381" s="19">
        <v>0.245</v>
      </c>
      <c r="L381" s="19">
        <v>0.26575342499999999</v>
      </c>
      <c r="M381" s="19">
        <v>0.32500000000000001</v>
      </c>
      <c r="N381" s="19">
        <v>8.3299999999999999E-2</v>
      </c>
      <c r="O381" s="19">
        <v>0.28570000000000001</v>
      </c>
      <c r="P381" s="19" t="s">
        <v>36</v>
      </c>
      <c r="Q381" s="19">
        <v>3.7769784000000001E-2</v>
      </c>
      <c r="R381" s="20">
        <v>16161</v>
      </c>
      <c r="S381" s="21" t="str">
        <f>HYPERLINK("https://fdltcc.edu/faculty-staff/business-services/tuition-and-fee-payments/", "$10131")</f>
        <v>$10131</v>
      </c>
      <c r="T381" s="20">
        <v>13114</v>
      </c>
      <c r="U381" s="20">
        <v>14891</v>
      </c>
      <c r="V381" s="20">
        <v>4576</v>
      </c>
      <c r="W381" s="20">
        <v>5555.9672131147536</v>
      </c>
      <c r="Y381" s="19">
        <v>0.23180000000000001</v>
      </c>
      <c r="Z381" s="19">
        <v>0.42920000000000003</v>
      </c>
      <c r="AB381" s="18">
        <v>699</v>
      </c>
    </row>
    <row r="382" spans="1:28" ht="15.75" customHeight="1" x14ac:dyDescent="0.2">
      <c r="A382" s="36" t="str">
        <f>HYPERLINK("https://foothill.edu", "Foothill College")</f>
        <v>Foothill College</v>
      </c>
      <c r="B382" s="18" t="s">
        <v>49</v>
      </c>
      <c r="C382" s="18" t="s">
        <v>68</v>
      </c>
      <c r="D382" s="18" t="s">
        <v>1338</v>
      </c>
      <c r="E382" s="18" t="s">
        <v>36</v>
      </c>
      <c r="F382" s="18" t="s">
        <v>36</v>
      </c>
      <c r="J382" s="19"/>
      <c r="K382" s="19">
        <v>0.55689999999999995</v>
      </c>
      <c r="L382" s="19">
        <v>5.6629833999999997E-2</v>
      </c>
      <c r="M382" s="19">
        <v>0.4955</v>
      </c>
      <c r="N382" s="19">
        <v>0.29409999999999997</v>
      </c>
      <c r="O382" s="19">
        <v>0.32519999999999999</v>
      </c>
      <c r="P382" s="19">
        <v>0.70860000000000001</v>
      </c>
      <c r="Q382" s="19">
        <v>0.16161616200000001</v>
      </c>
      <c r="R382" s="20">
        <v>28408</v>
      </c>
      <c r="S382" s="21" t="str">
        <f>HYPERLINK("https://misweb.cccco.edu/npc/422/npcalc.htm", "$21669")</f>
        <v>$21669</v>
      </c>
      <c r="T382" s="20">
        <v>25365</v>
      </c>
      <c r="U382" s="20">
        <v>26870</v>
      </c>
      <c r="V382" s="20">
        <v>6363</v>
      </c>
      <c r="W382" s="20">
        <v>15306.97260273973</v>
      </c>
      <c r="Y382" s="19">
        <v>7.3200000000000001E-2</v>
      </c>
      <c r="Z382" s="19">
        <v>0.67579999999999996</v>
      </c>
      <c r="AB382" s="18">
        <v>13873</v>
      </c>
    </row>
    <row r="383" spans="1:28" ht="15.75" customHeight="1" x14ac:dyDescent="0.2">
      <c r="A383" s="36" t="str">
        <f>HYPERLINK("https://www.forrestcollege.edu", "Forrest College")</f>
        <v>Forrest College</v>
      </c>
      <c r="B383" s="18" t="s">
        <v>368</v>
      </c>
      <c r="C383" s="18" t="s">
        <v>208</v>
      </c>
      <c r="D383" s="18" t="s">
        <v>553</v>
      </c>
      <c r="E383" s="18" t="s">
        <v>36</v>
      </c>
      <c r="F383" s="18" t="s">
        <v>36</v>
      </c>
      <c r="J383" s="19"/>
      <c r="K383" s="19">
        <v>0.73329999999999995</v>
      </c>
      <c r="L383" s="19" t="s">
        <v>36</v>
      </c>
      <c r="M383" s="19">
        <v>0.7</v>
      </c>
      <c r="N383" s="19">
        <v>0.75</v>
      </c>
      <c r="O383" s="19" t="s">
        <v>36</v>
      </c>
      <c r="P383" s="19" t="s">
        <v>36</v>
      </c>
      <c r="Q383" s="19" t="s">
        <v>36</v>
      </c>
      <c r="R383" s="20">
        <v>26922</v>
      </c>
      <c r="S383" s="21" t="str">
        <f>HYPERLINK("https://www.forrestcollege.edu/wp-content/uploads/2012/06/npcalc.htm", "$15298")</f>
        <v>$15298</v>
      </c>
      <c r="T383" s="20">
        <v>14757</v>
      </c>
      <c r="U383" s="20">
        <v>20532</v>
      </c>
      <c r="V383" s="20">
        <v>6479</v>
      </c>
      <c r="W383" s="20">
        <v>8819</v>
      </c>
      <c r="Y383" s="19">
        <v>0.81130000000000002</v>
      </c>
      <c r="Z383" s="19">
        <v>0.40279999999999999</v>
      </c>
      <c r="AB383" s="18">
        <v>72</v>
      </c>
    </row>
    <row r="384" spans="1:28" ht="15.75" customHeight="1" x14ac:dyDescent="0.2">
      <c r="A384" s="36" t="str">
        <f>HYPERLINK("https://www.forsythtech.edu/", "Forsyth Technical Community College")</f>
        <v>Forsyth Technical Community College</v>
      </c>
      <c r="B384" s="18" t="s">
        <v>49</v>
      </c>
      <c r="C384" s="18" t="s">
        <v>103</v>
      </c>
      <c r="D384" s="18" t="s">
        <v>178</v>
      </c>
      <c r="E384" s="18" t="s">
        <v>36</v>
      </c>
      <c r="F384" s="18" t="s">
        <v>36</v>
      </c>
      <c r="J384" s="19"/>
      <c r="K384" s="19">
        <v>0.17069999999999999</v>
      </c>
      <c r="L384" s="19">
        <v>0.15002459400000001</v>
      </c>
      <c r="M384" s="19">
        <v>0.21229999999999999</v>
      </c>
      <c r="N384" s="19">
        <v>6.0400000000000002E-2</v>
      </c>
      <c r="O384" s="19">
        <v>0.13109999999999999</v>
      </c>
      <c r="P384" s="19">
        <v>0.28570000000000001</v>
      </c>
      <c r="Q384" s="19">
        <v>6.6070735000000005E-2</v>
      </c>
      <c r="R384" s="20">
        <v>16343</v>
      </c>
      <c r="S384" s="21" t="str">
        <f>HYPERLINK("https://www.forsythtech.edu/static/netpricecalculator/npcalc.htm", "$11900")</f>
        <v>$11900</v>
      </c>
      <c r="T384" s="20">
        <v>12847</v>
      </c>
      <c r="U384" s="20">
        <v>15582</v>
      </c>
      <c r="V384" s="20">
        <v>6048</v>
      </c>
      <c r="W384" s="20">
        <v>5852.1860465116279</v>
      </c>
      <c r="Y384" s="19">
        <v>0.38919999999999999</v>
      </c>
      <c r="Z384" s="19">
        <v>0.45300000000000001</v>
      </c>
      <c r="AB384" s="18">
        <v>6602</v>
      </c>
    </row>
    <row r="385" spans="1:28" ht="15.75" customHeight="1" x14ac:dyDescent="0.2">
      <c r="A385" s="36" t="str">
        <f>HYPERLINK("https://www.fpcc.edu", "Fort Peck Community College")</f>
        <v>Fort Peck Community College</v>
      </c>
      <c r="B385" s="18" t="s">
        <v>49</v>
      </c>
      <c r="C385" s="18" t="s">
        <v>421</v>
      </c>
      <c r="D385" s="18" t="s">
        <v>1340</v>
      </c>
      <c r="E385" s="18" t="s">
        <v>36</v>
      </c>
      <c r="F385" s="18" t="s">
        <v>36</v>
      </c>
      <c r="J385" s="19"/>
      <c r="K385" s="19">
        <v>8.1600000000000006E-2</v>
      </c>
      <c r="L385" s="19" t="s">
        <v>36</v>
      </c>
      <c r="M385" s="19">
        <v>0.33329999999999999</v>
      </c>
      <c r="N385" s="19" t="s">
        <v>36</v>
      </c>
      <c r="O385" s="19" t="s">
        <v>36</v>
      </c>
      <c r="P385" s="19">
        <v>0</v>
      </c>
      <c r="Q385" s="19" t="s">
        <v>36</v>
      </c>
      <c r="R385" s="20">
        <v>15100</v>
      </c>
      <c r="S385" s="21" t="str">
        <f>HYPERLINK("https://www.fpcc.edu", "$7163")</f>
        <v>$7163</v>
      </c>
      <c r="T385" s="20">
        <v>8237</v>
      </c>
      <c r="U385" s="20">
        <v>7210</v>
      </c>
      <c r="V385" s="20">
        <v>4075</v>
      </c>
      <c r="W385" s="20">
        <v>3088.333333333333</v>
      </c>
      <c r="Y385" s="19">
        <v>0.24940000000000001</v>
      </c>
      <c r="Z385" s="19">
        <v>0.94579999999999997</v>
      </c>
      <c r="AB385" s="18">
        <v>295</v>
      </c>
    </row>
    <row r="386" spans="1:28" ht="15.75" customHeight="1" x14ac:dyDescent="0.2">
      <c r="A386" s="36" t="str">
        <f>HYPERLINK("https://www.fortiscollege.edu", "Fortis College-Centerville")</f>
        <v>Fortis College-Centerville</v>
      </c>
      <c r="B386" s="18" t="s">
        <v>368</v>
      </c>
      <c r="C386" s="18" t="s">
        <v>75</v>
      </c>
      <c r="D386" s="18" t="s">
        <v>1341</v>
      </c>
      <c r="E386" s="18" t="s">
        <v>36</v>
      </c>
      <c r="F386" s="18" t="s">
        <v>36</v>
      </c>
      <c r="J386" s="19"/>
      <c r="K386" s="19">
        <v>0.32550000000000001</v>
      </c>
      <c r="L386" s="19">
        <v>0.44690553799999999</v>
      </c>
      <c r="M386" s="19">
        <v>0.46839999999999998</v>
      </c>
      <c r="N386" s="19">
        <v>0.3226</v>
      </c>
      <c r="O386" s="19">
        <v>1</v>
      </c>
      <c r="P386" s="19" t="s">
        <v>36</v>
      </c>
      <c r="Q386" s="19">
        <v>1.4903130000000001E-2</v>
      </c>
      <c r="R386" s="20">
        <v>28907</v>
      </c>
      <c r="S386" s="21" t="str">
        <f>HYPERLINK("https://www.fortiscollege.edu", "$27344")</f>
        <v>$27344</v>
      </c>
      <c r="T386" s="20">
        <v>29522</v>
      </c>
      <c r="U386" s="20">
        <v>32783</v>
      </c>
      <c r="V386" s="20">
        <v>6565</v>
      </c>
      <c r="W386" s="20">
        <v>20779</v>
      </c>
      <c r="Y386" s="19">
        <v>0.79669999999999996</v>
      </c>
      <c r="Z386" s="19">
        <v>0.64779999999999993</v>
      </c>
      <c r="AB386" s="18">
        <v>690</v>
      </c>
    </row>
    <row r="387" spans="1:28" ht="15.75" customHeight="1" x14ac:dyDescent="0.2">
      <c r="A387" s="36" t="str">
        <f>HYPERLINK("https://www.fortis.edu", "Fortis Institute-Scranton")</f>
        <v>Fortis Institute-Scranton</v>
      </c>
      <c r="B387" s="18" t="s">
        <v>368</v>
      </c>
      <c r="C387" s="18" t="s">
        <v>65</v>
      </c>
      <c r="D387" s="18" t="s">
        <v>524</v>
      </c>
      <c r="E387" s="18" t="s">
        <v>36</v>
      </c>
      <c r="F387" s="18" t="s">
        <v>36</v>
      </c>
      <c r="J387" s="19"/>
      <c r="K387" s="19">
        <v>0.52939999999999998</v>
      </c>
      <c r="L387" s="19">
        <v>0.45247148300000001</v>
      </c>
      <c r="M387" s="19">
        <v>0.55559999999999998</v>
      </c>
      <c r="N387" s="19">
        <v>0.45450000000000002</v>
      </c>
      <c r="O387" s="19">
        <v>0.4667</v>
      </c>
      <c r="P387" s="19">
        <v>1</v>
      </c>
      <c r="Q387" s="19" t="s">
        <v>36</v>
      </c>
      <c r="R387" s="20">
        <v>40381</v>
      </c>
      <c r="S387" s="21" t="str">
        <f>HYPERLINK("https://www.fortis.edu/portals/0/compliancefiles/netprice-calc/npcalc-fortis_scranton.htm", "$28362")</f>
        <v>$28362</v>
      </c>
      <c r="T387" s="20">
        <v>31287</v>
      </c>
      <c r="U387" s="20">
        <v>33936</v>
      </c>
      <c r="V387" s="20">
        <v>5935</v>
      </c>
      <c r="W387" s="20">
        <v>22427</v>
      </c>
      <c r="Y387" s="19">
        <v>0.78790000000000004</v>
      </c>
      <c r="Z387" s="19">
        <v>0.28920000000000001</v>
      </c>
      <c r="AB387" s="18">
        <v>287</v>
      </c>
    </row>
    <row r="388" spans="1:28" ht="15.75" customHeight="1" x14ac:dyDescent="0.2">
      <c r="A388" s="36" t="str">
        <f>HYPERLINK("https://www.fountainheadcollege.edu", "Fountainhead College of Technology")</f>
        <v>Fountainhead College of Technology</v>
      </c>
      <c r="B388" s="18" t="s">
        <v>368</v>
      </c>
      <c r="C388" s="18" t="s">
        <v>174</v>
      </c>
      <c r="D388" s="18" t="s">
        <v>492</v>
      </c>
      <c r="E388" s="18" t="s">
        <v>36</v>
      </c>
      <c r="F388" s="18" t="s">
        <v>36</v>
      </c>
      <c r="J388" s="19"/>
      <c r="K388" s="19">
        <v>0.43640000000000001</v>
      </c>
      <c r="L388" s="19">
        <v>0.56701030899999993</v>
      </c>
      <c r="M388" s="19">
        <v>0.44</v>
      </c>
      <c r="N388" s="19">
        <v>0.4</v>
      </c>
      <c r="O388" s="19" t="s">
        <v>36</v>
      </c>
      <c r="P388" s="19" t="s">
        <v>36</v>
      </c>
      <c r="Q388" s="19" t="s">
        <v>36</v>
      </c>
      <c r="R388" s="20">
        <v>29412</v>
      </c>
      <c r="S388" s="21" t="str">
        <f>HYPERLINK("https://fountainheadcollege.edu/npcalc.htm", "$19778")</f>
        <v>$19778</v>
      </c>
      <c r="T388" s="20" t="s">
        <v>36</v>
      </c>
      <c r="U388" s="20" t="s">
        <v>36</v>
      </c>
      <c r="V388" s="20">
        <v>7580</v>
      </c>
      <c r="W388" s="20">
        <v>12198</v>
      </c>
      <c r="Y388" s="19">
        <v>0.82569999999999999</v>
      </c>
      <c r="Z388" s="19">
        <v>9.0899999999999981E-2</v>
      </c>
      <c r="AB388" s="18">
        <v>88</v>
      </c>
    </row>
    <row r="389" spans="1:28" ht="15.75" customHeight="1" x14ac:dyDescent="0.2">
      <c r="A389" s="36" t="str">
        <f>HYPERLINK("https://www.foxcollege.edu", "Fox College")</f>
        <v>Fox College</v>
      </c>
      <c r="B389" s="18" t="s">
        <v>368</v>
      </c>
      <c r="C389" s="18" t="s">
        <v>137</v>
      </c>
      <c r="D389" s="18" t="s">
        <v>1343</v>
      </c>
      <c r="E389" s="18" t="s">
        <v>36</v>
      </c>
      <c r="F389" s="18" t="s">
        <v>45</v>
      </c>
      <c r="J389" s="19"/>
      <c r="K389" s="19">
        <v>0.7</v>
      </c>
      <c r="L389" s="19">
        <v>0.55487804900000004</v>
      </c>
      <c r="M389" s="19">
        <v>0.84619999999999995</v>
      </c>
      <c r="N389" s="19">
        <v>0.25</v>
      </c>
      <c r="O389" s="19">
        <v>0.71430000000000005</v>
      </c>
      <c r="P389" s="19" t="s">
        <v>36</v>
      </c>
      <c r="Q389" s="19">
        <v>3.4482759000000002E-2</v>
      </c>
      <c r="R389" s="20">
        <v>24396</v>
      </c>
      <c r="S389" s="21" t="str">
        <f>HYPERLINK("https://www.foxcollege.edu/aid", "$10169")</f>
        <v>$10169</v>
      </c>
      <c r="T389" s="20">
        <v>16473</v>
      </c>
      <c r="U389" s="20">
        <v>17364</v>
      </c>
      <c r="V389" s="20">
        <v>3036</v>
      </c>
      <c r="W389" s="20">
        <v>7133</v>
      </c>
      <c r="Y389" s="19">
        <v>0.5333</v>
      </c>
      <c r="Z389" s="19">
        <v>0.41110000000000002</v>
      </c>
      <c r="AB389" s="18">
        <v>433</v>
      </c>
    </row>
    <row r="390" spans="1:28" ht="15.75" customHeight="1" x14ac:dyDescent="0.2">
      <c r="A390" s="36" t="str">
        <f>HYPERLINK("https://www.frederick.edu", "Frederick Community College")</f>
        <v>Frederick Community College</v>
      </c>
      <c r="B390" s="18" t="s">
        <v>49</v>
      </c>
      <c r="C390" s="18" t="s">
        <v>124</v>
      </c>
      <c r="D390" s="18" t="s">
        <v>824</v>
      </c>
      <c r="E390" s="18" t="s">
        <v>36</v>
      </c>
      <c r="F390" s="18" t="s">
        <v>36</v>
      </c>
      <c r="J390" s="19"/>
      <c r="K390" s="19">
        <v>0.31209999999999999</v>
      </c>
      <c r="L390" s="19">
        <v>0.216757741</v>
      </c>
      <c r="M390" s="19">
        <v>0.36080000000000001</v>
      </c>
      <c r="N390" s="19">
        <v>0.1047</v>
      </c>
      <c r="O390" s="19">
        <v>0.24490000000000001</v>
      </c>
      <c r="P390" s="19">
        <v>0.34620000000000001</v>
      </c>
      <c r="Q390" s="19">
        <v>9.9589321999999994E-2</v>
      </c>
      <c r="R390" s="20">
        <v>21260</v>
      </c>
      <c r="S390" s="21" t="str">
        <f>HYPERLINK("https://www.frederick.edu/cost-financial-aid/cost.aspx", "$15350")</f>
        <v>$15350</v>
      </c>
      <c r="T390" s="20">
        <v>18561</v>
      </c>
      <c r="U390" s="20">
        <v>20731</v>
      </c>
      <c r="V390" s="20">
        <v>4000</v>
      </c>
      <c r="W390" s="20">
        <v>11350.99315068493</v>
      </c>
      <c r="Y390" s="19">
        <v>0.19159999999999999</v>
      </c>
      <c r="Z390" s="19">
        <v>0.38940000000000002</v>
      </c>
      <c r="AB390" s="18">
        <v>4830</v>
      </c>
    </row>
    <row r="391" spans="1:28" ht="15.75" customHeight="1" x14ac:dyDescent="0.2">
      <c r="A391" s="36" t="str">
        <f>HYPERLINK("https://www.fremont.edu", "Fremont College")</f>
        <v>Fremont College</v>
      </c>
      <c r="B391" s="18" t="s">
        <v>368</v>
      </c>
      <c r="C391" s="18" t="s">
        <v>68</v>
      </c>
      <c r="D391" s="18" t="s">
        <v>1345</v>
      </c>
      <c r="E391" s="18" t="s">
        <v>36</v>
      </c>
      <c r="F391" s="18" t="s">
        <v>36</v>
      </c>
      <c r="J391" s="19"/>
      <c r="K391" s="19">
        <v>0.50260000000000005</v>
      </c>
      <c r="L391" s="19">
        <v>0.68269230800000003</v>
      </c>
      <c r="M391" s="19">
        <v>0.45829999999999999</v>
      </c>
      <c r="N391" s="19">
        <v>0.34379999999999999</v>
      </c>
      <c r="O391" s="19">
        <v>0.54349999999999998</v>
      </c>
      <c r="P391" s="19">
        <v>0.73680000000000001</v>
      </c>
      <c r="Q391" s="19" t="s">
        <v>36</v>
      </c>
      <c r="R391" s="20" t="s">
        <v>36</v>
      </c>
      <c r="S391" s="21" t="str">
        <f>HYPERLINK("https://www.fremont.edu/admissions/financial-aid/net-price-calculator/", "$25432")</f>
        <v>$25432</v>
      </c>
      <c r="T391" s="20">
        <v>26034</v>
      </c>
      <c r="U391" s="20">
        <v>30205</v>
      </c>
      <c r="V391" s="20" t="s">
        <v>36</v>
      </c>
      <c r="W391" s="20" t="s">
        <v>36</v>
      </c>
      <c r="Y391" s="19">
        <v>0.78069999999999995</v>
      </c>
      <c r="Z391" s="19">
        <v>0.92049999999999998</v>
      </c>
      <c r="AB391" s="18">
        <v>151</v>
      </c>
    </row>
    <row r="392" spans="1:28" ht="15.75" customHeight="1" x14ac:dyDescent="0.2">
      <c r="A392" s="36" t="str">
        <f>HYPERLINK("https://www.fresnocitycollege.edu", "Fresno City College")</f>
        <v>Fresno City College</v>
      </c>
      <c r="B392" s="18" t="s">
        <v>49</v>
      </c>
      <c r="C392" s="18" t="s">
        <v>68</v>
      </c>
      <c r="D392" s="18" t="s">
        <v>673</v>
      </c>
      <c r="E392" s="18" t="s">
        <v>36</v>
      </c>
      <c r="F392" s="18" t="s">
        <v>36</v>
      </c>
      <c r="J392" s="19"/>
      <c r="K392" s="19">
        <v>0.1757</v>
      </c>
      <c r="L392" s="19">
        <v>7.4425469000000008E-2</v>
      </c>
      <c r="M392" s="19">
        <v>0.25530000000000003</v>
      </c>
      <c r="N392" s="19">
        <v>0.1032</v>
      </c>
      <c r="O392" s="19">
        <v>0.15140000000000001</v>
      </c>
      <c r="P392" s="19">
        <v>0.23019999999999999</v>
      </c>
      <c r="Q392" s="19">
        <v>9.7378276999999999E-2</v>
      </c>
      <c r="R392" s="20">
        <v>21258</v>
      </c>
      <c r="S392" s="21" t="str">
        <f>HYPERLINK("https://misweb.cccco.edu/npc/571/npcalc.htm", "$14555")</f>
        <v>$14555</v>
      </c>
      <c r="T392" s="20">
        <v>17009</v>
      </c>
      <c r="U392" s="20">
        <v>19634</v>
      </c>
      <c r="V392" s="20">
        <v>4494</v>
      </c>
      <c r="W392" s="20">
        <v>10061.97727272727</v>
      </c>
      <c r="Y392" s="19">
        <v>0.34749999999999998</v>
      </c>
      <c r="Z392" s="19">
        <v>0.79300000000000004</v>
      </c>
      <c r="AB392" s="18">
        <v>19322</v>
      </c>
    </row>
    <row r="393" spans="1:28" ht="15.75" customHeight="1" x14ac:dyDescent="0.2">
      <c r="A393" s="36" t="str">
        <f>HYPERLINK("https://www.fullcoll.edu", "Fullerton College")</f>
        <v>Fullerton College</v>
      </c>
      <c r="B393" s="18" t="s">
        <v>49</v>
      </c>
      <c r="C393" s="18" t="s">
        <v>68</v>
      </c>
      <c r="D393" s="18" t="s">
        <v>607</v>
      </c>
      <c r="E393" s="18" t="s">
        <v>36</v>
      </c>
      <c r="F393" s="18" t="s">
        <v>36</v>
      </c>
      <c r="J393" s="19"/>
      <c r="K393" s="19">
        <v>0.28760000000000002</v>
      </c>
      <c r="L393" s="19">
        <v>2.9891304E-2</v>
      </c>
      <c r="M393" s="19">
        <v>0.33160000000000001</v>
      </c>
      <c r="N393" s="19">
        <v>0.24529999999999999</v>
      </c>
      <c r="O393" s="19">
        <v>0.24349999999999999</v>
      </c>
      <c r="P393" s="19">
        <v>0.43359999999999999</v>
      </c>
      <c r="Q393" s="19">
        <v>0.171446192</v>
      </c>
      <c r="R393" s="20">
        <v>23515</v>
      </c>
      <c r="S393" s="21" t="str">
        <f>HYPERLINK("https://misweb.cccco.edu/npc/862/npcalc.htm", "$16025")</f>
        <v>$16025</v>
      </c>
      <c r="T393" s="20">
        <v>19361</v>
      </c>
      <c r="U393" s="20">
        <v>21038</v>
      </c>
      <c r="V393" s="20">
        <v>6012</v>
      </c>
      <c r="W393" s="20">
        <v>10013.090090090091</v>
      </c>
      <c r="Y393" s="19">
        <v>0.23330000000000001</v>
      </c>
      <c r="Z393" s="19">
        <v>0.80499999999999994</v>
      </c>
      <c r="AB393" s="18">
        <v>21969</v>
      </c>
    </row>
    <row r="394" spans="1:28" ht="15.75" customHeight="1" x14ac:dyDescent="0.2">
      <c r="A394" s="36" t="str">
        <f>HYPERLINK("https://www.fmcc.edu", "SUNY Fulton-Montgomery Community College")</f>
        <v>SUNY Fulton-Montgomery Community College</v>
      </c>
      <c r="B394" s="18" t="s">
        <v>49</v>
      </c>
      <c r="C394" s="18" t="s">
        <v>38</v>
      </c>
      <c r="D394" s="18" t="s">
        <v>907</v>
      </c>
      <c r="E394" s="18" t="s">
        <v>36</v>
      </c>
      <c r="F394" s="18" t="s">
        <v>36</v>
      </c>
      <c r="G394" s="18" t="s">
        <v>51</v>
      </c>
      <c r="I394" s="18" t="s">
        <v>1347</v>
      </c>
      <c r="J394" s="19"/>
      <c r="K394" s="19">
        <v>0.3493</v>
      </c>
      <c r="L394" s="19">
        <v>0.25503355700000002</v>
      </c>
      <c r="M394" s="19">
        <v>0.41610000000000003</v>
      </c>
      <c r="N394" s="19">
        <v>0.18640000000000001</v>
      </c>
      <c r="O394" s="19">
        <v>0.25969999999999999</v>
      </c>
      <c r="P394" s="19">
        <v>0.5</v>
      </c>
      <c r="Q394" s="19">
        <v>4.2448174000000012E-2</v>
      </c>
      <c r="R394" s="20">
        <v>20470</v>
      </c>
      <c r="S394" s="21" t="str">
        <f>HYPERLINK("https://www.fmcc.edu/admissions/financial-aid/welcome-to-the-suny-net-price-cost-calculator/", "$7609")</f>
        <v>$7609</v>
      </c>
      <c r="T394" s="20">
        <v>11707</v>
      </c>
      <c r="U394" s="20">
        <v>14537</v>
      </c>
      <c r="V394" s="20">
        <v>4100</v>
      </c>
      <c r="W394" s="20">
        <v>3509</v>
      </c>
      <c r="Y394" s="19">
        <v>0.39900000000000002</v>
      </c>
      <c r="Z394" s="19">
        <v>0.39129999999999998</v>
      </c>
      <c r="AB394" s="18">
        <v>1776</v>
      </c>
    </row>
    <row r="395" spans="1:28" ht="15.75" customHeight="1" x14ac:dyDescent="0.2">
      <c r="A395" s="36" t="str">
        <f>HYPERLINK("https://www.galencollege.edu/cincinnati", "Galen College of Nursing-Cincinnati")</f>
        <v>Galen College of Nursing-Cincinnati</v>
      </c>
      <c r="B395" s="18" t="s">
        <v>368</v>
      </c>
      <c r="C395" s="18" t="s">
        <v>75</v>
      </c>
      <c r="D395" s="18" t="s">
        <v>502</v>
      </c>
      <c r="E395" s="18" t="s">
        <v>36</v>
      </c>
      <c r="F395" s="18" t="s">
        <v>36</v>
      </c>
      <c r="J395" s="19"/>
      <c r="K395" s="19">
        <v>0.1905</v>
      </c>
      <c r="L395" s="19">
        <v>0.63197969499999995</v>
      </c>
      <c r="M395" s="19">
        <v>0.26669999999999999</v>
      </c>
      <c r="N395" s="19">
        <v>0</v>
      </c>
      <c r="O395" s="19" t="s">
        <v>36</v>
      </c>
      <c r="P395" s="19" t="s">
        <v>36</v>
      </c>
      <c r="Q395" s="19">
        <v>4.9150485000000001E-2</v>
      </c>
      <c r="R395" s="20" t="s">
        <v>36</v>
      </c>
      <c r="S395" s="21" t="str">
        <f>HYPERLINK("https://galencollege.studentaidcalculator.com/welcome.aspx", "$26015")</f>
        <v>$26015</v>
      </c>
      <c r="T395" s="20">
        <v>28149</v>
      </c>
      <c r="U395" s="20">
        <v>28702</v>
      </c>
      <c r="V395" s="20" t="s">
        <v>36</v>
      </c>
      <c r="W395" s="20" t="s">
        <v>36</v>
      </c>
      <c r="Y395" s="19">
        <v>0.61439999999999995</v>
      </c>
      <c r="Z395" s="19">
        <v>0.23430000000000001</v>
      </c>
      <c r="AB395" s="18">
        <v>478</v>
      </c>
    </row>
    <row r="396" spans="1:28" ht="15.75" customHeight="1" x14ac:dyDescent="0.2">
      <c r="A396" s="36" t="str">
        <f>HYPERLINK("https://www.galencollege.edu/louisville", "Galen College of Nursing-Louisville")</f>
        <v>Galen College of Nursing-Louisville</v>
      </c>
      <c r="B396" s="18" t="s">
        <v>368</v>
      </c>
      <c r="C396" s="18" t="s">
        <v>205</v>
      </c>
      <c r="D396" s="18" t="s">
        <v>306</v>
      </c>
      <c r="E396" s="18" t="s">
        <v>36</v>
      </c>
      <c r="F396" s="18" t="s">
        <v>36</v>
      </c>
      <c r="J396" s="19"/>
      <c r="K396" s="19">
        <v>0.56220000000000003</v>
      </c>
      <c r="L396" s="19">
        <v>0.63197969499999995</v>
      </c>
      <c r="M396" s="19">
        <v>0.67589999999999995</v>
      </c>
      <c r="N396" s="19">
        <v>0.42859999999999998</v>
      </c>
      <c r="O396" s="19">
        <v>0.5</v>
      </c>
      <c r="P396" s="19">
        <v>1</v>
      </c>
      <c r="Q396" s="19">
        <v>4.9150485000000001E-2</v>
      </c>
      <c r="R396" s="20" t="s">
        <v>36</v>
      </c>
      <c r="S396" s="21" t="str">
        <f>HYPERLINK("https://galencollege.studentaidcalculator.com/welcome.aspx", "$23260")</f>
        <v>$23260</v>
      </c>
      <c r="T396" s="20">
        <v>26758</v>
      </c>
      <c r="U396" s="20">
        <v>26732</v>
      </c>
      <c r="V396" s="20" t="s">
        <v>36</v>
      </c>
      <c r="W396" s="20" t="s">
        <v>36</v>
      </c>
      <c r="Y396" s="19">
        <v>0.51900000000000002</v>
      </c>
      <c r="Z396" s="19">
        <v>0.28770000000000001</v>
      </c>
      <c r="AB396" s="18">
        <v>1703</v>
      </c>
    </row>
    <row r="397" spans="1:28" ht="15.75" customHeight="1" x14ac:dyDescent="0.2">
      <c r="A397" s="36" t="str">
        <f>HYPERLINK("https://www.galencollege.edu/tampabay", "Galen College of Nursing-Tampa Bay")</f>
        <v>Galen College of Nursing-Tampa Bay</v>
      </c>
      <c r="B397" s="18" t="s">
        <v>368</v>
      </c>
      <c r="C397" s="18" t="s">
        <v>162</v>
      </c>
      <c r="D397" s="18" t="s">
        <v>352</v>
      </c>
      <c r="E397" s="18" t="s">
        <v>36</v>
      </c>
      <c r="F397" s="18" t="s">
        <v>36</v>
      </c>
      <c r="J397" s="19"/>
      <c r="K397" s="19">
        <v>0.46379999999999999</v>
      </c>
      <c r="L397" s="19">
        <v>0.63197969499999995</v>
      </c>
      <c r="M397" s="19">
        <v>0.439</v>
      </c>
      <c r="N397" s="19">
        <v>0.57140000000000002</v>
      </c>
      <c r="O397" s="19">
        <v>0.5</v>
      </c>
      <c r="P397" s="19">
        <v>0</v>
      </c>
      <c r="Q397" s="19">
        <v>4.9150485000000001E-2</v>
      </c>
      <c r="R397" s="20" t="s">
        <v>36</v>
      </c>
      <c r="S397" s="21" t="str">
        <f>HYPERLINK("https://galencollege.studentaidcalculator.com/welcome.aspx", "$24327")</f>
        <v>$24327</v>
      </c>
      <c r="T397" s="20">
        <v>26530</v>
      </c>
      <c r="U397" s="20">
        <v>27661</v>
      </c>
      <c r="V397" s="20" t="s">
        <v>36</v>
      </c>
      <c r="W397" s="20" t="s">
        <v>36</v>
      </c>
      <c r="Y397" s="19">
        <v>0.51459999999999995</v>
      </c>
      <c r="Z397" s="19">
        <v>0.4194</v>
      </c>
      <c r="AB397" s="18">
        <v>1235</v>
      </c>
    </row>
    <row r="398" spans="1:28" ht="15.75" customHeight="1" x14ac:dyDescent="0.2">
      <c r="A398" s="36" t="str">
        <f>HYPERLINK("https://www.gc.edu", "Galveston College")</f>
        <v>Galveston College</v>
      </c>
      <c r="B398" s="18" t="s">
        <v>49</v>
      </c>
      <c r="C398" s="18" t="s">
        <v>146</v>
      </c>
      <c r="D398" s="18" t="s">
        <v>1350</v>
      </c>
      <c r="E398" s="18" t="s">
        <v>36</v>
      </c>
      <c r="F398" s="18" t="s">
        <v>36</v>
      </c>
      <c r="J398" s="19"/>
      <c r="K398" s="19">
        <v>0.2465</v>
      </c>
      <c r="L398" s="19">
        <v>0.17587939699999999</v>
      </c>
      <c r="M398" s="19">
        <v>0.2059</v>
      </c>
      <c r="N398" s="19">
        <v>0.21429999999999999</v>
      </c>
      <c r="O398" s="19">
        <v>0.31369999999999998</v>
      </c>
      <c r="P398" s="19" t="s">
        <v>36</v>
      </c>
      <c r="Q398" s="19">
        <v>8.3928570999999993E-2</v>
      </c>
      <c r="R398" s="20">
        <v>13944</v>
      </c>
      <c r="S398" s="21" t="str">
        <f>HYPERLINK("https://www.collegeforalltexans.com/apps/CollegeMoney/", "$8414")</f>
        <v>$8414</v>
      </c>
      <c r="T398" s="20">
        <v>10046</v>
      </c>
      <c r="U398" s="20">
        <v>13226</v>
      </c>
      <c r="V398" s="20">
        <v>4794</v>
      </c>
      <c r="W398" s="20">
        <v>3620.652173913044</v>
      </c>
      <c r="Y398" s="19">
        <v>0.2999</v>
      </c>
      <c r="Z398" s="19">
        <v>0.61580000000000001</v>
      </c>
      <c r="AB398" s="18">
        <v>1809</v>
      </c>
    </row>
    <row r="399" spans="1:28" ht="15.75" customHeight="1" x14ac:dyDescent="0.2">
      <c r="A399" s="36" t="str">
        <f>HYPERLINK("https://www.gcccks.edu", "Garden City Community College")</f>
        <v>Garden City Community College</v>
      </c>
      <c r="B399" s="18" t="s">
        <v>49</v>
      </c>
      <c r="C399" s="18" t="s">
        <v>307</v>
      </c>
      <c r="D399" s="18" t="s">
        <v>545</v>
      </c>
      <c r="E399" s="18" t="s">
        <v>36</v>
      </c>
      <c r="F399" s="18" t="s">
        <v>36</v>
      </c>
      <c r="J399" s="19"/>
      <c r="K399" s="19">
        <v>0.31359999999999999</v>
      </c>
      <c r="L399" s="19">
        <v>0.22741433</v>
      </c>
      <c r="M399" s="19">
        <v>0.36759999999999998</v>
      </c>
      <c r="N399" s="19">
        <v>0.15490000000000001</v>
      </c>
      <c r="O399" s="19">
        <v>0.29070000000000001</v>
      </c>
      <c r="P399" s="19">
        <v>0.42859999999999998</v>
      </c>
      <c r="Q399" s="19">
        <v>5.9440558999999997E-2</v>
      </c>
      <c r="R399" s="20">
        <v>14410</v>
      </c>
      <c r="S399" s="21" t="str">
        <f>HYPERLINK("https://www.gcccks.edu/admission/consumerinfo/1516npcalc.htm", "$9297")</f>
        <v>$9297</v>
      </c>
      <c r="T399" s="20">
        <v>11983</v>
      </c>
      <c r="U399" s="20">
        <v>13912</v>
      </c>
      <c r="V399" s="20">
        <v>4880</v>
      </c>
      <c r="W399" s="20">
        <v>4417.2890173410406</v>
      </c>
      <c r="Y399" s="19">
        <v>0.35749999999999998</v>
      </c>
      <c r="Z399" s="19">
        <v>0.66890000000000005</v>
      </c>
      <c r="AB399" s="18">
        <v>1516</v>
      </c>
    </row>
    <row r="400" spans="1:28" ht="15.75" customHeight="1" x14ac:dyDescent="0.2">
      <c r="A400" s="36" t="str">
        <f>HYPERLINK("https://www.garrettcollege.edu/index.php", "Garrett College")</f>
        <v>Garrett College</v>
      </c>
      <c r="B400" s="18" t="s">
        <v>49</v>
      </c>
      <c r="C400" s="18" t="s">
        <v>124</v>
      </c>
      <c r="D400" s="18" t="s">
        <v>1352</v>
      </c>
      <c r="E400" s="18" t="s">
        <v>36</v>
      </c>
      <c r="F400" s="18" t="s">
        <v>36</v>
      </c>
      <c r="J400" s="19"/>
      <c r="K400" s="19">
        <v>0.318</v>
      </c>
      <c r="L400" s="19" t="s">
        <v>36</v>
      </c>
      <c r="M400" s="19">
        <v>0.46899999999999997</v>
      </c>
      <c r="N400" s="19">
        <v>0.12659999999999999</v>
      </c>
      <c r="O400" s="19">
        <v>0</v>
      </c>
      <c r="P400" s="19">
        <v>1</v>
      </c>
      <c r="Q400" s="19">
        <v>6.9408739999999997E-2</v>
      </c>
      <c r="R400" s="20">
        <v>21872</v>
      </c>
      <c r="S400" s="21" t="str">
        <f>HYPERLINK("https://www.garrettcollege.edu/NPC/", "$15836")</f>
        <v>$15836</v>
      </c>
      <c r="T400" s="20">
        <v>17902</v>
      </c>
      <c r="U400" s="20">
        <v>19794</v>
      </c>
      <c r="V400" s="20">
        <v>4100</v>
      </c>
      <c r="W400" s="20">
        <v>11736.46808510638</v>
      </c>
      <c r="Y400" s="19">
        <v>0.51459999999999995</v>
      </c>
      <c r="Z400" s="19">
        <v>0.32669999999999999</v>
      </c>
      <c r="AB400" s="18">
        <v>450</v>
      </c>
    </row>
    <row r="401" spans="1:28" ht="15.75" customHeight="1" x14ac:dyDescent="0.2">
      <c r="A401" s="36" t="str">
        <f>HYPERLINK("https://www.gaston.edu", "Gaston College")</f>
        <v>Gaston College</v>
      </c>
      <c r="B401" s="18" t="s">
        <v>49</v>
      </c>
      <c r="C401" s="18" t="s">
        <v>103</v>
      </c>
      <c r="D401" s="18" t="s">
        <v>152</v>
      </c>
      <c r="E401" s="18" t="s">
        <v>36</v>
      </c>
      <c r="F401" s="18" t="s">
        <v>36</v>
      </c>
      <c r="J401" s="19"/>
      <c r="K401" s="19">
        <v>0.29949999999999999</v>
      </c>
      <c r="L401" s="19">
        <v>0.15396700699999999</v>
      </c>
      <c r="M401" s="19">
        <v>0.29930000000000001</v>
      </c>
      <c r="N401" s="19">
        <v>0.1875</v>
      </c>
      <c r="O401" s="19">
        <v>0.36359999999999998</v>
      </c>
      <c r="P401" s="19">
        <v>0.2</v>
      </c>
      <c r="Q401" s="19">
        <v>4.1929925E-2</v>
      </c>
      <c r="R401" s="20">
        <v>22316</v>
      </c>
      <c r="S401" s="21" t="str">
        <f>HYPERLINK("https://www.gaston.edu/netprice/npcalc.htm", "$17363")</f>
        <v>$17363</v>
      </c>
      <c r="T401" s="20">
        <v>19616</v>
      </c>
      <c r="U401" s="20">
        <v>21583</v>
      </c>
      <c r="V401" s="20">
        <v>7360</v>
      </c>
      <c r="W401" s="20">
        <v>10003.23684210526</v>
      </c>
      <c r="Y401" s="19">
        <v>0.38719999999999999</v>
      </c>
      <c r="Z401" s="19">
        <v>0.39169999999999999</v>
      </c>
      <c r="AB401" s="18">
        <v>5034</v>
      </c>
    </row>
    <row r="402" spans="1:28" ht="15.75" customHeight="1" x14ac:dyDescent="0.2">
      <c r="A402" s="36" t="str">
        <f>HYPERLINK("https://www.gatewayct.edu/", "Gateway Community College")</f>
        <v>Gateway Community College</v>
      </c>
      <c r="B402" s="18" t="s">
        <v>49</v>
      </c>
      <c r="C402" s="18" t="s">
        <v>94</v>
      </c>
      <c r="D402" s="18" t="s">
        <v>187</v>
      </c>
      <c r="E402" s="18" t="s">
        <v>36</v>
      </c>
      <c r="F402" s="18" t="s">
        <v>36</v>
      </c>
      <c r="J402" s="19"/>
      <c r="K402" s="19">
        <v>0.104</v>
      </c>
      <c r="L402" s="19">
        <v>0.115789474</v>
      </c>
      <c r="M402" s="19">
        <v>0.16009999999999999</v>
      </c>
      <c r="N402" s="19">
        <v>6.0600000000000001E-2</v>
      </c>
      <c r="O402" s="19">
        <v>6.0699999999999997E-2</v>
      </c>
      <c r="P402" s="19">
        <v>0.3</v>
      </c>
      <c r="Q402" s="19">
        <v>7.6335877999999996E-2</v>
      </c>
      <c r="R402" s="20">
        <v>25660</v>
      </c>
      <c r="S402" s="21" t="str">
        <f>HYPERLINK("https://www.commnet.edu/finaid/netprice/i_npcalc.htm", "$20136")</f>
        <v>$20136</v>
      </c>
      <c r="T402" s="20">
        <v>20749</v>
      </c>
      <c r="U402" s="20">
        <v>22777</v>
      </c>
      <c r="V402" s="20">
        <v>4720</v>
      </c>
      <c r="W402" s="20">
        <v>15416.02985074627</v>
      </c>
      <c r="Y402" s="19">
        <v>0.45390000000000003</v>
      </c>
      <c r="Z402" s="19">
        <v>0.61519999999999997</v>
      </c>
      <c r="AB402" s="18">
        <v>6346</v>
      </c>
    </row>
    <row r="403" spans="1:28" ht="15.75" customHeight="1" x14ac:dyDescent="0.2">
      <c r="A403" s="36" t="str">
        <f>HYPERLINK("https://www.genesee.edu", "SUNY Genesee Community College")</f>
        <v>SUNY Genesee Community College</v>
      </c>
      <c r="B403" s="18" t="s">
        <v>49</v>
      </c>
      <c r="C403" s="18" t="s">
        <v>38</v>
      </c>
      <c r="D403" s="18" t="s">
        <v>1354</v>
      </c>
      <c r="E403" s="18" t="s">
        <v>36</v>
      </c>
      <c r="F403" s="18" t="s">
        <v>36</v>
      </c>
      <c r="G403" s="18" t="s">
        <v>51</v>
      </c>
      <c r="I403" s="18" t="s">
        <v>1100</v>
      </c>
      <c r="J403" s="19"/>
      <c r="K403" s="19">
        <v>0.29170000000000001</v>
      </c>
      <c r="L403" s="19">
        <v>0.193423598</v>
      </c>
      <c r="M403" s="19">
        <v>0.32379999999999998</v>
      </c>
      <c r="N403" s="19">
        <v>0.1197</v>
      </c>
      <c r="O403" s="19">
        <v>0.1449</v>
      </c>
      <c r="P403" s="19">
        <v>0</v>
      </c>
      <c r="Q403" s="19">
        <v>5.549569E-2</v>
      </c>
      <c r="R403" s="20">
        <v>16075</v>
      </c>
      <c r="S403" s="21" t="str">
        <f>HYPERLINK("https://www.genesee.edu/home/offices/finaid/costs/", "$4385")</f>
        <v>$4385</v>
      </c>
      <c r="T403" s="20">
        <v>9783</v>
      </c>
      <c r="U403" s="20">
        <v>9811</v>
      </c>
      <c r="V403" s="20">
        <v>2985</v>
      </c>
      <c r="W403" s="20">
        <v>1400</v>
      </c>
      <c r="Y403" s="19">
        <v>0.35420000000000001</v>
      </c>
      <c r="Z403" s="19">
        <v>0.26819999999999999</v>
      </c>
      <c r="AB403" s="18">
        <v>3188</v>
      </c>
    </row>
    <row r="404" spans="1:28" ht="15.75" customHeight="1" x14ac:dyDescent="0.2">
      <c r="A404" s="36" t="str">
        <f>HYPERLINK("https://www.wallace.edu", "George C Wallace State Community College-Dothan")</f>
        <v>George C Wallace State Community College-Dothan</v>
      </c>
      <c r="B404" s="18" t="s">
        <v>49</v>
      </c>
      <c r="C404" s="18" t="s">
        <v>300</v>
      </c>
      <c r="D404" s="18" t="s">
        <v>1255</v>
      </c>
      <c r="E404" s="18" t="s">
        <v>36</v>
      </c>
      <c r="F404" s="18" t="s">
        <v>36</v>
      </c>
      <c r="J404" s="19"/>
      <c r="K404" s="19">
        <v>0.2374</v>
      </c>
      <c r="L404" s="19">
        <v>0.192982456</v>
      </c>
      <c r="M404" s="19">
        <v>0.2863</v>
      </c>
      <c r="N404" s="19">
        <v>0.15690000000000001</v>
      </c>
      <c r="O404" s="19">
        <v>0.24</v>
      </c>
      <c r="P404" s="19">
        <v>0.25</v>
      </c>
      <c r="Q404" s="19">
        <v>0.05</v>
      </c>
      <c r="R404" s="20">
        <v>14300</v>
      </c>
      <c r="S404" s="21" t="str">
        <f>HYPERLINK("https://www.wallace.edu/net_price_calculator.aspx", "$7623")</f>
        <v>$7623</v>
      </c>
      <c r="T404" s="20">
        <v>8170</v>
      </c>
      <c r="U404" s="20" t="s">
        <v>36</v>
      </c>
      <c r="V404" s="20">
        <v>3367</v>
      </c>
      <c r="W404" s="20">
        <v>4256.4954337899544</v>
      </c>
      <c r="Y404" s="19">
        <v>0.51129999999999998</v>
      </c>
      <c r="Z404" s="19">
        <v>0.37719999999999998</v>
      </c>
      <c r="AB404" s="18">
        <v>3836</v>
      </c>
    </row>
    <row r="405" spans="1:28" ht="15.75" customHeight="1" x14ac:dyDescent="0.2">
      <c r="A405" s="36" t="str">
        <f>HYPERLINK("https://www.wallacestate.edu", "George C Wallace State Community College-Hanceville")</f>
        <v>George C Wallace State Community College-Hanceville</v>
      </c>
      <c r="B405" s="18" t="s">
        <v>49</v>
      </c>
      <c r="C405" s="18" t="s">
        <v>300</v>
      </c>
      <c r="D405" s="18" t="s">
        <v>1358</v>
      </c>
      <c r="E405" s="18" t="s">
        <v>36</v>
      </c>
      <c r="F405" s="18" t="s">
        <v>36</v>
      </c>
      <c r="J405" s="19"/>
      <c r="K405" s="19">
        <v>0.39550000000000002</v>
      </c>
      <c r="L405" s="19">
        <v>0.201153569</v>
      </c>
      <c r="M405" s="19">
        <v>0.4</v>
      </c>
      <c r="N405" s="19">
        <v>0.26669999999999999</v>
      </c>
      <c r="O405" s="19">
        <v>0.47370000000000001</v>
      </c>
      <c r="P405" s="19">
        <v>0.33329999999999999</v>
      </c>
      <c r="Q405" s="19">
        <v>6.5044247999999999E-2</v>
      </c>
      <c r="R405" s="20">
        <v>16742</v>
      </c>
      <c r="S405" s="21" t="str">
        <f>HYPERLINK("https://www.wallacestate.edu/Financial-Aid/Net-Price-Calculator", "$12407")</f>
        <v>$12407</v>
      </c>
      <c r="T405" s="20">
        <v>13981</v>
      </c>
      <c r="U405" s="20">
        <v>15973</v>
      </c>
      <c r="V405" s="20">
        <v>5560</v>
      </c>
      <c r="W405" s="20">
        <v>6847.92</v>
      </c>
      <c r="Y405" s="19">
        <v>0.45669999999999999</v>
      </c>
      <c r="Z405" s="19">
        <v>0.1673</v>
      </c>
      <c r="AB405" s="18">
        <v>4805</v>
      </c>
    </row>
    <row r="406" spans="1:28" ht="15.75" customHeight="1" x14ac:dyDescent="0.2">
      <c r="A406" s="36" t="str">
        <f>HYPERLINK("https://www.wccs.edu", "George C Wallace State Community College-Selma")</f>
        <v>George C Wallace State Community College-Selma</v>
      </c>
      <c r="B406" s="18" t="s">
        <v>49</v>
      </c>
      <c r="C406" s="18" t="s">
        <v>300</v>
      </c>
      <c r="D406" s="18" t="s">
        <v>1227</v>
      </c>
      <c r="E406" s="18" t="s">
        <v>36</v>
      </c>
      <c r="F406" s="18" t="s">
        <v>36</v>
      </c>
      <c r="J406" s="19"/>
      <c r="K406" s="19">
        <v>0.22189999999999999</v>
      </c>
      <c r="L406" s="19" t="s">
        <v>36</v>
      </c>
      <c r="M406" s="19">
        <v>0.3226</v>
      </c>
      <c r="N406" s="19">
        <v>0.21210000000000001</v>
      </c>
      <c r="O406" s="19" t="s">
        <v>36</v>
      </c>
      <c r="P406" s="19" t="s">
        <v>36</v>
      </c>
      <c r="Q406" s="19">
        <v>6.6056910999999996E-2</v>
      </c>
      <c r="R406" s="20">
        <v>26185</v>
      </c>
      <c r="S406" s="21" t="str">
        <f>HYPERLINK("https://www.wccs.edu/financial-aid/about-financial-aid/", "$19849")</f>
        <v>$19849</v>
      </c>
      <c r="T406" s="20">
        <v>21620</v>
      </c>
      <c r="U406" s="20" t="s">
        <v>36</v>
      </c>
      <c r="V406" s="20">
        <v>9375</v>
      </c>
      <c r="W406" s="20">
        <v>10474.193220338981</v>
      </c>
      <c r="Y406" s="19">
        <v>0.68869999999999998</v>
      </c>
      <c r="Z406" s="19">
        <v>0.78310000000000002</v>
      </c>
      <c r="AB406" s="18">
        <v>1217</v>
      </c>
    </row>
    <row r="407" spans="1:28" ht="15.75" customHeight="1" x14ac:dyDescent="0.2">
      <c r="A407" s="36" t="str">
        <f>HYPERLINK("https://www.highlands.edu", "Georgia Highlands College")</f>
        <v>Georgia Highlands College</v>
      </c>
      <c r="B407" s="18" t="s">
        <v>49</v>
      </c>
      <c r="C407" s="18" t="s">
        <v>107</v>
      </c>
      <c r="D407" s="18" t="s">
        <v>1155</v>
      </c>
      <c r="E407" s="18" t="s">
        <v>36</v>
      </c>
      <c r="F407" s="18" t="s">
        <v>36</v>
      </c>
      <c r="J407" s="19"/>
      <c r="K407" s="19">
        <v>8.1100000000000005E-2</v>
      </c>
      <c r="L407" s="19">
        <v>0.159629248</v>
      </c>
      <c r="M407" s="19">
        <v>9.4899999999999998E-2</v>
      </c>
      <c r="N407" s="19">
        <v>4.3900000000000002E-2</v>
      </c>
      <c r="O407" s="19">
        <v>5.4300000000000001E-2</v>
      </c>
      <c r="P407" s="19">
        <v>0.13039999999999999</v>
      </c>
      <c r="Q407" s="19">
        <v>0.108926674</v>
      </c>
      <c r="R407" s="20">
        <v>23931</v>
      </c>
      <c r="S407" s="21" t="str">
        <f>HYPERLINK("https://www.highlands.edu/site/business-office-net-price-calc", "$17664")</f>
        <v>$17664</v>
      </c>
      <c r="T407" s="20">
        <v>20181</v>
      </c>
      <c r="U407" s="20">
        <v>22610</v>
      </c>
      <c r="V407" s="20">
        <v>7246</v>
      </c>
      <c r="W407" s="20">
        <v>10418.125</v>
      </c>
      <c r="Y407" s="19">
        <v>0.43059999999999998</v>
      </c>
      <c r="Z407" s="19">
        <v>0.36919999999999997</v>
      </c>
      <c r="AB407" s="18">
        <v>5715</v>
      </c>
    </row>
    <row r="408" spans="1:28" ht="15.75" customHeight="1" x14ac:dyDescent="0.2">
      <c r="A408" s="36" t="str">
        <f>HYPERLINK("https://www.gmc.edu/", "Georgia Military College")</f>
        <v>Georgia Military College</v>
      </c>
      <c r="B408" s="18" t="s">
        <v>49</v>
      </c>
      <c r="C408" s="18" t="s">
        <v>107</v>
      </c>
      <c r="D408" s="18" t="s">
        <v>365</v>
      </c>
      <c r="E408" s="18" t="s">
        <v>36</v>
      </c>
      <c r="F408" s="18" t="s">
        <v>36</v>
      </c>
      <c r="J408" s="19"/>
      <c r="K408" s="19">
        <v>0.25169999999999998</v>
      </c>
      <c r="L408" s="19">
        <v>0.14440825199999999</v>
      </c>
      <c r="M408" s="19">
        <v>0.30420000000000003</v>
      </c>
      <c r="N408" s="19">
        <v>0.19009999999999999</v>
      </c>
      <c r="O408" s="19">
        <v>0.33960000000000001</v>
      </c>
      <c r="P408" s="19">
        <v>0.4</v>
      </c>
      <c r="Q408" s="19">
        <v>0.144805876</v>
      </c>
      <c r="R408" s="20">
        <v>17557</v>
      </c>
      <c r="S408" s="21" t="str">
        <f>HYPERLINK("https://www.gmc.edu/prospective-students/financial-aid-net-price-calculator.cms", "$13828")</f>
        <v>$13828</v>
      </c>
      <c r="T408" s="20">
        <v>15781</v>
      </c>
      <c r="U408" s="20">
        <v>17522</v>
      </c>
      <c r="V408" s="20">
        <v>3933</v>
      </c>
      <c r="W408" s="20">
        <v>9895.1616499442589</v>
      </c>
      <c r="Y408" s="19">
        <v>0.46899999999999997</v>
      </c>
      <c r="Z408" s="19">
        <v>0.57420000000000004</v>
      </c>
      <c r="AB408" s="18">
        <v>5947</v>
      </c>
    </row>
    <row r="409" spans="1:28" ht="15.75" customHeight="1" x14ac:dyDescent="0.2">
      <c r="A409" s="36" t="str">
        <f>HYPERLINK("https://www.glenoaks.edu/", "Glen Oaks Community College")</f>
        <v>Glen Oaks Community College</v>
      </c>
      <c r="B409" s="18" t="s">
        <v>49</v>
      </c>
      <c r="C409" s="18" t="s">
        <v>226</v>
      </c>
      <c r="D409" s="18" t="s">
        <v>1362</v>
      </c>
      <c r="E409" s="18" t="s">
        <v>36</v>
      </c>
      <c r="F409" s="18" t="s">
        <v>36</v>
      </c>
      <c r="J409" s="19"/>
      <c r="K409" s="19">
        <v>0.26960000000000001</v>
      </c>
      <c r="L409" s="19">
        <v>0.18429002999999999</v>
      </c>
      <c r="M409" s="19">
        <v>0.3256</v>
      </c>
      <c r="N409" s="19">
        <v>7.6899999999999996E-2</v>
      </c>
      <c r="O409" s="19">
        <v>0.28570000000000001</v>
      </c>
      <c r="P409" s="19" t="s">
        <v>36</v>
      </c>
      <c r="Q409" s="19">
        <v>4.7882135999999999E-2</v>
      </c>
      <c r="R409" s="20">
        <v>17412</v>
      </c>
      <c r="S409" s="21" t="str">
        <f>HYPERLINK("https://www.glenoaks.edu/student-services/net-price-calculator/", "$11390")</f>
        <v>$11390</v>
      </c>
      <c r="T409" s="20">
        <v>14961</v>
      </c>
      <c r="U409" s="20">
        <v>16678</v>
      </c>
      <c r="V409" s="20">
        <v>3100</v>
      </c>
      <c r="W409" s="20">
        <v>8290.2258064516136</v>
      </c>
      <c r="Y409" s="19">
        <v>0.27379999999999999</v>
      </c>
      <c r="Z409" s="19">
        <v>0.25790000000000002</v>
      </c>
      <c r="AB409" s="18">
        <v>667</v>
      </c>
    </row>
    <row r="410" spans="1:28" ht="15.75" customHeight="1" x14ac:dyDescent="0.2">
      <c r="A410" s="36" t="str">
        <f>HYPERLINK("https://www.glendale.edu", "Glendale Community College")</f>
        <v>Glendale Community College</v>
      </c>
      <c r="B410" s="18" t="s">
        <v>49</v>
      </c>
      <c r="C410" s="18" t="s">
        <v>68</v>
      </c>
      <c r="D410" s="18" t="s">
        <v>559</v>
      </c>
      <c r="E410" s="18" t="s">
        <v>36</v>
      </c>
      <c r="F410" s="18" t="s">
        <v>36</v>
      </c>
      <c r="J410" s="19"/>
      <c r="K410" s="19">
        <v>0.28720000000000001</v>
      </c>
      <c r="L410" s="19" t="s">
        <v>36</v>
      </c>
      <c r="M410" s="19">
        <v>0.38190000000000002</v>
      </c>
      <c r="N410" s="19">
        <v>0.1515</v>
      </c>
      <c r="O410" s="19">
        <v>0.1812</v>
      </c>
      <c r="P410" s="19">
        <v>0.26790000000000003</v>
      </c>
      <c r="Q410" s="19">
        <v>0.18686868700000001</v>
      </c>
      <c r="R410" s="20">
        <v>24489</v>
      </c>
      <c r="S410" s="21" t="str">
        <f>HYPERLINK("https://misweb.cccco.edu/npc/731/npcalc.htm", "$17143")</f>
        <v>$17143</v>
      </c>
      <c r="T410" s="20">
        <v>20575</v>
      </c>
      <c r="U410" s="20">
        <v>21096</v>
      </c>
      <c r="V410" s="20">
        <v>4860</v>
      </c>
      <c r="W410" s="20">
        <v>12283.78487394958</v>
      </c>
      <c r="Y410" s="19">
        <v>0.34910000000000002</v>
      </c>
      <c r="Z410" s="19">
        <v>0.52249999999999996</v>
      </c>
      <c r="AB410" s="18">
        <v>12996</v>
      </c>
    </row>
    <row r="411" spans="1:28" ht="15.75" customHeight="1" x14ac:dyDescent="0.2">
      <c r="A411" s="36" t="str">
        <f>HYPERLINK("https://www.gogebic.edu", "Gogebic Community College")</f>
        <v>Gogebic Community College</v>
      </c>
      <c r="B411" s="18" t="s">
        <v>49</v>
      </c>
      <c r="C411" s="18" t="s">
        <v>226</v>
      </c>
      <c r="D411" s="18" t="s">
        <v>1363</v>
      </c>
      <c r="E411" s="18" t="s">
        <v>36</v>
      </c>
      <c r="F411" s="18" t="s">
        <v>36</v>
      </c>
      <c r="J411" s="19"/>
      <c r="K411" s="19">
        <v>0.36969999999999997</v>
      </c>
      <c r="L411" s="19">
        <v>0.26950354599999998</v>
      </c>
      <c r="M411" s="19">
        <v>0.4022</v>
      </c>
      <c r="N411" s="19">
        <v>0.28570000000000001</v>
      </c>
      <c r="O411" s="19">
        <v>0.66669999999999996</v>
      </c>
      <c r="P411" s="19" t="s">
        <v>36</v>
      </c>
      <c r="Q411" s="19">
        <v>6.8000000000000005E-2</v>
      </c>
      <c r="R411" s="20">
        <v>17492</v>
      </c>
      <c r="S411" s="21" t="str">
        <f>HYPERLINK("https://www.gogebic.edu/financial_aid/financialaid.html", "$10242")</f>
        <v>$10242</v>
      </c>
      <c r="T411" s="20">
        <v>14180</v>
      </c>
      <c r="U411" s="20">
        <v>16539</v>
      </c>
      <c r="V411" s="20">
        <v>4500</v>
      </c>
      <c r="W411" s="20">
        <v>5742.6666666666679</v>
      </c>
      <c r="Y411" s="19">
        <v>0.36309999999999998</v>
      </c>
      <c r="Z411" s="19">
        <v>0.1108</v>
      </c>
      <c r="AB411" s="18">
        <v>758</v>
      </c>
    </row>
    <row r="412" spans="1:28" ht="15.75" customHeight="1" x14ac:dyDescent="0.2">
      <c r="A412" s="36" t="str">
        <f>HYPERLINK("https://www.golfacademy.edu", "Golf Academy of America-Farmers Branch")</f>
        <v>Golf Academy of America-Farmers Branch</v>
      </c>
      <c r="B412" s="18" t="s">
        <v>368</v>
      </c>
      <c r="C412" s="18" t="s">
        <v>146</v>
      </c>
      <c r="D412" s="18" t="s">
        <v>991</v>
      </c>
      <c r="E412" s="18" t="s">
        <v>36</v>
      </c>
      <c r="F412" s="18" t="s">
        <v>36</v>
      </c>
      <c r="J412" s="19"/>
      <c r="K412" s="19">
        <v>0.55810000000000004</v>
      </c>
      <c r="L412" s="19">
        <v>0.30252664499999998</v>
      </c>
      <c r="M412" s="19">
        <v>0.6</v>
      </c>
      <c r="N412" s="19">
        <v>0.5</v>
      </c>
      <c r="O412" s="19">
        <v>0.75</v>
      </c>
      <c r="P412" s="19">
        <v>1</v>
      </c>
      <c r="Q412" s="19">
        <v>2.3974295999999999E-2</v>
      </c>
      <c r="R412" s="20" t="s">
        <v>36</v>
      </c>
      <c r="S412" s="21" t="str">
        <f>HYPERLINK("https://enroll.golfacademy.edu/Npc", "$24009")</f>
        <v>$24009</v>
      </c>
      <c r="T412" s="20" t="s">
        <v>36</v>
      </c>
      <c r="U412" s="20">
        <v>27538</v>
      </c>
      <c r="V412" s="20" t="s">
        <v>36</v>
      </c>
      <c r="W412" s="20" t="s">
        <v>36</v>
      </c>
      <c r="Y412" s="19">
        <v>0.18870000000000001</v>
      </c>
      <c r="Z412" s="19">
        <v>0.2752</v>
      </c>
      <c r="AB412" s="18">
        <v>109</v>
      </c>
    </row>
    <row r="413" spans="1:28" ht="15.75" customHeight="1" x14ac:dyDescent="0.2">
      <c r="A413" s="36" t="str">
        <f>HYPERLINK("https://www.golfacademy.edu", "Golf Academy of America-Myrtle Beach")</f>
        <v>Golf Academy of America-Myrtle Beach</v>
      </c>
      <c r="B413" s="18" t="s">
        <v>368</v>
      </c>
      <c r="C413" s="18" t="s">
        <v>208</v>
      </c>
      <c r="D413" s="18" t="s">
        <v>1366</v>
      </c>
      <c r="E413" s="18" t="s">
        <v>36</v>
      </c>
      <c r="F413" s="18" t="s">
        <v>36</v>
      </c>
      <c r="J413" s="19"/>
      <c r="K413" s="19">
        <v>0.59089999999999998</v>
      </c>
      <c r="L413" s="19">
        <v>0.30252664499999998</v>
      </c>
      <c r="M413" s="19">
        <v>0.61539999999999995</v>
      </c>
      <c r="N413" s="19">
        <v>1</v>
      </c>
      <c r="O413" s="19">
        <v>1</v>
      </c>
      <c r="P413" s="19">
        <v>0</v>
      </c>
      <c r="Q413" s="19">
        <v>2.3974295999999999E-2</v>
      </c>
      <c r="R413" s="20" t="s">
        <v>36</v>
      </c>
      <c r="S413" s="21" t="str">
        <f>HYPERLINK("https://enroll.golfacademy.edu/npc", "$24414")</f>
        <v>$24414</v>
      </c>
      <c r="T413" s="20">
        <v>27884</v>
      </c>
      <c r="U413" s="20">
        <v>27906</v>
      </c>
      <c r="V413" s="20" t="s">
        <v>36</v>
      </c>
      <c r="W413" s="20" t="s">
        <v>36</v>
      </c>
      <c r="Y413" s="19">
        <v>0.28110000000000002</v>
      </c>
      <c r="Z413" s="19">
        <v>0.15</v>
      </c>
      <c r="AB413" s="18">
        <v>160</v>
      </c>
    </row>
    <row r="414" spans="1:28" ht="15.75" customHeight="1" x14ac:dyDescent="0.2">
      <c r="A414" s="36" t="str">
        <f>HYPERLINK("https://www.golfacademy.edu", "Golf Academy of America-Altamonte Springs")</f>
        <v>Golf Academy of America-Altamonte Springs</v>
      </c>
      <c r="B414" s="18" t="s">
        <v>368</v>
      </c>
      <c r="C414" s="18" t="s">
        <v>162</v>
      </c>
      <c r="D414" s="18" t="s">
        <v>1368</v>
      </c>
      <c r="E414" s="18" t="s">
        <v>36</v>
      </c>
      <c r="F414" s="18" t="s">
        <v>36</v>
      </c>
      <c r="J414" s="19"/>
      <c r="K414" s="19">
        <v>0.77459999999999996</v>
      </c>
      <c r="L414" s="19">
        <v>0.30252664499999998</v>
      </c>
      <c r="M414" s="19">
        <v>0.78</v>
      </c>
      <c r="N414" s="19">
        <v>0.25</v>
      </c>
      <c r="O414" s="19">
        <v>1</v>
      </c>
      <c r="P414" s="19">
        <v>1</v>
      </c>
      <c r="Q414" s="19">
        <v>2.3974295999999999E-2</v>
      </c>
      <c r="R414" s="20" t="s">
        <v>36</v>
      </c>
      <c r="S414" s="21" t="str">
        <f>HYPERLINK("https://enroll.golfacademy.edu/Npc", "$23454")</f>
        <v>$23454</v>
      </c>
      <c r="T414" s="20">
        <v>24683</v>
      </c>
      <c r="U414" s="20" t="s">
        <v>36</v>
      </c>
      <c r="V414" s="20" t="s">
        <v>36</v>
      </c>
      <c r="W414" s="20" t="s">
        <v>36</v>
      </c>
      <c r="Y414" s="19">
        <v>0.25969999999999999</v>
      </c>
      <c r="Z414" s="19">
        <v>0.33040000000000003</v>
      </c>
      <c r="AB414" s="18">
        <v>115</v>
      </c>
    </row>
    <row r="415" spans="1:28" ht="15.75" customHeight="1" x14ac:dyDescent="0.2">
      <c r="A415" s="36" t="str">
        <f>HYPERLINK("https://www.golfacademy.edu", "Golf Academy of America-Phoenix")</f>
        <v>Golf Academy of America-Phoenix</v>
      </c>
      <c r="B415" s="18" t="s">
        <v>368</v>
      </c>
      <c r="C415" s="18" t="s">
        <v>354</v>
      </c>
      <c r="D415" s="18" t="s">
        <v>1369</v>
      </c>
      <c r="E415" s="18" t="s">
        <v>36</v>
      </c>
      <c r="F415" s="18" t="s">
        <v>36</v>
      </c>
      <c r="J415" s="19"/>
      <c r="K415" s="19">
        <v>0.75790000000000002</v>
      </c>
      <c r="L415" s="19">
        <v>0.30252664499999998</v>
      </c>
      <c r="M415" s="19">
        <v>0.75639999999999996</v>
      </c>
      <c r="N415" s="19">
        <v>1</v>
      </c>
      <c r="O415" s="19">
        <v>0.75</v>
      </c>
      <c r="P415" s="19">
        <v>1</v>
      </c>
      <c r="Q415" s="19">
        <v>2.3974295999999999E-2</v>
      </c>
      <c r="R415" s="20" t="s">
        <v>36</v>
      </c>
      <c r="S415" s="21" t="str">
        <f>HYPERLINK("https://enroll.golfacademy.edu/Npc", "$24698")</f>
        <v>$24698</v>
      </c>
      <c r="T415" s="20">
        <v>25369</v>
      </c>
      <c r="U415" s="20" t="s">
        <v>36</v>
      </c>
      <c r="V415" s="20" t="s">
        <v>36</v>
      </c>
      <c r="W415" s="20" t="s">
        <v>36</v>
      </c>
      <c r="Y415" s="19">
        <v>0.32300000000000001</v>
      </c>
      <c r="Z415" s="19">
        <v>0.27099999999999991</v>
      </c>
      <c r="AB415" s="18">
        <v>107</v>
      </c>
    </row>
    <row r="416" spans="1:28" ht="15.75" customHeight="1" x14ac:dyDescent="0.2">
      <c r="A416" s="36" t="str">
        <f>HYPERLINK("https://www.golfacademy.edu", "Golf Academy of America-Carlsbad")</f>
        <v>Golf Academy of America-Carlsbad</v>
      </c>
      <c r="B416" s="18" t="s">
        <v>368</v>
      </c>
      <c r="C416" s="18" t="s">
        <v>68</v>
      </c>
      <c r="D416" s="18" t="s">
        <v>1373</v>
      </c>
      <c r="E416" s="18" t="s">
        <v>36</v>
      </c>
      <c r="F416" s="18" t="s">
        <v>36</v>
      </c>
      <c r="J416" s="19"/>
      <c r="K416" s="19">
        <v>0.56069999999999998</v>
      </c>
      <c r="L416" s="19">
        <v>0.30252664499999998</v>
      </c>
      <c r="M416" s="19">
        <v>0.59150000000000003</v>
      </c>
      <c r="N416" s="19">
        <v>0.5</v>
      </c>
      <c r="O416" s="19">
        <v>0.42859999999999998</v>
      </c>
      <c r="P416" s="19">
        <v>0.63639999999999997</v>
      </c>
      <c r="Q416" s="19">
        <v>2.3974295999999999E-2</v>
      </c>
      <c r="R416" s="20" t="s">
        <v>36</v>
      </c>
      <c r="S416" s="21" t="str">
        <f>HYPERLINK("https://enroll.golfacademy.edu/Npc", "$28174")</f>
        <v>$28174</v>
      </c>
      <c r="T416" s="20" t="s">
        <v>36</v>
      </c>
      <c r="U416" s="20" t="s">
        <v>36</v>
      </c>
      <c r="V416" s="20" t="s">
        <v>36</v>
      </c>
      <c r="W416" s="20" t="s">
        <v>36</v>
      </c>
      <c r="Y416" s="19">
        <v>0.28000000000000003</v>
      </c>
      <c r="Z416" s="19">
        <v>0.34749999999999998</v>
      </c>
      <c r="AB416" s="18">
        <v>118</v>
      </c>
    </row>
    <row r="417" spans="1:28" ht="15.75" customHeight="1" x14ac:dyDescent="0.2">
      <c r="A417" s="36" t="str">
        <f>HYPERLINK("https://www.GSCollege.edu", "Good Samaritan College of Nursing and Health Science")</f>
        <v>Good Samaritan College of Nursing and Health Science</v>
      </c>
      <c r="B417" s="18" t="s">
        <v>32</v>
      </c>
      <c r="C417" s="18" t="s">
        <v>75</v>
      </c>
      <c r="D417" s="18" t="s">
        <v>502</v>
      </c>
      <c r="E417" s="18">
        <v>1065</v>
      </c>
      <c r="F417" s="18" t="s">
        <v>35</v>
      </c>
      <c r="J417" s="19"/>
      <c r="K417" s="19">
        <v>0.5</v>
      </c>
      <c r="L417" s="19">
        <v>0.69047619099999991</v>
      </c>
      <c r="M417" s="19">
        <v>0.4</v>
      </c>
      <c r="N417" s="19" t="s">
        <v>36</v>
      </c>
      <c r="O417" s="19" t="s">
        <v>36</v>
      </c>
      <c r="P417" s="19" t="s">
        <v>36</v>
      </c>
      <c r="Q417" s="19">
        <v>0.113636364</v>
      </c>
      <c r="R417" s="20">
        <v>31708</v>
      </c>
      <c r="S417" s="21" t="str">
        <f>HYPERLINK("https://www.gscollege.edu/net-price-calculator/", "$13676")</f>
        <v>$13676</v>
      </c>
      <c r="T417" s="20">
        <v>20075</v>
      </c>
      <c r="U417" s="20">
        <v>21808</v>
      </c>
      <c r="V417" s="20">
        <v>5512</v>
      </c>
      <c r="W417" s="20">
        <v>8164</v>
      </c>
      <c r="Y417" s="19">
        <v>0.38790000000000002</v>
      </c>
      <c r="Z417" s="19">
        <v>0.17190000000000011</v>
      </c>
      <c r="AB417" s="18">
        <v>413</v>
      </c>
    </row>
    <row r="418" spans="1:28" ht="15.75" customHeight="1" x14ac:dyDescent="0.2">
      <c r="A418" s="36" t="str">
        <f>HYPERLINK("https://www.goodwin.edu", "Goodwin College")</f>
        <v>Goodwin College</v>
      </c>
      <c r="B418" s="18" t="s">
        <v>32</v>
      </c>
      <c r="C418" s="18" t="s">
        <v>94</v>
      </c>
      <c r="D418" s="18" t="s">
        <v>1376</v>
      </c>
      <c r="E418" s="18" t="s">
        <v>36</v>
      </c>
      <c r="F418" s="18" t="s">
        <v>36</v>
      </c>
      <c r="J418" s="19"/>
      <c r="K418" s="19">
        <v>0.25829999999999997</v>
      </c>
      <c r="L418" s="19">
        <v>0.16345062399999999</v>
      </c>
      <c r="M418" s="19">
        <v>0.29509999999999997</v>
      </c>
      <c r="N418" s="19">
        <v>0.21740000000000001</v>
      </c>
      <c r="O418" s="19">
        <v>0.25640000000000002</v>
      </c>
      <c r="P418" s="19">
        <v>0</v>
      </c>
      <c r="Q418" s="19">
        <v>3.7149817000000002E-2</v>
      </c>
      <c r="R418" s="20">
        <v>39716</v>
      </c>
      <c r="S418" s="21" t="str">
        <f>HYPERLINK("https://www.goodwin.edu/institutional-effectiveness/npcalc/npcalc.htm", "$18656")</f>
        <v>$18656</v>
      </c>
      <c r="T418" s="20">
        <v>24253</v>
      </c>
      <c r="U418" s="20">
        <v>18916</v>
      </c>
      <c r="V418" s="20">
        <v>9378</v>
      </c>
      <c r="W418" s="20">
        <v>9278</v>
      </c>
      <c r="Y418" s="19">
        <v>0.499</v>
      </c>
      <c r="Z418" s="19">
        <v>0.52649999999999997</v>
      </c>
      <c r="AB418" s="18">
        <v>3240</v>
      </c>
    </row>
    <row r="419" spans="1:28" ht="15.75" customHeight="1" x14ac:dyDescent="0.2">
      <c r="A419" s="36" t="str">
        <f>HYPERLINK("https://www.gordonstate.edu", "Gordon State College")</f>
        <v>Gordon State College</v>
      </c>
      <c r="B419" s="18" t="s">
        <v>49</v>
      </c>
      <c r="C419" s="18" t="s">
        <v>107</v>
      </c>
      <c r="D419" s="18" t="s">
        <v>1377</v>
      </c>
      <c r="E419" s="18">
        <v>924</v>
      </c>
      <c r="F419" s="18" t="s">
        <v>35</v>
      </c>
      <c r="J419" s="19"/>
      <c r="K419" s="19">
        <v>0.14910000000000001</v>
      </c>
      <c r="L419" s="19">
        <v>0.113464448</v>
      </c>
      <c r="M419" s="19">
        <v>0.1905</v>
      </c>
      <c r="N419" s="19">
        <v>0.104</v>
      </c>
      <c r="O419" s="19">
        <v>0.22450000000000001</v>
      </c>
      <c r="P419" s="19">
        <v>0.22220000000000001</v>
      </c>
      <c r="Q419" s="19">
        <v>0.108724244</v>
      </c>
      <c r="R419" s="20">
        <v>23249</v>
      </c>
      <c r="S419" s="21" t="str">
        <f>HYPERLINK("https://www.gordonstate.edu/netpricecalculator/", "$16953")</f>
        <v>$16953</v>
      </c>
      <c r="T419" s="20">
        <v>19994</v>
      </c>
      <c r="U419" s="20">
        <v>21636</v>
      </c>
      <c r="V419" s="20">
        <v>4831</v>
      </c>
      <c r="W419" s="20">
        <v>12122.509536784741</v>
      </c>
      <c r="Y419" s="19">
        <v>0.53169999999999995</v>
      </c>
      <c r="Z419" s="19">
        <v>0.5101</v>
      </c>
      <c r="AB419" s="18">
        <v>3527</v>
      </c>
    </row>
    <row r="420" spans="1:28" ht="15.75" customHeight="1" x14ac:dyDescent="0.2">
      <c r="A420" s="36" t="str">
        <f>HYPERLINK("https://www.gracechristian.edu/", "Grace Bible College")</f>
        <v>Grace Bible College</v>
      </c>
      <c r="B420" s="18" t="s">
        <v>32</v>
      </c>
      <c r="C420" s="18" t="s">
        <v>226</v>
      </c>
      <c r="D420" s="18" t="s">
        <v>1378</v>
      </c>
      <c r="E420" s="18" t="s">
        <v>36</v>
      </c>
      <c r="F420" s="18" t="s">
        <v>90</v>
      </c>
      <c r="J420" s="19"/>
      <c r="K420" s="19">
        <v>0.5</v>
      </c>
      <c r="L420" s="19" t="s">
        <v>36</v>
      </c>
      <c r="M420" s="19">
        <v>0.52629999999999999</v>
      </c>
      <c r="N420" s="19">
        <v>1</v>
      </c>
      <c r="O420" s="19">
        <v>0</v>
      </c>
      <c r="P420" s="19">
        <v>0</v>
      </c>
      <c r="Q420" s="19" t="s">
        <v>36</v>
      </c>
      <c r="R420" s="20">
        <v>21779</v>
      </c>
      <c r="S420" s="21" t="str">
        <f>HYPERLINK("https://www.gbcol.edu/admissions/traditional/financial-aid/net-price-calculator", "$14273")</f>
        <v>$14273</v>
      </c>
      <c r="T420" s="20">
        <v>14330</v>
      </c>
      <c r="U420" s="20">
        <v>13544</v>
      </c>
      <c r="V420" s="20">
        <v>2610</v>
      </c>
      <c r="W420" s="20">
        <v>11663</v>
      </c>
      <c r="Y420" s="19">
        <v>0.64259999999999995</v>
      </c>
      <c r="Z420" s="19">
        <v>0.43530000000000002</v>
      </c>
      <c r="AB420" s="18">
        <v>834</v>
      </c>
    </row>
    <row r="421" spans="1:28" ht="15.75" customHeight="1" x14ac:dyDescent="0.2">
      <c r="A421" s="36" t="str">
        <f>HYPERLINK("https://www.grcc.edu", "Grand Rapids Community College")</f>
        <v>Grand Rapids Community College</v>
      </c>
      <c r="B421" s="18" t="s">
        <v>49</v>
      </c>
      <c r="C421" s="18" t="s">
        <v>226</v>
      </c>
      <c r="D421" s="18" t="s">
        <v>321</v>
      </c>
      <c r="E421" s="18" t="s">
        <v>36</v>
      </c>
      <c r="F421" s="18" t="s">
        <v>36</v>
      </c>
      <c r="J421" s="19"/>
      <c r="K421" s="19">
        <v>0.1434</v>
      </c>
      <c r="L421" s="19">
        <v>0.1121673</v>
      </c>
      <c r="M421" s="19">
        <v>0.1658</v>
      </c>
      <c r="N421" s="19">
        <v>6.1199999999999997E-2</v>
      </c>
      <c r="O421" s="19">
        <v>0.105</v>
      </c>
      <c r="P421" s="19">
        <v>0.15709999999999999</v>
      </c>
      <c r="Q421" s="19">
        <v>9.0288090000000001E-2</v>
      </c>
      <c r="R421" s="20">
        <v>21096</v>
      </c>
      <c r="S421" s="21" t="str">
        <f>HYPERLINK("https://cms.grcc.edu/aboutus/studentconsumerinformation/netpricecalculator", "$15317")</f>
        <v>$15317</v>
      </c>
      <c r="T421" s="20">
        <v>18580</v>
      </c>
      <c r="U421" s="20">
        <v>20641</v>
      </c>
      <c r="V421" s="20">
        <v>4195</v>
      </c>
      <c r="W421" s="20">
        <v>11122.67701863354</v>
      </c>
      <c r="Y421" s="19">
        <v>0.3039</v>
      </c>
      <c r="Z421" s="19">
        <v>0.33589999999999998</v>
      </c>
      <c r="AB421" s="18">
        <v>12597</v>
      </c>
    </row>
    <row r="422" spans="1:28" ht="15.75" customHeight="1" x14ac:dyDescent="0.2">
      <c r="A422" s="36" t="str">
        <f>HYPERLINK("https://www.grantham.edu/", "Grantham University")</f>
        <v>Grantham University</v>
      </c>
      <c r="B422" s="18" t="s">
        <v>368</v>
      </c>
      <c r="C422" s="18" t="s">
        <v>307</v>
      </c>
      <c r="D422" s="18" t="s">
        <v>1380</v>
      </c>
      <c r="E422" s="18" t="s">
        <v>36</v>
      </c>
      <c r="F422" s="18" t="s">
        <v>36</v>
      </c>
      <c r="J422" s="19"/>
      <c r="K422" s="19">
        <v>0.38119999999999998</v>
      </c>
      <c r="L422" s="19" t="s">
        <v>36</v>
      </c>
      <c r="M422" s="19">
        <v>0.45219999999999999</v>
      </c>
      <c r="N422" s="19">
        <v>0.28989999999999999</v>
      </c>
      <c r="O422" s="19">
        <v>0.18179999999999999</v>
      </c>
      <c r="P422" s="19">
        <v>0</v>
      </c>
      <c r="Q422" s="19" t="s">
        <v>36</v>
      </c>
      <c r="R422" s="20">
        <v>13900</v>
      </c>
      <c r="S422" s="21" t="str">
        <f>HYPERLINK("https://npc.grantham.edu", "$10868")</f>
        <v>$10868</v>
      </c>
      <c r="T422" s="20">
        <v>12566</v>
      </c>
      <c r="U422" s="20">
        <v>15309</v>
      </c>
      <c r="V422" s="20">
        <v>1312</v>
      </c>
      <c r="W422" s="20">
        <v>9556</v>
      </c>
      <c r="Y422" s="19">
        <v>0.50760000000000005</v>
      </c>
      <c r="Z422" s="19">
        <v>0.66120000000000001</v>
      </c>
      <c r="AB422" s="18">
        <v>7752</v>
      </c>
    </row>
    <row r="423" spans="1:28" ht="15.75" customHeight="1" x14ac:dyDescent="0.2">
      <c r="A423" s="36" t="str">
        <f>HYPERLINK("https://grayson.edu", "Grayson College")</f>
        <v>Grayson College</v>
      </c>
      <c r="B423" s="18" t="s">
        <v>49</v>
      </c>
      <c r="C423" s="18" t="s">
        <v>146</v>
      </c>
      <c r="D423" s="18" t="s">
        <v>1382</v>
      </c>
      <c r="E423" s="18" t="s">
        <v>36</v>
      </c>
      <c r="F423" s="18" t="s">
        <v>36</v>
      </c>
      <c r="J423" s="19"/>
      <c r="K423" s="19">
        <v>0.22789999999999999</v>
      </c>
      <c r="L423" s="19">
        <v>0.194690266</v>
      </c>
      <c r="M423" s="19">
        <v>0.21010000000000001</v>
      </c>
      <c r="N423" s="19">
        <v>0.1754</v>
      </c>
      <c r="O423" s="19">
        <v>0.30630000000000002</v>
      </c>
      <c r="P423" s="19">
        <v>0</v>
      </c>
      <c r="Q423" s="19">
        <v>5.9590316999999997E-2</v>
      </c>
      <c r="R423" s="20">
        <v>14287</v>
      </c>
      <c r="S423" s="21" t="str">
        <f>HYPERLINK("https://www.grayson.edu/gettingstarted/Financial%20Aid/net-price-calculator.html", "$8005")</f>
        <v>$8005</v>
      </c>
      <c r="T423" s="20">
        <v>10322</v>
      </c>
      <c r="U423" s="20">
        <v>13135</v>
      </c>
      <c r="V423" s="20">
        <v>4980</v>
      </c>
      <c r="W423" s="20">
        <v>3025.9361702127658</v>
      </c>
      <c r="Y423" s="19">
        <v>0.3523</v>
      </c>
      <c r="Z423" s="19">
        <v>0.32450000000000001</v>
      </c>
      <c r="AB423" s="18">
        <v>3051</v>
      </c>
    </row>
    <row r="424" spans="1:28" ht="15.75" customHeight="1" x14ac:dyDescent="0.2">
      <c r="A424" s="36" t="str">
        <f>HYPERLINK("https://www.greatbay.edu", "Great Bay Community College")</f>
        <v>Great Bay Community College</v>
      </c>
      <c r="B424" s="18" t="s">
        <v>49</v>
      </c>
      <c r="C424" s="18" t="s">
        <v>101</v>
      </c>
      <c r="D424" s="18" t="s">
        <v>833</v>
      </c>
      <c r="E424" s="18" t="s">
        <v>36</v>
      </c>
      <c r="F424" s="18" t="s">
        <v>36</v>
      </c>
      <c r="J424" s="19"/>
      <c r="K424" s="19">
        <v>0.16420000000000001</v>
      </c>
      <c r="L424" s="19">
        <v>0.249146758</v>
      </c>
      <c r="M424" s="19">
        <v>0.16089999999999999</v>
      </c>
      <c r="N424" s="19">
        <v>0</v>
      </c>
      <c r="O424" s="19">
        <v>0</v>
      </c>
      <c r="P424" s="19">
        <v>0.3</v>
      </c>
      <c r="Q424" s="19">
        <v>0.106830123</v>
      </c>
      <c r="R424" s="20">
        <v>37155</v>
      </c>
      <c r="S424" s="21" t="str">
        <f>HYPERLINK("https://www.greatbay.edu/?a0=59&amp;a1=finaid_netcalc", "$32771")</f>
        <v>$32771</v>
      </c>
      <c r="T424" s="20">
        <v>37155</v>
      </c>
      <c r="U424" s="20">
        <v>37155</v>
      </c>
      <c r="V424" s="20">
        <v>7412</v>
      </c>
      <c r="W424" s="20">
        <v>25359.333333333339</v>
      </c>
      <c r="Y424" s="19">
        <v>0.30590000000000001</v>
      </c>
      <c r="Z424" s="19">
        <v>0.1832</v>
      </c>
      <c r="AB424" s="18">
        <v>1616</v>
      </c>
    </row>
    <row r="425" spans="1:28" ht="15.75" customHeight="1" x14ac:dyDescent="0.2">
      <c r="A425" s="36" t="str">
        <f>HYPERLINK("https://www.gfcmsu.edu", "Great Falls College Montana State University")</f>
        <v>Great Falls College Montana State University</v>
      </c>
      <c r="B425" s="18" t="s">
        <v>49</v>
      </c>
      <c r="C425" s="18" t="s">
        <v>421</v>
      </c>
      <c r="D425" s="18" t="s">
        <v>1325</v>
      </c>
      <c r="E425" s="18" t="s">
        <v>36</v>
      </c>
      <c r="F425" s="18" t="s">
        <v>36</v>
      </c>
      <c r="J425" s="19"/>
      <c r="K425" s="19">
        <v>0.15909999999999999</v>
      </c>
      <c r="L425" s="19" t="s">
        <v>36</v>
      </c>
      <c r="M425" s="19">
        <v>0.15559999999999999</v>
      </c>
      <c r="N425" s="19">
        <v>0</v>
      </c>
      <c r="O425" s="19">
        <v>0.1</v>
      </c>
      <c r="P425" s="19">
        <v>0</v>
      </c>
      <c r="Q425" s="19">
        <v>0.10067114100000001</v>
      </c>
      <c r="R425" s="20">
        <v>21961</v>
      </c>
      <c r="S425" s="21" t="str">
        <f>HYPERLINK("https://finaid.gfcmsu.edu/npc/npcalc.html", "$17319")</f>
        <v>$17319</v>
      </c>
      <c r="T425" s="20">
        <v>20506</v>
      </c>
      <c r="U425" s="20">
        <v>21913</v>
      </c>
      <c r="V425" s="20">
        <v>4942</v>
      </c>
      <c r="W425" s="20">
        <v>12377.20238095238</v>
      </c>
      <c r="Y425" s="19">
        <v>0.46360000000000001</v>
      </c>
      <c r="Z425" s="19">
        <v>0.2077</v>
      </c>
      <c r="AB425" s="18">
        <v>1228</v>
      </c>
    </row>
    <row r="426" spans="1:28" ht="15.75" customHeight="1" x14ac:dyDescent="0.2">
      <c r="A426" s="36" t="str">
        <f>HYPERLINK("https://www.greenriver.edu/", "Green River College")</f>
        <v>Green River College</v>
      </c>
      <c r="B426" s="18" t="s">
        <v>49</v>
      </c>
      <c r="C426" s="18" t="s">
        <v>184</v>
      </c>
      <c r="D426" s="18" t="s">
        <v>301</v>
      </c>
      <c r="E426" s="18" t="s">
        <v>36</v>
      </c>
      <c r="F426" s="18" t="s">
        <v>36</v>
      </c>
      <c r="J426" s="19"/>
      <c r="K426" s="19">
        <v>0.3216</v>
      </c>
      <c r="L426" s="19">
        <v>0.202939118</v>
      </c>
      <c r="M426" s="19">
        <v>0.36109999999999998</v>
      </c>
      <c r="N426" s="19">
        <v>0.17499999999999999</v>
      </c>
      <c r="O426" s="19">
        <v>0.24390000000000001</v>
      </c>
      <c r="P426" s="19">
        <v>0.27779999999999999</v>
      </c>
      <c r="Q426" s="19">
        <v>9.2018779000000009E-2</v>
      </c>
      <c r="R426" s="20">
        <v>18132</v>
      </c>
      <c r="S426" s="21" t="str">
        <f>HYPERLINK("https://grcc.greenriver.edu/netprice/", "$11557")</f>
        <v>$11557</v>
      </c>
      <c r="T426" s="20">
        <v>13591</v>
      </c>
      <c r="U426" s="20">
        <v>17046</v>
      </c>
      <c r="V426" s="20">
        <v>4050</v>
      </c>
      <c r="W426" s="20">
        <v>7507.125</v>
      </c>
      <c r="Y426" s="19">
        <v>0.184</v>
      </c>
      <c r="Z426" s="19">
        <v>0.55969999999999998</v>
      </c>
      <c r="AB426" s="18">
        <v>5667</v>
      </c>
    </row>
    <row r="427" spans="1:28" ht="15.75" customHeight="1" x14ac:dyDescent="0.2">
      <c r="A427" s="36" t="str">
        <f>HYPERLINK("https://www.gcc.mass.edu", "Greenfield Community College")</f>
        <v>Greenfield Community College</v>
      </c>
      <c r="B427" s="18" t="s">
        <v>49</v>
      </c>
      <c r="C427" s="18" t="s">
        <v>33</v>
      </c>
      <c r="D427" s="18" t="s">
        <v>1387</v>
      </c>
      <c r="E427" s="18" t="s">
        <v>36</v>
      </c>
      <c r="F427" s="18" t="s">
        <v>36</v>
      </c>
      <c r="J427" s="19"/>
      <c r="K427" s="19">
        <v>0.2487</v>
      </c>
      <c r="L427" s="19">
        <v>0.28153153199999997</v>
      </c>
      <c r="M427" s="19">
        <v>0.27739999999999998</v>
      </c>
      <c r="N427" s="19">
        <v>0.25</v>
      </c>
      <c r="O427" s="19">
        <v>0.2</v>
      </c>
      <c r="P427" s="19">
        <v>0.28570000000000001</v>
      </c>
      <c r="Q427" s="19">
        <v>6.4085447000000004E-2</v>
      </c>
      <c r="R427" s="20">
        <v>23169</v>
      </c>
      <c r="S427" s="21" t="str">
        <f>HYPERLINK("https://web.gcc.mass.edu/financial-aid/net-price-calculator/", "$18239")</f>
        <v>$18239</v>
      </c>
      <c r="T427" s="20">
        <v>21636</v>
      </c>
      <c r="U427" s="20">
        <v>22922</v>
      </c>
      <c r="V427" s="20">
        <v>5525</v>
      </c>
      <c r="W427" s="20">
        <v>12714.588235294121</v>
      </c>
      <c r="Y427" s="19">
        <v>0.43430000000000002</v>
      </c>
      <c r="Z427" s="19">
        <v>0.24310000000000001</v>
      </c>
      <c r="AB427" s="18">
        <v>1551</v>
      </c>
    </row>
    <row r="428" spans="1:28" ht="15.75" customHeight="1" x14ac:dyDescent="0.2">
      <c r="A428" s="36" t="str">
        <f>HYPERLINK("https://www.gvltec.edu", "Greenville Technical College")</f>
        <v>Greenville Technical College</v>
      </c>
      <c r="B428" s="18" t="s">
        <v>49</v>
      </c>
      <c r="C428" s="18" t="s">
        <v>208</v>
      </c>
      <c r="D428" s="18" t="s">
        <v>220</v>
      </c>
      <c r="E428" s="18" t="s">
        <v>36</v>
      </c>
      <c r="F428" s="18" t="s">
        <v>36</v>
      </c>
      <c r="J428" s="19"/>
      <c r="K428" s="19">
        <v>0.1179</v>
      </c>
      <c r="L428" s="19">
        <v>0.11393869299999999</v>
      </c>
      <c r="M428" s="19">
        <v>0.14399999999999999</v>
      </c>
      <c r="N428" s="19">
        <v>7.2900000000000006E-2</v>
      </c>
      <c r="O428" s="19">
        <v>0.1056</v>
      </c>
      <c r="P428" s="19">
        <v>0.1333</v>
      </c>
      <c r="Q428" s="19">
        <v>8.5850555999999995E-2</v>
      </c>
      <c r="R428" s="20">
        <v>21966</v>
      </c>
      <c r="S428" s="21" t="str">
        <f>HYPERLINK("https://www.gvltec.edu/admissions_aid/tuition_and_payments/cost2attend.html", "$15198")</f>
        <v>$15198</v>
      </c>
      <c r="T428" s="20">
        <v>16577</v>
      </c>
      <c r="U428" s="20">
        <v>18492</v>
      </c>
      <c r="V428" s="20">
        <v>3741</v>
      </c>
      <c r="W428" s="20">
        <v>11457.481132075471</v>
      </c>
      <c r="Y428" s="19">
        <v>0.43440000000000001</v>
      </c>
      <c r="Z428" s="19">
        <v>0.41599999999999998</v>
      </c>
      <c r="AB428" s="18">
        <v>10171</v>
      </c>
    </row>
    <row r="429" spans="1:28" ht="15.75" customHeight="1" x14ac:dyDescent="0.2">
      <c r="A429" s="36" t="str">
        <f>HYPERLINK("https://www.grossmont.edu/", "Grossmont College")</f>
        <v>Grossmont College</v>
      </c>
      <c r="B429" s="18" t="s">
        <v>49</v>
      </c>
      <c r="C429" s="18" t="s">
        <v>68</v>
      </c>
      <c r="D429" s="18" t="s">
        <v>1251</v>
      </c>
      <c r="E429" s="18" t="s">
        <v>36</v>
      </c>
      <c r="F429" s="18" t="s">
        <v>36</v>
      </c>
      <c r="J429" s="19"/>
      <c r="K429" s="19">
        <v>0.26719999999999999</v>
      </c>
      <c r="L429" s="19">
        <v>9.3164794000000009E-2</v>
      </c>
      <c r="M429" s="19">
        <v>0.29299999999999998</v>
      </c>
      <c r="N429" s="19">
        <v>0.17349999999999999</v>
      </c>
      <c r="O429" s="19">
        <v>0.21970000000000001</v>
      </c>
      <c r="P429" s="19">
        <v>0.40849999999999997</v>
      </c>
      <c r="Q429" s="19">
        <v>0.128008753</v>
      </c>
      <c r="R429" s="20">
        <v>24196</v>
      </c>
      <c r="S429" s="21" t="str">
        <f>HYPERLINK("https://misweb.cccco.edu/npc/022/npcalc.htm", "$16776")</f>
        <v>$16776</v>
      </c>
      <c r="T429" s="20">
        <v>19812</v>
      </c>
      <c r="U429" s="20">
        <v>22288</v>
      </c>
      <c r="V429" s="20">
        <v>5700</v>
      </c>
      <c r="W429" s="20">
        <v>11076.565811965809</v>
      </c>
      <c r="Y429" s="19">
        <v>0.2482</v>
      </c>
      <c r="Z429" s="19">
        <v>0.60899999999999999</v>
      </c>
      <c r="AB429" s="18">
        <v>16304</v>
      </c>
    </row>
    <row r="430" spans="1:28" ht="15.75" customHeight="1" x14ac:dyDescent="0.2">
      <c r="A430" s="36" t="str">
        <f>HYPERLINK("https://www.guamcc.edu", "Guam Community College")</f>
        <v>Guam Community College</v>
      </c>
      <c r="B430" s="18" t="s">
        <v>49</v>
      </c>
      <c r="C430" s="18" t="s">
        <v>1390</v>
      </c>
      <c r="D430" s="18" t="s">
        <v>1391</v>
      </c>
      <c r="E430" s="18" t="s">
        <v>36</v>
      </c>
      <c r="F430" s="18" t="s">
        <v>36</v>
      </c>
      <c r="J430" s="19"/>
      <c r="K430" s="19">
        <v>0.18210000000000001</v>
      </c>
      <c r="L430" s="19">
        <v>8.8582676999999999E-2</v>
      </c>
      <c r="M430" s="19">
        <v>0</v>
      </c>
      <c r="N430" s="19">
        <v>0.25</v>
      </c>
      <c r="O430" s="19">
        <v>0</v>
      </c>
      <c r="P430" s="19">
        <v>0.21490000000000001</v>
      </c>
      <c r="Q430" s="19">
        <v>2.6033691000000001E-2</v>
      </c>
      <c r="R430" s="20">
        <v>18964</v>
      </c>
      <c r="S430" s="21" t="str">
        <f>HYPERLINK("https://www.guamcc.edu/Runtime/uploads/Files/03%20Finance%20and%20Admin/FinancialAid/npcalc.htm", "$13942")</f>
        <v>$13942</v>
      </c>
      <c r="T430" s="20">
        <v>14999</v>
      </c>
      <c r="U430" s="20" t="s">
        <v>36</v>
      </c>
      <c r="V430" s="20">
        <v>3850</v>
      </c>
      <c r="W430" s="20">
        <v>10092.73417721519</v>
      </c>
      <c r="Y430" s="19">
        <v>0.61880000000000002</v>
      </c>
      <c r="Z430" s="19">
        <v>0.9849</v>
      </c>
      <c r="AB430" s="18">
        <v>1794</v>
      </c>
    </row>
    <row r="431" spans="1:28" ht="15.75" customHeight="1" x14ac:dyDescent="0.2">
      <c r="A431" s="36" t="str">
        <f>HYPERLINK("https://www.gtcc.edu", "Guilford Technical Community College")</f>
        <v>Guilford Technical Community College</v>
      </c>
      <c r="B431" s="18" t="s">
        <v>49</v>
      </c>
      <c r="C431" s="18" t="s">
        <v>103</v>
      </c>
      <c r="D431" s="18" t="s">
        <v>1276</v>
      </c>
      <c r="E431" s="18" t="s">
        <v>36</v>
      </c>
      <c r="F431" s="18" t="s">
        <v>36</v>
      </c>
      <c r="J431" s="19"/>
      <c r="K431" s="19">
        <v>0.18529999999999999</v>
      </c>
      <c r="L431" s="19">
        <v>0.155810069</v>
      </c>
      <c r="M431" s="19">
        <v>0.25819999999999999</v>
      </c>
      <c r="N431" s="19">
        <v>8.8599999999999998E-2</v>
      </c>
      <c r="O431" s="19">
        <v>0.20180000000000001</v>
      </c>
      <c r="P431" s="19">
        <v>0.18970000000000001</v>
      </c>
      <c r="Q431" s="19">
        <v>5.7581226999999999E-2</v>
      </c>
      <c r="R431" s="20">
        <v>23044</v>
      </c>
      <c r="S431" s="21" t="str">
        <f>HYPERLINK("https://www.gtcc.edu/_files/NetPriceCalculator/npcalc.htm", "$17855")</f>
        <v>$17855</v>
      </c>
      <c r="T431" s="20">
        <v>18788</v>
      </c>
      <c r="U431" s="20">
        <v>21163</v>
      </c>
      <c r="V431" s="20">
        <v>7951</v>
      </c>
      <c r="W431" s="20">
        <v>9904.9175257731949</v>
      </c>
      <c r="Y431" s="19">
        <v>0.54339999999999999</v>
      </c>
      <c r="Z431" s="19">
        <v>0.58489999999999998</v>
      </c>
      <c r="AB431" s="18">
        <v>9821</v>
      </c>
    </row>
    <row r="432" spans="1:28" ht="15.75" customHeight="1" x14ac:dyDescent="0.2">
      <c r="A432" s="36" t="str">
        <f>HYPERLINK("https://www.gulfcoast.edu/default.htm", "Gulf Coast State College")</f>
        <v>Gulf Coast State College</v>
      </c>
      <c r="B432" s="18" t="s">
        <v>49</v>
      </c>
      <c r="C432" s="18" t="s">
        <v>162</v>
      </c>
      <c r="D432" s="18" t="s">
        <v>1393</v>
      </c>
      <c r="E432" s="18" t="s">
        <v>36</v>
      </c>
      <c r="F432" s="18" t="s">
        <v>36</v>
      </c>
      <c r="J432" s="19"/>
      <c r="K432" s="19">
        <v>0.40139999999999998</v>
      </c>
      <c r="L432" s="19">
        <v>0.246069182</v>
      </c>
      <c r="M432" s="19">
        <v>0.4052</v>
      </c>
      <c r="N432" s="19">
        <v>0.30859999999999999</v>
      </c>
      <c r="O432" s="19">
        <v>0.47620000000000001</v>
      </c>
      <c r="P432" s="19">
        <v>0.58819999999999995</v>
      </c>
      <c r="Q432" s="19">
        <v>5.1470587999999998E-2</v>
      </c>
      <c r="R432" s="20">
        <v>19433</v>
      </c>
      <c r="S432" s="21" t="str">
        <f>HYPERLINK("https://www.gulfcoast.edu/tuition-aid/financial-aid/net-price-calculator/index.html", "$13801")</f>
        <v>$13801</v>
      </c>
      <c r="T432" s="20">
        <v>17497</v>
      </c>
      <c r="U432" s="20">
        <v>18682</v>
      </c>
      <c r="V432" s="20">
        <v>3220</v>
      </c>
      <c r="W432" s="20">
        <v>10581.403100775189</v>
      </c>
      <c r="Y432" s="19">
        <v>0.32479999999999998</v>
      </c>
      <c r="Z432" s="19">
        <v>0.2974</v>
      </c>
      <c r="AB432" s="18">
        <v>4028</v>
      </c>
    </row>
    <row r="433" spans="1:28" ht="15.75" customHeight="1" x14ac:dyDescent="0.2">
      <c r="A433" s="36" t="str">
        <f>HYPERLINK("https://www.gupton-jones.edu/", "Gupton Jones College of Funeral Service")</f>
        <v>Gupton Jones College of Funeral Service</v>
      </c>
      <c r="B433" s="18" t="s">
        <v>32</v>
      </c>
      <c r="C433" s="18" t="s">
        <v>107</v>
      </c>
      <c r="D433" s="18" t="s">
        <v>189</v>
      </c>
      <c r="E433" s="18" t="s">
        <v>36</v>
      </c>
      <c r="F433" s="18" t="s">
        <v>36</v>
      </c>
      <c r="J433" s="19"/>
      <c r="K433" s="19">
        <v>0.6341</v>
      </c>
      <c r="L433" s="19">
        <v>0.59482758599999996</v>
      </c>
      <c r="M433" s="19">
        <v>0.79410000000000003</v>
      </c>
      <c r="N433" s="19">
        <v>0.52080000000000004</v>
      </c>
      <c r="O433" s="19" t="s">
        <v>36</v>
      </c>
      <c r="P433" s="19" t="s">
        <v>36</v>
      </c>
      <c r="Q433" s="19" t="s">
        <v>36</v>
      </c>
      <c r="R433" s="20">
        <v>23700</v>
      </c>
      <c r="S433" s="21" t="str">
        <f>HYPERLINK("https://www.gupton-jones.edu/admissions/general-info", "$16827")</f>
        <v>$16827</v>
      </c>
      <c r="T433" s="20">
        <v>14465</v>
      </c>
      <c r="U433" s="20">
        <v>14465</v>
      </c>
      <c r="V433" s="20" t="s">
        <v>36</v>
      </c>
      <c r="W433" s="20" t="s">
        <v>36</v>
      </c>
      <c r="Y433" s="19">
        <v>0.93969999999999998</v>
      </c>
      <c r="Z433" s="19">
        <v>0.70679999999999998</v>
      </c>
      <c r="AB433" s="18">
        <v>249</v>
      </c>
    </row>
    <row r="434" spans="1:28" ht="15.75" customHeight="1" x14ac:dyDescent="0.2">
      <c r="A434" s="36" t="str">
        <f>HYPERLINK("https://www.gwinnettcollege.edu", "Gwinnett College-Lilburn")</f>
        <v>Gwinnett College-Lilburn</v>
      </c>
      <c r="B434" s="18" t="s">
        <v>368</v>
      </c>
      <c r="C434" s="18" t="s">
        <v>107</v>
      </c>
      <c r="D434" s="18" t="s">
        <v>1394</v>
      </c>
      <c r="E434" s="18" t="s">
        <v>36</v>
      </c>
      <c r="F434" s="18" t="s">
        <v>36</v>
      </c>
      <c r="J434" s="19"/>
      <c r="K434" s="19">
        <v>0.41860000000000003</v>
      </c>
      <c r="L434" s="19">
        <v>0.39516129</v>
      </c>
      <c r="M434" s="19">
        <v>0.33329999999999999</v>
      </c>
      <c r="N434" s="19">
        <v>0.4138</v>
      </c>
      <c r="O434" s="19">
        <v>0.5</v>
      </c>
      <c r="P434" s="19">
        <v>0.5</v>
      </c>
      <c r="Q434" s="19" t="s">
        <v>36</v>
      </c>
      <c r="R434" s="20">
        <v>28325</v>
      </c>
      <c r="S434" s="21" t="str">
        <f>HYPERLINK("https://www.gwinnettcollege.edu/title-ix-disclosures/", "$21397")</f>
        <v>$21397</v>
      </c>
      <c r="T434" s="20" t="s">
        <v>36</v>
      </c>
      <c r="U434" s="20" t="s">
        <v>36</v>
      </c>
      <c r="V434" s="20">
        <v>8600</v>
      </c>
      <c r="W434" s="20">
        <v>12797</v>
      </c>
      <c r="Y434" s="19">
        <v>0.82520000000000004</v>
      </c>
      <c r="Z434" s="19">
        <v>0.86109999999999998</v>
      </c>
      <c r="AB434" s="18">
        <v>252</v>
      </c>
    </row>
    <row r="435" spans="1:28" ht="15.75" customHeight="1" x14ac:dyDescent="0.2">
      <c r="A435" s="36" t="str">
        <f>HYPERLINK("https://www.hagerstowncc.edu", "Hagerstown Community College")</f>
        <v>Hagerstown Community College</v>
      </c>
      <c r="B435" s="18" t="s">
        <v>49</v>
      </c>
      <c r="C435" s="18" t="s">
        <v>124</v>
      </c>
      <c r="D435" s="18" t="s">
        <v>820</v>
      </c>
      <c r="E435" s="18" t="s">
        <v>36</v>
      </c>
      <c r="F435" s="18" t="s">
        <v>36</v>
      </c>
      <c r="J435" s="19"/>
      <c r="K435" s="19">
        <v>0.36530000000000001</v>
      </c>
      <c r="L435" s="19">
        <v>0.211305518</v>
      </c>
      <c r="M435" s="19">
        <v>0.41770000000000002</v>
      </c>
      <c r="N435" s="19">
        <v>8.8900000000000007E-2</v>
      </c>
      <c r="O435" s="19">
        <v>0.4118</v>
      </c>
      <c r="P435" s="19">
        <v>0.4</v>
      </c>
      <c r="Q435" s="19">
        <v>6.2550120000000001E-2</v>
      </c>
      <c r="R435" s="20">
        <v>22126</v>
      </c>
      <c r="S435" s="21" t="str">
        <f>HYPERLINK("https://www.hagerstowncc.edu/NetPrice/npcalc.htm", "$17229")</f>
        <v>$17229</v>
      </c>
      <c r="T435" s="20">
        <v>20077</v>
      </c>
      <c r="U435" s="20">
        <v>21313</v>
      </c>
      <c r="V435" s="20">
        <v>3986</v>
      </c>
      <c r="W435" s="20">
        <v>13243.32</v>
      </c>
      <c r="Y435" s="19">
        <v>0.33069999999999999</v>
      </c>
      <c r="Z435" s="19">
        <v>0.27789999999999998</v>
      </c>
      <c r="AB435" s="18">
        <v>3181</v>
      </c>
    </row>
    <row r="436" spans="1:28" ht="15.75" customHeight="1" x14ac:dyDescent="0.2">
      <c r="A436" s="36" t="str">
        <f>HYPERLINK("https://www.hallmarkuniversity.edu", "Hallmark University")</f>
        <v>Hallmark University</v>
      </c>
      <c r="B436" s="18" t="s">
        <v>32</v>
      </c>
      <c r="C436" s="18" t="s">
        <v>146</v>
      </c>
      <c r="D436" s="18" t="s">
        <v>268</v>
      </c>
      <c r="E436" s="18" t="s">
        <v>36</v>
      </c>
      <c r="F436" s="18" t="s">
        <v>115</v>
      </c>
      <c r="J436" s="19"/>
      <c r="K436" s="19">
        <v>0.53210000000000002</v>
      </c>
      <c r="L436" s="19">
        <v>0.45102040799999998</v>
      </c>
      <c r="M436" s="19">
        <v>0.55910000000000004</v>
      </c>
      <c r="N436" s="19">
        <v>0.42859999999999998</v>
      </c>
      <c r="O436" s="19">
        <v>0.52939999999999998</v>
      </c>
      <c r="P436" s="19">
        <v>0.25</v>
      </c>
      <c r="Q436" s="19" t="s">
        <v>36</v>
      </c>
      <c r="R436" s="20" t="s">
        <v>36</v>
      </c>
      <c r="S436" s="21" t="str">
        <f>HYPERLINK("https://www.hallmarkuniversity.edu/net-price-calculator/npcalc.htm", "$10618")</f>
        <v>$10618</v>
      </c>
      <c r="T436" s="20">
        <v>12562</v>
      </c>
      <c r="U436" s="20">
        <v>14046</v>
      </c>
      <c r="V436" s="20" t="s">
        <v>36</v>
      </c>
      <c r="W436" s="20" t="s">
        <v>36</v>
      </c>
      <c r="Y436" s="19">
        <v>0.59079999999999999</v>
      </c>
      <c r="Z436" s="19">
        <v>0.69340000000000002</v>
      </c>
      <c r="AB436" s="18">
        <v>848</v>
      </c>
    </row>
    <row r="437" spans="1:28" ht="15.75" customHeight="1" x14ac:dyDescent="0.2">
      <c r="A437" s="36" t="str">
        <f>HYPERLINK("https://www.hamiltontechcollege.edu", "Hamilton Technical College")</f>
        <v>Hamilton Technical College</v>
      </c>
      <c r="B437" s="18" t="s">
        <v>368</v>
      </c>
      <c r="C437" s="18" t="s">
        <v>211</v>
      </c>
      <c r="D437" s="18" t="s">
        <v>818</v>
      </c>
      <c r="E437" s="18" t="s">
        <v>36</v>
      </c>
      <c r="F437" s="18" t="s">
        <v>36</v>
      </c>
      <c r="J437" s="19"/>
      <c r="K437" s="19">
        <v>0.75329999999999997</v>
      </c>
      <c r="L437" s="19">
        <v>0.58375634499999995</v>
      </c>
      <c r="M437" s="19">
        <v>0.79820000000000002</v>
      </c>
      <c r="N437" s="19">
        <v>0.69230000000000003</v>
      </c>
      <c r="O437" s="19">
        <v>0.72219999999999995</v>
      </c>
      <c r="P437" s="19">
        <v>0.66669999999999996</v>
      </c>
      <c r="Q437" s="19" t="s">
        <v>36</v>
      </c>
      <c r="R437" s="20">
        <v>27350</v>
      </c>
      <c r="S437" s="21" t="str">
        <f>HYPERLINK("https://www.hamiltontechcollege.edu/net-price-calculator.html", "$19238")</f>
        <v>$19238</v>
      </c>
      <c r="T437" s="20">
        <v>22727</v>
      </c>
      <c r="U437" s="20">
        <v>22524</v>
      </c>
      <c r="V437" s="20">
        <v>5100</v>
      </c>
      <c r="W437" s="20">
        <v>14138</v>
      </c>
      <c r="Y437" s="19">
        <v>0.67820000000000003</v>
      </c>
      <c r="Z437" s="19">
        <v>0.35070000000000001</v>
      </c>
      <c r="AB437" s="18">
        <v>134</v>
      </c>
    </row>
    <row r="438" spans="1:28" ht="15.75" customHeight="1" x14ac:dyDescent="0.2">
      <c r="A438" s="36" t="str">
        <f>HYPERLINK("https://www.harcum.edu", "Harcum College")</f>
        <v>Harcum College</v>
      </c>
      <c r="B438" s="18" t="s">
        <v>32</v>
      </c>
      <c r="C438" s="18" t="s">
        <v>65</v>
      </c>
      <c r="D438" s="18" t="s">
        <v>66</v>
      </c>
      <c r="E438" s="18" t="s">
        <v>36</v>
      </c>
      <c r="F438" s="18" t="s">
        <v>36</v>
      </c>
      <c r="J438" s="19"/>
      <c r="K438" s="19">
        <v>0.17349999999999999</v>
      </c>
      <c r="L438" s="19">
        <v>0.37292817700000003</v>
      </c>
      <c r="M438" s="19">
        <v>0.1212</v>
      </c>
      <c r="N438" s="19">
        <v>0.18440000000000001</v>
      </c>
      <c r="O438" s="19">
        <v>0.25</v>
      </c>
      <c r="P438" s="19">
        <v>0</v>
      </c>
      <c r="Q438" s="19">
        <v>8.3333332999999996E-2</v>
      </c>
      <c r="R438" s="20">
        <v>37265</v>
      </c>
      <c r="S438" s="21" t="str">
        <f>HYPERLINK("https://harcum.edu/s/1044/edu/majors.aspx?sid=1044&amp;gid=1&amp;pgid=1046", "$20431")</f>
        <v>$20431</v>
      </c>
      <c r="T438" s="20">
        <v>23349</v>
      </c>
      <c r="U438" s="20">
        <v>25268</v>
      </c>
      <c r="V438" s="20">
        <v>3995</v>
      </c>
      <c r="W438" s="20">
        <v>16436</v>
      </c>
      <c r="Y438" s="19">
        <v>0.59019999999999995</v>
      </c>
      <c r="Z438" s="19">
        <v>0.70130000000000003</v>
      </c>
      <c r="AB438" s="18">
        <v>1436</v>
      </c>
    </row>
    <row r="439" spans="1:28" ht="15.75" customHeight="1" x14ac:dyDescent="0.2">
      <c r="A439" s="36" t="str">
        <f>HYPERLINK("https://www.harford.edu", "Harford Community College")</f>
        <v>Harford Community College</v>
      </c>
      <c r="B439" s="18" t="s">
        <v>49</v>
      </c>
      <c r="C439" s="18" t="s">
        <v>124</v>
      </c>
      <c r="D439" s="18" t="s">
        <v>1396</v>
      </c>
      <c r="E439" s="18" t="s">
        <v>36</v>
      </c>
      <c r="F439" s="18" t="s">
        <v>36</v>
      </c>
      <c r="J439" s="19"/>
      <c r="K439" s="19">
        <v>0.28910000000000002</v>
      </c>
      <c r="L439" s="19">
        <v>0.157824934</v>
      </c>
      <c r="M439" s="19">
        <v>0.34029999999999999</v>
      </c>
      <c r="N439" s="19">
        <v>0.1338</v>
      </c>
      <c r="O439" s="19">
        <v>0.14000000000000001</v>
      </c>
      <c r="P439" s="19">
        <v>0.2727</v>
      </c>
      <c r="Q439" s="19">
        <v>9.6247960999999993E-2</v>
      </c>
      <c r="R439" s="20">
        <v>22376</v>
      </c>
      <c r="S439" s="21" t="str">
        <f>HYPERLINK("https://ww2.harford.edu/finance/Net_Price_Calc/npcalc.htm", "$17039")</f>
        <v>$17039</v>
      </c>
      <c r="T439" s="20">
        <v>19750</v>
      </c>
      <c r="U439" s="20">
        <v>21667</v>
      </c>
      <c r="V439" s="20">
        <v>5474</v>
      </c>
      <c r="W439" s="20">
        <v>11565.38805970149</v>
      </c>
      <c r="Y439" s="19">
        <v>0.2233</v>
      </c>
      <c r="Z439" s="19">
        <v>0.31269999999999998</v>
      </c>
      <c r="AB439" s="18">
        <v>5018</v>
      </c>
    </row>
    <row r="440" spans="1:28" ht="15.75" customHeight="1" x14ac:dyDescent="0.2">
      <c r="A440" s="36" t="str">
        <f>HYPERLINK("https://www.hacc.edu", "Harrisburg Area Community College-Harrisburg")</f>
        <v>Harrisburg Area Community College-Harrisburg</v>
      </c>
      <c r="B440" s="18" t="s">
        <v>49</v>
      </c>
      <c r="C440" s="18" t="s">
        <v>65</v>
      </c>
      <c r="D440" s="18" t="s">
        <v>1398</v>
      </c>
      <c r="E440" s="18" t="s">
        <v>36</v>
      </c>
      <c r="F440" s="18" t="s">
        <v>36</v>
      </c>
      <c r="J440" s="19"/>
      <c r="K440" s="19">
        <v>0.1067</v>
      </c>
      <c r="L440" s="19">
        <v>0.16449603600000001</v>
      </c>
      <c r="M440" s="19">
        <v>0.12809999999999999</v>
      </c>
      <c r="N440" s="19">
        <v>1.55E-2</v>
      </c>
      <c r="O440" s="19">
        <v>5.6500000000000002E-2</v>
      </c>
      <c r="P440" s="19">
        <v>7.0199999999999999E-2</v>
      </c>
      <c r="Q440" s="19">
        <v>9.3941456999999992E-2</v>
      </c>
      <c r="R440" s="20">
        <v>23439</v>
      </c>
      <c r="S440" s="21" t="str">
        <f>HYPERLINK("https://www.hacc.edu/Paying/Net-Price-Calculator.cfm", "$18197")</f>
        <v>$18197</v>
      </c>
      <c r="T440" s="20">
        <v>20926</v>
      </c>
      <c r="U440" s="20">
        <v>22949</v>
      </c>
      <c r="V440" s="20">
        <v>6242</v>
      </c>
      <c r="W440" s="20">
        <v>11955.272861356931</v>
      </c>
      <c r="Y440" s="19">
        <v>0.39989999999999998</v>
      </c>
      <c r="Z440" s="19">
        <v>0.34200000000000008</v>
      </c>
      <c r="AB440" s="18">
        <v>15968</v>
      </c>
    </row>
    <row r="441" spans="1:28" ht="15.75" customHeight="1" x14ac:dyDescent="0.2">
      <c r="A441" s="36" t="str">
        <f>HYPERLINK("https://harrison.edu", "Harrison College-Grove City")</f>
        <v>Harrison College-Grove City</v>
      </c>
      <c r="B441" s="18" t="s">
        <v>368</v>
      </c>
      <c r="C441" s="18" t="s">
        <v>75</v>
      </c>
      <c r="D441" s="18" t="s">
        <v>1400</v>
      </c>
      <c r="E441" s="18" t="s">
        <v>36</v>
      </c>
      <c r="F441" s="18" t="s">
        <v>45</v>
      </c>
      <c r="J441" s="19"/>
      <c r="K441" s="19">
        <v>0.125</v>
      </c>
      <c r="L441" s="19">
        <v>0.224550898</v>
      </c>
      <c r="M441" s="19">
        <v>0.17649999999999999</v>
      </c>
      <c r="N441" s="19">
        <v>0</v>
      </c>
      <c r="O441" s="19" t="s">
        <v>36</v>
      </c>
      <c r="P441" s="19" t="s">
        <v>36</v>
      </c>
      <c r="Q441" s="19">
        <v>3.4193999000000003E-2</v>
      </c>
      <c r="R441" s="20">
        <v>28521</v>
      </c>
      <c r="S441" s="21" t="str">
        <f>HYPERLINK("https://harrison.edu/admissions/net-price-calculator", "$16482")</f>
        <v>$16482</v>
      </c>
      <c r="T441" s="20" t="s">
        <v>36</v>
      </c>
      <c r="U441" s="20" t="s">
        <v>36</v>
      </c>
      <c r="V441" s="20">
        <v>5631</v>
      </c>
      <c r="W441" s="20">
        <v>10851</v>
      </c>
      <c r="Y441" s="19">
        <v>0.85650000000000004</v>
      </c>
      <c r="Z441" s="19">
        <v>0.43669999999999998</v>
      </c>
      <c r="AB441" s="18">
        <v>158</v>
      </c>
    </row>
    <row r="442" spans="1:28" ht="15.75" customHeight="1" x14ac:dyDescent="0.2">
      <c r="A442" s="36" t="str">
        <f>HYPERLINK("https://harrison.edu", "Harrison College-Indianapolis")</f>
        <v>Harrison College-Indianapolis</v>
      </c>
      <c r="B442" s="18" t="s">
        <v>368</v>
      </c>
      <c r="C442" s="18" t="s">
        <v>148</v>
      </c>
      <c r="D442" s="18" t="s">
        <v>316</v>
      </c>
      <c r="E442" s="18" t="s">
        <v>36</v>
      </c>
      <c r="F442" s="18" t="s">
        <v>45</v>
      </c>
      <c r="J442" s="19"/>
      <c r="K442" s="19">
        <v>0.16850000000000001</v>
      </c>
      <c r="L442" s="19">
        <v>0.224550898</v>
      </c>
      <c r="M442" s="19">
        <v>0.1928</v>
      </c>
      <c r="N442" s="19">
        <v>5.6599999999999998E-2</v>
      </c>
      <c r="O442" s="19">
        <v>0.28570000000000001</v>
      </c>
      <c r="P442" s="19">
        <v>0</v>
      </c>
      <c r="Q442" s="19">
        <v>3.4193999000000003E-2</v>
      </c>
      <c r="R442" s="20">
        <v>28521</v>
      </c>
      <c r="S442" s="21" t="str">
        <f>HYPERLINK("https://harrison.edu/admissions/net-price-calculator", "$21147")</f>
        <v>$21147</v>
      </c>
      <c r="T442" s="20">
        <v>22122</v>
      </c>
      <c r="U442" s="20">
        <v>23318</v>
      </c>
      <c r="V442" s="20">
        <v>5631</v>
      </c>
      <c r="W442" s="20">
        <v>15516</v>
      </c>
      <c r="Y442" s="19">
        <v>0.77029999999999998</v>
      </c>
      <c r="Z442" s="19">
        <v>0.34920000000000001</v>
      </c>
      <c r="AB442" s="18">
        <v>2033</v>
      </c>
    </row>
    <row r="443" spans="1:28" ht="15.75" customHeight="1" x14ac:dyDescent="0.2">
      <c r="A443" s="36" t="str">
        <f>HYPERLINK("https://harrison.edu", "Harrison College-Morrisville")</f>
        <v>Harrison College-Morrisville</v>
      </c>
      <c r="B443" s="18" t="s">
        <v>368</v>
      </c>
      <c r="C443" s="18" t="s">
        <v>103</v>
      </c>
      <c r="D443" s="18" t="s">
        <v>1404</v>
      </c>
      <c r="E443" s="18" t="s">
        <v>36</v>
      </c>
      <c r="F443" s="18" t="s">
        <v>45</v>
      </c>
      <c r="J443" s="19"/>
      <c r="K443" s="19">
        <v>0.33329999999999999</v>
      </c>
      <c r="L443" s="19">
        <v>0.224550898</v>
      </c>
      <c r="M443" s="19">
        <v>1</v>
      </c>
      <c r="N443" s="19">
        <v>0.16669999999999999</v>
      </c>
      <c r="O443" s="19">
        <v>0</v>
      </c>
      <c r="P443" s="19" t="s">
        <v>36</v>
      </c>
      <c r="Q443" s="19">
        <v>3.4193999000000003E-2</v>
      </c>
      <c r="R443" s="20">
        <v>28506</v>
      </c>
      <c r="S443" s="21" t="str">
        <f>HYPERLINK("https://harrison.edu/admissions/net-price-calculator", "$20217")</f>
        <v>$20217</v>
      </c>
      <c r="T443" s="20">
        <v>24898</v>
      </c>
      <c r="U443" s="20">
        <v>21017</v>
      </c>
      <c r="V443" s="20">
        <v>5391</v>
      </c>
      <c r="W443" s="20">
        <v>14826</v>
      </c>
      <c r="Y443" s="19">
        <v>0.61699999999999999</v>
      </c>
      <c r="Z443" s="19">
        <v>0.68540000000000001</v>
      </c>
      <c r="AB443" s="18">
        <v>89</v>
      </c>
    </row>
    <row r="444" spans="1:28" ht="15.75" customHeight="1" x14ac:dyDescent="0.2">
      <c r="A444" s="36" t="str">
        <f>HYPERLINK("https://www.hartnell.edu", "Hartnell College")</f>
        <v>Hartnell College</v>
      </c>
      <c r="B444" s="18" t="s">
        <v>49</v>
      </c>
      <c r="C444" s="18" t="s">
        <v>68</v>
      </c>
      <c r="D444" s="18" t="s">
        <v>1406</v>
      </c>
      <c r="E444" s="18" t="s">
        <v>36</v>
      </c>
      <c r="F444" s="18" t="s">
        <v>36</v>
      </c>
      <c r="J444" s="19"/>
      <c r="K444" s="19">
        <v>0.31090000000000001</v>
      </c>
      <c r="L444" s="19">
        <v>7.5205640000000004E-2</v>
      </c>
      <c r="M444" s="19">
        <v>0.32690000000000002</v>
      </c>
      <c r="N444" s="19">
        <v>0.2727</v>
      </c>
      <c r="O444" s="19">
        <v>0.31140000000000001</v>
      </c>
      <c r="P444" s="19">
        <v>0.18179999999999999</v>
      </c>
      <c r="Q444" s="19">
        <v>0.10879999999999999</v>
      </c>
      <c r="R444" s="20">
        <v>27056</v>
      </c>
      <c r="S444" s="21" t="str">
        <f>HYPERLINK("https://misweb.cccco.edu/npc/451/npcalc.htm", "$20097")</f>
        <v>$20097</v>
      </c>
      <c r="T444" s="20">
        <v>23085</v>
      </c>
      <c r="U444" s="20">
        <v>24776</v>
      </c>
      <c r="V444" s="20">
        <v>6093</v>
      </c>
      <c r="W444" s="20">
        <v>14004.729847494549</v>
      </c>
      <c r="Y444" s="19">
        <v>0.21110000000000001</v>
      </c>
      <c r="Z444" s="19">
        <v>0.77959999999999996</v>
      </c>
      <c r="AB444" s="18">
        <v>11218</v>
      </c>
    </row>
    <row r="445" spans="1:28" ht="15.75" customHeight="1" x14ac:dyDescent="0.2">
      <c r="A445" s="36" t="str">
        <f>HYPERLINK("https://hawaii.hawaii.edu", "Hawaii Community College")</f>
        <v>Hawaii Community College</v>
      </c>
      <c r="B445" s="18" t="s">
        <v>49</v>
      </c>
      <c r="C445" s="18" t="s">
        <v>313</v>
      </c>
      <c r="D445" s="18" t="s">
        <v>1273</v>
      </c>
      <c r="E445" s="18" t="s">
        <v>36</v>
      </c>
      <c r="F445" s="18" t="s">
        <v>36</v>
      </c>
      <c r="J445" s="19"/>
      <c r="K445" s="19">
        <v>0.21390000000000001</v>
      </c>
      <c r="L445" s="19">
        <v>0.25251076</v>
      </c>
      <c r="M445" s="19">
        <v>0.1026</v>
      </c>
      <c r="N445" s="19">
        <v>0</v>
      </c>
      <c r="O445" s="19">
        <v>0.21310000000000001</v>
      </c>
      <c r="P445" s="19">
        <v>0.36070000000000002</v>
      </c>
      <c r="Q445" s="19">
        <v>4.8511577E-2</v>
      </c>
      <c r="R445" s="20">
        <v>23740</v>
      </c>
      <c r="S445" s="21" t="str">
        <f>HYPERLINK("https://hawaii.hawaii.edu/files/financialaid/netpricecalculator/npcalc.htm", "$18306")</f>
        <v>$18306</v>
      </c>
      <c r="T445" s="20">
        <v>20057</v>
      </c>
      <c r="U445" s="20">
        <v>22668</v>
      </c>
      <c r="V445" s="20">
        <v>4456</v>
      </c>
      <c r="W445" s="20">
        <v>13850.8224852071</v>
      </c>
      <c r="Y445" s="19">
        <v>0.35220000000000001</v>
      </c>
      <c r="Z445" s="19">
        <v>0.86419999999999997</v>
      </c>
      <c r="AB445" s="18">
        <v>2173</v>
      </c>
    </row>
    <row r="446" spans="1:28" ht="15.75" customHeight="1" x14ac:dyDescent="0.2">
      <c r="A446" s="36" t="str">
        <f>HYPERLINK("https://www.hawkeyecollege.edu", "Hawkeye Community College")</f>
        <v>Hawkeye Community College</v>
      </c>
      <c r="B446" s="18" t="s">
        <v>49</v>
      </c>
      <c r="C446" s="18" t="s">
        <v>211</v>
      </c>
      <c r="D446" s="18" t="s">
        <v>1408</v>
      </c>
      <c r="E446" s="18" t="s">
        <v>36</v>
      </c>
      <c r="F446" s="18" t="s">
        <v>36</v>
      </c>
      <c r="J446" s="19"/>
      <c r="K446" s="19">
        <v>0.2596</v>
      </c>
      <c r="L446" s="19">
        <v>0.223443223</v>
      </c>
      <c r="M446" s="19">
        <v>0.27789999999999998</v>
      </c>
      <c r="N446" s="19">
        <v>7.6899999999999996E-2</v>
      </c>
      <c r="O446" s="19">
        <v>0.27500000000000002</v>
      </c>
      <c r="P446" s="19">
        <v>0.28570000000000001</v>
      </c>
      <c r="Q446" s="19">
        <v>7.0372031000000002E-2</v>
      </c>
      <c r="R446" s="20">
        <v>18421</v>
      </c>
      <c r="S446" s="21" t="str">
        <f>HYPERLINK("https://www.hawkeyecollege.edu/financial-aid/net-price-calculator.aspx", "$13359")</f>
        <v>$13359</v>
      </c>
      <c r="T446" s="20">
        <v>15483</v>
      </c>
      <c r="U446" s="20">
        <v>17714</v>
      </c>
      <c r="V446" s="20">
        <v>4615</v>
      </c>
      <c r="W446" s="20">
        <v>8744.2816901408441</v>
      </c>
      <c r="Y446" s="19">
        <v>0.29120000000000001</v>
      </c>
      <c r="Z446" s="19">
        <v>0.20319999999999999</v>
      </c>
      <c r="AB446" s="18">
        <v>3499</v>
      </c>
    </row>
    <row r="447" spans="1:28" ht="15.75" customHeight="1" x14ac:dyDescent="0.2">
      <c r="A447" s="36" t="str">
        <f>HYPERLINK("https://www.heartland.edu", "Heartland Community College")</f>
        <v>Heartland Community College</v>
      </c>
      <c r="B447" s="18" t="s">
        <v>49</v>
      </c>
      <c r="C447" s="18" t="s">
        <v>137</v>
      </c>
      <c r="D447" s="18" t="s">
        <v>383</v>
      </c>
      <c r="E447" s="18" t="s">
        <v>36</v>
      </c>
      <c r="F447" s="18" t="s">
        <v>36</v>
      </c>
      <c r="J447" s="19"/>
      <c r="K447" s="19">
        <v>0.29310000000000003</v>
      </c>
      <c r="L447" s="19">
        <v>0.18740849200000001</v>
      </c>
      <c r="M447" s="19">
        <v>0.34160000000000001</v>
      </c>
      <c r="N447" s="19">
        <v>0.1404</v>
      </c>
      <c r="O447" s="19">
        <v>0.1923</v>
      </c>
      <c r="P447" s="19">
        <v>0.44440000000000002</v>
      </c>
      <c r="Q447" s="19">
        <v>9.7472924000000002E-2</v>
      </c>
      <c r="R447" s="20">
        <v>24100</v>
      </c>
      <c r="S447" s="21" t="str">
        <f>HYPERLINK("https://www.heartland.edu/payingForCollege/cost/netPriceCalculator.html", "$19872")</f>
        <v>$19872</v>
      </c>
      <c r="T447" s="20">
        <v>22514</v>
      </c>
      <c r="U447" s="20">
        <v>23881</v>
      </c>
      <c r="V447" s="20">
        <v>2690</v>
      </c>
      <c r="W447" s="20">
        <v>17182.005813953489</v>
      </c>
      <c r="Y447" s="19">
        <v>0.29099999999999998</v>
      </c>
      <c r="Z447" s="19">
        <v>0.29430000000000001</v>
      </c>
      <c r="AB447" s="18">
        <v>3677</v>
      </c>
    </row>
    <row r="448" spans="1:28" ht="15.75" customHeight="1" x14ac:dyDescent="0.2">
      <c r="A448" s="36" t="str">
        <f>HYPERLINK("https://www.helenacollege.edu", "Helena College University of Montana")</f>
        <v>Helena College University of Montana</v>
      </c>
      <c r="B448" s="18" t="s">
        <v>49</v>
      </c>
      <c r="C448" s="18" t="s">
        <v>421</v>
      </c>
      <c r="D448" s="18" t="s">
        <v>619</v>
      </c>
      <c r="E448" s="18" t="s">
        <v>36</v>
      </c>
      <c r="F448" s="18" t="s">
        <v>36</v>
      </c>
      <c r="J448" s="19"/>
      <c r="K448" s="19">
        <v>0.25979999999999998</v>
      </c>
      <c r="L448" s="19">
        <v>0.23867069499999999</v>
      </c>
      <c r="M448" s="19">
        <v>0.2737</v>
      </c>
      <c r="N448" s="19">
        <v>0.5</v>
      </c>
      <c r="O448" s="19">
        <v>0.25</v>
      </c>
      <c r="P448" s="19" t="s">
        <v>36</v>
      </c>
      <c r="Q448" s="19">
        <v>6.9158879000000006E-2</v>
      </c>
      <c r="R448" s="20">
        <v>22712</v>
      </c>
      <c r="S448" s="21" t="str">
        <f>HYPERLINK("https://www.umhelena.edu/netpricecalculator/npcalc.htm", "$19004")</f>
        <v>$19004</v>
      </c>
      <c r="T448" s="20">
        <v>20857</v>
      </c>
      <c r="U448" s="20">
        <v>22380</v>
      </c>
      <c r="V448" s="20">
        <v>7259</v>
      </c>
      <c r="W448" s="20">
        <v>11745.857142857139</v>
      </c>
      <c r="Y448" s="19">
        <v>0.33939999999999998</v>
      </c>
      <c r="Z448" s="19">
        <v>0.10630000000000001</v>
      </c>
      <c r="AB448" s="18">
        <v>903</v>
      </c>
    </row>
    <row r="449" spans="1:28" ht="15.75" customHeight="1" x14ac:dyDescent="0.2">
      <c r="A449" s="36" t="str">
        <f>HYPERLINK("https://www.helenefuld.edu", "Helene Fuld College of Nursing")</f>
        <v>Helene Fuld College of Nursing</v>
      </c>
      <c r="B449" s="18" t="s">
        <v>32</v>
      </c>
      <c r="C449" s="18" t="s">
        <v>38</v>
      </c>
      <c r="D449" s="18" t="s">
        <v>39</v>
      </c>
      <c r="E449" s="18" t="s">
        <v>36</v>
      </c>
      <c r="F449" s="18" t="s">
        <v>36</v>
      </c>
      <c r="J449" s="19"/>
      <c r="K449" s="19" t="s">
        <v>36</v>
      </c>
      <c r="L449" s="19" t="s">
        <v>36</v>
      </c>
      <c r="M449" s="19" t="s">
        <v>36</v>
      </c>
      <c r="N449" s="19" t="s">
        <v>36</v>
      </c>
      <c r="O449" s="19" t="s">
        <v>36</v>
      </c>
      <c r="P449" s="19" t="s">
        <v>36</v>
      </c>
      <c r="Q449" s="19" t="s">
        <v>36</v>
      </c>
      <c r="R449" s="20" t="s">
        <v>36</v>
      </c>
      <c r="S449" s="21" t="str">
        <f>HYPERLINK("https://www.helenefuld.edu/Net_price/AAS/", "Not reported")</f>
        <v>Not reported</v>
      </c>
      <c r="T449" s="20" t="s">
        <v>36</v>
      </c>
      <c r="U449" s="20" t="s">
        <v>36</v>
      </c>
      <c r="V449" s="20" t="s">
        <v>36</v>
      </c>
      <c r="W449" s="20" t="s">
        <v>36</v>
      </c>
      <c r="Y449" s="19">
        <v>0.34939999999999999</v>
      </c>
      <c r="Z449" s="19">
        <v>0.92920000000000003</v>
      </c>
      <c r="AB449" s="18">
        <v>480</v>
      </c>
    </row>
    <row r="450" spans="1:28" ht="15.75" customHeight="1" x14ac:dyDescent="0.2">
      <c r="A450" s="36" t="str">
        <f>HYPERLINK("https://www.hfcc.edu", "Henry Ford College")</f>
        <v>Henry Ford College</v>
      </c>
      <c r="B450" s="18" t="s">
        <v>49</v>
      </c>
      <c r="C450" s="18" t="s">
        <v>226</v>
      </c>
      <c r="D450" s="18" t="s">
        <v>513</v>
      </c>
      <c r="E450" s="18" t="s">
        <v>36</v>
      </c>
      <c r="F450" s="18" t="s">
        <v>36</v>
      </c>
      <c r="J450" s="19"/>
      <c r="K450" s="19">
        <v>7.2000000000000008E-2</v>
      </c>
      <c r="L450" s="19">
        <v>8.6435920999999999E-2</v>
      </c>
      <c r="M450" s="19">
        <v>0.1298</v>
      </c>
      <c r="N450" s="19">
        <v>2.3900000000000001E-2</v>
      </c>
      <c r="O450" s="19">
        <v>2.0400000000000001E-2</v>
      </c>
      <c r="P450" s="19">
        <v>0.16669999999999999</v>
      </c>
      <c r="Q450" s="19">
        <v>6.3522618000000003E-2</v>
      </c>
      <c r="R450" s="20">
        <v>18286</v>
      </c>
      <c r="S450" s="21" t="str">
        <f>HYPERLINK("https://www.hfcc.edu/files/netprice/npcalc.htm", "$12343")</f>
        <v>$12343</v>
      </c>
      <c r="T450" s="20">
        <v>15080</v>
      </c>
      <c r="U450" s="20">
        <v>17078</v>
      </c>
      <c r="V450" s="20">
        <v>3059</v>
      </c>
      <c r="W450" s="20">
        <v>9284.267403314916</v>
      </c>
      <c r="Y450" s="19">
        <v>0.4718</v>
      </c>
      <c r="Z450" s="19">
        <v>0.45739999999999997</v>
      </c>
      <c r="AB450" s="18">
        <v>10935</v>
      </c>
    </row>
    <row r="451" spans="1:28" ht="15.75" customHeight="1" x14ac:dyDescent="0.2">
      <c r="A451" s="36" t="str">
        <f>HYPERLINK("https://www.herkimer.edu/", "SUNY Herkimer County Community College")</f>
        <v>SUNY Herkimer County Community College</v>
      </c>
      <c r="B451" s="18" t="s">
        <v>49</v>
      </c>
      <c r="C451" s="18" t="s">
        <v>38</v>
      </c>
      <c r="D451" s="18" t="s">
        <v>1411</v>
      </c>
      <c r="E451" s="18" t="s">
        <v>36</v>
      </c>
      <c r="F451" s="18" t="s">
        <v>36</v>
      </c>
      <c r="J451" s="19"/>
      <c r="K451" s="19">
        <v>0.3448</v>
      </c>
      <c r="L451" s="19">
        <v>0.19924812</v>
      </c>
      <c r="M451" s="19">
        <v>0.3775</v>
      </c>
      <c r="N451" s="19">
        <v>0.125</v>
      </c>
      <c r="O451" s="19">
        <v>0.375</v>
      </c>
      <c r="P451" s="19">
        <v>0.57140000000000002</v>
      </c>
      <c r="Q451" s="19">
        <v>6.9480520000000004E-2</v>
      </c>
      <c r="R451" s="20">
        <v>17600</v>
      </c>
      <c r="S451" s="21" t="str">
        <f>HYPERLINK("https://www.suny.edu/howmuch/netpricecalculator.xhtml?id=50&amp;embed=N&amp;headerUrl=www.herkimer.edu/site/images/npc-banner.png&amp;cssUrl=www.herkimer.ed", "$6528")</f>
        <v>$6528</v>
      </c>
      <c r="T451" s="20">
        <v>11667</v>
      </c>
      <c r="U451" s="20">
        <v>13830</v>
      </c>
      <c r="V451" s="20">
        <v>2750</v>
      </c>
      <c r="W451" s="20">
        <v>3778</v>
      </c>
      <c r="Y451" s="19">
        <v>0.4718</v>
      </c>
      <c r="Z451" s="19">
        <v>0.41349999999999998</v>
      </c>
      <c r="AB451" s="18">
        <v>1959</v>
      </c>
    </row>
    <row r="452" spans="1:28" ht="15.75" customHeight="1" x14ac:dyDescent="0.2">
      <c r="A452" s="36" t="str">
        <f>HYPERLINK("https://www.herzing.edu", "Akron Institute of Herzing University")</f>
        <v>Akron Institute of Herzing University</v>
      </c>
      <c r="B452" s="18" t="s">
        <v>32</v>
      </c>
      <c r="C452" s="18" t="s">
        <v>75</v>
      </c>
      <c r="D452" s="18" t="s">
        <v>882</v>
      </c>
      <c r="E452" s="18" t="s">
        <v>36</v>
      </c>
      <c r="F452" s="18" t="s">
        <v>90</v>
      </c>
      <c r="J452" s="19"/>
      <c r="K452" s="19">
        <v>0.14580000000000001</v>
      </c>
      <c r="L452" s="19">
        <v>0.21912832900000001</v>
      </c>
      <c r="M452" s="19">
        <v>0.20930000000000001</v>
      </c>
      <c r="N452" s="19">
        <v>9.7600000000000006E-2</v>
      </c>
      <c r="O452" s="19">
        <v>0</v>
      </c>
      <c r="P452" s="19" t="s">
        <v>36</v>
      </c>
      <c r="Q452" s="19">
        <v>5.3383963E-2</v>
      </c>
      <c r="R452" s="20">
        <v>29195</v>
      </c>
      <c r="S452" s="21" t="str">
        <f>HYPERLINK("https://www.herzing.edu/tuition-financial-aid/net-price-calculator", "$22449")</f>
        <v>$22449</v>
      </c>
      <c r="T452" s="20">
        <v>26494</v>
      </c>
      <c r="U452" s="20" t="s">
        <v>36</v>
      </c>
      <c r="V452" s="20">
        <v>5526</v>
      </c>
      <c r="W452" s="20">
        <v>16923</v>
      </c>
      <c r="Y452" s="19">
        <v>0.85950000000000004</v>
      </c>
      <c r="Z452" s="19">
        <v>0.55380000000000007</v>
      </c>
      <c r="AB452" s="18">
        <v>493</v>
      </c>
    </row>
    <row r="453" spans="1:28" ht="15.75" customHeight="1" x14ac:dyDescent="0.2">
      <c r="A453" s="36" t="str">
        <f>HYPERLINK("https://www.herzing.edu", "Herzing University-Kenner")</f>
        <v>Herzing University-Kenner</v>
      </c>
      <c r="B453" s="18" t="s">
        <v>32</v>
      </c>
      <c r="C453" s="18" t="s">
        <v>158</v>
      </c>
      <c r="D453" s="18" t="s">
        <v>1414</v>
      </c>
      <c r="E453" s="18" t="s">
        <v>36</v>
      </c>
      <c r="F453" s="18" t="s">
        <v>90</v>
      </c>
      <c r="J453" s="19"/>
      <c r="K453" s="19">
        <v>0.25</v>
      </c>
      <c r="L453" s="19">
        <v>0.21912832900000001</v>
      </c>
      <c r="M453" s="19">
        <v>0.4375</v>
      </c>
      <c r="N453" s="19">
        <v>0.186</v>
      </c>
      <c r="O453" s="19">
        <v>0</v>
      </c>
      <c r="P453" s="19">
        <v>1</v>
      </c>
      <c r="Q453" s="19">
        <v>5.3383963E-2</v>
      </c>
      <c r="R453" s="20">
        <v>29195</v>
      </c>
      <c r="S453" s="21" t="str">
        <f>HYPERLINK("https://www.herzing.edu/tuition-financial-aid/net-price-calculator", "$24422")</f>
        <v>$24422</v>
      </c>
      <c r="T453" s="20">
        <v>26019</v>
      </c>
      <c r="U453" s="20" t="s">
        <v>36</v>
      </c>
      <c r="V453" s="20">
        <v>5526</v>
      </c>
      <c r="W453" s="20">
        <v>18896</v>
      </c>
      <c r="Y453" s="19">
        <v>0.85619999999999996</v>
      </c>
      <c r="Z453" s="19">
        <v>0.73870000000000002</v>
      </c>
      <c r="AB453" s="18">
        <v>398</v>
      </c>
    </row>
    <row r="454" spans="1:28" ht="15.75" customHeight="1" x14ac:dyDescent="0.2">
      <c r="A454" s="36" t="str">
        <f>HYPERLINK("https://www.Herzing.edu", "Herzing University-Madison")</f>
        <v>Herzing University-Madison</v>
      </c>
      <c r="B454" s="18" t="s">
        <v>32</v>
      </c>
      <c r="C454" s="18" t="s">
        <v>196</v>
      </c>
      <c r="D454" s="18" t="s">
        <v>295</v>
      </c>
      <c r="E454" s="18" t="s">
        <v>36</v>
      </c>
      <c r="F454" s="18" t="s">
        <v>90</v>
      </c>
      <c r="J454" s="19"/>
      <c r="K454" s="19">
        <v>0.22750000000000001</v>
      </c>
      <c r="L454" s="19">
        <v>0.21912832900000001</v>
      </c>
      <c r="M454" s="19">
        <v>0.23580000000000001</v>
      </c>
      <c r="N454" s="19">
        <v>0.1628</v>
      </c>
      <c r="O454" s="19">
        <v>0.25</v>
      </c>
      <c r="P454" s="19">
        <v>0</v>
      </c>
      <c r="Q454" s="19">
        <v>5.3383963E-2</v>
      </c>
      <c r="R454" s="20">
        <v>29195</v>
      </c>
      <c r="S454" s="21" t="str">
        <f>HYPERLINK("https://www.herzing.edu/tuition-financial-aid/net-price-calculator", "$23189")</f>
        <v>$23189</v>
      </c>
      <c r="T454" s="20">
        <v>22574</v>
      </c>
      <c r="U454" s="20">
        <v>27610</v>
      </c>
      <c r="V454" s="20">
        <v>5526</v>
      </c>
      <c r="W454" s="20">
        <v>17663</v>
      </c>
      <c r="Y454" s="19">
        <v>0.73240000000000005</v>
      </c>
      <c r="Z454" s="19">
        <v>0.52</v>
      </c>
      <c r="AB454" s="18">
        <v>1727</v>
      </c>
    </row>
    <row r="455" spans="1:28" ht="15.75" customHeight="1" x14ac:dyDescent="0.2">
      <c r="A455" s="36" t="str">
        <f>HYPERLINK("https://www.herzing.edu", "Herzing University-Minneapolis")</f>
        <v>Herzing University-Minneapolis</v>
      </c>
      <c r="B455" s="18" t="s">
        <v>32</v>
      </c>
      <c r="C455" s="18" t="s">
        <v>72</v>
      </c>
      <c r="D455" s="18" t="s">
        <v>1416</v>
      </c>
      <c r="E455" s="18" t="s">
        <v>36</v>
      </c>
      <c r="F455" s="18" t="s">
        <v>90</v>
      </c>
      <c r="J455" s="19"/>
      <c r="K455" s="19">
        <v>0.875</v>
      </c>
      <c r="L455" s="19">
        <v>0.21912832900000001</v>
      </c>
      <c r="M455" s="19">
        <v>1</v>
      </c>
      <c r="N455" s="19">
        <v>0.66669999999999996</v>
      </c>
      <c r="O455" s="19" t="s">
        <v>36</v>
      </c>
      <c r="P455" s="19">
        <v>0.66669999999999996</v>
      </c>
      <c r="Q455" s="19">
        <v>5.3383963E-2</v>
      </c>
      <c r="R455" s="20">
        <v>29195</v>
      </c>
      <c r="S455" s="21" t="str">
        <f>HYPERLINK("https://www.herzing.edu/tuition-financial-aid/net-price-calculator", "$17954")</f>
        <v>$17954</v>
      </c>
      <c r="T455" s="20">
        <v>16512</v>
      </c>
      <c r="U455" s="20">
        <v>24581</v>
      </c>
      <c r="V455" s="20">
        <v>5526</v>
      </c>
      <c r="W455" s="20">
        <v>12428</v>
      </c>
      <c r="Y455" s="19">
        <v>0.60650000000000004</v>
      </c>
      <c r="Z455" s="19">
        <v>0.47039999999999998</v>
      </c>
      <c r="AB455" s="18">
        <v>372</v>
      </c>
    </row>
    <row r="456" spans="1:28" ht="15.75" customHeight="1" x14ac:dyDescent="0.2">
      <c r="A456" s="36" t="str">
        <f>HYPERLINK("https://www.herzing.edu/", "Herzing University-Toledo")</f>
        <v>Herzing University-Toledo</v>
      </c>
      <c r="B456" s="18" t="s">
        <v>32</v>
      </c>
      <c r="C456" s="18" t="s">
        <v>75</v>
      </c>
      <c r="D456" s="18" t="s">
        <v>1256</v>
      </c>
      <c r="E456" s="18" t="s">
        <v>36</v>
      </c>
      <c r="F456" s="18" t="s">
        <v>90</v>
      </c>
      <c r="J456" s="19"/>
      <c r="K456" s="19">
        <v>8.3299999999999999E-2</v>
      </c>
      <c r="L456" s="19">
        <v>0.21912832900000001</v>
      </c>
      <c r="M456" s="19">
        <v>0.15379999999999999</v>
      </c>
      <c r="N456" s="19">
        <v>0.05</v>
      </c>
      <c r="O456" s="19">
        <v>0</v>
      </c>
      <c r="P456" s="19">
        <v>0</v>
      </c>
      <c r="Q456" s="19">
        <v>5.3383963E-2</v>
      </c>
      <c r="R456" s="20">
        <v>29195</v>
      </c>
      <c r="S456" s="21" t="str">
        <f>HYPERLINK("https://www.herzing.edu/tuition-financial-aid/net-price-calculator", "$20427")</f>
        <v>$20427</v>
      </c>
      <c r="T456" s="20" t="s">
        <v>36</v>
      </c>
      <c r="U456" s="20" t="s">
        <v>36</v>
      </c>
      <c r="V456" s="20">
        <v>5526</v>
      </c>
      <c r="W456" s="20">
        <v>14901</v>
      </c>
      <c r="Y456" s="19">
        <v>0.87619999999999998</v>
      </c>
      <c r="Z456" s="19">
        <v>0.62440000000000007</v>
      </c>
      <c r="AB456" s="18">
        <v>213</v>
      </c>
    </row>
    <row r="457" spans="1:28" ht="15.75" customHeight="1" x14ac:dyDescent="0.2">
      <c r="A457" s="36" t="str">
        <f>HYPERLINK("https://www.herzing.edu", "Herzing University-Winter Park")</f>
        <v>Herzing University-Winter Park</v>
      </c>
      <c r="B457" s="18" t="s">
        <v>32</v>
      </c>
      <c r="C457" s="18" t="s">
        <v>162</v>
      </c>
      <c r="D457" s="18" t="s">
        <v>240</v>
      </c>
      <c r="E457" s="18" t="s">
        <v>36</v>
      </c>
      <c r="F457" s="18" t="s">
        <v>90</v>
      </c>
      <c r="J457" s="19"/>
      <c r="K457" s="19">
        <v>0.29170000000000001</v>
      </c>
      <c r="L457" s="19">
        <v>0.21912832900000001</v>
      </c>
      <c r="M457" s="19">
        <v>0.4</v>
      </c>
      <c r="N457" s="19">
        <v>0.2</v>
      </c>
      <c r="O457" s="19">
        <v>0.25</v>
      </c>
      <c r="P457" s="19" t="s">
        <v>36</v>
      </c>
      <c r="Q457" s="19">
        <v>5.3383963E-2</v>
      </c>
      <c r="R457" s="20">
        <v>29195</v>
      </c>
      <c r="S457" s="21" t="str">
        <f>HYPERLINK("https://www.herzing.edu/tuition-financial-aid/net-price-calculator", "$21196")</f>
        <v>$21196</v>
      </c>
      <c r="T457" s="20">
        <v>18551</v>
      </c>
      <c r="U457" s="20" t="s">
        <v>36</v>
      </c>
      <c r="V457" s="20">
        <v>5526</v>
      </c>
      <c r="W457" s="20">
        <v>15670</v>
      </c>
      <c r="Y457" s="19">
        <v>0.65200000000000002</v>
      </c>
      <c r="Z457" s="19">
        <v>0.70750000000000002</v>
      </c>
      <c r="AB457" s="18">
        <v>506</v>
      </c>
    </row>
    <row r="458" spans="1:28" ht="15.75" customHeight="1" x14ac:dyDescent="0.2">
      <c r="A458" s="36" t="str">
        <f>HYPERLINK("https://www.hesston.edu", "Hesston College")</f>
        <v>Hesston College</v>
      </c>
      <c r="B458" s="18" t="s">
        <v>32</v>
      </c>
      <c r="C458" s="18" t="s">
        <v>307</v>
      </c>
      <c r="D458" s="18" t="s">
        <v>1419</v>
      </c>
      <c r="E458" s="18" t="s">
        <v>36</v>
      </c>
      <c r="F458" s="18" t="s">
        <v>36</v>
      </c>
      <c r="J458" s="19"/>
      <c r="K458" s="19">
        <v>0.54869999999999997</v>
      </c>
      <c r="L458" s="19">
        <v>0.517241379</v>
      </c>
      <c r="M458" s="19">
        <v>0.61539999999999995</v>
      </c>
      <c r="N458" s="19">
        <v>0.35709999999999997</v>
      </c>
      <c r="O458" s="19">
        <v>0.1</v>
      </c>
      <c r="P458" s="19">
        <v>0</v>
      </c>
      <c r="Q458" s="19">
        <v>0.10144927500000001</v>
      </c>
      <c r="R458" s="20">
        <v>39096</v>
      </c>
      <c r="S458" s="21" t="str">
        <f>HYPERLINK("https://www.hesston.edu/forms/NetPriceCalculator/npcalc.htm", "$17766")</f>
        <v>$17766</v>
      </c>
      <c r="T458" s="20">
        <v>18555</v>
      </c>
      <c r="U458" s="20">
        <v>19543</v>
      </c>
      <c r="V458" s="20">
        <v>4200</v>
      </c>
      <c r="W458" s="20">
        <v>13566</v>
      </c>
      <c r="Y458" s="19">
        <v>0.3856</v>
      </c>
      <c r="Z458" s="19">
        <v>0.3417</v>
      </c>
      <c r="AB458" s="18">
        <v>439</v>
      </c>
    </row>
    <row r="459" spans="1:28" ht="15.75" customHeight="1" x14ac:dyDescent="0.2">
      <c r="A459" s="36" t="str">
        <f>HYPERLINK("https://www.hibbing.edu", "Hibbing Community College")</f>
        <v>Hibbing Community College</v>
      </c>
      <c r="B459" s="18" t="s">
        <v>49</v>
      </c>
      <c r="C459" s="18" t="s">
        <v>72</v>
      </c>
      <c r="D459" s="18" t="s">
        <v>1420</v>
      </c>
      <c r="E459" s="18" t="s">
        <v>36</v>
      </c>
      <c r="F459" s="18" t="s">
        <v>36</v>
      </c>
      <c r="J459" s="19"/>
      <c r="K459" s="19">
        <v>0.40500000000000003</v>
      </c>
      <c r="L459" s="19">
        <v>0.296385542</v>
      </c>
      <c r="M459" s="19">
        <v>0.4335</v>
      </c>
      <c r="N459" s="19">
        <v>0.4</v>
      </c>
      <c r="O459" s="19">
        <v>0</v>
      </c>
      <c r="P459" s="19">
        <v>0</v>
      </c>
      <c r="Q459" s="19">
        <v>3.9647577000000003E-2</v>
      </c>
      <c r="R459" s="20">
        <v>17891</v>
      </c>
      <c r="S459" s="21" t="str">
        <f>HYPERLINK("https://www.minnstate.edu/admissions/calculator/hibbing.html", "$11268")</f>
        <v>$11268</v>
      </c>
      <c r="T459" s="20">
        <v>14233</v>
      </c>
      <c r="U459" s="20">
        <v>16089</v>
      </c>
      <c r="V459" s="20">
        <v>5325</v>
      </c>
      <c r="W459" s="20">
        <v>5943.875</v>
      </c>
      <c r="Y459" s="19">
        <v>0.42759999999999998</v>
      </c>
      <c r="Z459" s="19">
        <v>0.17810000000000001</v>
      </c>
      <c r="AB459" s="18">
        <v>893</v>
      </c>
    </row>
    <row r="460" spans="1:28" ht="15.75" customHeight="1" x14ac:dyDescent="0.2">
      <c r="A460" s="36" t="str">
        <f>HYPERLINK("https://www.hickeycollege.edu", "Hickey College")</f>
        <v>Hickey College</v>
      </c>
      <c r="B460" s="18" t="s">
        <v>368</v>
      </c>
      <c r="C460" s="18" t="s">
        <v>164</v>
      </c>
      <c r="D460" s="18" t="s">
        <v>179</v>
      </c>
      <c r="E460" s="18" t="s">
        <v>36</v>
      </c>
      <c r="F460" s="18" t="s">
        <v>90</v>
      </c>
      <c r="J460" s="19"/>
      <c r="K460" s="19">
        <v>0.80469999999999997</v>
      </c>
      <c r="L460" s="19">
        <v>0.6</v>
      </c>
      <c r="M460" s="19">
        <v>0.80579999999999996</v>
      </c>
      <c r="N460" s="19">
        <v>0.78259999999999996</v>
      </c>
      <c r="O460" s="19">
        <v>1</v>
      </c>
      <c r="P460" s="19">
        <v>1</v>
      </c>
      <c r="Q460" s="19">
        <v>4.9079755000000003E-2</v>
      </c>
      <c r="R460" s="20">
        <v>25356</v>
      </c>
      <c r="S460" s="21" t="str">
        <f>HYPERLINK("https://www.hickeycollege.edu/aid", "$15717")</f>
        <v>$15717</v>
      </c>
      <c r="T460" s="20">
        <v>18811</v>
      </c>
      <c r="U460" s="20">
        <v>21081</v>
      </c>
      <c r="V460" s="20">
        <v>3076</v>
      </c>
      <c r="W460" s="20">
        <v>12641</v>
      </c>
      <c r="Y460" s="19">
        <v>0.65710000000000002</v>
      </c>
      <c r="Z460" s="19">
        <v>0.248</v>
      </c>
      <c r="AB460" s="18">
        <v>246</v>
      </c>
    </row>
    <row r="461" spans="1:28" ht="15.75" customHeight="1" x14ac:dyDescent="0.2">
      <c r="A461" s="36" t="str">
        <f>HYPERLINK("https://www.mtech.edu/", "Highlands College of Montana Tech")</f>
        <v>Highlands College of Montana Tech</v>
      </c>
      <c r="B461" s="18" t="s">
        <v>49</v>
      </c>
      <c r="C461" s="18" t="s">
        <v>421</v>
      </c>
      <c r="D461" s="18" t="s">
        <v>987</v>
      </c>
      <c r="E461" s="18" t="s">
        <v>36</v>
      </c>
      <c r="F461" s="18" t="s">
        <v>36</v>
      </c>
      <c r="J461" s="19"/>
      <c r="K461" s="19">
        <v>0.2185</v>
      </c>
      <c r="L461" s="19">
        <v>0.20519480500000001</v>
      </c>
      <c r="M461" s="19">
        <v>0.2117</v>
      </c>
      <c r="N461" s="19">
        <v>0</v>
      </c>
      <c r="O461" s="19">
        <v>1</v>
      </c>
      <c r="P461" s="19">
        <v>0</v>
      </c>
      <c r="Q461" s="19">
        <v>7.2602739999999999E-2</v>
      </c>
      <c r="R461" s="20">
        <v>22773</v>
      </c>
      <c r="S461" s="21" t="str">
        <f>HYPERLINK("https://www.mtech.edu/financial-aid/", "$17304")</f>
        <v>$17304</v>
      </c>
      <c r="T461" s="20">
        <v>19594</v>
      </c>
      <c r="U461" s="20">
        <v>22773</v>
      </c>
      <c r="V461" s="20">
        <v>4510</v>
      </c>
      <c r="W461" s="20">
        <v>12794.0350877193</v>
      </c>
      <c r="Y461" s="19">
        <v>0.3115</v>
      </c>
      <c r="Z461" s="19">
        <v>0.14910000000000001</v>
      </c>
      <c r="AB461" s="18">
        <v>456</v>
      </c>
    </row>
    <row r="462" spans="1:28" ht="15.75" customHeight="1" x14ac:dyDescent="0.2">
      <c r="A462" s="36" t="str">
        <f>HYPERLINK("https://www.highline.edu", "Highline College")</f>
        <v>Highline College</v>
      </c>
      <c r="B462" s="18" t="s">
        <v>49</v>
      </c>
      <c r="C462" s="18" t="s">
        <v>184</v>
      </c>
      <c r="D462" s="18" t="s">
        <v>348</v>
      </c>
      <c r="E462" s="18" t="s">
        <v>36</v>
      </c>
      <c r="F462" s="18" t="s">
        <v>36</v>
      </c>
      <c r="J462" s="19"/>
      <c r="K462" s="19">
        <v>0.2964</v>
      </c>
      <c r="L462" s="19">
        <v>0.14781965999999999</v>
      </c>
      <c r="M462" s="19">
        <v>0.34239999999999998</v>
      </c>
      <c r="N462" s="19">
        <v>0.13109999999999999</v>
      </c>
      <c r="O462" s="19">
        <v>0.24440000000000001</v>
      </c>
      <c r="P462" s="19">
        <v>0.4355</v>
      </c>
      <c r="Q462" s="19">
        <v>9.5469256000000002E-2</v>
      </c>
      <c r="R462" s="20">
        <v>18908</v>
      </c>
      <c r="S462" s="21" t="str">
        <f>HYPERLINK("https://documents.highline.edu/financialaid/net-price-calc/16-17/npcalc.htm", "$11305")</f>
        <v>$11305</v>
      </c>
      <c r="T462" s="20">
        <v>13897</v>
      </c>
      <c r="U462" s="20">
        <v>15464</v>
      </c>
      <c r="V462" s="20">
        <v>4290</v>
      </c>
      <c r="W462" s="20">
        <v>7015.1844660194183</v>
      </c>
      <c r="Y462" s="19">
        <v>0.22189999999999999</v>
      </c>
      <c r="Z462" s="19">
        <v>0.72330000000000005</v>
      </c>
      <c r="AB462" s="18">
        <v>4860</v>
      </c>
    </row>
    <row r="463" spans="1:28" ht="15.75" customHeight="1" x14ac:dyDescent="0.2">
      <c r="A463" s="36" t="str">
        <f>HYPERLINK("https://www.hillcollege.edu", "Hill College")</f>
        <v>Hill College</v>
      </c>
      <c r="B463" s="18" t="s">
        <v>49</v>
      </c>
      <c r="C463" s="18" t="s">
        <v>146</v>
      </c>
      <c r="D463" s="18" t="s">
        <v>854</v>
      </c>
      <c r="E463" s="18" t="s">
        <v>36</v>
      </c>
      <c r="F463" s="18" t="s">
        <v>36</v>
      </c>
      <c r="J463" s="19"/>
      <c r="K463" s="19">
        <v>0.2074</v>
      </c>
      <c r="L463" s="19">
        <v>0.209150327</v>
      </c>
      <c r="M463" s="19">
        <v>0.20849999999999999</v>
      </c>
      <c r="N463" s="19">
        <v>0.17019999999999999</v>
      </c>
      <c r="O463" s="19">
        <v>0.20830000000000001</v>
      </c>
      <c r="P463" s="19">
        <v>0.5</v>
      </c>
      <c r="Q463" s="19">
        <v>7.6674737999999992E-2</v>
      </c>
      <c r="R463" s="20">
        <v>12220</v>
      </c>
      <c r="S463" s="21" t="str">
        <f>HYPERLINK("https://www.hillcollege.edu/StudentServices/hill/?mdc=finaid", "$5877")</f>
        <v>$5877</v>
      </c>
      <c r="T463" s="20">
        <v>8729</v>
      </c>
      <c r="U463" s="20">
        <v>11305</v>
      </c>
      <c r="V463" s="20">
        <v>5675</v>
      </c>
      <c r="W463" s="20">
        <v>202.3544303797471</v>
      </c>
      <c r="Y463" s="19">
        <v>0.25619999999999998</v>
      </c>
      <c r="Z463" s="19">
        <v>0.37219999999999998</v>
      </c>
      <c r="AB463" s="18">
        <v>2641</v>
      </c>
    </row>
    <row r="464" spans="1:28" ht="15.75" customHeight="1" x14ac:dyDescent="0.2">
      <c r="A464" s="36" t="str">
        <f>HYPERLINK("https://www.hccfl.edu", "Hillsborough Community College")</f>
        <v>Hillsborough Community College</v>
      </c>
      <c r="B464" s="18" t="s">
        <v>49</v>
      </c>
      <c r="C464" s="18" t="s">
        <v>162</v>
      </c>
      <c r="D464" s="18" t="s">
        <v>1230</v>
      </c>
      <c r="E464" s="18" t="s">
        <v>36</v>
      </c>
      <c r="F464" s="18" t="s">
        <v>36</v>
      </c>
      <c r="J464" s="19"/>
      <c r="K464" s="19">
        <v>0.29770000000000002</v>
      </c>
      <c r="L464" s="19">
        <v>7.9832635999999998E-2</v>
      </c>
      <c r="M464" s="19">
        <v>0.34520000000000001</v>
      </c>
      <c r="N464" s="19">
        <v>0.16389999999999999</v>
      </c>
      <c r="O464" s="19">
        <v>0.28589999999999999</v>
      </c>
      <c r="P464" s="19">
        <v>0.56759999999999999</v>
      </c>
      <c r="Q464" s="19">
        <v>0.13077893800000001</v>
      </c>
      <c r="R464" s="20">
        <v>23271</v>
      </c>
      <c r="S464" s="21" t="str">
        <f>HYPERLINK("https://www.hccfl.edu/FinancialAid/netpricecalculator/npcalc.htm", "$19115")</f>
        <v>$19115</v>
      </c>
      <c r="T464" s="20">
        <v>20375</v>
      </c>
      <c r="U464" s="20">
        <v>22149</v>
      </c>
      <c r="V464" s="20">
        <v>5376</v>
      </c>
      <c r="W464" s="20">
        <v>13739.27843803056</v>
      </c>
      <c r="Y464" s="19">
        <v>0.38900000000000001</v>
      </c>
      <c r="Z464" s="19">
        <v>0.65329999999999999</v>
      </c>
      <c r="AB464" s="18">
        <v>23235</v>
      </c>
    </row>
    <row r="465" spans="1:28" ht="15.75" customHeight="1" x14ac:dyDescent="0.2">
      <c r="A465" s="36" t="str">
        <f>HYPERLINK("https://www.hocking.edu", "Hocking College")</f>
        <v>Hocking College</v>
      </c>
      <c r="B465" s="18" t="s">
        <v>49</v>
      </c>
      <c r="C465" s="18" t="s">
        <v>75</v>
      </c>
      <c r="D465" s="18" t="s">
        <v>1424</v>
      </c>
      <c r="E465" s="18" t="s">
        <v>36</v>
      </c>
      <c r="F465" s="18" t="s">
        <v>36</v>
      </c>
      <c r="J465" s="19"/>
      <c r="K465" s="19">
        <v>0.26719999999999999</v>
      </c>
      <c r="L465" s="19">
        <v>1.2141280000000001E-2</v>
      </c>
      <c r="M465" s="19">
        <v>0.28160000000000002</v>
      </c>
      <c r="N465" s="19">
        <v>0.16669999999999999</v>
      </c>
      <c r="O465" s="19">
        <v>0.21429999999999999</v>
      </c>
      <c r="P465" s="19" t="s">
        <v>36</v>
      </c>
      <c r="Q465" s="19">
        <v>5.2281052000000001E-2</v>
      </c>
      <c r="R465" s="20">
        <v>21874</v>
      </c>
      <c r="S465" s="21" t="str">
        <f>HYPERLINK("https://www.hocking.edu/paying-for-college", "$17559")</f>
        <v>$17559</v>
      </c>
      <c r="T465" s="20">
        <v>20376</v>
      </c>
      <c r="U465" s="20">
        <v>21711</v>
      </c>
      <c r="V465" s="20">
        <v>4334</v>
      </c>
      <c r="W465" s="20">
        <v>13225.25581395349</v>
      </c>
      <c r="Y465" s="19">
        <v>0.49009999999999998</v>
      </c>
      <c r="Z465" s="19">
        <v>0.22339999999999999</v>
      </c>
      <c r="AB465" s="18">
        <v>2511</v>
      </c>
    </row>
    <row r="466" spans="1:28" ht="15.75" customHeight="1" x14ac:dyDescent="0.2">
      <c r="A466" s="36" t="str">
        <f>HYPERLINK("https://www.holmescc.edu", "Holmes Community College")</f>
        <v>Holmes Community College</v>
      </c>
      <c r="B466" s="18" t="s">
        <v>49</v>
      </c>
      <c r="C466" s="18" t="s">
        <v>59</v>
      </c>
      <c r="D466" s="18" t="s">
        <v>1425</v>
      </c>
      <c r="E466" s="18" t="s">
        <v>36</v>
      </c>
      <c r="F466" s="18" t="s">
        <v>36</v>
      </c>
      <c r="J466" s="19"/>
      <c r="K466" s="19">
        <v>0.37</v>
      </c>
      <c r="L466" s="19">
        <v>0.17257499000000001</v>
      </c>
      <c r="M466" s="19">
        <v>0.40949999999999998</v>
      </c>
      <c r="N466" s="19">
        <v>0.33260000000000001</v>
      </c>
      <c r="O466" s="19">
        <v>0.5</v>
      </c>
      <c r="P466" s="19">
        <v>0.25</v>
      </c>
      <c r="Q466" s="19">
        <v>6.8462757999999999E-2</v>
      </c>
      <c r="R466" s="20">
        <v>13840</v>
      </c>
      <c r="S466" s="21" t="str">
        <f>HYPERLINK("https://www.holmescc.edu/financial_aid/Net%20Price%20Calculator.htm", "$7460")</f>
        <v>$7460</v>
      </c>
      <c r="T466" s="20">
        <v>9428</v>
      </c>
      <c r="U466" s="20">
        <v>10988</v>
      </c>
      <c r="V466" s="20">
        <v>5100</v>
      </c>
      <c r="W466" s="20">
        <v>2360.9867768595041</v>
      </c>
      <c r="Y466" s="19">
        <v>0.49740000000000001</v>
      </c>
      <c r="Z466" s="19">
        <v>0.52069999999999994</v>
      </c>
      <c r="AB466" s="18">
        <v>4853</v>
      </c>
    </row>
    <row r="467" spans="1:28" ht="15.75" customHeight="1" x14ac:dyDescent="0.2">
      <c r="A467" s="36" t="str">
        <f>HYPERLINK("https://www.hcc.edu", "Holyoke Community College")</f>
        <v>Holyoke Community College</v>
      </c>
      <c r="B467" s="18" t="s">
        <v>49</v>
      </c>
      <c r="C467" s="18" t="s">
        <v>33</v>
      </c>
      <c r="D467" s="18" t="s">
        <v>1426</v>
      </c>
      <c r="E467" s="18" t="s">
        <v>36</v>
      </c>
      <c r="F467" s="18" t="s">
        <v>36</v>
      </c>
      <c r="J467" s="19"/>
      <c r="K467" s="19">
        <v>0.23089999999999999</v>
      </c>
      <c r="L467" s="19">
        <v>0.21339461600000001</v>
      </c>
      <c r="M467" s="19">
        <v>0.28699999999999998</v>
      </c>
      <c r="N467" s="19">
        <v>0.16980000000000001</v>
      </c>
      <c r="O467" s="19">
        <v>0.14399999999999999</v>
      </c>
      <c r="P467" s="19">
        <v>0.30430000000000001</v>
      </c>
      <c r="Q467" s="19">
        <v>5.9942124999999999E-2</v>
      </c>
      <c r="R467" s="20">
        <v>23416</v>
      </c>
      <c r="S467" s="21" t="str">
        <f>HYPERLINK("https://www.hcc.edu/PreBuilt/NetPriceCalculator/DC2/npcalc.htm", "$17763")</f>
        <v>$17763</v>
      </c>
      <c r="T467" s="20">
        <v>20764</v>
      </c>
      <c r="U467" s="20">
        <v>22534</v>
      </c>
      <c r="V467" s="20">
        <v>6020</v>
      </c>
      <c r="W467" s="20">
        <v>11743.932735426009</v>
      </c>
      <c r="Y467" s="19">
        <v>0.45689999999999997</v>
      </c>
      <c r="Z467" s="19">
        <v>0.42599999999999999</v>
      </c>
      <c r="AB467" s="18">
        <v>5059</v>
      </c>
    </row>
    <row r="468" spans="1:28" ht="15.75" customHeight="1" x14ac:dyDescent="0.2">
      <c r="A468" s="36" t="str">
        <f>HYPERLINK("https://www.honolulu.hawaii.edu", "Honolulu Community College")</f>
        <v>Honolulu Community College</v>
      </c>
      <c r="B468" s="18" t="s">
        <v>49</v>
      </c>
      <c r="C468" s="18" t="s">
        <v>313</v>
      </c>
      <c r="D468" s="18" t="s">
        <v>510</v>
      </c>
      <c r="E468" s="18" t="s">
        <v>36</v>
      </c>
      <c r="F468" s="18" t="s">
        <v>36</v>
      </c>
      <c r="J468" s="19"/>
      <c r="K468" s="19">
        <v>0.1691</v>
      </c>
      <c r="L468" s="19">
        <v>0.169683258</v>
      </c>
      <c r="M468" s="19">
        <v>0.12</v>
      </c>
      <c r="N468" s="19">
        <v>0</v>
      </c>
      <c r="O468" s="19">
        <v>0.12</v>
      </c>
      <c r="P468" s="19">
        <v>0.2147</v>
      </c>
      <c r="Q468" s="19">
        <v>7.5286415999999995E-2</v>
      </c>
      <c r="R468" s="20">
        <v>27478</v>
      </c>
      <c r="S468" s="21" t="str">
        <f>HYPERLINK("https://www.honolulu.hawaii.edu/sites/www2.honolulu.hawaii.edu/files/npcalc.htm", "$22630")</f>
        <v>$22630</v>
      </c>
      <c r="T468" s="20">
        <v>24719</v>
      </c>
      <c r="U468" s="20">
        <v>27360</v>
      </c>
      <c r="V468" s="20">
        <v>4626</v>
      </c>
      <c r="W468" s="20">
        <v>18004.134615384621</v>
      </c>
      <c r="Y468" s="19">
        <v>0.20860000000000001</v>
      </c>
      <c r="Z468" s="19">
        <v>0.92620000000000002</v>
      </c>
      <c r="AB468" s="18">
        <v>2790</v>
      </c>
    </row>
    <row r="469" spans="1:28" ht="15.75" customHeight="1" x14ac:dyDescent="0.2">
      <c r="A469" s="36" t="str">
        <f>HYPERLINK("https://www.hgtc.edu", "Horry-Georgetown Technical College")</f>
        <v>Horry-Georgetown Technical College</v>
      </c>
      <c r="B469" s="18" t="s">
        <v>49</v>
      </c>
      <c r="C469" s="18" t="s">
        <v>208</v>
      </c>
      <c r="D469" s="18" t="s">
        <v>372</v>
      </c>
      <c r="E469" s="18" t="s">
        <v>36</v>
      </c>
      <c r="F469" s="18" t="s">
        <v>36</v>
      </c>
      <c r="J469" s="19"/>
      <c r="K469" s="19">
        <v>0.28999999999999998</v>
      </c>
      <c r="L469" s="19">
        <v>0.211548556</v>
      </c>
      <c r="M469" s="19">
        <v>0.29670000000000002</v>
      </c>
      <c r="N469" s="19">
        <v>0.18279999999999999</v>
      </c>
      <c r="O469" s="19">
        <v>0.375</v>
      </c>
      <c r="P469" s="19">
        <v>0.63639999999999997</v>
      </c>
      <c r="Q469" s="19">
        <v>6.0445387000000003E-2</v>
      </c>
      <c r="R469" s="20">
        <v>21982</v>
      </c>
      <c r="S469" s="21" t="str">
        <f>HYPERLINK("https://www.hgtc.edu/admissions/financialaid/collegecalc.html", "$14690")</f>
        <v>$14690</v>
      </c>
      <c r="T469" s="20">
        <v>16327</v>
      </c>
      <c r="U469" s="20">
        <v>18518</v>
      </c>
      <c r="V469" s="20">
        <v>4700</v>
      </c>
      <c r="W469" s="20">
        <v>9990.8031496062995</v>
      </c>
      <c r="Y469" s="19">
        <v>0.47189999999999999</v>
      </c>
      <c r="Z469" s="19">
        <v>0.3216</v>
      </c>
      <c r="AB469" s="18">
        <v>6234</v>
      </c>
    </row>
    <row r="470" spans="1:28" ht="15.75" customHeight="1" x14ac:dyDescent="0.2">
      <c r="A470" s="36" t="str">
        <f>HYPERLINK("https://www.hcc.commnet.edu", "Housatonic Community College")</f>
        <v>Housatonic Community College</v>
      </c>
      <c r="B470" s="18" t="s">
        <v>49</v>
      </c>
      <c r="C470" s="18" t="s">
        <v>94</v>
      </c>
      <c r="D470" s="18" t="s">
        <v>886</v>
      </c>
      <c r="E470" s="18" t="s">
        <v>36</v>
      </c>
      <c r="F470" s="18" t="s">
        <v>36</v>
      </c>
      <c r="J470" s="19"/>
      <c r="K470" s="19">
        <v>0.1245</v>
      </c>
      <c r="L470" s="19">
        <v>0.12637828700000001</v>
      </c>
      <c r="M470" s="19">
        <v>0.16889999999999999</v>
      </c>
      <c r="N470" s="19">
        <v>6.6199999999999995E-2</v>
      </c>
      <c r="O470" s="19">
        <v>0.1198</v>
      </c>
      <c r="P470" s="19">
        <v>0.2727</v>
      </c>
      <c r="Q470" s="19">
        <v>6.6977285999999997E-2</v>
      </c>
      <c r="R470" s="20">
        <v>25648</v>
      </c>
      <c r="S470" s="21" t="str">
        <f>HYPERLINK("https://www.hcc.commnet.edu", "$22435")</f>
        <v>$22435</v>
      </c>
      <c r="T470" s="20">
        <v>20248</v>
      </c>
      <c r="U470" s="20" t="s">
        <v>36</v>
      </c>
      <c r="V470" s="20">
        <v>3200</v>
      </c>
      <c r="W470" s="20">
        <v>19235.404814004381</v>
      </c>
      <c r="Y470" s="19">
        <v>0.49869999999999998</v>
      </c>
      <c r="Z470" s="19">
        <v>0.72660000000000002</v>
      </c>
      <c r="AB470" s="18">
        <v>4780</v>
      </c>
    </row>
    <row r="471" spans="1:28" ht="15.75" customHeight="1" x14ac:dyDescent="0.2">
      <c r="A471" s="36" t="str">
        <f>HYPERLINK("https://www.hccs.edu", "Houston Community College")</f>
        <v>Houston Community College</v>
      </c>
      <c r="B471" s="18" t="s">
        <v>49</v>
      </c>
      <c r="C471" s="18" t="s">
        <v>146</v>
      </c>
      <c r="D471" s="18" t="s">
        <v>147</v>
      </c>
      <c r="E471" s="18" t="s">
        <v>36</v>
      </c>
      <c r="F471" s="18" t="s">
        <v>36</v>
      </c>
      <c r="J471" s="19"/>
      <c r="K471" s="19">
        <v>0.18479999999999999</v>
      </c>
      <c r="L471" s="19">
        <v>7.1428570999999996E-2</v>
      </c>
      <c r="M471" s="19">
        <v>0.153</v>
      </c>
      <c r="N471" s="19">
        <v>0.1048</v>
      </c>
      <c r="O471" s="19">
        <v>0.20749999999999999</v>
      </c>
      <c r="P471" s="19">
        <v>0.2059</v>
      </c>
      <c r="Q471" s="19">
        <v>0.114335664</v>
      </c>
      <c r="R471" s="20">
        <v>17986</v>
      </c>
      <c r="S471" s="21" t="str">
        <f>HYPERLINK("https://www.collegeforalltexans.com/apps/CollegeMoney/", "$13251")</f>
        <v>$13251</v>
      </c>
      <c r="T471" s="20">
        <v>15874</v>
      </c>
      <c r="U471" s="20">
        <v>17827</v>
      </c>
      <c r="V471" s="20">
        <v>6420</v>
      </c>
      <c r="W471" s="20">
        <v>6831.3699059561131</v>
      </c>
      <c r="Y471" s="19">
        <v>0.33860000000000001</v>
      </c>
      <c r="Z471" s="19">
        <v>0.8679</v>
      </c>
      <c r="AB471" s="18">
        <v>56976</v>
      </c>
    </row>
    <row r="472" spans="1:28" ht="15.75" customHeight="1" x14ac:dyDescent="0.2">
      <c r="A472" s="36" t="str">
        <f>HYPERLINK("https://www.howardcollege.edu", "Howard College")</f>
        <v>Howard College</v>
      </c>
      <c r="B472" s="18" t="s">
        <v>49</v>
      </c>
      <c r="C472" s="18" t="s">
        <v>146</v>
      </c>
      <c r="D472" s="18" t="s">
        <v>1428</v>
      </c>
      <c r="E472" s="18" t="s">
        <v>36</v>
      </c>
      <c r="F472" s="18" t="s">
        <v>36</v>
      </c>
      <c r="J472" s="19"/>
      <c r="K472" s="19">
        <v>0.23019999999999999</v>
      </c>
      <c r="L472" s="19">
        <v>0.231884058</v>
      </c>
      <c r="M472" s="19">
        <v>0.255</v>
      </c>
      <c r="N472" s="19">
        <v>9.0899999999999995E-2</v>
      </c>
      <c r="O472" s="19">
        <v>0.21179999999999999</v>
      </c>
      <c r="P472" s="19">
        <v>0.5</v>
      </c>
      <c r="Q472" s="19">
        <v>8.2393754999999999E-2</v>
      </c>
      <c r="R472" s="20">
        <v>14094</v>
      </c>
      <c r="S472" s="21" t="str">
        <f>HYPERLINK("https://www.collegeforalltexans.com/apps/CollegeMoney/", "$7942")</f>
        <v>$7942</v>
      </c>
      <c r="T472" s="20">
        <v>10852</v>
      </c>
      <c r="U472" s="20">
        <v>12905</v>
      </c>
      <c r="V472" s="20">
        <v>3840</v>
      </c>
      <c r="W472" s="20">
        <v>4102.6710526315792</v>
      </c>
      <c r="Y472" s="19">
        <v>0.219</v>
      </c>
      <c r="Z472" s="19">
        <v>0.60389999999999999</v>
      </c>
      <c r="AB472" s="18">
        <v>2093</v>
      </c>
    </row>
    <row r="473" spans="1:28" ht="15.75" customHeight="1" x14ac:dyDescent="0.2">
      <c r="A473" s="36" t="str">
        <f>HYPERLINK("https://www.howardcc.edu", "Howard Community College")</f>
        <v>Howard Community College</v>
      </c>
      <c r="B473" s="18" t="s">
        <v>49</v>
      </c>
      <c r="C473" s="18" t="s">
        <v>124</v>
      </c>
      <c r="D473" s="18" t="s">
        <v>165</v>
      </c>
      <c r="E473" s="18" t="s">
        <v>36</v>
      </c>
      <c r="F473" s="18" t="s">
        <v>36</v>
      </c>
      <c r="J473" s="19"/>
      <c r="K473" s="19">
        <v>0.192</v>
      </c>
      <c r="L473" s="19">
        <v>0.183505155</v>
      </c>
      <c r="M473" s="19">
        <v>0.26069999999999999</v>
      </c>
      <c r="N473" s="19">
        <v>0.1133</v>
      </c>
      <c r="O473" s="19">
        <v>0.1774</v>
      </c>
      <c r="P473" s="19">
        <v>0.1908</v>
      </c>
      <c r="Q473" s="19">
        <v>0.12956204399999999</v>
      </c>
      <c r="R473" s="20">
        <v>28827</v>
      </c>
      <c r="S473" s="21" t="str">
        <f>HYPERLINK("https://www.howardcc.edu/admissions-aid/pay-for-college/financial-aid/Net_Price_Calculator.html", "$23182")</f>
        <v>$23182</v>
      </c>
      <c r="T473" s="20">
        <v>25451</v>
      </c>
      <c r="U473" s="20">
        <v>27691</v>
      </c>
      <c r="V473" s="20">
        <v>5640</v>
      </c>
      <c r="W473" s="20">
        <v>17542.822404371589</v>
      </c>
      <c r="Y473" s="19">
        <v>0.28920000000000001</v>
      </c>
      <c r="Z473" s="19">
        <v>0.67009999999999992</v>
      </c>
      <c r="AB473" s="18">
        <v>8943</v>
      </c>
    </row>
    <row r="474" spans="1:28" ht="15.75" customHeight="1" x14ac:dyDescent="0.2">
      <c r="A474" s="36" t="str">
        <f>HYPERLINK("https://www.hccc.edu", "SUNY Hudson Valley Community College")</f>
        <v>SUNY Hudson Valley Community College</v>
      </c>
      <c r="B474" s="18" t="s">
        <v>49</v>
      </c>
      <c r="C474" s="18" t="s">
        <v>141</v>
      </c>
      <c r="D474" s="18" t="s">
        <v>1004</v>
      </c>
      <c r="E474" s="18" t="s">
        <v>36</v>
      </c>
      <c r="F474" s="18" t="s">
        <v>36</v>
      </c>
      <c r="J474" s="19"/>
      <c r="K474" s="19">
        <v>0.1002</v>
      </c>
      <c r="L474" s="19">
        <v>0.116394606</v>
      </c>
      <c r="M474" s="19">
        <v>0.12330000000000001</v>
      </c>
      <c r="N474" s="19">
        <v>6.1199999999999997E-2</v>
      </c>
      <c r="O474" s="19">
        <v>0.10299999999999999</v>
      </c>
      <c r="P474" s="19">
        <v>0.16789999999999999</v>
      </c>
      <c r="Q474" s="19">
        <v>6.5074135000000005E-2</v>
      </c>
      <c r="R474" s="20">
        <v>28420</v>
      </c>
      <c r="S474" s="21" t="str">
        <f>HYPERLINK("https://www.hccc.edu/Net_Price_Calculator/", "$22756")</f>
        <v>$22756</v>
      </c>
      <c r="T474" s="20">
        <v>25932</v>
      </c>
      <c r="U474" s="20">
        <v>27125</v>
      </c>
      <c r="V474" s="20">
        <v>4550</v>
      </c>
      <c r="W474" s="20">
        <v>18206.825823223571</v>
      </c>
      <c r="Y474" s="19">
        <v>0.6179</v>
      </c>
      <c r="Z474" s="19">
        <v>0.88449999999999995</v>
      </c>
      <c r="AB474" s="18">
        <v>7984</v>
      </c>
    </row>
    <row r="475" spans="1:28" ht="15.75" customHeight="1" x14ac:dyDescent="0.2">
      <c r="A475" s="36" t="str">
        <f>HYPERLINK("https://www.hvcc.edu", "Hudson Valley Community College")</f>
        <v>Hudson Valley Community College</v>
      </c>
      <c r="B475" s="18" t="s">
        <v>49</v>
      </c>
      <c r="C475" s="18" t="s">
        <v>38</v>
      </c>
      <c r="D475" s="18" t="s">
        <v>145</v>
      </c>
      <c r="E475" s="18" t="s">
        <v>36</v>
      </c>
      <c r="F475" s="18" t="s">
        <v>36</v>
      </c>
      <c r="G475" s="18" t="s">
        <v>51</v>
      </c>
      <c r="J475" s="19"/>
      <c r="K475" s="19">
        <v>0.28489999999999999</v>
      </c>
      <c r="L475" s="19">
        <v>0.25601750600000001</v>
      </c>
      <c r="M475" s="19">
        <v>0.32350000000000001</v>
      </c>
      <c r="N475" s="19">
        <v>0.1149</v>
      </c>
      <c r="O475" s="19">
        <v>0.15</v>
      </c>
      <c r="P475" s="19">
        <v>0.35289999999999999</v>
      </c>
      <c r="Q475" s="19">
        <v>7.8865979000000003E-2</v>
      </c>
      <c r="R475" s="20" t="s">
        <v>36</v>
      </c>
      <c r="S475" s="21" t="str">
        <f>HYPERLINK("https://www.hvcc.edu/npc/index.html", "$6613")</f>
        <v>$6613</v>
      </c>
      <c r="T475" s="20">
        <v>10847</v>
      </c>
      <c r="U475" s="20">
        <v>12601</v>
      </c>
      <c r="V475" s="20" t="s">
        <v>36</v>
      </c>
      <c r="W475" s="20" t="s">
        <v>36</v>
      </c>
      <c r="Y475" s="19">
        <v>0.2671</v>
      </c>
      <c r="Z475" s="19">
        <v>0.29970000000000002</v>
      </c>
      <c r="AB475" s="18">
        <v>7695</v>
      </c>
    </row>
    <row r="476" spans="1:28" ht="15.75" customHeight="1" x14ac:dyDescent="0.2">
      <c r="A476" s="36" t="str">
        <f>HYPERLINK("https://www.huertas.edu", "Huertas College")</f>
        <v>Huertas College</v>
      </c>
      <c r="B476" s="18" t="s">
        <v>368</v>
      </c>
      <c r="C476" s="18" t="s">
        <v>284</v>
      </c>
      <c r="D476" s="18" t="s">
        <v>1214</v>
      </c>
      <c r="E476" s="18" t="s">
        <v>36</v>
      </c>
      <c r="F476" s="18" t="s">
        <v>36</v>
      </c>
      <c r="J476" s="19"/>
      <c r="K476" s="19">
        <v>0.4118</v>
      </c>
      <c r="L476" s="19">
        <v>8.2623508999999998E-2</v>
      </c>
      <c r="M476" s="19" t="s">
        <v>36</v>
      </c>
      <c r="N476" s="19" t="s">
        <v>36</v>
      </c>
      <c r="O476" s="19">
        <v>0.4118</v>
      </c>
      <c r="P476" s="19" t="s">
        <v>36</v>
      </c>
      <c r="Q476" s="19">
        <v>6.9892472999999997E-2</v>
      </c>
      <c r="R476" s="20">
        <v>15766</v>
      </c>
      <c r="S476" s="21" t="str">
        <f>HYPERLINK("https://www.huertas.edu", "$8418")</f>
        <v>$8418</v>
      </c>
      <c r="T476" s="20">
        <v>7928</v>
      </c>
      <c r="U476" s="20">
        <v>10065</v>
      </c>
      <c r="V476" s="20">
        <v>4139</v>
      </c>
      <c r="W476" s="20">
        <v>4279</v>
      </c>
      <c r="Y476" s="19">
        <v>0.89249999999999996</v>
      </c>
      <c r="Z476" s="19">
        <v>1</v>
      </c>
      <c r="AB476" s="18">
        <v>727</v>
      </c>
    </row>
    <row r="477" spans="1:28" ht="15.75" customHeight="1" x14ac:dyDescent="0.2">
      <c r="A477" s="36" t="str">
        <f>HYPERLINK("https://www.hccpr.edu", "Humacao Community College")</f>
        <v>Humacao Community College</v>
      </c>
      <c r="B477" s="18" t="s">
        <v>32</v>
      </c>
      <c r="C477" s="18" t="s">
        <v>284</v>
      </c>
      <c r="D477" s="18" t="s">
        <v>1050</v>
      </c>
      <c r="E477" s="18" t="s">
        <v>36</v>
      </c>
      <c r="F477" s="18" t="s">
        <v>36</v>
      </c>
      <c r="J477" s="19"/>
      <c r="K477" s="19">
        <v>0.67879999999999996</v>
      </c>
      <c r="L477" s="19" t="s">
        <v>36</v>
      </c>
      <c r="M477" s="19" t="s">
        <v>36</v>
      </c>
      <c r="N477" s="19" t="s">
        <v>36</v>
      </c>
      <c r="O477" s="19">
        <v>0.67879999999999996</v>
      </c>
      <c r="P477" s="19" t="s">
        <v>36</v>
      </c>
      <c r="Q477" s="19">
        <v>4.1436463999999999E-2</v>
      </c>
      <c r="R477" s="20">
        <v>11202</v>
      </c>
      <c r="S477" s="21" t="str">
        <f>HYPERLINK("https://www.hccpr.edu", "$3116")</f>
        <v>$3116</v>
      </c>
      <c r="T477" s="20">
        <v>4245</v>
      </c>
      <c r="U477" s="20" t="s">
        <v>36</v>
      </c>
      <c r="V477" s="20">
        <v>3200</v>
      </c>
      <c r="W477" s="20">
        <v>-84</v>
      </c>
      <c r="Y477" s="19">
        <v>0.95540000000000003</v>
      </c>
      <c r="Z477" s="19">
        <v>1</v>
      </c>
      <c r="AB477" s="18">
        <v>468</v>
      </c>
    </row>
    <row r="478" spans="1:28" ht="15.75" customHeight="1" x14ac:dyDescent="0.2">
      <c r="A478" s="36" t="str">
        <f>HYPERLINK("https://hunterbusinessschool.edu", "Hunter Business School")</f>
        <v>Hunter Business School</v>
      </c>
      <c r="B478" s="18" t="s">
        <v>368</v>
      </c>
      <c r="C478" s="18" t="s">
        <v>38</v>
      </c>
      <c r="D478" s="18" t="s">
        <v>1429</v>
      </c>
      <c r="E478" s="18" t="s">
        <v>36</v>
      </c>
      <c r="F478" s="18" t="s">
        <v>36</v>
      </c>
      <c r="J478" s="19"/>
      <c r="K478" s="19">
        <v>0.8327</v>
      </c>
      <c r="L478" s="19">
        <v>0.67802384999999998</v>
      </c>
      <c r="M478" s="19">
        <v>0.84430000000000005</v>
      </c>
      <c r="N478" s="19">
        <v>0.81430000000000002</v>
      </c>
      <c r="O478" s="19">
        <v>0.80689999999999995</v>
      </c>
      <c r="P478" s="19">
        <v>0.875</v>
      </c>
      <c r="Q478" s="19" t="s">
        <v>36</v>
      </c>
      <c r="R478" s="20" t="s">
        <v>36</v>
      </c>
      <c r="S478" s="21" t="str">
        <f>HYPERLINK("https://www.hunterbusinessschool.edu/NetPriceCalculator/npcalc.htm", "$12877")</f>
        <v>$12877</v>
      </c>
      <c r="T478" s="20">
        <v>16433</v>
      </c>
      <c r="U478" s="20">
        <v>18365</v>
      </c>
      <c r="V478" s="20" t="s">
        <v>36</v>
      </c>
      <c r="W478" s="20" t="s">
        <v>36</v>
      </c>
      <c r="Y478" s="19">
        <v>0.67959999999999998</v>
      </c>
      <c r="Z478" s="19">
        <v>0.48020000000000002</v>
      </c>
      <c r="AB478" s="18">
        <v>1008</v>
      </c>
    </row>
    <row r="479" spans="1:28" ht="15.75" customHeight="1" x14ac:dyDescent="0.2">
      <c r="A479" s="36" t="str">
        <f>HYPERLINK("https://www.huntingtonjuniorcollege.edu", "Huntington Junior College")</f>
        <v>Huntington Junior College</v>
      </c>
      <c r="B479" s="18" t="s">
        <v>368</v>
      </c>
      <c r="C479" s="18" t="s">
        <v>574</v>
      </c>
      <c r="D479" s="18" t="s">
        <v>830</v>
      </c>
      <c r="E479" s="18" t="s">
        <v>36</v>
      </c>
      <c r="F479" s="18" t="s">
        <v>36</v>
      </c>
      <c r="J479" s="19"/>
      <c r="K479" s="19">
        <v>0.2455</v>
      </c>
      <c r="L479" s="19">
        <v>0.22736030800000001</v>
      </c>
      <c r="M479" s="19">
        <v>0.2273</v>
      </c>
      <c r="N479" s="19">
        <v>0.33329999999999999</v>
      </c>
      <c r="O479" s="19" t="s">
        <v>36</v>
      </c>
      <c r="P479" s="19" t="s">
        <v>36</v>
      </c>
      <c r="Q479" s="19" t="s">
        <v>36</v>
      </c>
      <c r="R479" s="20">
        <v>14895</v>
      </c>
      <c r="S479" s="21" t="str">
        <f>HYPERLINK("https://www.huntingtonjuniorcollege.edu/Financial-Aid/Net-Price-Calculator.aspx", "$8613")</f>
        <v>$8613</v>
      </c>
      <c r="T479" s="20">
        <v>10837</v>
      </c>
      <c r="U479" s="20">
        <v>11262</v>
      </c>
      <c r="V479" s="20">
        <v>1755</v>
      </c>
      <c r="W479" s="20">
        <v>6858</v>
      </c>
      <c r="Y479" s="19">
        <v>0.71960000000000002</v>
      </c>
      <c r="Z479" s="19">
        <v>0.19450000000000001</v>
      </c>
      <c r="AB479" s="18">
        <v>365</v>
      </c>
    </row>
    <row r="480" spans="1:28" ht="15.75" customHeight="1" x14ac:dyDescent="0.2">
      <c r="A480" s="36" t="str">
        <f>HYPERLINK("https://www.hbc1.edu", "Huntsville Bible College")</f>
        <v>Huntsville Bible College</v>
      </c>
      <c r="B480" s="18" t="s">
        <v>32</v>
      </c>
      <c r="C480" s="18" t="s">
        <v>300</v>
      </c>
      <c r="D480" s="18" t="s">
        <v>497</v>
      </c>
      <c r="E480" s="18" t="s">
        <v>36</v>
      </c>
      <c r="F480" s="18" t="s">
        <v>36</v>
      </c>
      <c r="J480" s="19"/>
      <c r="K480" s="19">
        <v>1</v>
      </c>
      <c r="L480" s="19" t="s">
        <v>36</v>
      </c>
      <c r="M480" s="19" t="s">
        <v>36</v>
      </c>
      <c r="N480" s="19">
        <v>1</v>
      </c>
      <c r="O480" s="19" t="s">
        <v>36</v>
      </c>
      <c r="P480" s="19" t="s">
        <v>36</v>
      </c>
      <c r="Q480" s="19" t="s">
        <v>36</v>
      </c>
      <c r="R480" s="20">
        <v>17425</v>
      </c>
      <c r="S480" s="21" t="str">
        <f>HYPERLINK("https://huntsvillebiblecollege.org/admissions/net-calculator", "Not reported")</f>
        <v>Not reported</v>
      </c>
      <c r="T480" s="20" t="s">
        <v>36</v>
      </c>
      <c r="U480" s="20" t="s">
        <v>36</v>
      </c>
      <c r="V480" s="20">
        <v>6115</v>
      </c>
      <c r="W480" s="20" t="s">
        <v>36</v>
      </c>
      <c r="Y480" s="19">
        <v>0.74790000000000001</v>
      </c>
      <c r="Z480" s="19">
        <v>0.98309999999999997</v>
      </c>
      <c r="AB480" s="18">
        <v>118</v>
      </c>
    </row>
    <row r="481" spans="1:28" ht="15.75" customHeight="1" x14ac:dyDescent="0.2">
      <c r="A481" s="36" t="str">
        <f>HYPERLINK("https://www.daymarcollege.edu", "Daymar College-Bowling Green")</f>
        <v>Daymar College-Bowling Green</v>
      </c>
      <c r="B481" s="18" t="s">
        <v>368</v>
      </c>
      <c r="C481" s="18" t="s">
        <v>205</v>
      </c>
      <c r="D481" s="18" t="s">
        <v>585</v>
      </c>
      <c r="E481" s="18" t="s">
        <v>36</v>
      </c>
      <c r="F481" s="18" t="s">
        <v>36</v>
      </c>
      <c r="J481" s="19"/>
      <c r="K481" s="19">
        <v>0.34289999999999998</v>
      </c>
      <c r="L481" s="19">
        <v>0.283942109</v>
      </c>
      <c r="M481" s="19">
        <v>0.3548</v>
      </c>
      <c r="N481" s="19">
        <v>0.5</v>
      </c>
      <c r="O481" s="19" t="s">
        <v>36</v>
      </c>
      <c r="P481" s="19">
        <v>0</v>
      </c>
      <c r="Q481" s="19">
        <v>2.5599129000000002E-2</v>
      </c>
      <c r="R481" s="20">
        <v>26988</v>
      </c>
      <c r="S481" s="21" t="str">
        <f>HYPERLINK("https://www.daymarcollege.edu/admissions/net-price-calculator", "$20826")</f>
        <v>$20826</v>
      </c>
      <c r="T481" s="20" t="s">
        <v>36</v>
      </c>
      <c r="U481" s="20" t="s">
        <v>36</v>
      </c>
      <c r="V481" s="20" t="s">
        <v>36</v>
      </c>
      <c r="W481" s="20" t="s">
        <v>36</v>
      </c>
      <c r="Y481" s="19">
        <v>0.82679999999999998</v>
      </c>
      <c r="Z481" s="19">
        <v>0.33679999999999999</v>
      </c>
      <c r="AB481" s="18">
        <v>288</v>
      </c>
    </row>
    <row r="482" spans="1:28" ht="15.75" customHeight="1" x14ac:dyDescent="0.2">
      <c r="A482" s="36" t="str">
        <f>HYPERLINK("https://www.daymarcollege.edu/", "Daymar Institute-Clarksville")</f>
        <v>Daymar Institute-Clarksville</v>
      </c>
      <c r="B482" s="18" t="s">
        <v>368</v>
      </c>
      <c r="C482" s="18" t="s">
        <v>174</v>
      </c>
      <c r="D482" s="18" t="s">
        <v>564</v>
      </c>
      <c r="E482" s="18" t="s">
        <v>36</v>
      </c>
      <c r="F482" s="18" t="s">
        <v>36</v>
      </c>
      <c r="J482" s="19"/>
      <c r="K482" s="19">
        <v>0.48570000000000002</v>
      </c>
      <c r="L482" s="19">
        <v>0.283942109</v>
      </c>
      <c r="M482" s="19">
        <v>0.51559999999999995</v>
      </c>
      <c r="N482" s="19">
        <v>0.42859999999999998</v>
      </c>
      <c r="O482" s="19">
        <v>0.44440000000000002</v>
      </c>
      <c r="P482" s="19" t="s">
        <v>36</v>
      </c>
      <c r="Q482" s="19">
        <v>2.5599129000000002E-2</v>
      </c>
      <c r="R482" s="20">
        <v>26988</v>
      </c>
      <c r="S482" s="21" t="str">
        <f>HYPERLINK("https://www.daymarcollege.edu/admissions/net-price-calculator", "$24781")</f>
        <v>$24781</v>
      </c>
      <c r="T482" s="20" t="s">
        <v>36</v>
      </c>
      <c r="U482" s="20" t="s">
        <v>36</v>
      </c>
      <c r="V482" s="20" t="s">
        <v>36</v>
      </c>
      <c r="W482" s="20" t="s">
        <v>36</v>
      </c>
      <c r="Y482" s="19">
        <v>0.76229999999999998</v>
      </c>
      <c r="Z482" s="19">
        <v>0.5776</v>
      </c>
      <c r="AB482" s="18">
        <v>1025</v>
      </c>
    </row>
    <row r="483" spans="1:28" ht="15.75" customHeight="1" x14ac:dyDescent="0.2">
      <c r="A483" s="36" t="str">
        <f>HYPERLINK("https://www.daymarcollege.edu", "Daymar Institute-Murfreesboro")</f>
        <v>Daymar Institute-Murfreesboro</v>
      </c>
      <c r="B483" s="18" t="s">
        <v>368</v>
      </c>
      <c r="C483" s="18" t="s">
        <v>174</v>
      </c>
      <c r="D483" s="18" t="s">
        <v>964</v>
      </c>
      <c r="E483" s="18" t="s">
        <v>36</v>
      </c>
      <c r="F483" s="18" t="s">
        <v>36</v>
      </c>
      <c r="J483" s="19"/>
      <c r="K483" s="19">
        <v>0.58330000000000004</v>
      </c>
      <c r="L483" s="19">
        <v>0.283942109</v>
      </c>
      <c r="M483" s="19">
        <v>0.65710000000000002</v>
      </c>
      <c r="N483" s="19">
        <v>0.22220000000000001</v>
      </c>
      <c r="O483" s="19">
        <v>1</v>
      </c>
      <c r="P483" s="19" t="s">
        <v>36</v>
      </c>
      <c r="Q483" s="19">
        <v>2.5599129000000002E-2</v>
      </c>
      <c r="R483" s="20">
        <v>26988</v>
      </c>
      <c r="S483" s="21" t="str">
        <f>HYPERLINK("https://www.daymarcollege.edu/admissions/net-price-calculator", "$20698")</f>
        <v>$20698</v>
      </c>
      <c r="T483" s="20" t="s">
        <v>36</v>
      </c>
      <c r="U483" s="20" t="s">
        <v>36</v>
      </c>
      <c r="V483" s="20" t="s">
        <v>36</v>
      </c>
      <c r="W483" s="20" t="s">
        <v>36</v>
      </c>
      <c r="Y483" s="19">
        <v>0.86560000000000004</v>
      </c>
      <c r="Z483" s="19">
        <v>0.50970000000000004</v>
      </c>
      <c r="AB483" s="18">
        <v>206</v>
      </c>
    </row>
    <row r="484" spans="1:28" ht="15.75" customHeight="1" x14ac:dyDescent="0.2">
      <c r="A484" s="36" t="str">
        <f>HYPERLINK("https://www.daymarcollege.edu", "Daymar Institute-Nashville")</f>
        <v>Daymar Institute-Nashville</v>
      </c>
      <c r="B484" s="18" t="s">
        <v>368</v>
      </c>
      <c r="C484" s="18" t="s">
        <v>174</v>
      </c>
      <c r="D484" s="18" t="s">
        <v>175</v>
      </c>
      <c r="E484" s="18" t="s">
        <v>36</v>
      </c>
      <c r="F484" s="18" t="s">
        <v>36</v>
      </c>
      <c r="J484" s="19"/>
      <c r="K484" s="19">
        <v>0.5</v>
      </c>
      <c r="L484" s="19">
        <v>0.283942109</v>
      </c>
      <c r="M484" s="19">
        <v>0.64290000000000003</v>
      </c>
      <c r="N484" s="19">
        <v>0.25</v>
      </c>
      <c r="O484" s="19">
        <v>1</v>
      </c>
      <c r="P484" s="19" t="s">
        <v>36</v>
      </c>
      <c r="Q484" s="19">
        <v>2.5599129000000002E-2</v>
      </c>
      <c r="R484" s="20">
        <v>26988</v>
      </c>
      <c r="S484" s="21" t="str">
        <f>HYPERLINK("https://www.daymarinstitute.edu/admissions/net-price-calculator", "$21439")</f>
        <v>$21439</v>
      </c>
      <c r="T484" s="20" t="s">
        <v>36</v>
      </c>
      <c r="U484" s="20" t="s">
        <v>36</v>
      </c>
      <c r="V484" s="20" t="s">
        <v>36</v>
      </c>
      <c r="W484" s="20" t="s">
        <v>36</v>
      </c>
      <c r="Y484" s="19">
        <v>0.84160000000000001</v>
      </c>
      <c r="Z484" s="19">
        <v>0.67930000000000001</v>
      </c>
      <c r="AB484" s="18">
        <v>237</v>
      </c>
    </row>
    <row r="485" spans="1:28" ht="15.75" customHeight="1" x14ac:dyDescent="0.2">
      <c r="A485" s="36" t="str">
        <f>HYPERLINK("https://www.hutchcc.edu", "Hutchinson Community College")</f>
        <v>Hutchinson Community College</v>
      </c>
      <c r="B485" s="18" t="s">
        <v>49</v>
      </c>
      <c r="C485" s="18" t="s">
        <v>307</v>
      </c>
      <c r="D485" s="18" t="s">
        <v>1430</v>
      </c>
      <c r="E485" s="18" t="s">
        <v>36</v>
      </c>
      <c r="F485" s="18" t="s">
        <v>36</v>
      </c>
      <c r="J485" s="19"/>
      <c r="K485" s="19">
        <v>0.37990000000000002</v>
      </c>
      <c r="L485" s="19">
        <v>0.216467464</v>
      </c>
      <c r="M485" s="19">
        <v>0.41970000000000002</v>
      </c>
      <c r="N485" s="19">
        <v>0.15790000000000001</v>
      </c>
      <c r="O485" s="19">
        <v>0.34410000000000002</v>
      </c>
      <c r="P485" s="19">
        <v>0</v>
      </c>
      <c r="Q485" s="19">
        <v>7.1059432000000006E-2</v>
      </c>
      <c r="R485" s="20">
        <v>15450</v>
      </c>
      <c r="S485" s="21" t="str">
        <f>HYPERLINK("https://www.hutchcc.edu/cost", "$9662")</f>
        <v>$9662</v>
      </c>
      <c r="T485" s="20">
        <v>11275</v>
      </c>
      <c r="U485" s="20">
        <v>13540</v>
      </c>
      <c r="V485" s="20">
        <v>5338</v>
      </c>
      <c r="W485" s="20">
        <v>4324.5393258426957</v>
      </c>
      <c r="Y485" s="19">
        <v>0.26250000000000001</v>
      </c>
      <c r="Z485" s="19">
        <v>0.32579999999999998</v>
      </c>
      <c r="AB485" s="18">
        <v>3739</v>
      </c>
    </row>
    <row r="486" spans="1:28" ht="15.75" customHeight="1" x14ac:dyDescent="0.2">
      <c r="A486" s="36" t="str">
        <f>HYPERLINK("https://www.iticollege.edu", "ITI Technical College")</f>
        <v>ITI Technical College</v>
      </c>
      <c r="B486" s="18" t="s">
        <v>368</v>
      </c>
      <c r="C486" s="18" t="s">
        <v>158</v>
      </c>
      <c r="D486" s="18" t="s">
        <v>398</v>
      </c>
      <c r="E486" s="18" t="s">
        <v>36</v>
      </c>
      <c r="F486" s="18" t="s">
        <v>36</v>
      </c>
      <c r="J486" s="19"/>
      <c r="K486" s="19">
        <v>0.59570000000000001</v>
      </c>
      <c r="L486" s="19">
        <v>0.61931818199999999</v>
      </c>
      <c r="M486" s="19">
        <v>0.67390000000000005</v>
      </c>
      <c r="N486" s="19">
        <v>0.49440000000000001</v>
      </c>
      <c r="O486" s="19" t="s">
        <v>36</v>
      </c>
      <c r="P486" s="19" t="s">
        <v>36</v>
      </c>
      <c r="Q486" s="19" t="s">
        <v>36</v>
      </c>
      <c r="R486" s="20">
        <v>26054</v>
      </c>
      <c r="S486" s="21" t="str">
        <f>HYPERLINK("https://www.iticollege.edu/npcalc.htm", "$18844")</f>
        <v>$18844</v>
      </c>
      <c r="T486" s="20">
        <v>21278</v>
      </c>
      <c r="U486" s="20">
        <v>22757</v>
      </c>
      <c r="V486" s="20">
        <v>10007</v>
      </c>
      <c r="W486" s="20">
        <v>8837</v>
      </c>
      <c r="Y486" s="19">
        <v>0.52529999999999999</v>
      </c>
      <c r="Z486" s="19">
        <v>0.50480000000000003</v>
      </c>
      <c r="AB486" s="18">
        <v>622</v>
      </c>
    </row>
    <row r="487" spans="1:28" ht="15.75" customHeight="1" x14ac:dyDescent="0.2">
      <c r="A487" s="36" t="str">
        <f>HYPERLINK("https://icc.edu", "Illinois Central College")</f>
        <v>Illinois Central College</v>
      </c>
      <c r="B487" s="18" t="s">
        <v>49</v>
      </c>
      <c r="C487" s="18" t="s">
        <v>137</v>
      </c>
      <c r="D487" s="18" t="s">
        <v>1431</v>
      </c>
      <c r="E487" s="18" t="s">
        <v>36</v>
      </c>
      <c r="F487" s="18" t="s">
        <v>36</v>
      </c>
      <c r="J487" s="19"/>
      <c r="K487" s="19">
        <v>0.36749999999999999</v>
      </c>
      <c r="L487" s="19">
        <v>0.14369501500000001</v>
      </c>
      <c r="M487" s="19">
        <v>0.39650000000000002</v>
      </c>
      <c r="N487" s="19">
        <v>0.19750000000000001</v>
      </c>
      <c r="O487" s="19">
        <v>0.23910000000000001</v>
      </c>
      <c r="P487" s="19">
        <v>0.4375</v>
      </c>
      <c r="Q487" s="19">
        <v>8.5625000000000007E-2</v>
      </c>
      <c r="R487" s="20">
        <v>23400</v>
      </c>
      <c r="S487" s="21" t="str">
        <f>HYPERLINK("https://icc.edu/media/NetPriceCalculator/", "$17371")</f>
        <v>$17371</v>
      </c>
      <c r="T487" s="20">
        <v>20091</v>
      </c>
      <c r="U487" s="20">
        <v>22391</v>
      </c>
      <c r="V487" s="20">
        <v>5400</v>
      </c>
      <c r="W487" s="20">
        <v>11971.090277777779</v>
      </c>
      <c r="Y487" s="19">
        <v>0.25380000000000003</v>
      </c>
      <c r="Z487" s="19">
        <v>0.25729999999999997</v>
      </c>
      <c r="AB487" s="18">
        <v>6875</v>
      </c>
    </row>
    <row r="488" spans="1:28" ht="15.75" customHeight="1" x14ac:dyDescent="0.2">
      <c r="A488" s="36" t="str">
        <f>HYPERLINK("https://www.imperial.edu", "Imperial Valley College")</f>
        <v>Imperial Valley College</v>
      </c>
      <c r="B488" s="18" t="s">
        <v>49</v>
      </c>
      <c r="C488" s="18" t="s">
        <v>68</v>
      </c>
      <c r="D488" s="18" t="s">
        <v>1432</v>
      </c>
      <c r="E488" s="18" t="s">
        <v>36</v>
      </c>
      <c r="F488" s="18" t="s">
        <v>36</v>
      </c>
      <c r="J488" s="19"/>
      <c r="K488" s="19">
        <v>0.27289999999999998</v>
      </c>
      <c r="L488" s="19">
        <v>5.1810237000000002E-2</v>
      </c>
      <c r="M488" s="19">
        <v>5.7099999999999998E-2</v>
      </c>
      <c r="N488" s="19">
        <v>0</v>
      </c>
      <c r="O488" s="19">
        <v>0.27660000000000001</v>
      </c>
      <c r="P488" s="19" t="s">
        <v>36</v>
      </c>
      <c r="Q488" s="19">
        <v>8.6483931999999999E-2</v>
      </c>
      <c r="R488" s="20">
        <v>23612</v>
      </c>
      <c r="S488" s="21" t="str">
        <f>HYPERLINK("https://www.imperial.edu/students/financial-aid-and-scholarships/cost-of-attendance/", "$15712")</f>
        <v>$15712</v>
      </c>
      <c r="T488" s="20">
        <v>19108</v>
      </c>
      <c r="U488" s="20">
        <v>20752</v>
      </c>
      <c r="V488" s="20">
        <v>6345</v>
      </c>
      <c r="W488" s="20">
        <v>9367.1166180758009</v>
      </c>
      <c r="Y488" s="19">
        <v>0.52969999999999995</v>
      </c>
      <c r="Z488" s="19">
        <v>0.95950000000000002</v>
      </c>
      <c r="AB488" s="18">
        <v>7360</v>
      </c>
    </row>
    <row r="489" spans="1:28" ht="15.75" customHeight="1" x14ac:dyDescent="0.2">
      <c r="A489" s="36" t="str">
        <f>HYPERLINK("https://www.indycc.edu", "Independence Community College")</f>
        <v>Independence Community College</v>
      </c>
      <c r="B489" s="18" t="s">
        <v>49</v>
      </c>
      <c r="C489" s="18" t="s">
        <v>307</v>
      </c>
      <c r="D489" s="18" t="s">
        <v>801</v>
      </c>
      <c r="E489" s="18" t="s">
        <v>36</v>
      </c>
      <c r="F489" s="18" t="s">
        <v>36</v>
      </c>
      <c r="J489" s="19"/>
      <c r="K489" s="19">
        <v>0.2167</v>
      </c>
      <c r="L489" s="19">
        <v>0.198275862</v>
      </c>
      <c r="M489" s="19">
        <v>0.20380000000000001</v>
      </c>
      <c r="N489" s="19">
        <v>0.32650000000000001</v>
      </c>
      <c r="O489" s="19">
        <v>0</v>
      </c>
      <c r="P489" s="19" t="s">
        <v>36</v>
      </c>
      <c r="Q489" s="19">
        <v>0.10218978099999999</v>
      </c>
      <c r="R489" s="20">
        <v>12288</v>
      </c>
      <c r="S489" s="21" t="str">
        <f>HYPERLINK("https://www.indycc.edu/financial-aid/files/npc/npcalc.htm", "$6232")</f>
        <v>$6232</v>
      </c>
      <c r="T489" s="20">
        <v>8068</v>
      </c>
      <c r="U489" s="20">
        <v>10888</v>
      </c>
      <c r="V489" s="20">
        <v>2800</v>
      </c>
      <c r="W489" s="20">
        <v>3432.30303030303</v>
      </c>
      <c r="Y489" s="19">
        <v>0.34789999999999999</v>
      </c>
      <c r="Z489" s="19">
        <v>0.47139999999999999</v>
      </c>
      <c r="AB489" s="18">
        <v>577</v>
      </c>
    </row>
    <row r="490" spans="1:28" ht="15.75" customHeight="1" x14ac:dyDescent="0.2">
      <c r="A490" s="36" t="str">
        <f>HYPERLINK("https://www.independence.edu", "Independence University")</f>
        <v>Independence University</v>
      </c>
      <c r="B490" s="18" t="s">
        <v>32</v>
      </c>
      <c r="C490" s="18" t="s">
        <v>199</v>
      </c>
      <c r="D490" s="18" t="s">
        <v>525</v>
      </c>
      <c r="E490" s="18" t="s">
        <v>36</v>
      </c>
      <c r="F490" s="18" t="s">
        <v>36</v>
      </c>
      <c r="J490" s="19"/>
      <c r="K490" s="19">
        <v>0.26069999999999999</v>
      </c>
      <c r="L490" s="19">
        <v>0.28829685999999999</v>
      </c>
      <c r="M490" s="19">
        <v>0.31359999999999999</v>
      </c>
      <c r="N490" s="19">
        <v>0.125</v>
      </c>
      <c r="O490" s="19">
        <v>0.1</v>
      </c>
      <c r="P490" s="19">
        <v>0.4</v>
      </c>
      <c r="Q490" s="19">
        <v>2.5635103999999999E-2</v>
      </c>
      <c r="R490" s="20">
        <v>33329</v>
      </c>
      <c r="S490" s="21" t="str">
        <f>HYPERLINK("https://www.independence.edu/net-price-calculator", "$28137")</f>
        <v>$28137</v>
      </c>
      <c r="T490" s="20">
        <v>30522</v>
      </c>
      <c r="U490" s="20">
        <v>31492</v>
      </c>
      <c r="V490" s="20">
        <v>7635</v>
      </c>
      <c r="W490" s="20">
        <v>20502</v>
      </c>
      <c r="Y490" s="19">
        <v>0.71440000000000003</v>
      </c>
      <c r="Z490" s="19">
        <v>0.75570000000000004</v>
      </c>
      <c r="AB490" s="18">
        <v>8278</v>
      </c>
    </row>
    <row r="491" spans="1:28" ht="15.75" customHeight="1" x14ac:dyDescent="0.2">
      <c r="A491" s="36" t="str">
        <f>HYPERLINK("https://www.indianhills.edu", "Indian Hills Community College")</f>
        <v>Indian Hills Community College</v>
      </c>
      <c r="B491" s="18" t="s">
        <v>49</v>
      </c>
      <c r="C491" s="18" t="s">
        <v>211</v>
      </c>
      <c r="D491" s="18" t="s">
        <v>1433</v>
      </c>
      <c r="E491" s="18" t="s">
        <v>36</v>
      </c>
      <c r="F491" s="18" t="s">
        <v>36</v>
      </c>
      <c r="J491" s="19"/>
      <c r="K491" s="19">
        <v>0.34639999999999999</v>
      </c>
      <c r="L491" s="19">
        <v>2.7591972999999999E-2</v>
      </c>
      <c r="M491" s="19">
        <v>0.38100000000000001</v>
      </c>
      <c r="N491" s="19">
        <v>0.1716</v>
      </c>
      <c r="O491" s="19">
        <v>0.20480000000000001</v>
      </c>
      <c r="P491" s="19">
        <v>0.375</v>
      </c>
      <c r="Q491" s="19">
        <v>9.6039604000000001E-2</v>
      </c>
      <c r="R491" s="20">
        <v>15936</v>
      </c>
      <c r="S491" s="21" t="str">
        <f>HYPERLINK("https://www.indianhills.edu/payingforcollege/netprice/npcalc.htm", "$10495")</f>
        <v>$10495</v>
      </c>
      <c r="T491" s="20">
        <v>12488</v>
      </c>
      <c r="U491" s="20">
        <v>15329</v>
      </c>
      <c r="V491" s="20">
        <v>4656</v>
      </c>
      <c r="W491" s="20">
        <v>5839.7619047619046</v>
      </c>
      <c r="Y491" s="19">
        <v>0.36530000000000001</v>
      </c>
      <c r="Z491" s="19">
        <v>0.28879999999999989</v>
      </c>
      <c r="AB491" s="18">
        <v>2143</v>
      </c>
    </row>
    <row r="492" spans="1:28" ht="15.75" customHeight="1" x14ac:dyDescent="0.2">
      <c r="A492" s="36" t="str">
        <f>HYPERLINK("https://www.irsc.edu", "Indian River State College")</f>
        <v>Indian River State College</v>
      </c>
      <c r="B492" s="18" t="s">
        <v>49</v>
      </c>
      <c r="C492" s="18" t="s">
        <v>162</v>
      </c>
      <c r="D492" s="18" t="s">
        <v>1434</v>
      </c>
      <c r="E492" s="18" t="s">
        <v>36</v>
      </c>
      <c r="F492" s="18" t="s">
        <v>36</v>
      </c>
      <c r="J492" s="19"/>
      <c r="K492" s="19">
        <v>0.38979999999999998</v>
      </c>
      <c r="L492" s="19">
        <v>0.13086335800000001</v>
      </c>
      <c r="M492" s="19">
        <v>0.43380000000000002</v>
      </c>
      <c r="N492" s="19">
        <v>0.26690000000000003</v>
      </c>
      <c r="O492" s="19">
        <v>0.39579999999999999</v>
      </c>
      <c r="P492" s="19">
        <v>0.4</v>
      </c>
      <c r="Q492" s="19">
        <v>9.3901259000000001E-2</v>
      </c>
      <c r="R492" s="20">
        <v>17921</v>
      </c>
      <c r="S492" s="21" t="str">
        <f>HYPERLINK("https://esweb.irsc.edu/Mariner/finaid/netprice/npcalc.htm", "$13018")</f>
        <v>$13018</v>
      </c>
      <c r="T492" s="20">
        <v>15560</v>
      </c>
      <c r="U492" s="20">
        <v>17644</v>
      </c>
      <c r="V492" s="20">
        <v>2020</v>
      </c>
      <c r="W492" s="20">
        <v>10998.056224899599</v>
      </c>
      <c r="Y492" s="19">
        <v>0.36880000000000002</v>
      </c>
      <c r="Z492" s="19">
        <v>0.48680000000000001</v>
      </c>
      <c r="AB492" s="18">
        <v>13631</v>
      </c>
    </row>
    <row r="493" spans="1:28" ht="15.75" customHeight="1" x14ac:dyDescent="0.2">
      <c r="A493" s="36" t="str">
        <f>HYPERLINK("https://www.ipr.edu", "Institute of Production and Recording")</f>
        <v>Institute of Production and Recording</v>
      </c>
      <c r="B493" s="18" t="s">
        <v>368</v>
      </c>
      <c r="C493" s="18" t="s">
        <v>72</v>
      </c>
      <c r="D493" s="18" t="s">
        <v>283</v>
      </c>
      <c r="E493" s="18" t="s">
        <v>36</v>
      </c>
      <c r="F493" s="18" t="s">
        <v>36</v>
      </c>
      <c r="J493" s="19"/>
      <c r="K493" s="19">
        <v>0.61819999999999997</v>
      </c>
      <c r="L493" s="19">
        <v>0.50476190499999996</v>
      </c>
      <c r="M493" s="19">
        <v>0.63160000000000005</v>
      </c>
      <c r="N493" s="19">
        <v>0.4</v>
      </c>
      <c r="O493" s="19">
        <v>0.66669999999999996</v>
      </c>
      <c r="P493" s="19" t="s">
        <v>36</v>
      </c>
      <c r="Q493" s="19" t="s">
        <v>36</v>
      </c>
      <c r="R493" s="20">
        <v>34170</v>
      </c>
      <c r="S493" s="21" t="str">
        <f>HYPERLINK("https://www.ipr.edu/tuition/net-price-calculator/", "$22320")</f>
        <v>$22320</v>
      </c>
      <c r="T493" s="20">
        <v>22631</v>
      </c>
      <c r="U493" s="20">
        <v>28236</v>
      </c>
      <c r="V493" s="20">
        <v>9558</v>
      </c>
      <c r="W493" s="20">
        <v>12762</v>
      </c>
      <c r="Y493" s="19">
        <v>0.21129999999999999</v>
      </c>
      <c r="Z493" s="19">
        <v>0.25979999999999998</v>
      </c>
      <c r="AB493" s="18">
        <v>204</v>
      </c>
    </row>
    <row r="494" spans="1:28" ht="15.75" customHeight="1" x14ac:dyDescent="0.2">
      <c r="A494" s="36" t="str">
        <f>HYPERLINK("https://www.de.gobierno.pr/", "Instituto Tecnologico de Puerto Rico-Recinto de Guayama")</f>
        <v>Instituto Tecnologico de Puerto Rico-Recinto de Guayama</v>
      </c>
      <c r="B494" s="18" t="s">
        <v>49</v>
      </c>
      <c r="C494" s="18" t="s">
        <v>284</v>
      </c>
      <c r="D494" s="18" t="s">
        <v>1435</v>
      </c>
      <c r="E494" s="18" t="s">
        <v>36</v>
      </c>
      <c r="F494" s="18" t="s">
        <v>36</v>
      </c>
      <c r="J494" s="19"/>
      <c r="K494" s="19">
        <v>0.95620000000000005</v>
      </c>
      <c r="L494" s="19" t="s">
        <v>36</v>
      </c>
      <c r="M494" s="19" t="s">
        <v>36</v>
      </c>
      <c r="N494" s="19" t="s">
        <v>36</v>
      </c>
      <c r="O494" s="19">
        <v>0.95620000000000005</v>
      </c>
      <c r="P494" s="19" t="s">
        <v>36</v>
      </c>
      <c r="Q494" s="19">
        <v>0.109986505</v>
      </c>
      <c r="R494" s="20">
        <v>9125</v>
      </c>
      <c r="S494" s="21" t="str">
        <f>HYPERLINK("https://www.itecguayama.com", "$5882")</f>
        <v>$5882</v>
      </c>
      <c r="T494" s="20">
        <v>9047</v>
      </c>
      <c r="U494" s="20" t="s">
        <v>36</v>
      </c>
      <c r="V494" s="20">
        <v>5500</v>
      </c>
      <c r="W494" s="20">
        <v>382.23076923076951</v>
      </c>
      <c r="Y494" s="19">
        <v>0.76629999999999998</v>
      </c>
      <c r="Z494" s="19">
        <v>1</v>
      </c>
      <c r="AB494" s="18">
        <v>622</v>
      </c>
    </row>
    <row r="495" spans="1:28" ht="15.75" customHeight="1" x14ac:dyDescent="0.2">
      <c r="A495" s="36" t="str">
        <f>HYPERLINK("https://itec.pr/ITPR-Joomla/", "Instituto Tecnologico de Puerto Rico-Recinto de Manati")</f>
        <v>Instituto Tecnologico de Puerto Rico-Recinto de Manati</v>
      </c>
      <c r="B495" s="18" t="s">
        <v>49</v>
      </c>
      <c r="C495" s="18" t="s">
        <v>284</v>
      </c>
      <c r="D495" s="18" t="s">
        <v>925</v>
      </c>
      <c r="E495" s="18" t="s">
        <v>36</v>
      </c>
      <c r="F495" s="18" t="s">
        <v>45</v>
      </c>
      <c r="J495" s="19"/>
      <c r="K495" s="19">
        <v>0.64219999999999999</v>
      </c>
      <c r="L495" s="19" t="s">
        <v>36</v>
      </c>
      <c r="M495" s="19" t="s">
        <v>36</v>
      </c>
      <c r="N495" s="19" t="s">
        <v>36</v>
      </c>
      <c r="O495" s="19">
        <v>0.64219999999999999</v>
      </c>
      <c r="P495" s="19" t="s">
        <v>36</v>
      </c>
      <c r="Q495" s="19">
        <v>0.109986505</v>
      </c>
      <c r="R495" s="20">
        <v>7025</v>
      </c>
      <c r="S495" s="21" t="str">
        <f>HYPERLINK("https://itec.pr", "$5167")</f>
        <v>$5167</v>
      </c>
      <c r="T495" s="20">
        <v>5482</v>
      </c>
      <c r="U495" s="20" t="s">
        <v>36</v>
      </c>
      <c r="V495" s="20">
        <v>2800</v>
      </c>
      <c r="W495" s="20">
        <v>2367.0176678445232</v>
      </c>
      <c r="Y495" s="19">
        <v>0.8992</v>
      </c>
      <c r="Z495" s="19">
        <v>1</v>
      </c>
      <c r="AB495" s="18">
        <v>647</v>
      </c>
    </row>
    <row r="496" spans="1:28" ht="15.75" customHeight="1" x14ac:dyDescent="0.2">
      <c r="A496" s="36" t="str">
        <f>HYPERLINK("https://itec.dde.pr", "Instituto Tecnologico de Puerto Rico-Recinto de Ponce")</f>
        <v>Instituto Tecnologico de Puerto Rico-Recinto de Ponce</v>
      </c>
      <c r="B496" s="18" t="s">
        <v>49</v>
      </c>
      <c r="C496" s="18" t="s">
        <v>284</v>
      </c>
      <c r="D496" s="18" t="s">
        <v>1332</v>
      </c>
      <c r="E496" s="18" t="s">
        <v>36</v>
      </c>
      <c r="F496" s="18" t="s">
        <v>45</v>
      </c>
      <c r="J496" s="19"/>
      <c r="K496" s="19">
        <v>0.74470000000000003</v>
      </c>
      <c r="L496" s="19" t="s">
        <v>36</v>
      </c>
      <c r="M496" s="19" t="s">
        <v>36</v>
      </c>
      <c r="N496" s="19" t="s">
        <v>36</v>
      </c>
      <c r="O496" s="19">
        <v>0.74470000000000003</v>
      </c>
      <c r="P496" s="19" t="s">
        <v>36</v>
      </c>
      <c r="Q496" s="19">
        <v>0.109986505</v>
      </c>
      <c r="R496" s="20">
        <v>8330</v>
      </c>
      <c r="S496" s="21" t="str">
        <f>HYPERLINK("https://itec.dde.pr", "$6472")</f>
        <v>$6472</v>
      </c>
      <c r="T496" s="20">
        <v>6787</v>
      </c>
      <c r="U496" s="20" t="s">
        <v>36</v>
      </c>
      <c r="V496" s="20">
        <v>5100</v>
      </c>
      <c r="W496" s="20">
        <v>1372.1103678929769</v>
      </c>
      <c r="Y496" s="19">
        <v>0.89900000000000002</v>
      </c>
      <c r="Z496" s="19">
        <v>1</v>
      </c>
      <c r="AB496" s="18">
        <v>349</v>
      </c>
    </row>
    <row r="497" spans="1:28" ht="15.75" customHeight="1" x14ac:dyDescent="0.2">
      <c r="A497" s="36" t="str">
        <f>HYPERLINK("https://itec.pr/ITPR-Joomla/index.php?option=com_content&amp;view=article&amp;id=97&amp;Itemid=112", "Instituto Tecnologico de Puerto Rico-Recinto de San Juan")</f>
        <v>Instituto Tecnologico de Puerto Rico-Recinto de San Juan</v>
      </c>
      <c r="B497" s="18" t="s">
        <v>49</v>
      </c>
      <c r="C497" s="18" t="s">
        <v>284</v>
      </c>
      <c r="D497" s="18" t="s">
        <v>285</v>
      </c>
      <c r="E497" s="18" t="s">
        <v>36</v>
      </c>
      <c r="F497" s="18" t="s">
        <v>45</v>
      </c>
      <c r="J497" s="19"/>
      <c r="K497" s="19">
        <v>0.64419999999999999</v>
      </c>
      <c r="L497" s="19" t="s">
        <v>36</v>
      </c>
      <c r="M497" s="19" t="s">
        <v>36</v>
      </c>
      <c r="N497" s="19" t="s">
        <v>36</v>
      </c>
      <c r="O497" s="19">
        <v>0.64419999999999999</v>
      </c>
      <c r="P497" s="19" t="s">
        <v>36</v>
      </c>
      <c r="Q497" s="19">
        <v>0.109986505</v>
      </c>
      <c r="R497" s="20">
        <v>5605</v>
      </c>
      <c r="S497" s="21" t="str">
        <f>HYPERLINK("https://itec.pr/ITPR-Joomla/index.php?option=com_content&amp;view=article&amp;id=97&amp;Itemid=112", "$1584")</f>
        <v>$1584</v>
      </c>
      <c r="T497" s="20">
        <v>4305</v>
      </c>
      <c r="U497" s="20" t="s">
        <v>36</v>
      </c>
      <c r="V497" s="20">
        <v>2000</v>
      </c>
      <c r="W497" s="20">
        <v>-415.57575757575751</v>
      </c>
      <c r="Y497" s="19">
        <v>0.72599999999999998</v>
      </c>
      <c r="Z497" s="19">
        <v>1</v>
      </c>
      <c r="AB497" s="18">
        <v>636</v>
      </c>
    </row>
    <row r="498" spans="1:28" ht="15.75" customHeight="1" x14ac:dyDescent="0.2">
      <c r="A498" s="36" t="str">
        <f>HYPERLINK("https://www.IntelliTecCollege.com", "Intellitec College-Colorado Springs")</f>
        <v>Intellitec College-Colorado Springs</v>
      </c>
      <c r="B498" s="18" t="s">
        <v>368</v>
      </c>
      <c r="C498" s="18" t="s">
        <v>87</v>
      </c>
      <c r="D498" s="18" t="s">
        <v>88</v>
      </c>
      <c r="E498" s="18" t="s">
        <v>36</v>
      </c>
      <c r="F498" s="18" t="s">
        <v>36</v>
      </c>
      <c r="J498" s="19"/>
      <c r="K498" s="19">
        <v>0.5726</v>
      </c>
      <c r="L498" s="19">
        <v>0.47546012300000001</v>
      </c>
      <c r="M498" s="19">
        <v>0.59009999999999996</v>
      </c>
      <c r="N498" s="19">
        <v>0.51349999999999996</v>
      </c>
      <c r="O498" s="19">
        <v>0.5161</v>
      </c>
      <c r="P498" s="19">
        <v>1</v>
      </c>
      <c r="Q498" s="19" t="s">
        <v>36</v>
      </c>
      <c r="R498" s="20" t="s">
        <v>36</v>
      </c>
      <c r="S498" s="21" t="str">
        <f>HYPERLINK("https://www.intelliteccollege.com/your-right-to-know/institution_netpricecalculator_cs/npcalc.htm", "$17407")</f>
        <v>$17407</v>
      </c>
      <c r="T498" s="20">
        <v>17504</v>
      </c>
      <c r="U498" s="20">
        <v>20503</v>
      </c>
      <c r="V498" s="20" t="s">
        <v>36</v>
      </c>
      <c r="W498" s="20" t="s">
        <v>36</v>
      </c>
      <c r="Y498" s="19">
        <v>0.45319999999999999</v>
      </c>
      <c r="Z498" s="19">
        <v>0.43309999999999998</v>
      </c>
      <c r="AB498" s="18">
        <v>635</v>
      </c>
    </row>
    <row r="499" spans="1:28" ht="15.75" customHeight="1" x14ac:dyDescent="0.2">
      <c r="A499" s="36" t="str">
        <f>HYPERLINK("https://www.ict.edu/pasadena-colleges-in-pasadena-tx/", "Interactive College of Technology")</f>
        <v>Interactive College of Technology</v>
      </c>
      <c r="B499" s="18" t="s">
        <v>368</v>
      </c>
      <c r="C499" s="18" t="s">
        <v>146</v>
      </c>
      <c r="D499" s="18" t="s">
        <v>69</v>
      </c>
      <c r="E499" s="18" t="s">
        <v>36</v>
      </c>
      <c r="F499" s="18" t="s">
        <v>36</v>
      </c>
      <c r="J499" s="19"/>
      <c r="K499" s="19">
        <v>0.33329999999999999</v>
      </c>
      <c r="L499" s="19" t="s">
        <v>36</v>
      </c>
      <c r="M499" s="19" t="s">
        <v>36</v>
      </c>
      <c r="N499" s="19">
        <v>0</v>
      </c>
      <c r="O499" s="19">
        <v>0.36359999999999998</v>
      </c>
      <c r="P499" s="19" t="s">
        <v>36</v>
      </c>
      <c r="Q499" s="19" t="s">
        <v>36</v>
      </c>
      <c r="R499" s="20">
        <v>19214</v>
      </c>
      <c r="S499" s="21" t="str">
        <f>HYPERLINK("https://www.ict.edu/net-price-calculator/", "$8786")</f>
        <v>$8786</v>
      </c>
      <c r="T499" s="20" t="s">
        <v>36</v>
      </c>
      <c r="U499" s="20" t="s">
        <v>36</v>
      </c>
      <c r="V499" s="20">
        <v>4700</v>
      </c>
      <c r="W499" s="20">
        <v>4086</v>
      </c>
      <c r="Y499" s="19">
        <v>0.78129999999999999</v>
      </c>
      <c r="Z499" s="19">
        <v>0.88239999999999996</v>
      </c>
      <c r="AB499" s="18">
        <v>17</v>
      </c>
    </row>
    <row r="500" spans="1:28" ht="15.75" customHeight="1" x14ac:dyDescent="0.2">
      <c r="A500" s="36" t="str">
        <f>HYPERLINK("https://idi.edu", "Interior Designers Institute")</f>
        <v>Interior Designers Institute</v>
      </c>
      <c r="B500" s="18" t="s">
        <v>368</v>
      </c>
      <c r="C500" s="18" t="s">
        <v>68</v>
      </c>
      <c r="D500" s="18" t="s">
        <v>1436</v>
      </c>
      <c r="E500" s="18" t="s">
        <v>36</v>
      </c>
      <c r="F500" s="18" t="s">
        <v>36</v>
      </c>
      <c r="J500" s="19"/>
      <c r="K500" s="19" t="s">
        <v>36</v>
      </c>
      <c r="L500" s="19" t="s">
        <v>36</v>
      </c>
      <c r="M500" s="19" t="s">
        <v>36</v>
      </c>
      <c r="N500" s="19" t="s">
        <v>36</v>
      </c>
      <c r="O500" s="19" t="s">
        <v>36</v>
      </c>
      <c r="P500" s="19" t="s">
        <v>36</v>
      </c>
      <c r="Q500" s="19" t="s">
        <v>36</v>
      </c>
      <c r="R500" s="20">
        <v>37292</v>
      </c>
      <c r="S500" s="21" t="str">
        <f>HYPERLINK("https://idi.edu/NetPriceCalculator/npcalc.htm", "Not reported")</f>
        <v>Not reported</v>
      </c>
      <c r="T500" s="20" t="s">
        <v>36</v>
      </c>
      <c r="U500" s="20" t="s">
        <v>36</v>
      </c>
      <c r="V500" s="20">
        <v>5749</v>
      </c>
      <c r="W500" s="20" t="s">
        <v>36</v>
      </c>
      <c r="Y500" s="19">
        <v>0.23580000000000001</v>
      </c>
      <c r="Z500" s="19">
        <v>0.30289999999999989</v>
      </c>
      <c r="AB500" s="18">
        <v>208</v>
      </c>
    </row>
    <row r="501" spans="1:28" ht="15.75" customHeight="1" x14ac:dyDescent="0.2">
      <c r="A501" s="36" t="str">
        <f>HYPERLINK("https://www.ibcfortwayne.edu", "International Business College-Fort Wayne")</f>
        <v>International Business College-Fort Wayne</v>
      </c>
      <c r="B501" s="18" t="s">
        <v>368</v>
      </c>
      <c r="C501" s="18" t="s">
        <v>148</v>
      </c>
      <c r="D501" s="18" t="s">
        <v>815</v>
      </c>
      <c r="E501" s="18" t="s">
        <v>36</v>
      </c>
      <c r="F501" s="18" t="s">
        <v>45</v>
      </c>
      <c r="J501" s="19"/>
      <c r="K501" s="19">
        <v>0.71550000000000002</v>
      </c>
      <c r="L501" s="19">
        <v>0.68524590200000002</v>
      </c>
      <c r="M501" s="19">
        <v>0.73370000000000002</v>
      </c>
      <c r="N501" s="19">
        <v>0.75</v>
      </c>
      <c r="O501" s="19">
        <v>0.5</v>
      </c>
      <c r="P501" s="19" t="s">
        <v>36</v>
      </c>
      <c r="Q501" s="19">
        <v>1.7133955999999999E-2</v>
      </c>
      <c r="R501" s="20">
        <v>24746</v>
      </c>
      <c r="S501" s="21" t="str">
        <f>HYPERLINK("https://www.ibcfortwayne.edu/aid", "$14800")</f>
        <v>$14800</v>
      </c>
      <c r="T501" s="20">
        <v>18800</v>
      </c>
      <c r="U501" s="20">
        <v>21319</v>
      </c>
      <c r="V501" s="20">
        <v>2406</v>
      </c>
      <c r="W501" s="20">
        <v>12394</v>
      </c>
      <c r="Y501" s="19">
        <v>0.5595</v>
      </c>
      <c r="Z501" s="19">
        <v>0.20080000000000001</v>
      </c>
      <c r="AB501" s="18">
        <v>244</v>
      </c>
    </row>
    <row r="502" spans="1:28" ht="15.75" customHeight="1" x14ac:dyDescent="0.2">
      <c r="A502" s="36" t="str">
        <f>HYPERLINK("https://www.ibcindianapolis.edu", "International Business College-Indianapolis")</f>
        <v>International Business College-Indianapolis</v>
      </c>
      <c r="B502" s="18" t="s">
        <v>368</v>
      </c>
      <c r="C502" s="18" t="s">
        <v>148</v>
      </c>
      <c r="D502" s="18" t="s">
        <v>316</v>
      </c>
      <c r="E502" s="18" t="s">
        <v>36</v>
      </c>
      <c r="F502" s="18" t="s">
        <v>45</v>
      </c>
      <c r="J502" s="19"/>
      <c r="K502" s="19">
        <v>0.7944</v>
      </c>
      <c r="L502" s="19">
        <v>0.68524590200000002</v>
      </c>
      <c r="M502" s="19">
        <v>0.79449999999999998</v>
      </c>
      <c r="N502" s="19">
        <v>0.69230000000000003</v>
      </c>
      <c r="O502" s="19">
        <v>1</v>
      </c>
      <c r="P502" s="19" t="s">
        <v>36</v>
      </c>
      <c r="Q502" s="19">
        <v>1.7133955999999999E-2</v>
      </c>
      <c r="R502" s="20">
        <v>25815</v>
      </c>
      <c r="S502" s="21" t="str">
        <f>HYPERLINK("https://www.ibcindianapolis.edu/aid", "$13011")</f>
        <v>$13011</v>
      </c>
      <c r="T502" s="20">
        <v>17495</v>
      </c>
      <c r="U502" s="20">
        <v>20468</v>
      </c>
      <c r="V502" s="20">
        <v>2635</v>
      </c>
      <c r="W502" s="20">
        <v>10376</v>
      </c>
      <c r="Y502" s="19">
        <v>0.61670000000000003</v>
      </c>
      <c r="Z502" s="19">
        <v>0.26329999999999998</v>
      </c>
      <c r="AB502" s="18">
        <v>319</v>
      </c>
    </row>
    <row r="503" spans="1:28" ht="15.75" customHeight="1" x14ac:dyDescent="0.2">
      <c r="A503" s="36" t="str">
        <f>HYPERLINK("https://www.icb.edu", "International College of Broadcasting")</f>
        <v>International College of Broadcasting</v>
      </c>
      <c r="B503" s="18" t="s">
        <v>368</v>
      </c>
      <c r="C503" s="18" t="s">
        <v>75</v>
      </c>
      <c r="D503" s="18" t="s">
        <v>506</v>
      </c>
      <c r="E503" s="18" t="s">
        <v>36</v>
      </c>
      <c r="F503" s="18" t="s">
        <v>36</v>
      </c>
      <c r="J503" s="19"/>
      <c r="K503" s="19">
        <v>0.75</v>
      </c>
      <c r="L503" s="19">
        <v>0.52238806000000004</v>
      </c>
      <c r="M503" s="19">
        <v>1</v>
      </c>
      <c r="N503" s="19">
        <v>0.5</v>
      </c>
      <c r="O503" s="19" t="s">
        <v>36</v>
      </c>
      <c r="P503" s="19" t="s">
        <v>36</v>
      </c>
      <c r="Q503" s="19" t="s">
        <v>36</v>
      </c>
      <c r="R503" s="20">
        <v>24628</v>
      </c>
      <c r="S503" s="21" t="str">
        <f>HYPERLINK("https://www.icb.edu", "$18517")</f>
        <v>$18517</v>
      </c>
      <c r="T503" s="20" t="s">
        <v>36</v>
      </c>
      <c r="U503" s="20" t="s">
        <v>36</v>
      </c>
      <c r="V503" s="20">
        <v>4870</v>
      </c>
      <c r="W503" s="20">
        <v>13647</v>
      </c>
      <c r="Y503" s="19">
        <v>0.80359999999999998</v>
      </c>
      <c r="Z503" s="19">
        <v>0.44440000000000002</v>
      </c>
      <c r="AB503" s="18">
        <v>54</v>
      </c>
    </row>
    <row r="504" spans="1:28" ht="15.75" customHeight="1" x14ac:dyDescent="0.2">
      <c r="A504" s="36" t="str">
        <f>HYPERLINK("https://www.inverhills.edu", "Inver Hills Community College")</f>
        <v>Inver Hills Community College</v>
      </c>
      <c r="B504" s="18" t="s">
        <v>49</v>
      </c>
      <c r="C504" s="18" t="s">
        <v>72</v>
      </c>
      <c r="D504" s="18" t="s">
        <v>1437</v>
      </c>
      <c r="E504" s="18" t="s">
        <v>36</v>
      </c>
      <c r="F504" s="18" t="s">
        <v>36</v>
      </c>
      <c r="J504" s="19"/>
      <c r="K504" s="19">
        <v>0.24679999999999999</v>
      </c>
      <c r="L504" s="19">
        <v>0.24793388399999999</v>
      </c>
      <c r="M504" s="19">
        <v>0.26479999999999998</v>
      </c>
      <c r="N504" s="19">
        <v>0.13109999999999999</v>
      </c>
      <c r="O504" s="19">
        <v>0.22</v>
      </c>
      <c r="P504" s="19">
        <v>0.1724</v>
      </c>
      <c r="Q504" s="19">
        <v>0.100108814</v>
      </c>
      <c r="R504" s="20">
        <v>19848</v>
      </c>
      <c r="S504" s="21" t="str">
        <f>HYPERLINK("https://www.inverhills.edu/FinancialAid/CostofAttendance.aspx", "$14702")</f>
        <v>$14702</v>
      </c>
      <c r="T504" s="20">
        <v>17098</v>
      </c>
      <c r="U504" s="20">
        <v>19228</v>
      </c>
      <c r="V504" s="20">
        <v>7532</v>
      </c>
      <c r="W504" s="20">
        <v>7170.4311926605506</v>
      </c>
      <c r="Y504" s="19">
        <v>0.26910000000000001</v>
      </c>
      <c r="Z504" s="19">
        <v>0.372</v>
      </c>
      <c r="AB504" s="18">
        <v>3269</v>
      </c>
    </row>
    <row r="505" spans="1:28" ht="15.75" customHeight="1" x14ac:dyDescent="0.2">
      <c r="A505" s="36" t="str">
        <f>HYPERLINK("https://www.iowacentral.edu", "Iowa Central Community College")</f>
        <v>Iowa Central Community College</v>
      </c>
      <c r="B505" s="18" t="s">
        <v>49</v>
      </c>
      <c r="C505" s="18" t="s">
        <v>211</v>
      </c>
      <c r="D505" s="18" t="s">
        <v>1438</v>
      </c>
      <c r="E505" s="18" t="s">
        <v>36</v>
      </c>
      <c r="F505" s="18" t="s">
        <v>36</v>
      </c>
      <c r="J505" s="19"/>
      <c r="K505" s="19">
        <v>0.31609999999999999</v>
      </c>
      <c r="L505" s="19">
        <v>0.17589285700000001</v>
      </c>
      <c r="M505" s="19">
        <v>0.3921</v>
      </c>
      <c r="N505" s="19">
        <v>9.3000000000000013E-2</v>
      </c>
      <c r="O505" s="19">
        <v>0.2414</v>
      </c>
      <c r="P505" s="19">
        <v>0.33329999999999999</v>
      </c>
      <c r="Q505" s="19">
        <v>5.5152395E-2</v>
      </c>
      <c r="R505" s="20">
        <v>18276</v>
      </c>
      <c r="S505" s="21" t="str">
        <f>HYPERLINK("https://www.iowacentral.edu/", "$13019")</f>
        <v>$13019</v>
      </c>
      <c r="T505" s="20">
        <v>15119</v>
      </c>
      <c r="U505" s="20">
        <v>16935</v>
      </c>
      <c r="V505" s="20">
        <v>3861</v>
      </c>
      <c r="W505" s="20">
        <v>9158.3663366336623</v>
      </c>
      <c r="Y505" s="19">
        <v>0.32040000000000002</v>
      </c>
      <c r="Z505" s="19">
        <v>0.33889999999999998</v>
      </c>
      <c r="AB505" s="18">
        <v>3523</v>
      </c>
    </row>
    <row r="506" spans="1:28" ht="15.75" customHeight="1" x14ac:dyDescent="0.2">
      <c r="A506" s="36" t="str">
        <f>HYPERLINK("https://www.iowalakes.edu", "Iowa Lakes Community College")</f>
        <v>Iowa Lakes Community College</v>
      </c>
      <c r="B506" s="18" t="s">
        <v>49</v>
      </c>
      <c r="C506" s="18" t="s">
        <v>211</v>
      </c>
      <c r="D506" s="18" t="s">
        <v>1439</v>
      </c>
      <c r="E506" s="18" t="s">
        <v>36</v>
      </c>
      <c r="F506" s="18" t="s">
        <v>36</v>
      </c>
      <c r="J506" s="19"/>
      <c r="K506" s="19">
        <v>0.54569999999999996</v>
      </c>
      <c r="L506" s="19">
        <v>0.122516556</v>
      </c>
      <c r="M506" s="19">
        <v>0.63970000000000005</v>
      </c>
      <c r="N506" s="19">
        <v>0.1739</v>
      </c>
      <c r="O506" s="19">
        <v>0.32429999999999998</v>
      </c>
      <c r="P506" s="19">
        <v>0</v>
      </c>
      <c r="Q506" s="19">
        <v>9.6660808000000001E-2</v>
      </c>
      <c r="R506" s="20">
        <v>17334</v>
      </c>
      <c r="S506" s="21" t="str">
        <f>HYPERLINK("https://www.iowalakes.edu/financial-aid/net-price-calculator/", "$10503")</f>
        <v>$10503</v>
      </c>
      <c r="T506" s="20">
        <v>13490</v>
      </c>
      <c r="U506" s="20">
        <v>14967</v>
      </c>
      <c r="V506" s="20">
        <v>4556</v>
      </c>
      <c r="W506" s="20">
        <v>5947.4482758620688</v>
      </c>
      <c r="Y506" s="19">
        <v>0.2616</v>
      </c>
      <c r="Z506" s="19">
        <v>0.24339999999999989</v>
      </c>
      <c r="AB506" s="18">
        <v>1134</v>
      </c>
    </row>
    <row r="507" spans="1:28" ht="15.75" customHeight="1" x14ac:dyDescent="0.2">
      <c r="A507" s="36" t="str">
        <f>HYPERLINK("https://www.iwcc.edu/", "Iowa Western Community College")</f>
        <v>Iowa Western Community College</v>
      </c>
      <c r="B507" s="18" t="s">
        <v>49</v>
      </c>
      <c r="C507" s="18" t="s">
        <v>211</v>
      </c>
      <c r="D507" s="18" t="s">
        <v>1440</v>
      </c>
      <c r="E507" s="18" t="s">
        <v>36</v>
      </c>
      <c r="F507" s="18" t="s">
        <v>36</v>
      </c>
      <c r="J507" s="19"/>
      <c r="K507" s="19">
        <v>0.2132</v>
      </c>
      <c r="L507" s="19">
        <v>0.22621184899999999</v>
      </c>
      <c r="M507" s="19">
        <v>0.24560000000000001</v>
      </c>
      <c r="N507" s="19">
        <v>0.10390000000000001</v>
      </c>
      <c r="O507" s="19">
        <v>0.23580000000000001</v>
      </c>
      <c r="P507" s="19">
        <v>0.29409999999999997</v>
      </c>
      <c r="Q507" s="19">
        <v>7.4492099000000006E-2</v>
      </c>
      <c r="R507" s="20">
        <v>19150</v>
      </c>
      <c r="S507" s="21" t="str">
        <f>HYPERLINK("https://www.iwcc.edu/future_student/financial_aid/npcalc.asp", "$12397")</f>
        <v>$12397</v>
      </c>
      <c r="T507" s="20">
        <v>14277</v>
      </c>
      <c r="U507" s="20">
        <v>17632</v>
      </c>
      <c r="V507" s="20">
        <v>4826</v>
      </c>
      <c r="W507" s="20">
        <v>7571.9359605911341</v>
      </c>
      <c r="Y507" s="19">
        <v>0.35060000000000002</v>
      </c>
      <c r="Z507" s="19">
        <v>0.30030000000000001</v>
      </c>
      <c r="AB507" s="18">
        <v>4033</v>
      </c>
    </row>
    <row r="508" spans="1:28" ht="15.75" customHeight="1" x14ac:dyDescent="0.2">
      <c r="A508" s="36" t="str">
        <f>HYPERLINK("https://www.idti.edu", "Island Drafting and Technical Institute")</f>
        <v>Island Drafting and Technical Institute</v>
      </c>
      <c r="B508" s="18" t="s">
        <v>368</v>
      </c>
      <c r="C508" s="18" t="s">
        <v>38</v>
      </c>
      <c r="D508" s="18" t="s">
        <v>1441</v>
      </c>
      <c r="E508" s="18" t="s">
        <v>36</v>
      </c>
      <c r="F508" s="18" t="s">
        <v>36</v>
      </c>
      <c r="J508" s="19"/>
      <c r="K508" s="19">
        <v>0.92859999999999998</v>
      </c>
      <c r="L508" s="19">
        <v>0.58139534900000001</v>
      </c>
      <c r="M508" s="19">
        <v>0.9355</v>
      </c>
      <c r="N508" s="19">
        <v>0.77780000000000005</v>
      </c>
      <c r="O508" s="19">
        <v>1</v>
      </c>
      <c r="P508" s="19" t="s">
        <v>36</v>
      </c>
      <c r="Q508" s="19" t="s">
        <v>36</v>
      </c>
      <c r="R508" s="20">
        <v>37683</v>
      </c>
      <c r="S508" s="21" t="str">
        <f>HYPERLINK("https://www.idti.edu", "$18659")</f>
        <v>$18659</v>
      </c>
      <c r="T508" s="20">
        <v>21306</v>
      </c>
      <c r="U508" s="20">
        <v>26536</v>
      </c>
      <c r="V508" s="20">
        <v>10638</v>
      </c>
      <c r="W508" s="20">
        <v>8021</v>
      </c>
      <c r="Y508" s="19">
        <v>0.57550000000000001</v>
      </c>
      <c r="Z508" s="19">
        <v>0.42220000000000002</v>
      </c>
      <c r="AB508" s="18">
        <v>90</v>
      </c>
    </row>
    <row r="509" spans="1:28" ht="15.75" customHeight="1" x14ac:dyDescent="0.2">
      <c r="A509" s="36" t="str">
        <f>HYPERLINK("https://www.itascacc.edu/", "Itasca Community College")</f>
        <v>Itasca Community College</v>
      </c>
      <c r="B509" s="18" t="s">
        <v>49</v>
      </c>
      <c r="C509" s="18" t="s">
        <v>72</v>
      </c>
      <c r="D509" s="18" t="s">
        <v>321</v>
      </c>
      <c r="E509" s="18" t="s">
        <v>36</v>
      </c>
      <c r="F509" s="18" t="s">
        <v>36</v>
      </c>
      <c r="J509" s="19"/>
      <c r="K509" s="19">
        <v>0.31819999999999998</v>
      </c>
      <c r="L509" s="19">
        <v>0.24719101099999999</v>
      </c>
      <c r="M509" s="19">
        <v>0.37590000000000001</v>
      </c>
      <c r="N509" s="19">
        <v>0.3</v>
      </c>
      <c r="O509" s="19">
        <v>0.2</v>
      </c>
      <c r="P509" s="19" t="s">
        <v>36</v>
      </c>
      <c r="Q509" s="19">
        <v>9.7165991999999993E-2</v>
      </c>
      <c r="R509" s="20">
        <v>18393</v>
      </c>
      <c r="S509" s="21" t="str">
        <f>HYPERLINK("https://www.minnstate.edu/admissions/calculator/itasca.html", "$11628")</f>
        <v>$11628</v>
      </c>
      <c r="T509" s="20">
        <v>13962</v>
      </c>
      <c r="U509" s="20">
        <v>17098</v>
      </c>
      <c r="V509" s="20">
        <v>4504</v>
      </c>
      <c r="W509" s="20">
        <v>7124.875</v>
      </c>
      <c r="Y509" s="19">
        <v>0.36780000000000002</v>
      </c>
      <c r="Z509" s="19">
        <v>0.19410000000000011</v>
      </c>
      <c r="AB509" s="18">
        <v>845</v>
      </c>
    </row>
    <row r="510" spans="1:28" ht="15.75" customHeight="1" x14ac:dyDescent="0.2">
      <c r="A510" s="36" t="str">
        <f>HYPERLINK("https://www.iccms.edu", "Itawamba Community College")</f>
        <v>Itawamba Community College</v>
      </c>
      <c r="B510" s="18" t="s">
        <v>49</v>
      </c>
      <c r="C510" s="18" t="s">
        <v>59</v>
      </c>
      <c r="D510" s="18" t="s">
        <v>539</v>
      </c>
      <c r="E510" s="18" t="s">
        <v>36</v>
      </c>
      <c r="F510" s="18" t="s">
        <v>36</v>
      </c>
      <c r="J510" s="19"/>
      <c r="K510" s="19">
        <v>0.4279</v>
      </c>
      <c r="L510" s="19">
        <v>0.16032608700000001</v>
      </c>
      <c r="M510" s="19">
        <v>0.47210000000000002</v>
      </c>
      <c r="N510" s="19">
        <v>0.32979999999999998</v>
      </c>
      <c r="O510" s="19">
        <v>0.4783</v>
      </c>
      <c r="P510" s="19">
        <v>0.75</v>
      </c>
      <c r="Q510" s="19">
        <v>4.5039740999999987E-2</v>
      </c>
      <c r="R510" s="20">
        <v>12855</v>
      </c>
      <c r="S510" s="21" t="str">
        <f>HYPERLINK("https://www.iccms.edu/code/netcalc/npcalc.htm", "$7280")</f>
        <v>$7280</v>
      </c>
      <c r="T510" s="20">
        <v>9411</v>
      </c>
      <c r="U510" s="20">
        <v>10192</v>
      </c>
      <c r="V510" s="20">
        <v>4240</v>
      </c>
      <c r="W510" s="20">
        <v>3040.494505494506</v>
      </c>
      <c r="Y510" s="19">
        <v>0.48980000000000001</v>
      </c>
      <c r="Z510" s="19">
        <v>0.32879999999999998</v>
      </c>
      <c r="AB510" s="18">
        <v>4358</v>
      </c>
    </row>
    <row r="511" spans="1:28" ht="15.75" customHeight="1" x14ac:dyDescent="0.2">
      <c r="A511" s="36" t="str">
        <f>HYPERLINK("https://www.reynolds.edu", "J Sargeant Reynolds Community College")</f>
        <v>J Sargeant Reynolds Community College</v>
      </c>
      <c r="B511" s="18" t="s">
        <v>49</v>
      </c>
      <c r="C511" s="18" t="s">
        <v>83</v>
      </c>
      <c r="D511" s="18" t="s">
        <v>350</v>
      </c>
      <c r="E511" s="18" t="s">
        <v>36</v>
      </c>
      <c r="F511" s="18" t="s">
        <v>36</v>
      </c>
      <c r="J511" s="19"/>
      <c r="K511" s="19">
        <v>0.18260000000000001</v>
      </c>
      <c r="L511" s="19">
        <v>0.14161219999999999</v>
      </c>
      <c r="M511" s="19">
        <v>0.2205</v>
      </c>
      <c r="N511" s="19">
        <v>9.8000000000000004E-2</v>
      </c>
      <c r="O511" s="19">
        <v>0.24490000000000001</v>
      </c>
      <c r="P511" s="19">
        <v>0.27660000000000001</v>
      </c>
      <c r="Q511" s="19">
        <v>8.0412370999999996E-2</v>
      </c>
      <c r="R511" s="20">
        <v>23154</v>
      </c>
      <c r="S511" s="21" t="str">
        <f>HYPERLINK("https://www.vawizard.org/wizard/financing-college", "$17892")</f>
        <v>$17892</v>
      </c>
      <c r="T511" s="20">
        <v>19531</v>
      </c>
      <c r="U511" s="20">
        <v>22482</v>
      </c>
      <c r="V511" s="20">
        <v>5000</v>
      </c>
      <c r="W511" s="20">
        <v>12892.1328125</v>
      </c>
      <c r="Y511" s="19">
        <v>0.36299999999999999</v>
      </c>
      <c r="Z511" s="19">
        <v>0.53449999999999998</v>
      </c>
      <c r="AB511" s="18">
        <v>7343</v>
      </c>
    </row>
    <row r="512" spans="1:28" ht="15.75" customHeight="1" x14ac:dyDescent="0.2">
      <c r="A512" s="36" t="str">
        <f>HYPERLINK("https://www.jccmi.edu", "Jackson College")</f>
        <v>Jackson College</v>
      </c>
      <c r="B512" s="18" t="s">
        <v>49</v>
      </c>
      <c r="C512" s="18" t="s">
        <v>226</v>
      </c>
      <c r="D512" s="18" t="s">
        <v>419</v>
      </c>
      <c r="E512" s="18" t="s">
        <v>36</v>
      </c>
      <c r="F512" s="18" t="s">
        <v>36</v>
      </c>
      <c r="J512" s="19"/>
      <c r="K512" s="19">
        <v>0.1022</v>
      </c>
      <c r="L512" s="19" t="s">
        <v>36</v>
      </c>
      <c r="M512" s="19">
        <v>9.9599999999999994E-2</v>
      </c>
      <c r="N512" s="19">
        <v>0.13250000000000001</v>
      </c>
      <c r="O512" s="19">
        <v>9.6199999999999994E-2</v>
      </c>
      <c r="P512" s="19">
        <v>0</v>
      </c>
      <c r="Q512" s="19">
        <v>7.3817761999999995E-2</v>
      </c>
      <c r="R512" s="20">
        <v>23328</v>
      </c>
      <c r="S512" s="21" t="str">
        <f>HYPERLINK("https://www.jccmi.edu/financial-aid/net-price-calculator/", "$15903")</f>
        <v>$15903</v>
      </c>
      <c r="T512" s="20">
        <v>19559</v>
      </c>
      <c r="U512" s="20">
        <v>21727</v>
      </c>
      <c r="V512" s="20">
        <v>4744</v>
      </c>
      <c r="W512" s="20">
        <v>11159.197860962569</v>
      </c>
      <c r="Y512" s="19">
        <v>0.46239999999999998</v>
      </c>
      <c r="Z512" s="19">
        <v>0.30159999999999998</v>
      </c>
      <c r="AB512" s="18">
        <v>3962</v>
      </c>
    </row>
    <row r="513" spans="1:28" ht="15.75" customHeight="1" x14ac:dyDescent="0.2">
      <c r="A513" s="36" t="str">
        <f>HYPERLINK("https://www.jscc.edu", "Jackson State Community College")</f>
        <v>Jackson State Community College</v>
      </c>
      <c r="B513" s="18" t="s">
        <v>49</v>
      </c>
      <c r="C513" s="18" t="s">
        <v>174</v>
      </c>
      <c r="D513" s="18" t="s">
        <v>419</v>
      </c>
      <c r="E513" s="18" t="s">
        <v>36</v>
      </c>
      <c r="F513" s="18" t="s">
        <v>36</v>
      </c>
      <c r="J513" s="19"/>
      <c r="K513" s="19">
        <v>0.159</v>
      </c>
      <c r="L513" s="19">
        <v>0.14231063499999999</v>
      </c>
      <c r="M513" s="19">
        <v>0.17649999999999999</v>
      </c>
      <c r="N513" s="19">
        <v>9.6799999999999997E-2</v>
      </c>
      <c r="O513" s="19">
        <v>0.21049999999999999</v>
      </c>
      <c r="P513" s="19">
        <v>0.22220000000000001</v>
      </c>
      <c r="Q513" s="19">
        <v>6.4553314000000001E-2</v>
      </c>
      <c r="R513" s="20">
        <v>32907</v>
      </c>
      <c r="S513" s="21" t="str">
        <f>HYPERLINK("https://www.jscc.edu/calculator/", "$26121")</f>
        <v>$26121</v>
      </c>
      <c r="T513" s="20">
        <v>28012</v>
      </c>
      <c r="U513" s="20">
        <v>28527</v>
      </c>
      <c r="V513" s="20">
        <v>5920</v>
      </c>
      <c r="W513" s="20">
        <v>20201.078859060399</v>
      </c>
      <c r="Y513" s="19">
        <v>0.39200000000000002</v>
      </c>
      <c r="Z513" s="19">
        <v>0.27060000000000001</v>
      </c>
      <c r="AB513" s="18">
        <v>3208</v>
      </c>
    </row>
    <row r="514" spans="1:28" ht="15.75" customHeight="1" x14ac:dyDescent="0.2">
      <c r="A514" s="36" t="str">
        <f>HYPERLINK("https://www.jacksonville-college.edu", "Jacksonville College-Main Campus")</f>
        <v>Jacksonville College-Main Campus</v>
      </c>
      <c r="B514" s="18" t="s">
        <v>32</v>
      </c>
      <c r="C514" s="18" t="s">
        <v>146</v>
      </c>
      <c r="D514" s="18" t="s">
        <v>382</v>
      </c>
      <c r="E514" s="18" t="s">
        <v>36</v>
      </c>
      <c r="F514" s="18" t="s">
        <v>36</v>
      </c>
      <c r="J514" s="19"/>
      <c r="K514" s="19">
        <v>0.31819999999999998</v>
      </c>
      <c r="L514" s="19" t="s">
        <v>36</v>
      </c>
      <c r="M514" s="19">
        <v>0.29409999999999997</v>
      </c>
      <c r="N514" s="19">
        <v>0.38100000000000001</v>
      </c>
      <c r="O514" s="19">
        <v>0.29630000000000001</v>
      </c>
      <c r="P514" s="19">
        <v>0</v>
      </c>
      <c r="Q514" s="19">
        <v>0.26241134799999999</v>
      </c>
      <c r="R514" s="20">
        <v>17702</v>
      </c>
      <c r="S514" s="21" t="str">
        <f>HYPERLINK("https://www.collegeforalltexans.com/apps/collegemoney/", "$10095")</f>
        <v>$10095</v>
      </c>
      <c r="T514" s="20">
        <v>12610</v>
      </c>
      <c r="U514" s="20">
        <v>12676</v>
      </c>
      <c r="V514" s="20">
        <v>3302</v>
      </c>
      <c r="W514" s="20">
        <v>6793</v>
      </c>
      <c r="Y514" s="19">
        <v>0.37030000000000002</v>
      </c>
      <c r="Z514" s="19">
        <v>0.63939999999999997</v>
      </c>
      <c r="AB514" s="18">
        <v>269</v>
      </c>
    </row>
    <row r="515" spans="1:28" ht="15.75" customHeight="1" x14ac:dyDescent="0.2">
      <c r="A515" s="36" t="str">
        <f>HYPERLINK("https://www.rhodesstate.edu", "James A Rhodes State College")</f>
        <v>James A Rhodes State College</v>
      </c>
      <c r="B515" s="18" t="s">
        <v>49</v>
      </c>
      <c r="C515" s="18" t="s">
        <v>75</v>
      </c>
      <c r="D515" s="18" t="s">
        <v>1442</v>
      </c>
      <c r="E515" s="18" t="s">
        <v>36</v>
      </c>
      <c r="F515" s="18" t="s">
        <v>36</v>
      </c>
      <c r="J515" s="19"/>
      <c r="K515" s="19">
        <v>0.45579999999999998</v>
      </c>
      <c r="L515" s="19">
        <v>0.17499999999999999</v>
      </c>
      <c r="M515" s="19">
        <v>0.50560000000000005</v>
      </c>
      <c r="N515" s="19">
        <v>0.1</v>
      </c>
      <c r="O515" s="19">
        <v>0.33329999999999999</v>
      </c>
      <c r="P515" s="19">
        <v>0.33329999999999999</v>
      </c>
      <c r="Q515" s="19">
        <v>4.1953663000000002E-2</v>
      </c>
      <c r="R515" s="20">
        <v>19997</v>
      </c>
      <c r="S515" s="21" t="str">
        <f>HYPERLINK("https://www.rhodesstate.edu/en/About%20Rhodes/College%20Offices%20and%20Departments/Financial%20Aid/Net%20Price%20Calculator.aspx", "$17488")</f>
        <v>$17488</v>
      </c>
      <c r="T515" s="20">
        <v>18706</v>
      </c>
      <c r="U515" s="20">
        <v>19645</v>
      </c>
      <c r="V515" s="20">
        <v>5000</v>
      </c>
      <c r="W515" s="20">
        <v>12488.95275590551</v>
      </c>
      <c r="Y515" s="19">
        <v>0.246</v>
      </c>
      <c r="Z515" s="19">
        <v>0.13260000000000011</v>
      </c>
      <c r="AB515" s="18">
        <v>1991</v>
      </c>
    </row>
    <row r="516" spans="1:28" ht="15.75" customHeight="1" x14ac:dyDescent="0.2">
      <c r="A516" s="36" t="str">
        <f>HYPERLINK("https://www.jamessprunt.edu", "James Sprunt Community College")</f>
        <v>James Sprunt Community College</v>
      </c>
      <c r="B516" s="18" t="s">
        <v>49</v>
      </c>
      <c r="C516" s="18" t="s">
        <v>103</v>
      </c>
      <c r="D516" s="18" t="s">
        <v>1443</v>
      </c>
      <c r="E516" s="18" t="s">
        <v>36</v>
      </c>
      <c r="F516" s="18" t="s">
        <v>36</v>
      </c>
      <c r="J516" s="19"/>
      <c r="K516" s="19">
        <v>0.21149999999999999</v>
      </c>
      <c r="L516" s="19">
        <v>0.25</v>
      </c>
      <c r="M516" s="19">
        <v>0.2712</v>
      </c>
      <c r="N516" s="19">
        <v>0.1176</v>
      </c>
      <c r="O516" s="19">
        <v>0.16669999999999999</v>
      </c>
      <c r="P516" s="19" t="s">
        <v>36</v>
      </c>
      <c r="Q516" s="19">
        <v>0.05</v>
      </c>
      <c r="R516" s="20">
        <v>20904</v>
      </c>
      <c r="S516" s="21" t="str">
        <f>HYPERLINK("https://www.jamessprunt.edu/net-price-calculator", "$15769")</f>
        <v>$15769</v>
      </c>
      <c r="T516" s="20">
        <v>16473</v>
      </c>
      <c r="U516" s="20" t="s">
        <v>36</v>
      </c>
      <c r="V516" s="20">
        <v>6926</v>
      </c>
      <c r="W516" s="20">
        <v>8843.4117647058811</v>
      </c>
      <c r="Y516" s="19">
        <v>0.60750000000000004</v>
      </c>
      <c r="Z516" s="19">
        <v>0.57329999999999992</v>
      </c>
      <c r="AB516" s="18">
        <v>1043</v>
      </c>
    </row>
    <row r="517" spans="1:28" ht="15.75" customHeight="1" x14ac:dyDescent="0.2">
      <c r="A517" s="36" t="str">
        <f>HYPERLINK("https://www.jbc.edu", "Jamestown Business College")</f>
        <v>Jamestown Business College</v>
      </c>
      <c r="B517" s="18" t="s">
        <v>368</v>
      </c>
      <c r="C517" s="18" t="s">
        <v>38</v>
      </c>
      <c r="D517" s="18" t="s">
        <v>1276</v>
      </c>
      <c r="E517" s="18" t="s">
        <v>36</v>
      </c>
      <c r="F517" s="18" t="s">
        <v>45</v>
      </c>
      <c r="J517" s="19"/>
      <c r="K517" s="19">
        <v>0.43659999999999999</v>
      </c>
      <c r="L517" s="19">
        <v>0.5</v>
      </c>
      <c r="M517" s="19">
        <v>0.4627</v>
      </c>
      <c r="N517" s="19" t="s">
        <v>36</v>
      </c>
      <c r="O517" s="19">
        <v>0</v>
      </c>
      <c r="P517" s="19" t="s">
        <v>36</v>
      </c>
      <c r="Q517" s="19" t="s">
        <v>36</v>
      </c>
      <c r="R517" s="20">
        <v>23700</v>
      </c>
      <c r="S517" s="21" t="str">
        <f>HYPERLINK("https://www.jbc.edu", "$7624")</f>
        <v>$7624</v>
      </c>
      <c r="T517" s="20">
        <v>8459</v>
      </c>
      <c r="U517" s="20">
        <v>10423</v>
      </c>
      <c r="V517" s="20">
        <v>5770</v>
      </c>
      <c r="W517" s="20">
        <v>1854</v>
      </c>
      <c r="Y517" s="19">
        <v>0.73629999999999995</v>
      </c>
      <c r="Z517" s="19">
        <v>0.30649999999999999</v>
      </c>
      <c r="AB517" s="18">
        <v>323</v>
      </c>
    </row>
    <row r="518" spans="1:28" ht="15.75" customHeight="1" x14ac:dyDescent="0.2">
      <c r="A518" s="36" t="str">
        <f>HYPERLINK("https://www.sunyjcc.edu", "SUNY Jamestown Community College")</f>
        <v>SUNY Jamestown Community College</v>
      </c>
      <c r="B518" s="18" t="s">
        <v>49</v>
      </c>
      <c r="C518" s="18" t="s">
        <v>38</v>
      </c>
      <c r="D518" s="18" t="s">
        <v>1276</v>
      </c>
      <c r="E518" s="18" t="s">
        <v>36</v>
      </c>
      <c r="F518" s="18" t="s">
        <v>36</v>
      </c>
      <c r="J518" s="19"/>
      <c r="K518" s="19">
        <v>0.3478</v>
      </c>
      <c r="L518" s="19">
        <v>0.230429989</v>
      </c>
      <c r="M518" s="19">
        <v>0.38129999999999997</v>
      </c>
      <c r="N518" s="19">
        <v>0.16669999999999999</v>
      </c>
      <c r="O518" s="19">
        <v>0.2099</v>
      </c>
      <c r="P518" s="19">
        <v>0.3</v>
      </c>
      <c r="Q518" s="19">
        <v>6.7256637000000008E-2</v>
      </c>
      <c r="R518" s="20">
        <v>18970</v>
      </c>
      <c r="S518" s="21" t="str">
        <f>HYPERLINK("https://www.sunyjcc.edu/net-price-calculator", "$6593")</f>
        <v>$6593</v>
      </c>
      <c r="T518" s="20">
        <v>10928</v>
      </c>
      <c r="U518" s="20">
        <v>13356</v>
      </c>
      <c r="V518" s="20">
        <v>2750</v>
      </c>
      <c r="W518" s="20">
        <v>3843</v>
      </c>
      <c r="Y518" s="19">
        <v>0.34260000000000002</v>
      </c>
      <c r="Z518" s="19">
        <v>0.19020000000000001</v>
      </c>
      <c r="AB518" s="18">
        <v>2492</v>
      </c>
    </row>
    <row r="519" spans="1:28" ht="15.75" customHeight="1" x14ac:dyDescent="0.2">
      <c r="A519" s="36" t="str">
        <f>HYPERLINK("https://www.jeffco.edu", "Jefferson College")</f>
        <v>Jefferson College</v>
      </c>
      <c r="B519" s="18" t="s">
        <v>49</v>
      </c>
      <c r="C519" s="18" t="s">
        <v>164</v>
      </c>
      <c r="D519" s="18" t="s">
        <v>854</v>
      </c>
      <c r="E519" s="18" t="s">
        <v>36</v>
      </c>
      <c r="F519" s="18" t="s">
        <v>36</v>
      </c>
      <c r="J519" s="19"/>
      <c r="K519" s="19">
        <v>0.2606</v>
      </c>
      <c r="L519" s="19">
        <v>0.15290806800000001</v>
      </c>
      <c r="M519" s="19">
        <v>0.25559999999999999</v>
      </c>
      <c r="N519" s="19">
        <v>0.41670000000000001</v>
      </c>
      <c r="O519" s="19">
        <v>0.5</v>
      </c>
      <c r="P519" s="19">
        <v>0.25</v>
      </c>
      <c r="Q519" s="19">
        <v>8.4161003999999998E-2</v>
      </c>
      <c r="R519" s="20">
        <v>16407</v>
      </c>
      <c r="S519" s="21" t="str">
        <f>HYPERLINK("https://www.jeffco.edu/future-students/financial-aid/how-apply-financial-aid/net-price-calculator#.W2sfANVKhpg", "$11438")</f>
        <v>$11438</v>
      </c>
      <c r="T519" s="20">
        <v>13392</v>
      </c>
      <c r="U519" s="20">
        <v>15022</v>
      </c>
      <c r="V519" s="20">
        <v>4031</v>
      </c>
      <c r="W519" s="20">
        <v>7407.5470588235294</v>
      </c>
      <c r="Y519" s="19">
        <v>0.36980000000000002</v>
      </c>
      <c r="Z519" s="19">
        <v>0.1236</v>
      </c>
      <c r="AB519" s="18">
        <v>4182</v>
      </c>
    </row>
    <row r="520" spans="1:28" ht="15.75" customHeight="1" x14ac:dyDescent="0.2">
      <c r="A520" s="36" t="str">
        <f>HYPERLINK("https://www.sunyjefferson.edu", "SUNY Jefferson Community College")</f>
        <v>SUNY Jefferson Community College</v>
      </c>
      <c r="B520" s="18" t="s">
        <v>49</v>
      </c>
      <c r="C520" s="18" t="s">
        <v>38</v>
      </c>
      <c r="D520" s="18" t="s">
        <v>1444</v>
      </c>
      <c r="E520" s="18" t="s">
        <v>36</v>
      </c>
      <c r="F520" s="18" t="s">
        <v>36</v>
      </c>
      <c r="G520" s="18" t="s">
        <v>51</v>
      </c>
      <c r="I520" s="18" t="s">
        <v>849</v>
      </c>
      <c r="J520" s="19"/>
      <c r="K520" s="19">
        <v>0.26860000000000001</v>
      </c>
      <c r="L520" s="19">
        <v>0.206258891</v>
      </c>
      <c r="M520" s="19">
        <v>0.30430000000000001</v>
      </c>
      <c r="N520" s="19">
        <v>0.16950000000000001</v>
      </c>
      <c r="O520" s="19">
        <v>0.129</v>
      </c>
      <c r="P520" s="19">
        <v>0.28570000000000001</v>
      </c>
      <c r="Q520" s="19">
        <v>8.3135392000000002E-2</v>
      </c>
      <c r="R520" s="20">
        <v>21423</v>
      </c>
      <c r="S520" s="21" t="str">
        <f>HYPERLINK("https://www.sunyjefferson.edu/tuition-financial-aid/net-price-calculator", "$9755")</f>
        <v>$9755</v>
      </c>
      <c r="T520" s="20">
        <v>14269</v>
      </c>
      <c r="U520" s="20">
        <v>16112</v>
      </c>
      <c r="V520" s="20">
        <v>3850</v>
      </c>
      <c r="W520" s="20">
        <v>5905</v>
      </c>
      <c r="Y520" s="19">
        <v>0.43809999999999999</v>
      </c>
      <c r="Z520" s="19">
        <v>0.30570000000000003</v>
      </c>
      <c r="AB520" s="18">
        <v>2614</v>
      </c>
    </row>
    <row r="521" spans="1:28" ht="15.75" customHeight="1" x14ac:dyDescent="0.2">
      <c r="A521" s="36" t="str">
        <f>HYPERLINK("https://www.jeffersonstate.edu/", "Jefferson State Community College")</f>
        <v>Jefferson State Community College</v>
      </c>
      <c r="B521" s="18" t="s">
        <v>49</v>
      </c>
      <c r="C521" s="18" t="s">
        <v>300</v>
      </c>
      <c r="D521" s="18" t="s">
        <v>311</v>
      </c>
      <c r="E521" s="18" t="s">
        <v>36</v>
      </c>
      <c r="F521" s="18" t="s">
        <v>36</v>
      </c>
      <c r="J521" s="19"/>
      <c r="K521" s="19">
        <v>8.7599999999999997E-2</v>
      </c>
      <c r="L521" s="19">
        <v>0.15334773199999999</v>
      </c>
      <c r="M521" s="19">
        <v>0.1061</v>
      </c>
      <c r="N521" s="19">
        <v>4.1700000000000001E-2</v>
      </c>
      <c r="O521" s="19">
        <v>0.1111</v>
      </c>
      <c r="P521" s="19">
        <v>3.5700000000000003E-2</v>
      </c>
      <c r="Q521" s="19">
        <v>0.12583967800000001</v>
      </c>
      <c r="R521" s="20">
        <v>27872</v>
      </c>
      <c r="S521" s="21" t="str">
        <f>HYPERLINK("https://www.jeffersonstate.edu/financial-aid/net-price-calculator/", "$22787")</f>
        <v>$22787</v>
      </c>
      <c r="T521" s="20">
        <v>25277</v>
      </c>
      <c r="U521" s="20">
        <v>27254</v>
      </c>
      <c r="V521" s="20">
        <v>6760</v>
      </c>
      <c r="W521" s="20">
        <v>16027.5625</v>
      </c>
      <c r="Y521" s="19">
        <v>0.28029999999999999</v>
      </c>
      <c r="Z521" s="19">
        <v>0.37949999999999989</v>
      </c>
      <c r="AB521" s="18">
        <v>7052</v>
      </c>
    </row>
    <row r="522" spans="1:28" ht="15.75" customHeight="1" x14ac:dyDescent="0.2">
      <c r="A522" s="36" t="str">
        <f>HYPERLINK("https://www.jerseycollege.edu", "Jersey College")</f>
        <v>Jersey College</v>
      </c>
      <c r="B522" s="18" t="s">
        <v>368</v>
      </c>
      <c r="C522" s="18" t="s">
        <v>141</v>
      </c>
      <c r="D522" s="18" t="s">
        <v>1445</v>
      </c>
      <c r="E522" s="18" t="s">
        <v>36</v>
      </c>
      <c r="F522" s="18" t="s">
        <v>90</v>
      </c>
      <c r="J522" s="19"/>
      <c r="K522" s="19">
        <v>0.32779999999999998</v>
      </c>
      <c r="L522" s="19">
        <v>0.72972972999999997</v>
      </c>
      <c r="M522" s="19">
        <v>0.377</v>
      </c>
      <c r="N522" s="19">
        <v>0.32069999999999999</v>
      </c>
      <c r="O522" s="19">
        <v>0.27029999999999998</v>
      </c>
      <c r="P522" s="19">
        <v>0.35289999999999999</v>
      </c>
      <c r="Q522" s="19">
        <v>3.4013605000000002E-2</v>
      </c>
      <c r="R522" s="20" t="s">
        <v>36</v>
      </c>
      <c r="S522" s="21" t="str">
        <f>HYPERLINK("https://www.jerseycollege.edu/financial-aid/netprice/", "$24309")</f>
        <v>$24309</v>
      </c>
      <c r="T522" s="20">
        <v>24947</v>
      </c>
      <c r="U522" s="20">
        <v>27643</v>
      </c>
      <c r="V522" s="20" t="s">
        <v>36</v>
      </c>
      <c r="W522" s="20" t="s">
        <v>36</v>
      </c>
      <c r="Y522" s="19">
        <v>0.63290000000000002</v>
      </c>
      <c r="Z522" s="19">
        <v>0.84540000000000004</v>
      </c>
      <c r="AB522" s="18">
        <v>2968</v>
      </c>
    </row>
    <row r="523" spans="1:28" ht="15.75" customHeight="1" x14ac:dyDescent="0.2">
      <c r="A523" s="36" t="str">
        <f>HYPERLINK("https://www.guptoncollege.edu", "John A Gupton College")</f>
        <v>John A Gupton College</v>
      </c>
      <c r="B523" s="18" t="s">
        <v>32</v>
      </c>
      <c r="C523" s="18" t="s">
        <v>174</v>
      </c>
      <c r="D523" s="18" t="s">
        <v>175</v>
      </c>
      <c r="E523" s="18" t="s">
        <v>36</v>
      </c>
      <c r="F523" s="18" t="s">
        <v>35</v>
      </c>
      <c r="J523" s="19"/>
      <c r="K523" s="19">
        <v>0.58330000000000004</v>
      </c>
      <c r="L523" s="19">
        <v>0.30952381000000001</v>
      </c>
      <c r="M523" s="19">
        <v>0.6</v>
      </c>
      <c r="N523" s="19">
        <v>0.66669999999999996</v>
      </c>
      <c r="O523" s="19">
        <v>0</v>
      </c>
      <c r="P523" s="19" t="s">
        <v>36</v>
      </c>
      <c r="Q523" s="19" t="s">
        <v>36</v>
      </c>
      <c r="R523" s="20">
        <v>22870</v>
      </c>
      <c r="S523" s="21" t="str">
        <f>HYPERLINK("https://guptoncollege.edu/financial-aid-2/net-price-calculator/", "$11713")</f>
        <v>$11713</v>
      </c>
      <c r="T523" s="20">
        <v>15394</v>
      </c>
      <c r="U523" s="20">
        <v>13543</v>
      </c>
      <c r="V523" s="20">
        <v>3800</v>
      </c>
      <c r="W523" s="20">
        <v>7913</v>
      </c>
      <c r="Y523" s="19">
        <v>0.52329999999999999</v>
      </c>
      <c r="Z523" s="19">
        <v>0.21819999999999989</v>
      </c>
      <c r="AB523" s="18">
        <v>110</v>
      </c>
    </row>
    <row r="524" spans="1:28" ht="15.75" customHeight="1" x14ac:dyDescent="0.2">
      <c r="A524" s="36" t="str">
        <f>HYPERLINK("https://www.jalc.edu", "John A Logan College")</f>
        <v>John A Logan College</v>
      </c>
      <c r="B524" s="18" t="s">
        <v>49</v>
      </c>
      <c r="C524" s="18" t="s">
        <v>137</v>
      </c>
      <c r="D524" s="18" t="s">
        <v>1446</v>
      </c>
      <c r="E524" s="18" t="s">
        <v>36</v>
      </c>
      <c r="F524" s="18" t="s">
        <v>36</v>
      </c>
      <c r="J524" s="19"/>
      <c r="K524" s="19">
        <v>0.23730000000000001</v>
      </c>
      <c r="L524" s="19">
        <v>0.15527950300000001</v>
      </c>
      <c r="M524" s="19">
        <v>0.27650000000000002</v>
      </c>
      <c r="N524" s="19">
        <v>0.1014</v>
      </c>
      <c r="O524" s="19">
        <v>0.29170000000000001</v>
      </c>
      <c r="P524" s="19">
        <v>0.33329999999999999</v>
      </c>
      <c r="Q524" s="19">
        <v>7.9365079000000005E-2</v>
      </c>
      <c r="R524" s="20">
        <v>18270</v>
      </c>
      <c r="S524" s="21" t="str">
        <f>HYPERLINK("https://www.jalc.edu/net-price-calculator", "$13017")</f>
        <v>$13017</v>
      </c>
      <c r="T524" s="20">
        <v>14580</v>
      </c>
      <c r="U524" s="20">
        <v>17161</v>
      </c>
      <c r="V524" s="20">
        <v>6636</v>
      </c>
      <c r="W524" s="20">
        <v>6381.7102040816317</v>
      </c>
      <c r="Y524" s="19">
        <v>0.31940000000000002</v>
      </c>
      <c r="Z524" s="19">
        <v>0.21149999999999999</v>
      </c>
      <c r="AB524" s="18">
        <v>3049</v>
      </c>
    </row>
    <row r="525" spans="1:28" ht="15.75" customHeight="1" x14ac:dyDescent="0.2">
      <c r="A525" s="36" t="str">
        <f>HYPERLINK("https://calhoun.edu/", "John C Calhoun State Community College")</f>
        <v>John C Calhoun State Community College</v>
      </c>
      <c r="B525" s="18" t="s">
        <v>49</v>
      </c>
      <c r="C525" s="18" t="s">
        <v>300</v>
      </c>
      <c r="D525" s="18" t="s">
        <v>1447</v>
      </c>
      <c r="E525" s="18" t="s">
        <v>36</v>
      </c>
      <c r="F525" s="18" t="s">
        <v>36</v>
      </c>
      <c r="J525" s="19"/>
      <c r="K525" s="19">
        <v>0.25419999999999998</v>
      </c>
      <c r="L525" s="19">
        <v>0.11512027499999999</v>
      </c>
      <c r="M525" s="19">
        <v>0.27629999999999999</v>
      </c>
      <c r="N525" s="19">
        <v>0.1822</v>
      </c>
      <c r="O525" s="19">
        <v>0.1636</v>
      </c>
      <c r="P525" s="19">
        <v>0.32350000000000001</v>
      </c>
      <c r="Q525" s="19">
        <v>0.107812938</v>
      </c>
      <c r="R525" s="20">
        <v>17290</v>
      </c>
      <c r="S525" s="21" t="str">
        <f>HYPERLINK("https://calhoun.edu/student-services/financial-aid/net-price-calculator/", "$11550")</f>
        <v>$11550</v>
      </c>
      <c r="T525" s="20">
        <v>14404</v>
      </c>
      <c r="U525" s="20">
        <v>16390</v>
      </c>
      <c r="V525" s="20">
        <v>4700</v>
      </c>
      <c r="W525" s="20">
        <v>6850.267515923566</v>
      </c>
      <c r="Y525" s="19">
        <v>0.33100000000000002</v>
      </c>
      <c r="Z525" s="19">
        <v>0.34920000000000001</v>
      </c>
      <c r="AB525" s="18">
        <v>8247</v>
      </c>
    </row>
    <row r="526" spans="1:28" ht="15.75" customHeight="1" x14ac:dyDescent="0.2">
      <c r="A526" s="36" t="str">
        <f>HYPERLINK("https://jtcc.edu", "John Tyler Community College")</f>
        <v>John Tyler Community College</v>
      </c>
      <c r="B526" s="18" t="s">
        <v>49</v>
      </c>
      <c r="C526" s="18" t="s">
        <v>83</v>
      </c>
      <c r="D526" s="18" t="s">
        <v>1417</v>
      </c>
      <c r="E526" s="18" t="s">
        <v>36</v>
      </c>
      <c r="F526" s="18" t="s">
        <v>36</v>
      </c>
      <c r="J526" s="19"/>
      <c r="K526" s="19">
        <v>0.2283</v>
      </c>
      <c r="L526" s="19">
        <v>0.14169741699999999</v>
      </c>
      <c r="M526" s="19">
        <v>0.26800000000000002</v>
      </c>
      <c r="N526" s="19">
        <v>0.13450000000000001</v>
      </c>
      <c r="O526" s="19">
        <v>0.19769999999999999</v>
      </c>
      <c r="P526" s="19">
        <v>0.36</v>
      </c>
      <c r="Q526" s="19">
        <v>9.0271691999999987E-2</v>
      </c>
      <c r="R526" s="20">
        <v>24016</v>
      </c>
      <c r="S526" s="21" t="str">
        <f>HYPERLINK("https://www.vawizard.org/wizard/home?404url=/vccs/finaid.action", "$18712")</f>
        <v>$18712</v>
      </c>
      <c r="T526" s="20">
        <v>20278</v>
      </c>
      <c r="U526" s="20">
        <v>23002</v>
      </c>
      <c r="V526" s="20">
        <v>5420</v>
      </c>
      <c r="W526" s="20">
        <v>13292.947761194029</v>
      </c>
      <c r="Y526" s="19">
        <v>0.24210000000000001</v>
      </c>
      <c r="Z526" s="19">
        <v>0.45479999999999998</v>
      </c>
      <c r="AB526" s="18">
        <v>6216</v>
      </c>
    </row>
    <row r="527" spans="1:28" ht="15.75" customHeight="1" x14ac:dyDescent="0.2">
      <c r="A527" s="36" t="str">
        <f>HYPERLINK("https://www.jwcc.edu", "John Wood Community College")</f>
        <v>John Wood Community College</v>
      </c>
      <c r="B527" s="18" t="s">
        <v>49</v>
      </c>
      <c r="C527" s="18" t="s">
        <v>137</v>
      </c>
      <c r="D527" s="18" t="s">
        <v>716</v>
      </c>
      <c r="E527" s="18" t="s">
        <v>36</v>
      </c>
      <c r="F527" s="18" t="s">
        <v>36</v>
      </c>
      <c r="J527" s="19"/>
      <c r="K527" s="19">
        <v>0.39040000000000002</v>
      </c>
      <c r="L527" s="19">
        <v>0.22735346400000001</v>
      </c>
      <c r="M527" s="19">
        <v>0.40060000000000001</v>
      </c>
      <c r="N527" s="19">
        <v>0</v>
      </c>
      <c r="O527" s="19">
        <v>0.42859999999999998</v>
      </c>
      <c r="P527" s="19">
        <v>0.66669999999999996</v>
      </c>
      <c r="Q527" s="19">
        <v>5.5084745999999997E-2</v>
      </c>
      <c r="R527" s="20">
        <v>19350</v>
      </c>
      <c r="S527" s="21" t="str">
        <f>HYPERLINK("https://www.jwcc.edu/financial-aid/net-price-calculator/", "$13664")</f>
        <v>$13664</v>
      </c>
      <c r="T527" s="20">
        <v>16367</v>
      </c>
      <c r="U527" s="20">
        <v>18717</v>
      </c>
      <c r="V527" s="20">
        <v>4450</v>
      </c>
      <c r="W527" s="20">
        <v>9214.4666666666672</v>
      </c>
      <c r="Y527" s="19">
        <v>0.439</v>
      </c>
      <c r="Z527" s="19">
        <v>9.6099999999999963E-2</v>
      </c>
      <c r="AB527" s="18">
        <v>1519</v>
      </c>
    </row>
    <row r="528" spans="1:28" ht="15.75" customHeight="1" x14ac:dyDescent="0.2">
      <c r="A528" s="36" t="str">
        <f>HYPERLINK("https://www.jwu.edu/campuses/charlotte/index.html", "Johnson &amp; Wales University-Charlotte")</f>
        <v>Johnson &amp; Wales University-Charlotte</v>
      </c>
      <c r="B528" s="18" t="s">
        <v>32</v>
      </c>
      <c r="C528" s="18" t="s">
        <v>103</v>
      </c>
      <c r="D528" s="18" t="s">
        <v>447</v>
      </c>
      <c r="E528" s="18" t="s">
        <v>36</v>
      </c>
      <c r="F528" s="18" t="s">
        <v>90</v>
      </c>
      <c r="J528" s="19"/>
      <c r="K528" s="19">
        <v>0.5665</v>
      </c>
      <c r="L528" s="19">
        <v>0.42224953900000001</v>
      </c>
      <c r="M528" s="19">
        <v>0.63490000000000002</v>
      </c>
      <c r="N528" s="19">
        <v>0.52969999999999995</v>
      </c>
      <c r="O528" s="19">
        <v>0.40539999999999998</v>
      </c>
      <c r="P528" s="19">
        <v>0.63639999999999997</v>
      </c>
      <c r="Q528" s="19">
        <v>6.2797928000000003E-2</v>
      </c>
      <c r="R528" s="20">
        <v>48530</v>
      </c>
      <c r="S528" s="21" t="str">
        <f>HYPERLINK("https://jwu-charlotte.studentaidcalculator.com/survey.aspx", "$24327")</f>
        <v>$24327</v>
      </c>
      <c r="T528" s="20">
        <v>27630</v>
      </c>
      <c r="U528" s="20">
        <v>30223</v>
      </c>
      <c r="V528" s="20">
        <v>4188</v>
      </c>
      <c r="W528" s="20">
        <v>20139</v>
      </c>
      <c r="Y528" s="19">
        <v>0.55120000000000002</v>
      </c>
      <c r="Z528" s="19">
        <v>0.64060000000000006</v>
      </c>
      <c r="AB528" s="18">
        <v>1892</v>
      </c>
    </row>
    <row r="529" spans="1:28" ht="15.75" customHeight="1" x14ac:dyDescent="0.2">
      <c r="A529" s="36" t="str">
        <f>HYPERLINK("https://www.jwu.edu/campuses/denver/index.html", "Johnson &amp; Wales University-Denver")</f>
        <v>Johnson &amp; Wales University-Denver</v>
      </c>
      <c r="B529" s="18" t="s">
        <v>32</v>
      </c>
      <c r="C529" s="18" t="s">
        <v>87</v>
      </c>
      <c r="D529" s="18" t="s">
        <v>508</v>
      </c>
      <c r="E529" s="18" t="s">
        <v>36</v>
      </c>
      <c r="F529" s="18" t="s">
        <v>90</v>
      </c>
      <c r="J529" s="19"/>
      <c r="K529" s="19">
        <v>0.56930000000000003</v>
      </c>
      <c r="L529" s="19">
        <v>0.42224953900000001</v>
      </c>
      <c r="M529" s="19">
        <v>0.59760000000000002</v>
      </c>
      <c r="N529" s="19">
        <v>0.375</v>
      </c>
      <c r="O529" s="19">
        <v>0.55420000000000003</v>
      </c>
      <c r="P529" s="19">
        <v>0.66669999999999996</v>
      </c>
      <c r="Q529" s="19">
        <v>6.2797928000000003E-2</v>
      </c>
      <c r="R529" s="20">
        <v>47252</v>
      </c>
      <c r="S529" s="21" t="str">
        <f>HYPERLINK("https://jwu-denver.studentaidcalculator.com/survey.aspx", "$20532")</f>
        <v>$20532</v>
      </c>
      <c r="T529" s="20">
        <v>23485</v>
      </c>
      <c r="U529" s="20">
        <v>25570</v>
      </c>
      <c r="V529" s="20">
        <v>3909</v>
      </c>
      <c r="W529" s="20">
        <v>16623</v>
      </c>
      <c r="Y529" s="19">
        <v>0.41970000000000002</v>
      </c>
      <c r="Z529" s="19">
        <v>0.47689999999999999</v>
      </c>
      <c r="AB529" s="18">
        <v>1105</v>
      </c>
    </row>
    <row r="530" spans="1:28" ht="15.75" customHeight="1" x14ac:dyDescent="0.2">
      <c r="A530" s="36" t="str">
        <f>HYPERLINK("https://www.johnson.edu", "Johnson College")</f>
        <v>Johnson College</v>
      </c>
      <c r="B530" s="18" t="s">
        <v>32</v>
      </c>
      <c r="C530" s="18" t="s">
        <v>65</v>
      </c>
      <c r="D530" s="18" t="s">
        <v>524</v>
      </c>
      <c r="E530" s="18" t="s">
        <v>36</v>
      </c>
      <c r="F530" s="18" t="s">
        <v>90</v>
      </c>
      <c r="J530" s="19"/>
      <c r="K530" s="19">
        <v>0.64290000000000003</v>
      </c>
      <c r="L530" s="19">
        <v>0.77380952400000003</v>
      </c>
      <c r="M530" s="19">
        <v>0.67459999999999998</v>
      </c>
      <c r="N530" s="19">
        <v>0.33329999999999999</v>
      </c>
      <c r="O530" s="19">
        <v>0.5</v>
      </c>
      <c r="P530" s="19" t="s">
        <v>36</v>
      </c>
      <c r="Q530" s="19" t="s">
        <v>36</v>
      </c>
      <c r="R530" s="20">
        <v>32447</v>
      </c>
      <c r="S530" s="21" t="str">
        <f>HYPERLINK("https://www.johnson.edu/net-price-calculator/", "$16031")</f>
        <v>$16031</v>
      </c>
      <c r="T530" s="20">
        <v>18864</v>
      </c>
      <c r="U530" s="20">
        <v>21827</v>
      </c>
      <c r="V530" s="20">
        <v>4000</v>
      </c>
      <c r="W530" s="20">
        <v>12031</v>
      </c>
      <c r="Y530" s="19">
        <v>0.49559999999999998</v>
      </c>
      <c r="Z530" s="19">
        <v>0.1278</v>
      </c>
      <c r="AB530" s="18">
        <v>446</v>
      </c>
    </row>
    <row r="531" spans="1:28" ht="15.75" customHeight="1" x14ac:dyDescent="0.2">
      <c r="A531" s="36" t="str">
        <f>HYPERLINK("https://www.jccc.edu", "Johnson County Community College")</f>
        <v>Johnson County Community College</v>
      </c>
      <c r="B531" s="18" t="s">
        <v>49</v>
      </c>
      <c r="C531" s="18" t="s">
        <v>307</v>
      </c>
      <c r="D531" s="18" t="s">
        <v>1448</v>
      </c>
      <c r="E531" s="18" t="s">
        <v>36</v>
      </c>
      <c r="F531" s="18" t="s">
        <v>36</v>
      </c>
      <c r="J531" s="19"/>
      <c r="K531" s="19">
        <v>0.21909999999999999</v>
      </c>
      <c r="L531" s="19">
        <v>0.17793765</v>
      </c>
      <c r="M531" s="19">
        <v>0.24759999999999999</v>
      </c>
      <c r="N531" s="19">
        <v>0.13969999999999999</v>
      </c>
      <c r="O531" s="19">
        <v>0.15820000000000001</v>
      </c>
      <c r="P531" s="19">
        <v>0.25369999999999998</v>
      </c>
      <c r="Q531" s="19">
        <v>0.148456639</v>
      </c>
      <c r="R531" s="20">
        <v>25990</v>
      </c>
      <c r="S531" s="21" t="str">
        <f>HYPERLINK("https://www.jccc.edu/admissions/financial-aid/net-price-calculator/npcalc-050318.htm", "$20998")</f>
        <v>$20998</v>
      </c>
      <c r="T531" s="20">
        <v>23397</v>
      </c>
      <c r="U531" s="20">
        <v>25374</v>
      </c>
      <c r="V531" s="20">
        <v>9940</v>
      </c>
      <c r="W531" s="20">
        <v>11058.005571030641</v>
      </c>
      <c r="Y531" s="19">
        <v>0.1158</v>
      </c>
      <c r="Z531" s="19">
        <v>0.37169999999999997</v>
      </c>
      <c r="AB531" s="18">
        <v>11418</v>
      </c>
    </row>
    <row r="532" spans="1:28" ht="15.75" customHeight="1" x14ac:dyDescent="0.2">
      <c r="A532" s="36" t="str">
        <f>HYPERLINK("https://www.johnstoncc.edu", "Johnston Community College")</f>
        <v>Johnston Community College</v>
      </c>
      <c r="B532" s="18" t="s">
        <v>49</v>
      </c>
      <c r="C532" s="18" t="s">
        <v>103</v>
      </c>
      <c r="D532" s="18" t="s">
        <v>315</v>
      </c>
      <c r="E532" s="18" t="s">
        <v>36</v>
      </c>
      <c r="F532" s="18" t="s">
        <v>36</v>
      </c>
      <c r="J532" s="19"/>
      <c r="K532" s="19">
        <v>0.37390000000000001</v>
      </c>
      <c r="L532" s="19">
        <v>0.201581028</v>
      </c>
      <c r="M532" s="19">
        <v>0.40629999999999999</v>
      </c>
      <c r="N532" s="19">
        <v>0.32840000000000003</v>
      </c>
      <c r="O532" s="19">
        <v>0.32429999999999998</v>
      </c>
      <c r="P532" s="19">
        <v>0.66669999999999996</v>
      </c>
      <c r="Q532" s="19">
        <v>6.5404475000000004E-2</v>
      </c>
      <c r="R532" s="20">
        <v>25100</v>
      </c>
      <c r="S532" s="21" t="str">
        <f>HYPERLINK("https://www.johnstoncc.edu/payingforcollege/netpricecalculator.aspx", "$19418")</f>
        <v>$19418</v>
      </c>
      <c r="T532" s="20">
        <v>20436</v>
      </c>
      <c r="U532" s="20">
        <v>19562</v>
      </c>
      <c r="V532" s="20">
        <v>12508</v>
      </c>
      <c r="W532" s="20">
        <v>6910.0256410256407</v>
      </c>
      <c r="Y532" s="19">
        <v>0.34820000000000001</v>
      </c>
      <c r="Z532" s="19">
        <v>0.39</v>
      </c>
      <c r="AB532" s="18">
        <v>2718</v>
      </c>
    </row>
    <row r="533" spans="1:28" ht="15.75" customHeight="1" x14ac:dyDescent="0.2">
      <c r="A533" s="36" t="str">
        <f>HYPERLINK("https://www.jjc.edu", "Joliet Junior College")</f>
        <v>Joliet Junior College</v>
      </c>
      <c r="B533" s="18" t="s">
        <v>49</v>
      </c>
      <c r="C533" s="18" t="s">
        <v>137</v>
      </c>
      <c r="D533" s="18" t="s">
        <v>1346</v>
      </c>
      <c r="E533" s="18" t="s">
        <v>36</v>
      </c>
      <c r="F533" s="18" t="s">
        <v>36</v>
      </c>
      <c r="J533" s="19"/>
      <c r="K533" s="19">
        <v>0.1633</v>
      </c>
      <c r="L533" s="19">
        <v>0.11489899000000001</v>
      </c>
      <c r="M533" s="19">
        <v>0.215</v>
      </c>
      <c r="N533" s="19">
        <v>8.1299999999999997E-2</v>
      </c>
      <c r="O533" s="19">
        <v>0.1232</v>
      </c>
      <c r="P533" s="19">
        <v>0.16669999999999999</v>
      </c>
      <c r="Q533" s="19">
        <v>0.111880467</v>
      </c>
      <c r="R533" s="20">
        <v>23568</v>
      </c>
      <c r="S533" s="21" t="str">
        <f>HYPERLINK("https://www3.jjc.edu/NetPriceCalc/npcalc.htm", "$18634")</f>
        <v>$18634</v>
      </c>
      <c r="T533" s="20">
        <v>21132</v>
      </c>
      <c r="U533" s="20">
        <v>23270</v>
      </c>
      <c r="V533" s="20">
        <v>3118</v>
      </c>
      <c r="W533" s="20">
        <v>15516.49826989619</v>
      </c>
      <c r="Y533" s="19">
        <v>0.189</v>
      </c>
      <c r="Z533" s="19">
        <v>0.43630000000000002</v>
      </c>
      <c r="AB533" s="18">
        <v>11632</v>
      </c>
    </row>
    <row r="534" spans="1:28" ht="15.75" customHeight="1" x14ac:dyDescent="0.2">
      <c r="A534" s="36" t="str">
        <f>HYPERLINK("https://www.jcjc.edu", "Jones County Junior College")</f>
        <v>Jones County Junior College</v>
      </c>
      <c r="B534" s="18" t="s">
        <v>49</v>
      </c>
      <c r="C534" s="18" t="s">
        <v>59</v>
      </c>
      <c r="D534" s="18" t="s">
        <v>1449</v>
      </c>
      <c r="E534" s="18" t="s">
        <v>36</v>
      </c>
      <c r="F534" s="18" t="s">
        <v>36</v>
      </c>
      <c r="J534" s="19"/>
      <c r="K534" s="19">
        <v>0.33450000000000002</v>
      </c>
      <c r="L534" s="19">
        <v>0.22761194000000001</v>
      </c>
      <c r="M534" s="19">
        <v>0.3871</v>
      </c>
      <c r="N534" s="19">
        <v>0.26190000000000002</v>
      </c>
      <c r="O534" s="19">
        <v>0.25</v>
      </c>
      <c r="P534" s="19">
        <v>0.5</v>
      </c>
      <c r="Q534" s="19">
        <v>5.0913115999999987E-2</v>
      </c>
      <c r="R534" s="20">
        <v>13220</v>
      </c>
      <c r="S534" s="21" t="str">
        <f>HYPERLINK("https://www.jcjc.edu/netprice/", "$8082")</f>
        <v>$8082</v>
      </c>
      <c r="T534" s="20">
        <v>10375</v>
      </c>
      <c r="U534" s="20">
        <v>11853</v>
      </c>
      <c r="V534" s="20">
        <v>4808</v>
      </c>
      <c r="W534" s="20">
        <v>3274.216887417218</v>
      </c>
      <c r="Y534" s="19">
        <v>0.44230000000000003</v>
      </c>
      <c r="Z534" s="19">
        <v>0.38240000000000002</v>
      </c>
      <c r="AB534" s="18">
        <v>4025</v>
      </c>
    </row>
    <row r="535" spans="1:28" ht="15.75" customHeight="1" x14ac:dyDescent="0.2">
      <c r="A535" s="36" t="str">
        <f>HYPERLINK("https://www.KDSTUDIO.COM", "KD Conservatory College of Film and Dramatic Arts")</f>
        <v>KD Conservatory College of Film and Dramatic Arts</v>
      </c>
      <c r="B535" s="18" t="s">
        <v>368</v>
      </c>
      <c r="C535" s="18" t="s">
        <v>146</v>
      </c>
      <c r="D535" s="18" t="s">
        <v>152</v>
      </c>
      <c r="E535" s="18" t="s">
        <v>36</v>
      </c>
      <c r="F535" s="18" t="s">
        <v>45</v>
      </c>
      <c r="J535" s="19"/>
      <c r="K535" s="19">
        <v>0.64859999999999995</v>
      </c>
      <c r="L535" s="19">
        <v>0.571428571</v>
      </c>
      <c r="M535" s="19">
        <v>0.8</v>
      </c>
      <c r="N535" s="19">
        <v>0.7</v>
      </c>
      <c r="O535" s="19">
        <v>0.16669999999999999</v>
      </c>
      <c r="P535" s="19">
        <v>0.66669999999999996</v>
      </c>
      <c r="Q535" s="19" t="s">
        <v>36</v>
      </c>
      <c r="R535" s="20">
        <v>26911</v>
      </c>
      <c r="S535" s="21" t="str">
        <f>HYPERLINK("https://www.kdstudio.com/wp-content/themes/kdc/netpricecalculator/npcalc.htm", "$14555")</f>
        <v>$14555</v>
      </c>
      <c r="T535" s="20">
        <v>20257</v>
      </c>
      <c r="U535" s="20" t="s">
        <v>36</v>
      </c>
      <c r="V535" s="20" t="s">
        <v>36</v>
      </c>
      <c r="W535" s="20" t="s">
        <v>36</v>
      </c>
      <c r="Y535" s="19">
        <v>0.63249999999999995</v>
      </c>
      <c r="Z535" s="19">
        <v>0.75350000000000006</v>
      </c>
      <c r="AB535" s="18">
        <v>142</v>
      </c>
    </row>
    <row r="536" spans="1:28" ht="15.75" customHeight="1" x14ac:dyDescent="0.2">
      <c r="A536" s="36" t="str">
        <f>HYPERLINK("https://www.kvcc.edu", "Kalamazoo Valley Community College")</f>
        <v>Kalamazoo Valley Community College</v>
      </c>
      <c r="B536" s="18" t="s">
        <v>49</v>
      </c>
      <c r="C536" s="18" t="s">
        <v>226</v>
      </c>
      <c r="D536" s="18" t="s">
        <v>227</v>
      </c>
      <c r="E536" s="18" t="s">
        <v>36</v>
      </c>
      <c r="F536" s="18" t="s">
        <v>36</v>
      </c>
      <c r="J536" s="19"/>
      <c r="K536" s="19">
        <v>0.15379999999999999</v>
      </c>
      <c r="L536" s="19">
        <v>0.12373907200000001</v>
      </c>
      <c r="M536" s="19">
        <v>0.17879999999999999</v>
      </c>
      <c r="N536" s="19">
        <v>4.1700000000000001E-2</v>
      </c>
      <c r="O536" s="19">
        <v>0.122</v>
      </c>
      <c r="P536" s="19">
        <v>0.33329999999999999</v>
      </c>
      <c r="Q536" s="19">
        <v>8.6749078000000007E-2</v>
      </c>
      <c r="R536" s="20">
        <v>15817</v>
      </c>
      <c r="S536" s="21" t="str">
        <f>HYPERLINK("https://www.kvcc.edu/NetPrice/npcalc.htm", "$9990")</f>
        <v>$9990</v>
      </c>
      <c r="T536" s="20">
        <v>12369</v>
      </c>
      <c r="U536" s="20">
        <v>14812</v>
      </c>
      <c r="V536" s="20">
        <v>3712</v>
      </c>
      <c r="W536" s="20">
        <v>6278.1139240506327</v>
      </c>
      <c r="Y536" s="19">
        <v>0.35199999999999998</v>
      </c>
      <c r="Z536" s="19">
        <v>0.29459999999999997</v>
      </c>
      <c r="AB536" s="18">
        <v>6911</v>
      </c>
    </row>
    <row r="537" spans="1:28" ht="15.75" customHeight="1" x14ac:dyDescent="0.2">
      <c r="A537" s="36" t="str">
        <f>HYPERLINK("https://www.kansaschristian.edu", "Kansas Christian College")</f>
        <v>Kansas Christian College</v>
      </c>
      <c r="B537" s="18" t="s">
        <v>32</v>
      </c>
      <c r="C537" s="18" t="s">
        <v>307</v>
      </c>
      <c r="D537" s="18" t="s">
        <v>1448</v>
      </c>
      <c r="E537" s="18" t="s">
        <v>36</v>
      </c>
      <c r="F537" s="18" t="s">
        <v>36</v>
      </c>
      <c r="J537" s="19"/>
      <c r="K537" s="19">
        <v>0</v>
      </c>
      <c r="L537" s="19" t="s">
        <v>36</v>
      </c>
      <c r="M537" s="19">
        <v>0</v>
      </c>
      <c r="N537" s="19" t="s">
        <v>36</v>
      </c>
      <c r="O537" s="19" t="s">
        <v>36</v>
      </c>
      <c r="P537" s="19" t="s">
        <v>36</v>
      </c>
      <c r="Q537" s="19" t="s">
        <v>36</v>
      </c>
      <c r="R537" s="20">
        <v>17488</v>
      </c>
      <c r="S537" s="21" t="str">
        <f>HYPERLINK("https://kccbs.vfao.com/default.aspx", "$12882")</f>
        <v>$12882</v>
      </c>
      <c r="T537" s="20">
        <v>12631</v>
      </c>
      <c r="U537" s="20" t="s">
        <v>36</v>
      </c>
      <c r="V537" s="20">
        <v>2948</v>
      </c>
      <c r="W537" s="20">
        <v>9934</v>
      </c>
      <c r="Y537" s="19">
        <v>0.70589999999999997</v>
      </c>
      <c r="Z537" s="19">
        <v>0.66670000000000007</v>
      </c>
      <c r="AB537" s="18">
        <v>135</v>
      </c>
    </row>
    <row r="538" spans="1:28" ht="15.75" customHeight="1" x14ac:dyDescent="0.2">
      <c r="A538" s="36" t="str">
        <f>HYPERLINK("https://www.kapiolani.hawaii.edu", "Kapiolani Community College")</f>
        <v>Kapiolani Community College</v>
      </c>
      <c r="B538" s="18" t="s">
        <v>49</v>
      </c>
      <c r="C538" s="18" t="s">
        <v>313</v>
      </c>
      <c r="D538" s="18" t="s">
        <v>510</v>
      </c>
      <c r="E538" s="18" t="s">
        <v>36</v>
      </c>
      <c r="F538" s="18" t="s">
        <v>36</v>
      </c>
      <c r="J538" s="19"/>
      <c r="K538" s="19">
        <v>0.20030000000000001</v>
      </c>
      <c r="L538" s="19">
        <v>0.21316166</v>
      </c>
      <c r="M538" s="19">
        <v>7.6899999999999996E-2</v>
      </c>
      <c r="N538" s="19">
        <v>0.1</v>
      </c>
      <c r="O538" s="19">
        <v>0.127</v>
      </c>
      <c r="P538" s="19">
        <v>0.19520000000000001</v>
      </c>
      <c r="Q538" s="19">
        <v>0.15794306699999999</v>
      </c>
      <c r="R538" s="20">
        <v>27508</v>
      </c>
      <c r="S538" s="21" t="str">
        <f>HYPERLINK("https://www.kapiolani.hawaii.edu/paying-for-college/financial-aid/net-price-calculator/", "$22098")</f>
        <v>$22098</v>
      </c>
      <c r="T538" s="20">
        <v>24539</v>
      </c>
      <c r="U538" s="20">
        <v>26472</v>
      </c>
      <c r="V538" s="20">
        <v>4626</v>
      </c>
      <c r="W538" s="20">
        <v>17472.296296296299</v>
      </c>
      <c r="Y538" s="19">
        <v>0.18029999999999999</v>
      </c>
      <c r="Z538" s="19">
        <v>0.91069999999999995</v>
      </c>
      <c r="AB538" s="18">
        <v>5030</v>
      </c>
    </row>
    <row r="539" spans="1:28" ht="15.75" customHeight="1" x14ac:dyDescent="0.2">
      <c r="A539" s="36" t="str">
        <f>HYPERLINK("https://www.kaskaskia.edu", "Kaskaskia College")</f>
        <v>Kaskaskia College</v>
      </c>
      <c r="B539" s="18" t="s">
        <v>49</v>
      </c>
      <c r="C539" s="18" t="s">
        <v>137</v>
      </c>
      <c r="D539" s="18" t="s">
        <v>1450</v>
      </c>
      <c r="E539" s="18" t="s">
        <v>36</v>
      </c>
      <c r="F539" s="18" t="s">
        <v>36</v>
      </c>
      <c r="J539" s="19"/>
      <c r="K539" s="19">
        <v>0.30380000000000001</v>
      </c>
      <c r="L539" s="19">
        <v>0.242647059</v>
      </c>
      <c r="M539" s="19">
        <v>0.33829999999999999</v>
      </c>
      <c r="N539" s="19">
        <v>0.1176</v>
      </c>
      <c r="O539" s="19">
        <v>0</v>
      </c>
      <c r="P539" s="19" t="s">
        <v>36</v>
      </c>
      <c r="Q539" s="19">
        <v>4.5528455000000002E-2</v>
      </c>
      <c r="R539" s="20">
        <v>24843</v>
      </c>
      <c r="S539" s="21" t="str">
        <f>HYPERLINK("https://www.kaskaskia.edu/admissions/financial-aid/net-price-calculator/", "$20235")</f>
        <v>$20235</v>
      </c>
      <c r="T539" s="20">
        <v>21600</v>
      </c>
      <c r="U539" s="20" t="s">
        <v>36</v>
      </c>
      <c r="V539" s="20">
        <v>4441</v>
      </c>
      <c r="W539" s="20">
        <v>15794</v>
      </c>
      <c r="Y539" s="19">
        <v>0.25459999999999999</v>
      </c>
      <c r="Z539" s="19">
        <v>8.77E-2</v>
      </c>
      <c r="AB539" s="18">
        <v>1847</v>
      </c>
    </row>
    <row r="540" spans="1:28" ht="15.75" customHeight="1" x14ac:dyDescent="0.2">
      <c r="A540" s="36" t="str">
        <f>HYPERLINK("https://www.keiseruniversity.edu", "Keiser University-Ft Lauderdale")</f>
        <v>Keiser University-Ft Lauderdale</v>
      </c>
      <c r="B540" s="18" t="s">
        <v>32</v>
      </c>
      <c r="C540" s="18" t="s">
        <v>162</v>
      </c>
      <c r="D540" s="18" t="s">
        <v>433</v>
      </c>
      <c r="E540" s="18" t="s">
        <v>36</v>
      </c>
      <c r="F540" s="18" t="s">
        <v>36</v>
      </c>
      <c r="J540" s="19"/>
      <c r="K540" s="19">
        <v>0.58819999999999995</v>
      </c>
      <c r="L540" s="19">
        <v>0.38683443299999998</v>
      </c>
      <c r="M540" s="19">
        <v>0.66010000000000002</v>
      </c>
      <c r="N540" s="19">
        <v>0.47770000000000001</v>
      </c>
      <c r="O540" s="19">
        <v>0.5615</v>
      </c>
      <c r="P540" s="19">
        <v>0.76470000000000005</v>
      </c>
      <c r="Q540" s="19">
        <v>5.1115910999999993E-2</v>
      </c>
      <c r="R540" s="20">
        <v>40202</v>
      </c>
      <c r="S540" s="21" t="str">
        <f>HYPERLINK("https://enroll.keiseruniversity.edu/Npc", "$28874")</f>
        <v>$28874</v>
      </c>
      <c r="T540" s="20">
        <v>30854</v>
      </c>
      <c r="U540" s="20">
        <v>32056</v>
      </c>
      <c r="V540" s="20">
        <v>10726</v>
      </c>
      <c r="W540" s="20">
        <v>18148</v>
      </c>
      <c r="Y540" s="19">
        <v>0.61</v>
      </c>
      <c r="Z540" s="19">
        <v>0.6411</v>
      </c>
      <c r="AB540" s="18">
        <v>16625</v>
      </c>
    </row>
    <row r="541" spans="1:28" ht="15.75" customHeight="1" x14ac:dyDescent="0.2">
      <c r="A541" s="36" t="str">
        <f>HYPERLINK("https://www.kellogg.edu", "Kellogg Community College")</f>
        <v>Kellogg Community College</v>
      </c>
      <c r="B541" s="18" t="s">
        <v>49</v>
      </c>
      <c r="C541" s="18" t="s">
        <v>226</v>
      </c>
      <c r="D541" s="18" t="s">
        <v>1451</v>
      </c>
      <c r="E541" s="18" t="s">
        <v>36</v>
      </c>
      <c r="F541" s="18" t="s">
        <v>36</v>
      </c>
      <c r="J541" s="19"/>
      <c r="K541" s="19">
        <v>0.15490000000000001</v>
      </c>
      <c r="L541" s="19">
        <v>6.6903914999999994E-2</v>
      </c>
      <c r="M541" s="19">
        <v>0.19900000000000001</v>
      </c>
      <c r="N541" s="19">
        <v>6.9800000000000001E-2</v>
      </c>
      <c r="O541" s="19">
        <v>5.5599999999999997E-2</v>
      </c>
      <c r="P541" s="19">
        <v>0.16669999999999999</v>
      </c>
      <c r="Q541" s="19">
        <v>6.3448275999999998E-2</v>
      </c>
      <c r="R541" s="20">
        <v>19012</v>
      </c>
      <c r="S541" s="21" t="str">
        <f>HYPERLINK("https://www.kellogg.edu/admissions/financial-aid/general-information/net-price-calculator/", "$12736")</f>
        <v>$12736</v>
      </c>
      <c r="T541" s="20">
        <v>15850</v>
      </c>
      <c r="U541" s="20">
        <v>19012</v>
      </c>
      <c r="V541" s="20">
        <v>5062</v>
      </c>
      <c r="W541" s="20">
        <v>7674.5217391304359</v>
      </c>
      <c r="Y541" s="19">
        <v>0.27710000000000001</v>
      </c>
      <c r="Z541" s="19">
        <v>0.29170000000000001</v>
      </c>
      <c r="AB541" s="18">
        <v>3497</v>
      </c>
    </row>
    <row r="542" spans="1:28" ht="15.75" customHeight="1" x14ac:dyDescent="0.2">
      <c r="A542" s="36" t="str">
        <f>HYPERLINK("https://www.kvcc.me.edu", "Kennebec Valley Community College")</f>
        <v>Kennebec Valley Community College</v>
      </c>
      <c r="B542" s="18" t="s">
        <v>49</v>
      </c>
      <c r="C542" s="18" t="s">
        <v>43</v>
      </c>
      <c r="D542" s="18" t="s">
        <v>356</v>
      </c>
      <c r="E542" s="18" t="s">
        <v>36</v>
      </c>
      <c r="F542" s="18" t="s">
        <v>36</v>
      </c>
      <c r="J542" s="19"/>
      <c r="K542" s="19">
        <v>0.44719999999999999</v>
      </c>
      <c r="L542" s="19">
        <v>0.38043478299999989</v>
      </c>
      <c r="M542" s="19">
        <v>0.46</v>
      </c>
      <c r="N542" s="19">
        <v>0</v>
      </c>
      <c r="O542" s="19">
        <v>0</v>
      </c>
      <c r="P542" s="19" t="s">
        <v>36</v>
      </c>
      <c r="Q542" s="19">
        <v>3.5450517000000001E-2</v>
      </c>
      <c r="R542" s="20">
        <v>19727</v>
      </c>
      <c r="S542" s="21" t="str">
        <f>HYPERLINK("https://my.kvcc.me.edu/ICS/Finances/Finances_Homepage.jnz?portlet=Net_Price_Calculator", "$13397")</f>
        <v>$13397</v>
      </c>
      <c r="T542" s="20">
        <v>17185</v>
      </c>
      <c r="U542" s="20">
        <v>19290</v>
      </c>
      <c r="V542" s="20">
        <v>6833</v>
      </c>
      <c r="W542" s="20">
        <v>6564.9178082191793</v>
      </c>
      <c r="Y542" s="19">
        <v>0.35570000000000002</v>
      </c>
      <c r="Z542" s="19">
        <v>6.9400000000000017E-2</v>
      </c>
      <c r="AB542" s="18">
        <v>1599</v>
      </c>
    </row>
    <row r="543" spans="1:28" ht="15.75" customHeight="1" x14ac:dyDescent="0.2">
      <c r="A543" s="36" t="str">
        <f>HYPERLINK("https://www.kent.edu/ashtabula", "Kent State University at Ashtabula")</f>
        <v>Kent State University at Ashtabula</v>
      </c>
      <c r="B543" s="18" t="s">
        <v>49</v>
      </c>
      <c r="C543" s="18" t="s">
        <v>75</v>
      </c>
      <c r="D543" s="18" t="s">
        <v>1452</v>
      </c>
      <c r="E543" s="18" t="s">
        <v>36</v>
      </c>
      <c r="F543" s="18" t="s">
        <v>36</v>
      </c>
      <c r="J543" s="19"/>
      <c r="K543" s="19">
        <v>0.24529999999999999</v>
      </c>
      <c r="L543" s="19">
        <v>0.275610313</v>
      </c>
      <c r="M543" s="19">
        <v>0.26819999999999999</v>
      </c>
      <c r="N543" s="19">
        <v>0</v>
      </c>
      <c r="O543" s="19">
        <v>0.2</v>
      </c>
      <c r="P543" s="19">
        <v>0.66669999999999996</v>
      </c>
      <c r="Q543" s="19">
        <v>6.5695661000000002E-2</v>
      </c>
      <c r="R543" s="20">
        <v>27060</v>
      </c>
      <c r="S543" s="21" t="str">
        <f>HYPERLINK("https://www.kent.edu/financialaid/calculator", "$22118")</f>
        <v>$22118</v>
      </c>
      <c r="T543" s="20">
        <v>24760</v>
      </c>
      <c r="U543" s="20">
        <v>26216</v>
      </c>
      <c r="V543" s="20">
        <v>5004</v>
      </c>
      <c r="W543" s="20">
        <v>17114.466666666671</v>
      </c>
      <c r="Y543" s="19">
        <v>0.47620000000000001</v>
      </c>
      <c r="Z543" s="19">
        <v>0.17889999999999989</v>
      </c>
      <c r="AB543" s="18">
        <v>1789</v>
      </c>
    </row>
    <row r="544" spans="1:28" ht="15.75" customHeight="1" x14ac:dyDescent="0.2">
      <c r="A544" s="36" t="str">
        <f>HYPERLINK("https://www.kent.edu/columbiana", "Kent State University at East Liverpool")</f>
        <v>Kent State University at East Liverpool</v>
      </c>
      <c r="B544" s="18" t="s">
        <v>49</v>
      </c>
      <c r="C544" s="18" t="s">
        <v>75</v>
      </c>
      <c r="D544" s="18" t="s">
        <v>1453</v>
      </c>
      <c r="E544" s="18" t="s">
        <v>36</v>
      </c>
      <c r="F544" s="18" t="s">
        <v>36</v>
      </c>
      <c r="J544" s="19"/>
      <c r="K544" s="19">
        <v>0.29599999999999999</v>
      </c>
      <c r="L544" s="19">
        <v>0.275610313</v>
      </c>
      <c r="M544" s="19">
        <v>0.28179999999999999</v>
      </c>
      <c r="N544" s="19">
        <v>0.42859999999999998</v>
      </c>
      <c r="O544" s="19">
        <v>0.25</v>
      </c>
      <c r="P544" s="19" t="s">
        <v>36</v>
      </c>
      <c r="Q544" s="19">
        <v>6.5695661000000002E-2</v>
      </c>
      <c r="R544" s="20">
        <v>27060</v>
      </c>
      <c r="S544" s="21" t="str">
        <f>HYPERLINK("https://www.kent.edu/financialaid/calculator", "$22217")</f>
        <v>$22217</v>
      </c>
      <c r="T544" s="20">
        <v>24932</v>
      </c>
      <c r="U544" s="20">
        <v>26408</v>
      </c>
      <c r="V544" s="20">
        <v>5004</v>
      </c>
      <c r="W544" s="20">
        <v>17213.599999999999</v>
      </c>
      <c r="Y544" s="19">
        <v>0.44950000000000001</v>
      </c>
      <c r="Z544" s="19">
        <v>0.15989999999999999</v>
      </c>
      <c r="AB544" s="18">
        <v>1057</v>
      </c>
    </row>
    <row r="545" spans="1:28" ht="15.75" customHeight="1" x14ac:dyDescent="0.2">
      <c r="A545" s="36" t="str">
        <f>HYPERLINK("https://www.kent.edu/geauga", "Kent State University at Geauga")</f>
        <v>Kent State University at Geauga</v>
      </c>
      <c r="B545" s="18" t="s">
        <v>49</v>
      </c>
      <c r="C545" s="18" t="s">
        <v>75</v>
      </c>
      <c r="D545" s="18" t="s">
        <v>1454</v>
      </c>
      <c r="E545" s="18" t="s">
        <v>36</v>
      </c>
      <c r="F545" s="18" t="s">
        <v>36</v>
      </c>
      <c r="J545" s="19"/>
      <c r="K545" s="19">
        <v>0.29799999999999999</v>
      </c>
      <c r="L545" s="19">
        <v>0.275610313</v>
      </c>
      <c r="M545" s="19">
        <v>0.35170000000000001</v>
      </c>
      <c r="N545" s="19">
        <v>9.6799999999999997E-2</v>
      </c>
      <c r="O545" s="19">
        <v>0.28570000000000001</v>
      </c>
      <c r="P545" s="19">
        <v>0</v>
      </c>
      <c r="Q545" s="19">
        <v>6.5695661000000002E-2</v>
      </c>
      <c r="R545" s="20">
        <v>27060</v>
      </c>
      <c r="S545" s="21" t="str">
        <f>HYPERLINK("https://www.kent.edu/financialaid/calculator", "$22314")</f>
        <v>$22314</v>
      </c>
      <c r="T545" s="20">
        <v>24912</v>
      </c>
      <c r="U545" s="20">
        <v>26855</v>
      </c>
      <c r="V545" s="20">
        <v>5004</v>
      </c>
      <c r="W545" s="20">
        <v>17310.365591397851</v>
      </c>
      <c r="Y545" s="19">
        <v>0.32990000000000003</v>
      </c>
      <c r="Z545" s="19">
        <v>0.23319999999999999</v>
      </c>
      <c r="AB545" s="18">
        <v>1955</v>
      </c>
    </row>
    <row r="546" spans="1:28" ht="15.75" customHeight="1" x14ac:dyDescent="0.2">
      <c r="A546" s="36" t="str">
        <f>HYPERLINK("https://www.kent.edu/columbiana", "Kent State University at Salem")</f>
        <v>Kent State University at Salem</v>
      </c>
      <c r="B546" s="18" t="s">
        <v>49</v>
      </c>
      <c r="C546" s="18" t="s">
        <v>75</v>
      </c>
      <c r="D546" s="18" t="s">
        <v>343</v>
      </c>
      <c r="E546" s="18" t="s">
        <v>36</v>
      </c>
      <c r="F546" s="18" t="s">
        <v>36</v>
      </c>
      <c r="J546" s="19"/>
      <c r="K546" s="19">
        <v>0.27979999999999999</v>
      </c>
      <c r="L546" s="19">
        <v>0.275610313</v>
      </c>
      <c r="M546" s="19">
        <v>0.27310000000000001</v>
      </c>
      <c r="N546" s="19">
        <v>0.28570000000000001</v>
      </c>
      <c r="O546" s="19">
        <v>0</v>
      </c>
      <c r="P546" s="19" t="s">
        <v>36</v>
      </c>
      <c r="Q546" s="19">
        <v>6.5695661000000002E-2</v>
      </c>
      <c r="R546" s="20">
        <v>27060</v>
      </c>
      <c r="S546" s="21" t="str">
        <f>HYPERLINK("https://www.kent.edu/financialaid/calculator", "$22525")</f>
        <v>$22525</v>
      </c>
      <c r="T546" s="20">
        <v>24976</v>
      </c>
      <c r="U546" s="20">
        <v>26636</v>
      </c>
      <c r="V546" s="20">
        <v>5004</v>
      </c>
      <c r="W546" s="20">
        <v>17521.138888888891</v>
      </c>
      <c r="Y546" s="19">
        <v>0.43030000000000002</v>
      </c>
      <c r="Z546" s="19">
        <v>0.12970000000000001</v>
      </c>
      <c r="AB546" s="18">
        <v>1403</v>
      </c>
    </row>
    <row r="547" spans="1:28" ht="15.75" customHeight="1" x14ac:dyDescent="0.2">
      <c r="A547" s="36" t="str">
        <f>HYPERLINK("https://www.kent.edu/stark", "Kent State University at Stark")</f>
        <v>Kent State University at Stark</v>
      </c>
      <c r="B547" s="18" t="s">
        <v>49</v>
      </c>
      <c r="C547" s="18" t="s">
        <v>75</v>
      </c>
      <c r="D547" s="18" t="s">
        <v>249</v>
      </c>
      <c r="E547" s="18" t="s">
        <v>36</v>
      </c>
      <c r="F547" s="18" t="s">
        <v>36</v>
      </c>
      <c r="J547" s="19"/>
      <c r="K547" s="19">
        <v>0.31890000000000002</v>
      </c>
      <c r="L547" s="19">
        <v>0.275610313</v>
      </c>
      <c r="M547" s="19">
        <v>0.34100000000000003</v>
      </c>
      <c r="N547" s="19">
        <v>0.21049999999999999</v>
      </c>
      <c r="O547" s="19">
        <v>0.2</v>
      </c>
      <c r="P547" s="19">
        <v>0</v>
      </c>
      <c r="Q547" s="19">
        <v>6.5695661000000002E-2</v>
      </c>
      <c r="R547" s="20">
        <v>27060</v>
      </c>
      <c r="S547" s="21" t="str">
        <f>HYPERLINK("https://www.kent.edu/financialaid/calculator", "$22621")</f>
        <v>$22621</v>
      </c>
      <c r="T547" s="20">
        <v>24531</v>
      </c>
      <c r="U547" s="20">
        <v>26460</v>
      </c>
      <c r="V547" s="20">
        <v>5004</v>
      </c>
      <c r="W547" s="20">
        <v>17617.081632653058</v>
      </c>
      <c r="Y547" s="19">
        <v>0.40189999999999998</v>
      </c>
      <c r="Z547" s="19">
        <v>0.1754</v>
      </c>
      <c r="AB547" s="18">
        <v>4235</v>
      </c>
    </row>
    <row r="548" spans="1:28" ht="15.75" customHeight="1" x14ac:dyDescent="0.2">
      <c r="A548" s="36" t="str">
        <f>HYPERLINK("https://www.kent.edu/trumbull", "Kent State University at Trumbull")</f>
        <v>Kent State University at Trumbull</v>
      </c>
      <c r="B548" s="18" t="s">
        <v>49</v>
      </c>
      <c r="C548" s="18" t="s">
        <v>75</v>
      </c>
      <c r="D548" s="18" t="s">
        <v>713</v>
      </c>
      <c r="E548" s="18" t="s">
        <v>36</v>
      </c>
      <c r="F548" s="18" t="s">
        <v>36</v>
      </c>
      <c r="J548" s="19"/>
      <c r="K548" s="19">
        <v>0.20200000000000001</v>
      </c>
      <c r="L548" s="19">
        <v>0.275610313</v>
      </c>
      <c r="M548" s="19">
        <v>0.24</v>
      </c>
      <c r="N548" s="19">
        <v>7.4999999999999997E-2</v>
      </c>
      <c r="O548" s="19">
        <v>0.25</v>
      </c>
      <c r="P548" s="19">
        <v>1</v>
      </c>
      <c r="Q548" s="19">
        <v>6.5695661000000002E-2</v>
      </c>
      <c r="R548" s="20">
        <v>27060</v>
      </c>
      <c r="S548" s="21" t="str">
        <f>HYPERLINK("https://www.kent.edu/financialaid/calculator", "$22133")</f>
        <v>$22133</v>
      </c>
      <c r="T548" s="20">
        <v>24569</v>
      </c>
      <c r="U548" s="20">
        <v>25918</v>
      </c>
      <c r="V548" s="20">
        <v>5004</v>
      </c>
      <c r="W548" s="20">
        <v>17129.009433962259</v>
      </c>
      <c r="Y548" s="19">
        <v>0.50760000000000005</v>
      </c>
      <c r="Z548" s="19">
        <v>0.18540000000000001</v>
      </c>
      <c r="AB548" s="18">
        <v>2055</v>
      </c>
    </row>
    <row r="549" spans="1:28" ht="15.75" customHeight="1" x14ac:dyDescent="0.2">
      <c r="A549" s="36" t="str">
        <f>HYPERLINK("https://www.kent.edu/tusc", "Kent State University at Tuscarawas")</f>
        <v>Kent State University at Tuscarawas</v>
      </c>
      <c r="B549" s="18" t="s">
        <v>49</v>
      </c>
      <c r="C549" s="18" t="s">
        <v>75</v>
      </c>
      <c r="D549" s="18" t="s">
        <v>1455</v>
      </c>
      <c r="E549" s="18" t="s">
        <v>36</v>
      </c>
      <c r="F549" s="18" t="s">
        <v>36</v>
      </c>
      <c r="J549" s="19"/>
      <c r="K549" s="19">
        <v>0.3281</v>
      </c>
      <c r="L549" s="19">
        <v>0.275610313</v>
      </c>
      <c r="M549" s="19">
        <v>0.33439999999999998</v>
      </c>
      <c r="N549" s="19">
        <v>0.5</v>
      </c>
      <c r="O549" s="19" t="s">
        <v>36</v>
      </c>
      <c r="P549" s="19">
        <v>0</v>
      </c>
      <c r="Q549" s="19">
        <v>6.5695661000000002E-2</v>
      </c>
      <c r="R549" s="20">
        <v>27060</v>
      </c>
      <c r="S549" s="21" t="str">
        <f>HYPERLINK("https://www.kent.edu/financialaid/calculator", "$22486")</f>
        <v>$22486</v>
      </c>
      <c r="T549" s="20">
        <v>24913</v>
      </c>
      <c r="U549" s="20">
        <v>26613</v>
      </c>
      <c r="V549" s="20">
        <v>5004</v>
      </c>
      <c r="W549" s="20">
        <v>17482.987804878048</v>
      </c>
      <c r="Y549" s="19">
        <v>0.37990000000000002</v>
      </c>
      <c r="Z549" s="19">
        <v>0.12540000000000001</v>
      </c>
      <c r="AB549" s="18">
        <v>1762</v>
      </c>
    </row>
    <row r="550" spans="1:28" ht="15.75" customHeight="1" x14ac:dyDescent="0.2">
      <c r="A550" s="36" t="str">
        <f>HYPERLINK("https://www.keycollege.edu", "Key College")</f>
        <v>Key College</v>
      </c>
      <c r="B550" s="18" t="s">
        <v>368</v>
      </c>
      <c r="C550" s="18" t="s">
        <v>162</v>
      </c>
      <c r="D550" s="18" t="s">
        <v>433</v>
      </c>
      <c r="E550" s="18" t="s">
        <v>36</v>
      </c>
      <c r="F550" s="18" t="s">
        <v>115</v>
      </c>
      <c r="J550" s="19"/>
      <c r="K550" s="19">
        <v>0.45829999999999999</v>
      </c>
      <c r="L550" s="19" t="s">
        <v>36</v>
      </c>
      <c r="M550" s="19">
        <v>0.5</v>
      </c>
      <c r="N550" s="19">
        <v>0.6</v>
      </c>
      <c r="O550" s="19">
        <v>0.4</v>
      </c>
      <c r="P550" s="19" t="s">
        <v>36</v>
      </c>
      <c r="Q550" s="19" t="s">
        <v>36</v>
      </c>
      <c r="R550" s="20">
        <v>26530</v>
      </c>
      <c r="S550" s="21" t="str">
        <f>HYPERLINK("https://www.keycollege.edu", "$16882")</f>
        <v>$16882</v>
      </c>
      <c r="T550" s="20">
        <v>19856</v>
      </c>
      <c r="U550" s="20">
        <v>19856</v>
      </c>
      <c r="V550" s="20">
        <v>6049</v>
      </c>
      <c r="W550" s="20">
        <v>10833</v>
      </c>
      <c r="Y550" s="19">
        <v>0.45100000000000001</v>
      </c>
      <c r="Z550" s="19">
        <v>0.36670000000000003</v>
      </c>
      <c r="AB550" s="18">
        <v>60</v>
      </c>
    </row>
    <row r="551" spans="1:28" ht="15.75" customHeight="1" x14ac:dyDescent="0.2">
      <c r="A551" s="36" t="str">
        <f>HYPERLINK("https://www.kilgore.edu", "Kilgore College")</f>
        <v>Kilgore College</v>
      </c>
      <c r="B551" s="18" t="s">
        <v>49</v>
      </c>
      <c r="C551" s="18" t="s">
        <v>146</v>
      </c>
      <c r="D551" s="18" t="s">
        <v>1456</v>
      </c>
      <c r="E551" s="18" t="s">
        <v>36</v>
      </c>
      <c r="F551" s="18" t="s">
        <v>36</v>
      </c>
      <c r="J551" s="19"/>
      <c r="K551" s="19">
        <v>0.2601</v>
      </c>
      <c r="L551" s="19">
        <v>0.21679284200000001</v>
      </c>
      <c r="M551" s="19">
        <v>0.2838</v>
      </c>
      <c r="N551" s="19">
        <v>0.15079999999999999</v>
      </c>
      <c r="O551" s="19">
        <v>0.30709999999999998</v>
      </c>
      <c r="P551" s="19">
        <v>1</v>
      </c>
      <c r="Q551" s="19">
        <v>6.6636028999999999E-2</v>
      </c>
      <c r="R551" s="20">
        <v>18743</v>
      </c>
      <c r="S551" s="21" t="str">
        <f>HYPERLINK("https://www.kilgore.edu/tuition_fees.asp", "$12292")</f>
        <v>$12292</v>
      </c>
      <c r="T551" s="20">
        <v>14379</v>
      </c>
      <c r="U551" s="20">
        <v>16927</v>
      </c>
      <c r="V551" s="20">
        <v>8181</v>
      </c>
      <c r="W551" s="20">
        <v>4111.1214470284249</v>
      </c>
      <c r="Y551" s="19">
        <v>0.42349999999999999</v>
      </c>
      <c r="Z551" s="19">
        <v>0.49299999999999999</v>
      </c>
      <c r="AB551" s="18">
        <v>5680</v>
      </c>
    </row>
    <row r="552" spans="1:28" ht="15.75" customHeight="1" x14ac:dyDescent="0.2">
      <c r="A552" s="36" t="str">
        <f>HYPERLINK("https://www.kingscollegecharlotte.edu", "King's College")</f>
        <v>King's College</v>
      </c>
      <c r="B552" s="18" t="s">
        <v>368</v>
      </c>
      <c r="C552" s="18" t="s">
        <v>103</v>
      </c>
      <c r="D552" s="18" t="s">
        <v>447</v>
      </c>
      <c r="E552" s="18" t="s">
        <v>36</v>
      </c>
      <c r="F552" s="18" t="s">
        <v>45</v>
      </c>
      <c r="J552" s="19"/>
      <c r="K552" s="19">
        <v>0.79500000000000004</v>
      </c>
      <c r="L552" s="19">
        <v>0.73040752400000009</v>
      </c>
      <c r="M552" s="19">
        <v>0.80599999999999994</v>
      </c>
      <c r="N552" s="19">
        <v>0.68630000000000002</v>
      </c>
      <c r="O552" s="19">
        <v>0.96550000000000002</v>
      </c>
      <c r="P552" s="19">
        <v>0.8</v>
      </c>
      <c r="Q552" s="19" t="s">
        <v>36</v>
      </c>
      <c r="R552" s="20">
        <v>26358</v>
      </c>
      <c r="S552" s="21" t="str">
        <f>HYPERLINK("https://www.kingscollegecharlotte.edu", "$15386")</f>
        <v>$15386</v>
      </c>
      <c r="T552" s="20">
        <v>18666</v>
      </c>
      <c r="U552" s="20">
        <v>20614</v>
      </c>
      <c r="V552" s="20">
        <v>3058</v>
      </c>
      <c r="W552" s="20">
        <v>12328</v>
      </c>
      <c r="Y552" s="19">
        <v>0.77439999999999998</v>
      </c>
      <c r="Z552" s="19">
        <v>0.64650000000000007</v>
      </c>
      <c r="AB552" s="18">
        <v>314</v>
      </c>
    </row>
    <row r="553" spans="1:28" ht="15.75" customHeight="1" x14ac:dyDescent="0.2">
      <c r="A553" s="36" t="str">
        <f>HYPERLINK("https://www.kirkwood.edu", "Kirkwood Community College")</f>
        <v>Kirkwood Community College</v>
      </c>
      <c r="B553" s="18" t="s">
        <v>49</v>
      </c>
      <c r="C553" s="18" t="s">
        <v>211</v>
      </c>
      <c r="D553" s="18" t="s">
        <v>333</v>
      </c>
      <c r="E553" s="18" t="s">
        <v>36</v>
      </c>
      <c r="F553" s="18" t="s">
        <v>36</v>
      </c>
      <c r="J553" s="19"/>
      <c r="K553" s="19">
        <v>0.29289999999999999</v>
      </c>
      <c r="L553" s="19">
        <v>0.146554622</v>
      </c>
      <c r="M553" s="19">
        <v>0.33589999999999998</v>
      </c>
      <c r="N553" s="19">
        <v>7.8399999999999997E-2</v>
      </c>
      <c r="O553" s="19">
        <v>0.16800000000000001</v>
      </c>
      <c r="P553" s="19">
        <v>0.23530000000000001</v>
      </c>
      <c r="Q553" s="19">
        <v>8.5768963000000004E-2</v>
      </c>
      <c r="R553" s="20">
        <v>16991</v>
      </c>
      <c r="S553" s="21" t="str">
        <f>HYPERLINK("https://www.kirkwood.edu/site/index.php?p=35072", "$10958")</f>
        <v>$10958</v>
      </c>
      <c r="T553" s="20">
        <v>13932</v>
      </c>
      <c r="U553" s="20">
        <v>15930</v>
      </c>
      <c r="V553" s="20">
        <v>5822</v>
      </c>
      <c r="W553" s="20">
        <v>5136.2823712948521</v>
      </c>
      <c r="Y553" s="19">
        <v>0.27360000000000001</v>
      </c>
      <c r="Z553" s="19">
        <v>0.30249999999999999</v>
      </c>
      <c r="AB553" s="18">
        <v>8958</v>
      </c>
    </row>
    <row r="554" spans="1:28" ht="15.75" customHeight="1" x14ac:dyDescent="0.2">
      <c r="A554" s="36" t="str">
        <f>HYPERLINK("https://www.kirtland.edu", "Kirtland Community College")</f>
        <v>Kirtland Community College</v>
      </c>
      <c r="B554" s="18" t="s">
        <v>49</v>
      </c>
      <c r="C554" s="18" t="s">
        <v>226</v>
      </c>
      <c r="D554" s="18" t="s">
        <v>1457</v>
      </c>
      <c r="E554" s="18" t="s">
        <v>36</v>
      </c>
      <c r="F554" s="18" t="s">
        <v>36</v>
      </c>
      <c r="J554" s="19"/>
      <c r="K554" s="19">
        <v>0.2157</v>
      </c>
      <c r="L554" s="19">
        <v>0.16576576600000001</v>
      </c>
      <c r="M554" s="19">
        <v>0.20619999999999999</v>
      </c>
      <c r="N554" s="19" t="s">
        <v>36</v>
      </c>
      <c r="O554" s="19">
        <v>0.66669999999999996</v>
      </c>
      <c r="P554" s="19" t="s">
        <v>36</v>
      </c>
      <c r="Q554" s="19">
        <v>4.3428570999999999E-2</v>
      </c>
      <c r="R554" s="20">
        <v>21372</v>
      </c>
      <c r="S554" s="21" t="str">
        <f>HYPERLINK("https://www.kirtland.edu/static/net-price-calculator", "$14977")</f>
        <v>$14977</v>
      </c>
      <c r="T554" s="20">
        <v>16443</v>
      </c>
      <c r="U554" s="20">
        <v>19872</v>
      </c>
      <c r="V554" s="20">
        <v>3550</v>
      </c>
      <c r="W554" s="20">
        <v>11427.6</v>
      </c>
      <c r="Y554" s="19">
        <v>0.43690000000000001</v>
      </c>
      <c r="Z554" s="19">
        <v>8.0099999999999949E-2</v>
      </c>
      <c r="AB554" s="18">
        <v>1098</v>
      </c>
    </row>
    <row r="555" spans="1:28" ht="15.75" customHeight="1" x14ac:dyDescent="0.2">
      <c r="A555" s="36" t="str">
        <f>HYPERLINK("https://www.kish.edu", "Kishwaukee College")</f>
        <v>Kishwaukee College</v>
      </c>
      <c r="B555" s="18" t="s">
        <v>49</v>
      </c>
      <c r="C555" s="18" t="s">
        <v>137</v>
      </c>
      <c r="D555" s="18" t="s">
        <v>1458</v>
      </c>
      <c r="E555" s="18" t="s">
        <v>36</v>
      </c>
      <c r="F555" s="18" t="s">
        <v>36</v>
      </c>
      <c r="J555" s="19"/>
      <c r="K555" s="19">
        <v>0.29310000000000003</v>
      </c>
      <c r="L555" s="19">
        <v>0.15575620800000001</v>
      </c>
      <c r="M555" s="19">
        <v>0.3654</v>
      </c>
      <c r="N555" s="19">
        <v>6.5799999999999997E-2</v>
      </c>
      <c r="O555" s="19">
        <v>0.2326</v>
      </c>
      <c r="P555" s="19">
        <v>0.28570000000000001</v>
      </c>
      <c r="Q555" s="19">
        <v>8.3214794000000009E-2</v>
      </c>
      <c r="R555" s="20">
        <v>24225</v>
      </c>
      <c r="S555" s="21" t="str">
        <f>HYPERLINK("https://www.kish.edu/admissions-financial/cost-attendance", "$17779")</f>
        <v>$17779</v>
      </c>
      <c r="T555" s="20">
        <v>21579</v>
      </c>
      <c r="U555" s="20">
        <v>23311</v>
      </c>
      <c r="V555" s="20">
        <v>4830</v>
      </c>
      <c r="W555" s="20">
        <v>12949.28888888889</v>
      </c>
      <c r="Y555" s="19">
        <v>0.3301</v>
      </c>
      <c r="Z555" s="19">
        <v>0.3952</v>
      </c>
      <c r="AB555" s="18">
        <v>2518</v>
      </c>
    </row>
    <row r="556" spans="1:28" ht="15.75" customHeight="1" x14ac:dyDescent="0.2">
      <c r="A556" s="36" t="str">
        <f>HYPERLINK("https://www.klamathcc.edu", "Klamath Community College")</f>
        <v>Klamath Community College</v>
      </c>
      <c r="B556" s="18" t="s">
        <v>49</v>
      </c>
      <c r="C556" s="18" t="s">
        <v>143</v>
      </c>
      <c r="D556" s="18" t="s">
        <v>1037</v>
      </c>
      <c r="E556" s="18" t="s">
        <v>36</v>
      </c>
      <c r="F556" s="18" t="s">
        <v>36</v>
      </c>
      <c r="J556" s="19"/>
      <c r="K556" s="19">
        <v>0.21360000000000001</v>
      </c>
      <c r="L556" s="19" t="s">
        <v>36</v>
      </c>
      <c r="M556" s="19">
        <v>0.18179999999999999</v>
      </c>
      <c r="N556" s="19">
        <v>0</v>
      </c>
      <c r="O556" s="19">
        <v>0.33329999999999999</v>
      </c>
      <c r="P556" s="19" t="s">
        <v>36</v>
      </c>
      <c r="Q556" s="19">
        <v>7.4766355000000007E-2</v>
      </c>
      <c r="R556" s="20">
        <v>22740</v>
      </c>
      <c r="S556" s="21" t="str">
        <f>HYPERLINK("https://www.klamathcc.edu/Admissions/Financial-Aid/Net-Price-Calculator.aspx", "$17102")</f>
        <v>$17102</v>
      </c>
      <c r="T556" s="20">
        <v>19272</v>
      </c>
      <c r="U556" s="20">
        <v>21664</v>
      </c>
      <c r="V556" s="20">
        <v>5061</v>
      </c>
      <c r="W556" s="20">
        <v>12041.222222222221</v>
      </c>
      <c r="Y556" s="19">
        <v>0.5101</v>
      </c>
      <c r="Z556" s="19">
        <v>0.36240000000000011</v>
      </c>
      <c r="AB556" s="18">
        <v>1181</v>
      </c>
    </row>
    <row r="557" spans="1:28" ht="15.75" customHeight="1" x14ac:dyDescent="0.2">
      <c r="A557" s="36" t="str">
        <f>HYPERLINK("https://www.ldsbc.edu", "Latter-day Saints Business College")</f>
        <v>Latter-day Saints Business College</v>
      </c>
      <c r="B557" s="18" t="s">
        <v>32</v>
      </c>
      <c r="C557" s="18" t="s">
        <v>199</v>
      </c>
      <c r="D557" s="18" t="s">
        <v>525</v>
      </c>
      <c r="E557" s="18" t="s">
        <v>36</v>
      </c>
      <c r="F557" s="18" t="s">
        <v>36</v>
      </c>
      <c r="J557" s="19"/>
      <c r="K557" s="19">
        <v>0.2898</v>
      </c>
      <c r="L557" s="19">
        <v>0.36704119899999998</v>
      </c>
      <c r="M557" s="19">
        <v>0.17349999999999999</v>
      </c>
      <c r="N557" s="19" t="s">
        <v>36</v>
      </c>
      <c r="O557" s="19">
        <v>0.30359999999999998</v>
      </c>
      <c r="P557" s="19">
        <v>0</v>
      </c>
      <c r="Q557" s="19">
        <v>0.13601532599999999</v>
      </c>
      <c r="R557" s="20">
        <v>12248</v>
      </c>
      <c r="S557" s="21" t="str">
        <f>HYPERLINK("https://www.ldsbc.edu/index.php?option=com_content&amp;view=article&amp;id=1103&amp;Itemid=1104", "$6960")</f>
        <v>$6960</v>
      </c>
      <c r="T557" s="20">
        <v>10787</v>
      </c>
      <c r="U557" s="20" t="s">
        <v>36</v>
      </c>
      <c r="V557" s="20">
        <v>3604</v>
      </c>
      <c r="W557" s="20">
        <v>3356</v>
      </c>
      <c r="Y557" s="19">
        <v>0.30249999999999999</v>
      </c>
      <c r="Z557" s="19">
        <v>0.46629999999999999</v>
      </c>
      <c r="AB557" s="18">
        <v>2033</v>
      </c>
    </row>
    <row r="558" spans="1:28" ht="15.75" customHeight="1" x14ac:dyDescent="0.2">
      <c r="A558" s="36" t="str">
        <f>HYPERLINK("https://www.labette.edu", "Labette Community College")</f>
        <v>Labette Community College</v>
      </c>
      <c r="B558" s="18" t="s">
        <v>49</v>
      </c>
      <c r="C558" s="18" t="s">
        <v>307</v>
      </c>
      <c r="D558" s="18" t="s">
        <v>1459</v>
      </c>
      <c r="E558" s="18" t="s">
        <v>36</v>
      </c>
      <c r="F558" s="18" t="s">
        <v>36</v>
      </c>
      <c r="J558" s="19"/>
      <c r="K558" s="19">
        <v>0.2228</v>
      </c>
      <c r="L558" s="19">
        <v>0.14671814699999999</v>
      </c>
      <c r="M558" s="19">
        <v>0.2727</v>
      </c>
      <c r="N558" s="19">
        <v>8.3299999999999999E-2</v>
      </c>
      <c r="O558" s="19">
        <v>0.1429</v>
      </c>
      <c r="P558" s="19">
        <v>0</v>
      </c>
      <c r="Q558" s="19">
        <v>0.119909502</v>
      </c>
      <c r="R558" s="20">
        <v>16240</v>
      </c>
      <c r="S558" s="21" t="str">
        <f>HYPERLINK("https://www.labette.edu/financialaid/netprice/npcalc.htm", "$10948")</f>
        <v>$10948</v>
      </c>
      <c r="T558" s="20">
        <v>12523</v>
      </c>
      <c r="U558" s="20">
        <v>14363</v>
      </c>
      <c r="V558" s="20">
        <v>3550</v>
      </c>
      <c r="W558" s="20">
        <v>7398</v>
      </c>
      <c r="Y558" s="19">
        <v>0.2787</v>
      </c>
      <c r="Z558" s="19">
        <v>0.2407</v>
      </c>
      <c r="AB558" s="18">
        <v>1566</v>
      </c>
    </row>
    <row r="559" spans="1:28" ht="15.75" customHeight="1" x14ac:dyDescent="0.2">
      <c r="A559" s="36" t="str">
        <f>HYPERLINK("https://www.laboure.edu/about-labour-", "Laboure College")</f>
        <v>Laboure College</v>
      </c>
      <c r="B559" s="18" t="s">
        <v>32</v>
      </c>
      <c r="C559" s="18" t="s">
        <v>33</v>
      </c>
      <c r="D559" s="18" t="s">
        <v>689</v>
      </c>
      <c r="E559" s="18" t="s">
        <v>36</v>
      </c>
      <c r="F559" s="18" t="s">
        <v>115</v>
      </c>
      <c r="J559" s="19"/>
      <c r="K559" s="19">
        <v>1</v>
      </c>
      <c r="L559" s="19">
        <v>0.53012048200000006</v>
      </c>
      <c r="M559" s="19">
        <v>1</v>
      </c>
      <c r="N559" s="19" t="s">
        <v>36</v>
      </c>
      <c r="O559" s="19" t="s">
        <v>36</v>
      </c>
      <c r="P559" s="19" t="s">
        <v>36</v>
      </c>
      <c r="Q559" s="19" t="s">
        <v>36</v>
      </c>
      <c r="R559" s="20">
        <v>51303</v>
      </c>
      <c r="S559" s="21" t="str">
        <f>HYPERLINK("https://www.laboure.edu/tuition-financial-aid/net-price-calculator", "Not reported")</f>
        <v>Not reported</v>
      </c>
      <c r="T559" s="20" t="s">
        <v>36</v>
      </c>
      <c r="U559" s="20" t="s">
        <v>36</v>
      </c>
      <c r="V559" s="20">
        <v>3200</v>
      </c>
      <c r="W559" s="20" t="s">
        <v>36</v>
      </c>
      <c r="Y559" s="19">
        <v>0.63729999999999998</v>
      </c>
      <c r="Z559" s="19">
        <v>0.51439999999999997</v>
      </c>
      <c r="AB559" s="18">
        <v>869</v>
      </c>
    </row>
    <row r="560" spans="1:28" ht="15.75" customHeight="1" x14ac:dyDescent="0.2">
      <c r="A560" s="36" t="str">
        <f>HYPERLINK("https://www.lco.edu", "Lac Courte Oreilles Ojibwa Community College")</f>
        <v>Lac Courte Oreilles Ojibwa Community College</v>
      </c>
      <c r="B560" s="18" t="s">
        <v>49</v>
      </c>
      <c r="C560" s="18" t="s">
        <v>196</v>
      </c>
      <c r="D560" s="18" t="s">
        <v>606</v>
      </c>
      <c r="E560" s="18" t="s">
        <v>36</v>
      </c>
      <c r="F560" s="18" t="s">
        <v>36</v>
      </c>
      <c r="J560" s="19"/>
      <c r="K560" s="19">
        <v>4.3499999999999997E-2</v>
      </c>
      <c r="L560" s="19" t="s">
        <v>36</v>
      </c>
      <c r="M560" s="19">
        <v>0</v>
      </c>
      <c r="N560" s="19" t="s">
        <v>36</v>
      </c>
      <c r="O560" s="19">
        <v>0</v>
      </c>
      <c r="P560" s="19" t="s">
        <v>36</v>
      </c>
      <c r="Q560" s="19" t="s">
        <v>36</v>
      </c>
      <c r="R560" s="20">
        <v>18690</v>
      </c>
      <c r="S560" s="21" t="str">
        <f>HYPERLINK("https://www.lco.edu", "Not reported")</f>
        <v>Not reported</v>
      </c>
      <c r="T560" s="20" t="s">
        <v>36</v>
      </c>
      <c r="U560" s="20" t="s">
        <v>36</v>
      </c>
      <c r="V560" s="20">
        <v>5100</v>
      </c>
      <c r="W560" s="20" t="s">
        <v>36</v>
      </c>
      <c r="Y560" s="19">
        <v>0.59019999999999995</v>
      </c>
      <c r="Z560" s="19">
        <v>0.84150000000000003</v>
      </c>
      <c r="AB560" s="18">
        <v>183</v>
      </c>
    </row>
    <row r="561" spans="1:28" ht="15.75" customHeight="1" x14ac:dyDescent="0.2">
      <c r="A561" s="36" t="str">
        <f>HYPERLINK("https://www.lackawanna.edu", "Lackawanna College")</f>
        <v>Lackawanna College</v>
      </c>
      <c r="B561" s="18" t="s">
        <v>32</v>
      </c>
      <c r="C561" s="18" t="s">
        <v>65</v>
      </c>
      <c r="D561" s="18" t="s">
        <v>524</v>
      </c>
      <c r="E561" s="18" t="s">
        <v>36</v>
      </c>
      <c r="F561" s="18" t="s">
        <v>36</v>
      </c>
      <c r="J561" s="19"/>
      <c r="K561" s="19">
        <v>0.26879999999999998</v>
      </c>
      <c r="L561" s="19">
        <v>0.21333333300000001</v>
      </c>
      <c r="M561" s="19">
        <v>0.37559999999999999</v>
      </c>
      <c r="N561" s="19">
        <v>0.16900000000000001</v>
      </c>
      <c r="O561" s="19">
        <v>7.4999999999999997E-2</v>
      </c>
      <c r="P561" s="19">
        <v>0.5</v>
      </c>
      <c r="Q561" s="19">
        <v>8.2853855000000004E-2</v>
      </c>
      <c r="R561" s="20">
        <v>28770</v>
      </c>
      <c r="S561" s="21" t="str">
        <f>HYPERLINK("https://www.lackawanna.edu/admissions/financial-aid/net-price-calculator/", "$16389")</f>
        <v>$16389</v>
      </c>
      <c r="T561" s="20">
        <v>18938</v>
      </c>
      <c r="U561" s="20">
        <v>20632</v>
      </c>
      <c r="V561" s="20">
        <v>4110</v>
      </c>
      <c r="W561" s="20">
        <v>12279</v>
      </c>
      <c r="Y561" s="19">
        <v>0.57689999999999997</v>
      </c>
      <c r="Z561" s="19">
        <v>0.38250000000000001</v>
      </c>
      <c r="AB561" s="18">
        <v>1506</v>
      </c>
    </row>
    <row r="562" spans="1:28" ht="15.75" customHeight="1" x14ac:dyDescent="0.2">
      <c r="A562" s="36" t="str">
        <f>HYPERLINK("https://www.lakeareatech.edu", "Lake Area Technical Institute")</f>
        <v>Lake Area Technical Institute</v>
      </c>
      <c r="B562" s="18" t="s">
        <v>49</v>
      </c>
      <c r="C562" s="18" t="s">
        <v>302</v>
      </c>
      <c r="D562" s="18" t="s">
        <v>1444</v>
      </c>
      <c r="E562" s="18" t="s">
        <v>36</v>
      </c>
      <c r="F562" s="18" t="s">
        <v>36</v>
      </c>
      <c r="J562" s="19"/>
      <c r="K562" s="19">
        <v>0.71650000000000003</v>
      </c>
      <c r="L562" s="19">
        <v>0.58928571399999996</v>
      </c>
      <c r="M562" s="19">
        <v>0.72550000000000003</v>
      </c>
      <c r="N562" s="19">
        <v>1</v>
      </c>
      <c r="O562" s="19">
        <v>0.5</v>
      </c>
      <c r="P562" s="19">
        <v>1</v>
      </c>
      <c r="Q562" s="19">
        <v>1.8838305E-2</v>
      </c>
      <c r="R562" s="20">
        <v>16264</v>
      </c>
      <c r="S562" s="21" t="str">
        <f>HYPERLINK("https://www.lakeareatech.edu", "$10904")</f>
        <v>$10904</v>
      </c>
      <c r="T562" s="20">
        <v>13938</v>
      </c>
      <c r="U562" s="20">
        <v>15690</v>
      </c>
      <c r="V562" s="20">
        <v>4150</v>
      </c>
      <c r="W562" s="20">
        <v>6754.3333333333321</v>
      </c>
      <c r="Y562" s="19">
        <v>0.34010000000000001</v>
      </c>
      <c r="Z562" s="19">
        <v>8.9799999999999991E-2</v>
      </c>
      <c r="AB562" s="18">
        <v>1782</v>
      </c>
    </row>
    <row r="563" spans="1:28" ht="15.75" customHeight="1" x14ac:dyDescent="0.2">
      <c r="A563" s="36" t="str">
        <f>HYPERLINK("https://www.lakemichigancollege.edu", "Lake Michigan College")</f>
        <v>Lake Michigan College</v>
      </c>
      <c r="B563" s="18" t="s">
        <v>49</v>
      </c>
      <c r="C563" s="18" t="s">
        <v>226</v>
      </c>
      <c r="D563" s="18" t="s">
        <v>1460</v>
      </c>
      <c r="E563" s="18" t="s">
        <v>36</v>
      </c>
      <c r="F563" s="18" t="s">
        <v>36</v>
      </c>
      <c r="J563" s="19"/>
      <c r="K563" s="19">
        <v>0.14230000000000001</v>
      </c>
      <c r="L563" s="19">
        <v>0.11421725200000001</v>
      </c>
      <c r="M563" s="19">
        <v>0.17199999999999999</v>
      </c>
      <c r="N563" s="19">
        <v>6.3200000000000006E-2</v>
      </c>
      <c r="O563" s="19">
        <v>0.1143</v>
      </c>
      <c r="P563" s="19">
        <v>0.1111</v>
      </c>
      <c r="Q563" s="19">
        <v>6.1707035999999993E-2</v>
      </c>
      <c r="R563" s="20">
        <v>19305</v>
      </c>
      <c r="S563" s="21" t="str">
        <f>HYPERLINK("https://www.lakemichigancollege.edu/NetPrice/npcalc.htm", "$12987")</f>
        <v>$12987</v>
      </c>
      <c r="T563" s="20">
        <v>15954</v>
      </c>
      <c r="U563" s="20">
        <v>17941</v>
      </c>
      <c r="V563" s="20">
        <v>3200</v>
      </c>
      <c r="W563" s="20">
        <v>9787.4536082474224</v>
      </c>
      <c r="Y563" s="19">
        <v>0.34820000000000001</v>
      </c>
      <c r="Z563" s="19">
        <v>0.35449999999999998</v>
      </c>
      <c r="AB563" s="18">
        <v>2629</v>
      </c>
    </row>
    <row r="564" spans="1:28" ht="15.75" customHeight="1" x14ac:dyDescent="0.2">
      <c r="A564" s="36" t="str">
        <f>HYPERLINK("https://www.lrsc.edu", "Lake Region State College")</f>
        <v>Lake Region State College</v>
      </c>
      <c r="B564" s="18" t="s">
        <v>49</v>
      </c>
      <c r="C564" s="18" t="s">
        <v>730</v>
      </c>
      <c r="D564" s="18" t="s">
        <v>1461</v>
      </c>
      <c r="E564" s="18" t="s">
        <v>36</v>
      </c>
      <c r="F564" s="18" t="s">
        <v>36</v>
      </c>
      <c r="J564" s="19"/>
      <c r="K564" s="19">
        <v>0.50249999999999995</v>
      </c>
      <c r="L564" s="19">
        <v>0.38285714300000001</v>
      </c>
      <c r="M564" s="19">
        <v>0.51719999999999999</v>
      </c>
      <c r="N564" s="19">
        <v>0.16669999999999999</v>
      </c>
      <c r="O564" s="19">
        <v>0.2727</v>
      </c>
      <c r="P564" s="19">
        <v>0</v>
      </c>
      <c r="Q564" s="19">
        <v>8.0691642999999993E-2</v>
      </c>
      <c r="R564" s="20">
        <v>15216</v>
      </c>
      <c r="S564" s="21" t="str">
        <f>HYPERLINK("https://www.lrsc.edu/paying-for-college/net-price-calculator#", "$8682")</f>
        <v>$8682</v>
      </c>
      <c r="T564" s="20">
        <v>12222</v>
      </c>
      <c r="U564" s="20">
        <v>13915</v>
      </c>
      <c r="V564" s="20">
        <v>4680</v>
      </c>
      <c r="W564" s="20">
        <v>4002.2909090909088</v>
      </c>
      <c r="Y564" s="19">
        <v>0.1366</v>
      </c>
      <c r="Z564" s="19">
        <v>0.27189999999999998</v>
      </c>
      <c r="AB564" s="18">
        <v>684</v>
      </c>
    </row>
    <row r="565" spans="1:28" ht="15.75" customHeight="1" x14ac:dyDescent="0.2">
      <c r="A565" s="36" t="str">
        <f>HYPERLINK("https://www.lsc.edu", "Lake Superior College")</f>
        <v>Lake Superior College</v>
      </c>
      <c r="B565" s="18" t="s">
        <v>49</v>
      </c>
      <c r="C565" s="18" t="s">
        <v>72</v>
      </c>
      <c r="D565" s="18" t="s">
        <v>1222</v>
      </c>
      <c r="E565" s="18" t="s">
        <v>36</v>
      </c>
      <c r="F565" s="18" t="s">
        <v>36</v>
      </c>
      <c r="J565" s="19"/>
      <c r="K565" s="19">
        <v>0.31230000000000002</v>
      </c>
      <c r="L565" s="19">
        <v>0.27219626200000002</v>
      </c>
      <c r="M565" s="19">
        <v>0.32229999999999998</v>
      </c>
      <c r="N565" s="19">
        <v>0.2</v>
      </c>
      <c r="O565" s="19">
        <v>0.33329999999999999</v>
      </c>
      <c r="P565" s="19">
        <v>0.33329999999999999</v>
      </c>
      <c r="Q565" s="19">
        <v>6.1038961000000003E-2</v>
      </c>
      <c r="R565" s="20">
        <v>23162</v>
      </c>
      <c r="S565" s="21" t="str">
        <f>HYPERLINK("https://www.MinnState.edu/admissions/calculator/lakesuperior.html", "$18160")</f>
        <v>$18160</v>
      </c>
      <c r="T565" s="20">
        <v>20063</v>
      </c>
      <c r="U565" s="20">
        <v>22289</v>
      </c>
      <c r="V565" s="20">
        <v>7224</v>
      </c>
      <c r="W565" s="20">
        <v>10936.83783783784</v>
      </c>
      <c r="Y565" s="19">
        <v>0.28460000000000002</v>
      </c>
      <c r="Z565" s="19">
        <v>0.16159999999999999</v>
      </c>
      <c r="AB565" s="18">
        <v>3285</v>
      </c>
    </row>
    <row r="566" spans="1:28" ht="15.75" customHeight="1" x14ac:dyDescent="0.2">
      <c r="A566" s="36" t="str">
        <f>HYPERLINK("https://www.ltcc.edu", "Lake Tahoe Community College")</f>
        <v>Lake Tahoe Community College</v>
      </c>
      <c r="B566" s="18" t="s">
        <v>49</v>
      </c>
      <c r="C566" s="18" t="s">
        <v>68</v>
      </c>
      <c r="D566" s="18" t="s">
        <v>1462</v>
      </c>
      <c r="E566" s="18" t="s">
        <v>36</v>
      </c>
      <c r="F566" s="18" t="s">
        <v>36</v>
      </c>
      <c r="J566" s="19"/>
      <c r="K566" s="19">
        <v>0.29089999999999999</v>
      </c>
      <c r="L566" s="19" t="s">
        <v>36</v>
      </c>
      <c r="M566" s="19">
        <v>0.21429999999999999</v>
      </c>
      <c r="N566" s="19" t="s">
        <v>36</v>
      </c>
      <c r="O566" s="19">
        <v>0.37209999999999999</v>
      </c>
      <c r="P566" s="19">
        <v>0.33329999999999999</v>
      </c>
      <c r="Q566" s="19">
        <v>0.10459183699999999</v>
      </c>
      <c r="R566" s="20">
        <v>26520</v>
      </c>
      <c r="S566" s="21" t="str">
        <f>HYPERLINK("https://misweb.cccco.edu/npc/221/npcalc.htm", "$20375")</f>
        <v>$20375</v>
      </c>
      <c r="T566" s="20">
        <v>21248</v>
      </c>
      <c r="U566" s="20" t="s">
        <v>36</v>
      </c>
      <c r="V566" s="20">
        <v>5958</v>
      </c>
      <c r="W566" s="20">
        <v>14417.69565217391</v>
      </c>
      <c r="Y566" s="19">
        <v>0.21249999999999999</v>
      </c>
      <c r="Z566" s="19">
        <v>0.48839999999999989</v>
      </c>
      <c r="AB566" s="18">
        <v>1810</v>
      </c>
    </row>
    <row r="567" spans="1:28" ht="15.75" customHeight="1" x14ac:dyDescent="0.2">
      <c r="A567" s="36" t="str">
        <f>HYPERLINK("https://www.lssc.edu", "Lake-Sumter State College")</f>
        <v>Lake-Sumter State College</v>
      </c>
      <c r="B567" s="18" t="s">
        <v>49</v>
      </c>
      <c r="C567" s="18" t="s">
        <v>162</v>
      </c>
      <c r="D567" s="18" t="s">
        <v>1463</v>
      </c>
      <c r="E567" s="18" t="s">
        <v>36</v>
      </c>
      <c r="F567" s="18" t="s">
        <v>36</v>
      </c>
      <c r="J567" s="19"/>
      <c r="K567" s="19">
        <v>0.42570000000000002</v>
      </c>
      <c r="L567" s="19">
        <v>0.21077654500000001</v>
      </c>
      <c r="M567" s="19">
        <v>0.47649999999999998</v>
      </c>
      <c r="N567" s="19">
        <v>0.26090000000000002</v>
      </c>
      <c r="O567" s="19">
        <v>0.43480000000000002</v>
      </c>
      <c r="P567" s="19">
        <v>0.5</v>
      </c>
      <c r="Q567" s="19">
        <v>8.2035306000000002E-2</v>
      </c>
      <c r="R567" s="20">
        <v>25662</v>
      </c>
      <c r="S567" s="21" t="str">
        <f>HYPERLINK("https://lssc.edu/finaid/Pages/Net%20Price%20Calculator/Net-Price-Calculator.aspx", "$20529")</f>
        <v>$20529</v>
      </c>
      <c r="T567" s="20">
        <v>22866</v>
      </c>
      <c r="U567" s="20">
        <v>24264</v>
      </c>
      <c r="V567" s="20">
        <v>5652</v>
      </c>
      <c r="W567" s="20">
        <v>14877.29166666667</v>
      </c>
      <c r="Y567" s="19">
        <v>0.27100000000000002</v>
      </c>
      <c r="Z567" s="19">
        <v>0.43269999999999997</v>
      </c>
      <c r="AB567" s="18">
        <v>3774</v>
      </c>
    </row>
    <row r="568" spans="1:28" ht="15.75" customHeight="1" x14ac:dyDescent="0.2">
      <c r="A568" s="36" t="str">
        <f>HYPERLINK("https://www.lakelandcc.edu", "Lakeland Community College")</f>
        <v>Lakeland Community College</v>
      </c>
      <c r="B568" s="18" t="s">
        <v>49</v>
      </c>
      <c r="C568" s="18" t="s">
        <v>75</v>
      </c>
      <c r="D568" s="18" t="s">
        <v>1464</v>
      </c>
      <c r="E568" s="18" t="s">
        <v>36</v>
      </c>
      <c r="F568" s="18" t="s">
        <v>36</v>
      </c>
      <c r="J568" s="19"/>
      <c r="K568" s="19">
        <v>0.15329999999999999</v>
      </c>
      <c r="L568" s="19">
        <v>0.117985612</v>
      </c>
      <c r="M568" s="19">
        <v>0.2021</v>
      </c>
      <c r="N568" s="19">
        <v>2.8899999999999999E-2</v>
      </c>
      <c r="O568" s="19">
        <v>4.7600000000000003E-2</v>
      </c>
      <c r="P568" s="19">
        <v>0.2</v>
      </c>
      <c r="Q568" s="19">
        <v>8.4516341999999994E-2</v>
      </c>
      <c r="R568" s="20">
        <v>20116</v>
      </c>
      <c r="S568" s="21" t="str">
        <f>HYPERLINK("https://lkn.lakelandcc.edu/public/calculator/netprice/npcalc.htm", "$15650")</f>
        <v>$15650</v>
      </c>
      <c r="T568" s="20">
        <v>18125</v>
      </c>
      <c r="U568" s="20">
        <v>19655</v>
      </c>
      <c r="V568" s="20">
        <v>4000</v>
      </c>
      <c r="W568" s="20">
        <v>11650.438247011951</v>
      </c>
      <c r="Y568" s="19">
        <v>0.29920000000000002</v>
      </c>
      <c r="Z568" s="19">
        <v>0.29310000000000003</v>
      </c>
      <c r="AB568" s="18">
        <v>4381</v>
      </c>
    </row>
    <row r="569" spans="1:28" ht="15.75" customHeight="1" x14ac:dyDescent="0.2">
      <c r="A569" s="36" t="str">
        <f>HYPERLINK("https://www.lrcc.edu", "Lakes Region Community College")</f>
        <v>Lakes Region Community College</v>
      </c>
      <c r="B569" s="18" t="s">
        <v>49</v>
      </c>
      <c r="C569" s="18" t="s">
        <v>101</v>
      </c>
      <c r="D569" s="18" t="s">
        <v>1465</v>
      </c>
      <c r="E569" s="18" t="s">
        <v>36</v>
      </c>
      <c r="F569" s="18" t="s">
        <v>36</v>
      </c>
      <c r="J569" s="19"/>
      <c r="K569" s="19">
        <v>0.2888</v>
      </c>
      <c r="L569" s="19">
        <v>0.168316832</v>
      </c>
      <c r="M569" s="19">
        <v>0.28949999999999998</v>
      </c>
      <c r="N569" s="19">
        <v>0</v>
      </c>
      <c r="O569" s="19">
        <v>0.66669999999999996</v>
      </c>
      <c r="P569" s="19">
        <v>0</v>
      </c>
      <c r="Q569" s="19">
        <v>6.991525400000001E-2</v>
      </c>
      <c r="R569" s="20">
        <v>32732</v>
      </c>
      <c r="S569" s="21" t="str">
        <f>HYPERLINK("https://www.lrcc.edu/sites/default/files/content/netcalc/npcalc.htm", "$29191")</f>
        <v>$29191</v>
      </c>
      <c r="T569" s="20">
        <v>32718</v>
      </c>
      <c r="U569" s="20">
        <v>32732</v>
      </c>
      <c r="V569" s="20">
        <v>6359</v>
      </c>
      <c r="W569" s="20">
        <v>22832.482758620688</v>
      </c>
      <c r="Y569" s="19">
        <v>0.39779999999999999</v>
      </c>
      <c r="Z569" s="19">
        <v>0.3014</v>
      </c>
      <c r="AB569" s="18">
        <v>763</v>
      </c>
    </row>
    <row r="570" spans="1:28" ht="15.75" customHeight="1" x14ac:dyDescent="0.2">
      <c r="A570" s="36" t="str">
        <f>HYPERLINK("https://www.lamarcc.edu", "Lamar Community College")</f>
        <v>Lamar Community College</v>
      </c>
      <c r="B570" s="18" t="s">
        <v>49</v>
      </c>
      <c r="C570" s="18" t="s">
        <v>87</v>
      </c>
      <c r="D570" s="18" t="s">
        <v>1466</v>
      </c>
      <c r="E570" s="18" t="s">
        <v>36</v>
      </c>
      <c r="F570" s="18" t="s">
        <v>36</v>
      </c>
      <c r="J570" s="19"/>
      <c r="K570" s="19">
        <v>0.4</v>
      </c>
      <c r="L570" s="19" t="s">
        <v>36</v>
      </c>
      <c r="M570" s="19">
        <v>0.45450000000000002</v>
      </c>
      <c r="N570" s="19">
        <v>0.125</v>
      </c>
      <c r="O570" s="19">
        <v>0.42109999999999997</v>
      </c>
      <c r="P570" s="19">
        <v>0</v>
      </c>
      <c r="Q570" s="19">
        <v>0.101694915</v>
      </c>
      <c r="R570" s="20">
        <v>19698</v>
      </c>
      <c r="S570" s="21" t="str">
        <f>HYPERLINK("https://www.lamarcc.edu/admission/paying-for-college/net-price-calculator/", "$11502")</f>
        <v>$11502</v>
      </c>
      <c r="T570" s="20">
        <v>14236</v>
      </c>
      <c r="U570" s="20">
        <v>17721</v>
      </c>
      <c r="V570" s="20">
        <v>7137</v>
      </c>
      <c r="W570" s="20">
        <v>4365.2394366197186</v>
      </c>
      <c r="Y570" s="19">
        <v>0.32240000000000002</v>
      </c>
      <c r="Z570" s="19">
        <v>0.48020000000000002</v>
      </c>
      <c r="AB570" s="18">
        <v>531</v>
      </c>
    </row>
    <row r="571" spans="1:28" ht="15.75" customHeight="1" x14ac:dyDescent="0.2">
      <c r="A571" s="36" t="str">
        <f>HYPERLINK("https://www.lit.edu", "Lamar Institute of Technology")</f>
        <v>Lamar Institute of Technology</v>
      </c>
      <c r="B571" s="18" t="s">
        <v>49</v>
      </c>
      <c r="C571" s="18" t="s">
        <v>146</v>
      </c>
      <c r="D571" s="18" t="s">
        <v>768</v>
      </c>
      <c r="E571" s="18" t="s">
        <v>36</v>
      </c>
      <c r="F571" s="18" t="s">
        <v>36</v>
      </c>
      <c r="J571" s="19"/>
      <c r="K571" s="19">
        <v>0.2296</v>
      </c>
      <c r="L571" s="19">
        <v>0.22754490999999999</v>
      </c>
      <c r="M571" s="19">
        <v>0.26860000000000001</v>
      </c>
      <c r="N571" s="19">
        <v>0.13569999999999999</v>
      </c>
      <c r="O571" s="19">
        <v>0.34</v>
      </c>
      <c r="P571" s="19">
        <v>0.30769999999999997</v>
      </c>
      <c r="Q571" s="19">
        <v>2.3715415E-2</v>
      </c>
      <c r="R571" s="20">
        <v>25567</v>
      </c>
      <c r="S571" s="21" t="str">
        <f>HYPERLINK("https://www.collegeforalltexans.com/apps/CollegeMoney/index.php", "$18862")</f>
        <v>$18862</v>
      </c>
      <c r="T571" s="20">
        <v>21619</v>
      </c>
      <c r="U571" s="20">
        <v>24166</v>
      </c>
      <c r="V571" s="20">
        <v>5814</v>
      </c>
      <c r="W571" s="20">
        <v>13048.21854304636</v>
      </c>
      <c r="Y571" s="19">
        <v>0.2671</v>
      </c>
      <c r="Z571" s="19">
        <v>0.49419999999999997</v>
      </c>
      <c r="AB571" s="18">
        <v>2673</v>
      </c>
    </row>
    <row r="572" spans="1:28" ht="15.75" customHeight="1" x14ac:dyDescent="0.2">
      <c r="A572" s="36" t="str">
        <f>HYPERLINK("https://www.lamarpa.edu", "Lamar State College-Port Arthur")</f>
        <v>Lamar State College-Port Arthur</v>
      </c>
      <c r="B572" s="18" t="s">
        <v>49</v>
      </c>
      <c r="C572" s="18" t="s">
        <v>146</v>
      </c>
      <c r="D572" s="18" t="s">
        <v>1467</v>
      </c>
      <c r="E572" s="18" t="s">
        <v>36</v>
      </c>
      <c r="F572" s="18" t="s">
        <v>36</v>
      </c>
      <c r="J572" s="19"/>
      <c r="K572" s="19">
        <v>0.1792</v>
      </c>
      <c r="L572" s="19">
        <v>0.15529411800000001</v>
      </c>
      <c r="M572" s="19">
        <v>0.1404</v>
      </c>
      <c r="N572" s="19">
        <v>0.15</v>
      </c>
      <c r="O572" s="19">
        <v>0.26319999999999999</v>
      </c>
      <c r="P572" s="19">
        <v>0.1429</v>
      </c>
      <c r="Q572" s="19">
        <v>8.0188678999999999E-2</v>
      </c>
      <c r="R572" s="20">
        <v>32184</v>
      </c>
      <c r="S572" s="21" t="str">
        <f>HYPERLINK("https://www.collegeforalltexans.com/apps/CollegeMoney/", "$23861")</f>
        <v>$23861</v>
      </c>
      <c r="T572" s="20">
        <v>28256</v>
      </c>
      <c r="U572" s="20">
        <v>30088</v>
      </c>
      <c r="V572" s="20">
        <v>5440</v>
      </c>
      <c r="W572" s="20">
        <v>18421.203007518801</v>
      </c>
      <c r="Y572" s="19">
        <v>0.30669999999999997</v>
      </c>
      <c r="Z572" s="19">
        <v>0.69469999999999998</v>
      </c>
      <c r="AB572" s="18">
        <v>2155</v>
      </c>
    </row>
    <row r="573" spans="1:28" ht="15.75" customHeight="1" x14ac:dyDescent="0.2">
      <c r="A573" s="36" t="str">
        <f>HYPERLINK("https://www.landmark.edu", "Landmark College")</f>
        <v>Landmark College</v>
      </c>
      <c r="B573" s="18" t="s">
        <v>32</v>
      </c>
      <c r="C573" s="18" t="s">
        <v>47</v>
      </c>
      <c r="D573" s="18" t="s">
        <v>1468</v>
      </c>
      <c r="E573" s="18" t="s">
        <v>36</v>
      </c>
      <c r="F573" s="18" t="s">
        <v>115</v>
      </c>
      <c r="J573" s="19"/>
      <c r="K573" s="19">
        <v>0.29630000000000001</v>
      </c>
      <c r="L573" s="19">
        <v>0.44444444399999999</v>
      </c>
      <c r="M573" s="19">
        <v>0.29730000000000001</v>
      </c>
      <c r="N573" s="19">
        <v>0</v>
      </c>
      <c r="O573" s="19">
        <v>0.5</v>
      </c>
      <c r="P573" s="19" t="s">
        <v>36</v>
      </c>
      <c r="Q573" s="19">
        <v>0.10828025500000001</v>
      </c>
      <c r="R573" s="20">
        <v>71560</v>
      </c>
      <c r="S573" s="21" t="str">
        <f>HYPERLINK("https://landmark.studentaidcalculator.com/survey.aspx", "$31238")</f>
        <v>$31238</v>
      </c>
      <c r="T573" s="20">
        <v>38558</v>
      </c>
      <c r="U573" s="20">
        <v>40951</v>
      </c>
      <c r="V573" s="20">
        <v>5400</v>
      </c>
      <c r="W573" s="20">
        <v>25838</v>
      </c>
      <c r="Y573" s="19">
        <v>0.22620000000000001</v>
      </c>
      <c r="Z573" s="19">
        <v>0.2954</v>
      </c>
      <c r="AB573" s="18">
        <v>413</v>
      </c>
    </row>
    <row r="574" spans="1:28" ht="15.75" customHeight="1" x14ac:dyDescent="0.2">
      <c r="A574" s="36" t="str">
        <f>HYPERLINK("https://www.Lanecc.edu", "Lane Community College")</f>
        <v>Lane Community College</v>
      </c>
      <c r="B574" s="18" t="s">
        <v>49</v>
      </c>
      <c r="C574" s="18" t="s">
        <v>143</v>
      </c>
      <c r="D574" s="18" t="s">
        <v>520</v>
      </c>
      <c r="E574" s="18" t="s">
        <v>36</v>
      </c>
      <c r="F574" s="18" t="s">
        <v>36</v>
      </c>
      <c r="J574" s="19"/>
      <c r="K574" s="19">
        <v>0.13150000000000001</v>
      </c>
      <c r="L574" s="19">
        <v>0.106325301</v>
      </c>
      <c r="M574" s="19">
        <v>0.12670000000000001</v>
      </c>
      <c r="N574" s="19">
        <v>7.1400000000000005E-2</v>
      </c>
      <c r="O574" s="19">
        <v>0.125</v>
      </c>
      <c r="P574" s="19">
        <v>7.6899999999999996E-2</v>
      </c>
      <c r="Q574" s="19">
        <v>9.1335371999999998E-2</v>
      </c>
      <c r="R574" s="20">
        <v>22662</v>
      </c>
      <c r="S574" s="21" t="str">
        <f>HYPERLINK("https://www.lanecc.edu/custom/npc.php", "$17532")</f>
        <v>$17532</v>
      </c>
      <c r="T574" s="20">
        <v>19378</v>
      </c>
      <c r="U574" s="20">
        <v>20204</v>
      </c>
      <c r="V574" s="20">
        <v>3747</v>
      </c>
      <c r="W574" s="20">
        <v>13785.14473684211</v>
      </c>
      <c r="Y574" s="19">
        <v>0.37680000000000002</v>
      </c>
      <c r="Z574" s="19">
        <v>0.35560000000000003</v>
      </c>
      <c r="AB574" s="18">
        <v>6833</v>
      </c>
    </row>
    <row r="575" spans="1:28" ht="15.75" customHeight="1" x14ac:dyDescent="0.2">
      <c r="A575" s="36" t="str">
        <f>HYPERLINK("https://laney.edu/", "Laney College")</f>
        <v>Laney College</v>
      </c>
      <c r="B575" s="18" t="s">
        <v>49</v>
      </c>
      <c r="C575" s="18" t="s">
        <v>68</v>
      </c>
      <c r="D575" s="18" t="s">
        <v>418</v>
      </c>
      <c r="E575" s="18" t="s">
        <v>36</v>
      </c>
      <c r="F575" s="18" t="s">
        <v>36</v>
      </c>
      <c r="J575" s="19"/>
      <c r="K575" s="19">
        <v>0.24579999999999999</v>
      </c>
      <c r="L575" s="19" t="s">
        <v>36</v>
      </c>
      <c r="M575" s="19">
        <v>0.27779999999999999</v>
      </c>
      <c r="N575" s="19">
        <v>0.16470000000000001</v>
      </c>
      <c r="O575" s="19">
        <v>0.20630000000000001</v>
      </c>
      <c r="P575" s="19">
        <v>0.33329999999999999</v>
      </c>
      <c r="Q575" s="19">
        <v>0.114197531</v>
      </c>
      <c r="R575" s="20">
        <v>26766</v>
      </c>
      <c r="S575" s="21" t="str">
        <f>HYPERLINK("https://laney.edu/nchau/net-price-calculator/", "$19776")</f>
        <v>$19776</v>
      </c>
      <c r="T575" s="20">
        <v>22080</v>
      </c>
      <c r="U575" s="20">
        <v>23345</v>
      </c>
      <c r="V575" s="20">
        <v>6363</v>
      </c>
      <c r="W575" s="20">
        <v>13413.37288135593</v>
      </c>
      <c r="Y575" s="19">
        <v>0.22409999999999999</v>
      </c>
      <c r="Z575" s="19">
        <v>0.8468</v>
      </c>
      <c r="AB575" s="18">
        <v>8817</v>
      </c>
    </row>
    <row r="576" spans="1:28" ht="15.75" customHeight="1" x14ac:dyDescent="0.2">
      <c r="A576" s="36" t="str">
        <f>HYPERLINK("https://www.LSB.edu", "Lansdale School of Business")</f>
        <v>Lansdale School of Business</v>
      </c>
      <c r="B576" s="18" t="s">
        <v>368</v>
      </c>
      <c r="C576" s="18" t="s">
        <v>65</v>
      </c>
      <c r="D576" s="18" t="s">
        <v>1469</v>
      </c>
      <c r="E576" s="18" t="s">
        <v>36</v>
      </c>
      <c r="F576" s="18" t="s">
        <v>36</v>
      </c>
      <c r="J576" s="19"/>
      <c r="K576" s="19">
        <v>0.87180000000000002</v>
      </c>
      <c r="L576" s="19">
        <v>0.47798742100000002</v>
      </c>
      <c r="M576" s="19">
        <v>0.84379999999999999</v>
      </c>
      <c r="N576" s="19">
        <v>1</v>
      </c>
      <c r="O576" s="19">
        <v>1</v>
      </c>
      <c r="P576" s="19">
        <v>1</v>
      </c>
      <c r="Q576" s="19" t="s">
        <v>36</v>
      </c>
      <c r="R576" s="20">
        <v>28370</v>
      </c>
      <c r="S576" s="21" t="str">
        <f>HYPERLINK("https://www.lsb.edu/netprice", "$18162")</f>
        <v>$18162</v>
      </c>
      <c r="T576" s="20" t="s">
        <v>36</v>
      </c>
      <c r="U576" s="20">
        <v>20982</v>
      </c>
      <c r="V576" s="20">
        <v>10757</v>
      </c>
      <c r="W576" s="20">
        <v>7405</v>
      </c>
      <c r="Y576" s="19">
        <v>0.64759999999999995</v>
      </c>
      <c r="Z576" s="19">
        <v>0.1656</v>
      </c>
      <c r="AB576" s="18">
        <v>163</v>
      </c>
    </row>
    <row r="577" spans="1:28" ht="15.75" customHeight="1" x14ac:dyDescent="0.2">
      <c r="A577" s="36" t="str">
        <f>HYPERLINK("https://www.lcc.edu", "Lansing Community College")</f>
        <v>Lansing Community College</v>
      </c>
      <c r="B577" s="18" t="s">
        <v>49</v>
      </c>
      <c r="C577" s="18" t="s">
        <v>226</v>
      </c>
      <c r="D577" s="18" t="s">
        <v>708</v>
      </c>
      <c r="E577" s="18" t="s">
        <v>36</v>
      </c>
      <c r="F577" s="18" t="s">
        <v>36</v>
      </c>
      <c r="J577" s="19"/>
      <c r="K577" s="19">
        <v>0.17860000000000001</v>
      </c>
      <c r="L577" s="19">
        <v>0.101761252</v>
      </c>
      <c r="M577" s="19">
        <v>0.20280000000000001</v>
      </c>
      <c r="N577" s="19">
        <v>8.5000000000000006E-2</v>
      </c>
      <c r="O577" s="19">
        <v>0.15129999999999999</v>
      </c>
      <c r="P577" s="19">
        <v>0.15790000000000001</v>
      </c>
      <c r="Q577" s="19">
        <v>8.7367835000000005E-2</v>
      </c>
      <c r="R577" s="20">
        <v>19250</v>
      </c>
      <c r="S577" s="21" t="str">
        <f>HYPERLINK("https://lcc.edu/admissions-financial-aid/tuition-and-costs/the-calculator.html", "$14775")</f>
        <v>$14775</v>
      </c>
      <c r="T577" s="20">
        <v>16790</v>
      </c>
      <c r="U577" s="20">
        <v>18850</v>
      </c>
      <c r="V577" s="20">
        <v>4000</v>
      </c>
      <c r="W577" s="20">
        <v>10775.34101382488</v>
      </c>
      <c r="Y577" s="19">
        <v>0.32450000000000001</v>
      </c>
      <c r="Z577" s="19">
        <v>0.32390000000000002</v>
      </c>
      <c r="AB577" s="18">
        <v>11764</v>
      </c>
    </row>
    <row r="578" spans="1:28" ht="15.75" customHeight="1" x14ac:dyDescent="0.2">
      <c r="A578" s="36" t="str">
        <f>HYPERLINK("https://www.lccc.wy.edu", "Laramie County Community College")</f>
        <v>Laramie County Community College</v>
      </c>
      <c r="B578" s="18" t="s">
        <v>49</v>
      </c>
      <c r="C578" s="18" t="s">
        <v>1086</v>
      </c>
      <c r="D578" s="18" t="s">
        <v>1470</v>
      </c>
      <c r="E578" s="18" t="s">
        <v>36</v>
      </c>
      <c r="F578" s="18" t="s">
        <v>36</v>
      </c>
      <c r="J578" s="19"/>
      <c r="K578" s="19">
        <v>0.26800000000000002</v>
      </c>
      <c r="L578" s="19">
        <v>0.241164241</v>
      </c>
      <c r="M578" s="19">
        <v>0.28129999999999999</v>
      </c>
      <c r="N578" s="19">
        <v>0.25</v>
      </c>
      <c r="O578" s="19">
        <v>0.25</v>
      </c>
      <c r="P578" s="19">
        <v>0.16669999999999999</v>
      </c>
      <c r="Q578" s="19">
        <v>7.3732719000000002E-2</v>
      </c>
      <c r="R578" s="20">
        <v>18748</v>
      </c>
      <c r="S578" s="21" t="str">
        <f>HYPERLINK("https://www.lccc.wy.edu/services/financialAid", "$12733")</f>
        <v>$12733</v>
      </c>
      <c r="T578" s="20">
        <v>15325</v>
      </c>
      <c r="U578" s="20">
        <v>16839</v>
      </c>
      <c r="V578" s="20">
        <v>2670</v>
      </c>
      <c r="W578" s="20">
        <v>10063.42307692308</v>
      </c>
      <c r="Y578" s="19">
        <v>0.25569999999999998</v>
      </c>
      <c r="Z578" s="19">
        <v>0.28749999999999998</v>
      </c>
      <c r="AB578" s="18">
        <v>2803</v>
      </c>
    </row>
    <row r="579" spans="1:28" ht="15.75" customHeight="1" x14ac:dyDescent="0.2">
      <c r="A579" s="36" t="str">
        <f>HYPERLINK("https://www.laredo.edu", "Laredo Community College")</f>
        <v>Laredo Community College</v>
      </c>
      <c r="B579" s="18" t="s">
        <v>49</v>
      </c>
      <c r="C579" s="18" t="s">
        <v>146</v>
      </c>
      <c r="D579" s="18" t="s">
        <v>1471</v>
      </c>
      <c r="E579" s="18" t="s">
        <v>36</v>
      </c>
      <c r="F579" s="18" t="s">
        <v>36</v>
      </c>
      <c r="J579" s="19"/>
      <c r="K579" s="19">
        <v>0.3236</v>
      </c>
      <c r="L579" s="19">
        <v>0.12810886899999999</v>
      </c>
      <c r="M579" s="19">
        <v>0.29409999999999997</v>
      </c>
      <c r="N579" s="19">
        <v>1</v>
      </c>
      <c r="O579" s="19">
        <v>0.3216</v>
      </c>
      <c r="P579" s="19">
        <v>0.33329999999999999</v>
      </c>
      <c r="Q579" s="19">
        <v>0.106618962</v>
      </c>
      <c r="R579" s="20">
        <v>18480</v>
      </c>
      <c r="S579" s="21" t="str">
        <f>HYPERLINK("https://www.laredo.edu/financialaid/fa_calc.htm", "$12640")</f>
        <v>$12640</v>
      </c>
      <c r="T579" s="20">
        <v>14222</v>
      </c>
      <c r="U579" s="20">
        <v>15370</v>
      </c>
      <c r="V579" s="20">
        <v>7163</v>
      </c>
      <c r="W579" s="20">
        <v>5477.5022421524664</v>
      </c>
      <c r="Y579" s="19">
        <v>0.4798</v>
      </c>
      <c r="Z579" s="19">
        <v>0.98760000000000003</v>
      </c>
      <c r="AB579" s="18">
        <v>9198</v>
      </c>
    </row>
    <row r="580" spans="1:28" ht="15.75" customHeight="1" x14ac:dyDescent="0.2">
      <c r="A580" s="36" t="str">
        <f>HYPERLINK("https://www.laspositascollege.edu", "Las Positas College")</f>
        <v>Las Positas College</v>
      </c>
      <c r="B580" s="18" t="s">
        <v>49</v>
      </c>
      <c r="C580" s="18" t="s">
        <v>68</v>
      </c>
      <c r="D580" s="18" t="s">
        <v>1472</v>
      </c>
      <c r="E580" s="18" t="s">
        <v>36</v>
      </c>
      <c r="F580" s="18" t="s">
        <v>36</v>
      </c>
      <c r="J580" s="19"/>
      <c r="K580" s="19">
        <v>0.3911</v>
      </c>
      <c r="L580" s="19" t="s">
        <v>36</v>
      </c>
      <c r="M580" s="19">
        <v>0.38800000000000001</v>
      </c>
      <c r="N580" s="19">
        <v>0.30230000000000001</v>
      </c>
      <c r="O580" s="19">
        <v>0.36990000000000001</v>
      </c>
      <c r="P580" s="19">
        <v>0.48149999999999998</v>
      </c>
      <c r="Q580" s="19">
        <v>0.14483394799999999</v>
      </c>
      <c r="R580" s="20">
        <v>26404</v>
      </c>
      <c r="S580" s="21" t="str">
        <f>HYPERLINK("https://misweb.cccco.edu/npc/481/npcalc.htm", "$19742")</f>
        <v>$19742</v>
      </c>
      <c r="T580" s="20">
        <v>22672</v>
      </c>
      <c r="U580" s="20">
        <v>24243</v>
      </c>
      <c r="V580" s="20">
        <v>6093</v>
      </c>
      <c r="W580" s="20">
        <v>13649.883720930229</v>
      </c>
      <c r="Y580" s="19">
        <v>0.1507</v>
      </c>
      <c r="Z580" s="19">
        <v>0.62980000000000003</v>
      </c>
      <c r="AB580" s="18">
        <v>8077</v>
      </c>
    </row>
    <row r="581" spans="1:28" ht="15.75" customHeight="1" x14ac:dyDescent="0.2">
      <c r="A581" s="36" t="str">
        <f>HYPERLINK("https://www.lassencollege.edu/", "Lassen Community College")</f>
        <v>Lassen Community College</v>
      </c>
      <c r="B581" s="18" t="s">
        <v>49</v>
      </c>
      <c r="C581" s="18" t="s">
        <v>68</v>
      </c>
      <c r="D581" s="18" t="s">
        <v>1473</v>
      </c>
      <c r="E581" s="18" t="s">
        <v>36</v>
      </c>
      <c r="F581" s="18" t="s">
        <v>36</v>
      </c>
      <c r="J581" s="19"/>
      <c r="K581" s="19">
        <v>0.24310000000000001</v>
      </c>
      <c r="L581" s="19" t="s">
        <v>36</v>
      </c>
      <c r="M581" s="19">
        <v>0.23849999999999999</v>
      </c>
      <c r="N581" s="19">
        <v>0</v>
      </c>
      <c r="O581" s="19">
        <v>0.21740000000000001</v>
      </c>
      <c r="P581" s="19">
        <v>0</v>
      </c>
      <c r="Q581" s="19">
        <v>5.0147493000000001E-2</v>
      </c>
      <c r="R581" s="20">
        <v>19015</v>
      </c>
      <c r="S581" s="21" t="str">
        <f>HYPERLINK("https://misweb.cccco.edu/npc/131/npcalc.htm", "$12107")</f>
        <v>$12107</v>
      </c>
      <c r="T581" s="20">
        <v>15171</v>
      </c>
      <c r="U581" s="20">
        <v>17292</v>
      </c>
      <c r="V581" s="20">
        <v>5096</v>
      </c>
      <c r="W581" s="20">
        <v>7011.2272727272721</v>
      </c>
      <c r="Y581" s="19">
        <v>0.12759999999999999</v>
      </c>
      <c r="Z581" s="19">
        <v>0.59949999999999992</v>
      </c>
      <c r="AB581" s="18">
        <v>2187</v>
      </c>
    </row>
    <row r="582" spans="1:28" ht="15.75" customHeight="1" x14ac:dyDescent="0.2">
      <c r="A582" s="36" t="str">
        <f>HYPERLINK("https://www.lauruscollege.edu", "Laurus College")</f>
        <v>Laurus College</v>
      </c>
      <c r="B582" s="18" t="s">
        <v>368</v>
      </c>
      <c r="C582" s="18" t="s">
        <v>68</v>
      </c>
      <c r="D582" s="18" t="s">
        <v>204</v>
      </c>
      <c r="E582" s="18" t="s">
        <v>36</v>
      </c>
      <c r="F582" s="18" t="s">
        <v>36</v>
      </c>
      <c r="J582" s="19"/>
      <c r="K582" s="19">
        <v>0.78500000000000003</v>
      </c>
      <c r="L582" s="19">
        <v>0.50857142899999996</v>
      </c>
      <c r="M582" s="19">
        <v>0.9556</v>
      </c>
      <c r="N582" s="19">
        <v>0.6</v>
      </c>
      <c r="O582" s="19">
        <v>0.80430000000000001</v>
      </c>
      <c r="P582" s="19">
        <v>0.25</v>
      </c>
      <c r="Q582" s="19" t="s">
        <v>36</v>
      </c>
      <c r="R582" s="20" t="s">
        <v>36</v>
      </c>
      <c r="S582" s="21" t="str">
        <f>HYPERLINK("https://lauruscollege.edu/index.php?subj=main&amp;page=consumer_information", "$10204")</f>
        <v>$10204</v>
      </c>
      <c r="T582" s="20" t="s">
        <v>36</v>
      </c>
      <c r="U582" s="20" t="s">
        <v>36</v>
      </c>
      <c r="V582" s="20" t="s">
        <v>36</v>
      </c>
      <c r="W582" s="20" t="s">
        <v>36</v>
      </c>
      <c r="Y582" s="19">
        <v>0.58150000000000002</v>
      </c>
      <c r="Z582" s="19">
        <v>0.6714</v>
      </c>
      <c r="AB582" s="18">
        <v>1117</v>
      </c>
    </row>
    <row r="583" spans="1:28" ht="15.75" customHeight="1" x14ac:dyDescent="0.2">
      <c r="A583" s="36" t="str">
        <f>HYPERLINK("https://www.lmregis.org", "Lawrence Memorial Hospital School of Nursing")</f>
        <v>Lawrence Memorial Hospital School of Nursing</v>
      </c>
      <c r="B583" s="18" t="s">
        <v>32</v>
      </c>
      <c r="C583" s="18" t="s">
        <v>33</v>
      </c>
      <c r="D583" s="18" t="s">
        <v>157</v>
      </c>
      <c r="E583" s="18" t="s">
        <v>36</v>
      </c>
      <c r="F583" s="18" t="s">
        <v>36</v>
      </c>
      <c r="J583" s="19"/>
      <c r="K583" s="19">
        <v>1</v>
      </c>
      <c r="L583" s="19">
        <v>0.489795918</v>
      </c>
      <c r="M583" s="19">
        <v>1</v>
      </c>
      <c r="N583" s="19" t="s">
        <v>36</v>
      </c>
      <c r="O583" s="19" t="s">
        <v>36</v>
      </c>
      <c r="P583" s="19" t="s">
        <v>36</v>
      </c>
      <c r="Q583" s="19">
        <v>0.140740741</v>
      </c>
      <c r="R583" s="20">
        <v>48461</v>
      </c>
      <c r="S583" s="21" t="str">
        <f>HYPERLINK("https://www.lmregis.org", "Not reported")</f>
        <v>Not reported</v>
      </c>
      <c r="T583" s="20" t="s">
        <v>36</v>
      </c>
      <c r="U583" s="20" t="s">
        <v>36</v>
      </c>
      <c r="V583" s="20">
        <v>6478</v>
      </c>
      <c r="W583" s="20" t="s">
        <v>36</v>
      </c>
      <c r="Y583" s="19">
        <v>0.42370000000000002</v>
      </c>
      <c r="Z583" s="19">
        <v>0.41279999999999989</v>
      </c>
      <c r="AB583" s="18">
        <v>281</v>
      </c>
    </row>
    <row r="584" spans="1:28" ht="15.75" customHeight="1" x14ac:dyDescent="0.2">
      <c r="A584" s="36" t="str">
        <f>HYPERLINK("https://www.lltc.edu", "Leech Lake Tribal College")</f>
        <v>Leech Lake Tribal College</v>
      </c>
      <c r="B584" s="18" t="s">
        <v>49</v>
      </c>
      <c r="C584" s="18" t="s">
        <v>72</v>
      </c>
      <c r="D584" s="18" t="s">
        <v>1474</v>
      </c>
      <c r="E584" s="18" t="s">
        <v>36</v>
      </c>
      <c r="F584" s="18" t="s">
        <v>36</v>
      </c>
      <c r="J584" s="19"/>
      <c r="K584" s="19">
        <v>7.7899999999999997E-2</v>
      </c>
      <c r="L584" s="19" t="s">
        <v>36</v>
      </c>
      <c r="M584" s="19">
        <v>0</v>
      </c>
      <c r="N584" s="19" t="s">
        <v>36</v>
      </c>
      <c r="O584" s="19" t="s">
        <v>36</v>
      </c>
      <c r="P584" s="19" t="s">
        <v>36</v>
      </c>
      <c r="Q584" s="19" t="s">
        <v>36</v>
      </c>
      <c r="R584" s="20">
        <v>17998</v>
      </c>
      <c r="S584" s="21" t="str">
        <f>HYPERLINK("https://www.lltc.edu/financial-aid/net-price-calculator", "$10784")</f>
        <v>$10784</v>
      </c>
      <c r="T584" s="20">
        <v>12193</v>
      </c>
      <c r="U584" s="20" t="s">
        <v>36</v>
      </c>
      <c r="V584" s="20">
        <v>6600</v>
      </c>
      <c r="W584" s="20">
        <v>4184.1090909090908</v>
      </c>
      <c r="Y584" s="19">
        <v>0.76570000000000005</v>
      </c>
      <c r="Z584" s="19">
        <v>0.93630000000000002</v>
      </c>
      <c r="AB584" s="18">
        <v>157</v>
      </c>
    </row>
    <row r="585" spans="1:28" ht="15.75" customHeight="1" x14ac:dyDescent="0.2">
      <c r="A585" s="36" t="str">
        <f>HYPERLINK("https://www.leeward.hawaii.edu", "Leeward Community College")</f>
        <v>Leeward Community College</v>
      </c>
      <c r="B585" s="18" t="s">
        <v>49</v>
      </c>
      <c r="C585" s="18" t="s">
        <v>313</v>
      </c>
      <c r="D585" s="18" t="s">
        <v>1475</v>
      </c>
      <c r="E585" s="18" t="s">
        <v>36</v>
      </c>
      <c r="F585" s="18" t="s">
        <v>36</v>
      </c>
      <c r="J585" s="19"/>
      <c r="K585" s="19">
        <v>0.1996</v>
      </c>
      <c r="L585" s="19">
        <v>0.16921119600000001</v>
      </c>
      <c r="M585" s="19">
        <v>0.26150000000000001</v>
      </c>
      <c r="N585" s="19">
        <v>0.18179999999999999</v>
      </c>
      <c r="O585" s="19">
        <v>0.13750000000000001</v>
      </c>
      <c r="P585" s="19">
        <v>0.27529999999999999</v>
      </c>
      <c r="Q585" s="19">
        <v>8.4577114000000009E-2</v>
      </c>
      <c r="R585" s="20">
        <v>27508</v>
      </c>
      <c r="S585" s="21" t="str">
        <f>HYPERLINK("https://www.leeward.hawaii.edu/files/netpricecalculator/npcalc.htm", "$22300")</f>
        <v>$22300</v>
      </c>
      <c r="T585" s="20">
        <v>24654</v>
      </c>
      <c r="U585" s="20">
        <v>26214</v>
      </c>
      <c r="V585" s="20">
        <v>4626</v>
      </c>
      <c r="W585" s="20">
        <v>17674.553030303028</v>
      </c>
      <c r="Y585" s="19">
        <v>0.25600000000000001</v>
      </c>
      <c r="Z585" s="19">
        <v>0.92300000000000004</v>
      </c>
      <c r="AB585" s="18">
        <v>4971</v>
      </c>
    </row>
    <row r="586" spans="1:28" ht="15.75" customHeight="1" x14ac:dyDescent="0.2">
      <c r="A586" s="36" t="str">
        <f>HYPERLINK("https://www.lccc.edu", "Lehigh Carbon Community College")</f>
        <v>Lehigh Carbon Community College</v>
      </c>
      <c r="B586" s="18" t="s">
        <v>49</v>
      </c>
      <c r="C586" s="18" t="s">
        <v>65</v>
      </c>
      <c r="D586" s="18" t="s">
        <v>1476</v>
      </c>
      <c r="E586" s="18" t="s">
        <v>36</v>
      </c>
      <c r="F586" s="18" t="s">
        <v>36</v>
      </c>
      <c r="J586" s="19"/>
      <c r="K586" s="19">
        <v>0.17319999999999999</v>
      </c>
      <c r="L586" s="19">
        <v>0.16638796</v>
      </c>
      <c r="M586" s="19">
        <v>0.21410000000000001</v>
      </c>
      <c r="N586" s="19">
        <v>1.5900000000000001E-2</v>
      </c>
      <c r="O586" s="19">
        <v>5.2600000000000001E-2</v>
      </c>
      <c r="P586" s="19">
        <v>0.38890000000000002</v>
      </c>
      <c r="Q586" s="19">
        <v>8.0512350999999996E-2</v>
      </c>
      <c r="R586" s="20">
        <v>19730</v>
      </c>
      <c r="S586" s="21" t="str">
        <f>HYPERLINK("https://www.lccc.edu/tuition-financial-aid/net-price-calculator", "$14841")</f>
        <v>$14841</v>
      </c>
      <c r="T586" s="20">
        <v>17268</v>
      </c>
      <c r="U586" s="20">
        <v>19238</v>
      </c>
      <c r="V586" s="20">
        <v>5200</v>
      </c>
      <c r="W586" s="20">
        <v>9641.9695431472082</v>
      </c>
      <c r="Y586" s="19">
        <v>0.40570000000000001</v>
      </c>
      <c r="Z586" s="19">
        <v>0.4325</v>
      </c>
      <c r="AB586" s="18">
        <v>5588</v>
      </c>
    </row>
    <row r="587" spans="1:28" ht="15.75" customHeight="1" x14ac:dyDescent="0.2">
      <c r="A587" s="36" t="str">
        <f>HYPERLINK("https://www.lc.edu", "Lewis and Clark Community College")</f>
        <v>Lewis and Clark Community College</v>
      </c>
      <c r="B587" s="18" t="s">
        <v>49</v>
      </c>
      <c r="C587" s="18" t="s">
        <v>137</v>
      </c>
      <c r="D587" s="18" t="s">
        <v>1477</v>
      </c>
      <c r="E587" s="18" t="s">
        <v>36</v>
      </c>
      <c r="F587" s="18" t="s">
        <v>36</v>
      </c>
      <c r="J587" s="19"/>
      <c r="K587" s="19">
        <v>0.39419999999999999</v>
      </c>
      <c r="L587" s="19">
        <v>0.13431151199999999</v>
      </c>
      <c r="M587" s="19">
        <v>0.43480000000000002</v>
      </c>
      <c r="N587" s="19">
        <v>0.25</v>
      </c>
      <c r="O587" s="19">
        <v>0.33329999999999999</v>
      </c>
      <c r="P587" s="19">
        <v>0</v>
      </c>
      <c r="Q587" s="19">
        <v>9.2096669000000006E-2</v>
      </c>
      <c r="R587" s="20">
        <v>22782</v>
      </c>
      <c r="S587" s="21" t="str">
        <f>HYPERLINK("https://www2.lc.edu/npcalc/", "$17277")</f>
        <v>$17277</v>
      </c>
      <c r="T587" s="20">
        <v>20704</v>
      </c>
      <c r="U587" s="20">
        <v>21980</v>
      </c>
      <c r="V587" s="20">
        <v>3708</v>
      </c>
      <c r="W587" s="20">
        <v>13569.58333333333</v>
      </c>
      <c r="Y587" s="19">
        <v>0.24049999999999999</v>
      </c>
      <c r="Z587" s="19">
        <v>0.19919999999999999</v>
      </c>
      <c r="AB587" s="18">
        <v>3293</v>
      </c>
    </row>
    <row r="588" spans="1:28" ht="15.75" customHeight="1" x14ac:dyDescent="0.2">
      <c r="A588" s="36" t="str">
        <f>HYPERLINK("https://www.libertytc.org", "Liberty Technical College")</f>
        <v>Liberty Technical College</v>
      </c>
      <c r="B588" s="18" t="s">
        <v>368</v>
      </c>
      <c r="C588" s="18" t="s">
        <v>284</v>
      </c>
      <c r="D588" s="18" t="s">
        <v>1478</v>
      </c>
      <c r="E588" s="18" t="s">
        <v>36</v>
      </c>
      <c r="F588" s="18" t="s">
        <v>36</v>
      </c>
      <c r="J588" s="19"/>
      <c r="K588" s="19">
        <v>0.7</v>
      </c>
      <c r="L588" s="19" t="s">
        <v>36</v>
      </c>
      <c r="M588" s="19" t="s">
        <v>36</v>
      </c>
      <c r="N588" s="19" t="s">
        <v>36</v>
      </c>
      <c r="O588" s="19">
        <v>0.7</v>
      </c>
      <c r="P588" s="19" t="s">
        <v>36</v>
      </c>
      <c r="Q588" s="19" t="s">
        <v>36</v>
      </c>
      <c r="R588" s="20" t="s">
        <v>36</v>
      </c>
      <c r="S588" s="21" t="str">
        <f>HYPERLINK("https://www.libertytc.org/index.php/informacion/net-price-calculator.html", "Not reported")</f>
        <v>Not reported</v>
      </c>
      <c r="T588" s="20" t="s">
        <v>36</v>
      </c>
      <c r="U588" s="20" t="s">
        <v>36</v>
      </c>
      <c r="V588" s="20" t="s">
        <v>36</v>
      </c>
      <c r="W588" s="20" t="s">
        <v>36</v>
      </c>
      <c r="Y588" s="19">
        <v>0.89700000000000002</v>
      </c>
      <c r="Z588" s="19">
        <v>1</v>
      </c>
      <c r="AB588" s="18">
        <v>135</v>
      </c>
    </row>
    <row r="589" spans="1:28" ht="15.75" customHeight="1" x14ac:dyDescent="0.2">
      <c r="A589" s="36" t="str">
        <f>HYPERLINK("https://lincolncollege.edu", "Lincoln College")</f>
        <v>Lincoln College</v>
      </c>
      <c r="B589" s="18" t="s">
        <v>32</v>
      </c>
      <c r="C589" s="18" t="s">
        <v>137</v>
      </c>
      <c r="D589" s="18" t="s">
        <v>516</v>
      </c>
      <c r="E589" s="18">
        <v>886</v>
      </c>
      <c r="F589" s="18" t="s">
        <v>115</v>
      </c>
      <c r="J589" s="19"/>
      <c r="K589" s="19">
        <v>0.31319999999999998</v>
      </c>
      <c r="L589" s="19">
        <v>0.211340206</v>
      </c>
      <c r="M589" s="19">
        <v>0.45390000000000003</v>
      </c>
      <c r="N589" s="19">
        <v>0.17469999999999999</v>
      </c>
      <c r="O589" s="19">
        <v>0.28000000000000003</v>
      </c>
      <c r="P589" s="19">
        <v>1</v>
      </c>
      <c r="Q589" s="19">
        <v>5.5800294E-2</v>
      </c>
      <c r="R589" s="20">
        <v>34630</v>
      </c>
      <c r="S589" s="21" t="str">
        <f>HYPERLINK("https://lincolncollege.edu/npcalc.htm", "$15135")</f>
        <v>$15135</v>
      </c>
      <c r="T589" s="20">
        <v>17048</v>
      </c>
      <c r="U589" s="20">
        <v>19218</v>
      </c>
      <c r="V589" s="20" t="s">
        <v>36</v>
      </c>
      <c r="W589" s="20" t="s">
        <v>36</v>
      </c>
      <c r="Y589" s="19">
        <v>0.58560000000000001</v>
      </c>
      <c r="Z589" s="19">
        <v>0.59640000000000004</v>
      </c>
      <c r="AB589" s="18">
        <v>1043</v>
      </c>
    </row>
    <row r="590" spans="1:28" ht="15.75" customHeight="1" x14ac:dyDescent="0.2">
      <c r="A590" s="36" t="str">
        <f>HYPERLINK("https://www.lincolncollegene.edu", "Lincoln College of New England-Southington")</f>
        <v>Lincoln College of New England-Southington</v>
      </c>
      <c r="B590" s="18" t="s">
        <v>368</v>
      </c>
      <c r="C590" s="18" t="s">
        <v>94</v>
      </c>
      <c r="D590" s="18" t="s">
        <v>1479</v>
      </c>
      <c r="E590" s="18" t="s">
        <v>36</v>
      </c>
      <c r="F590" s="18" t="s">
        <v>36</v>
      </c>
      <c r="J590" s="19"/>
      <c r="K590" s="19">
        <v>0.27429999999999999</v>
      </c>
      <c r="L590" s="19">
        <v>0.21691176500000001</v>
      </c>
      <c r="M590" s="19">
        <v>0.40260000000000001</v>
      </c>
      <c r="N590" s="19">
        <v>0.16</v>
      </c>
      <c r="O590" s="19">
        <v>0.1613</v>
      </c>
      <c r="P590" s="19">
        <v>0</v>
      </c>
      <c r="Q590" s="19">
        <v>5.9500959999999999E-2</v>
      </c>
      <c r="R590" s="20">
        <v>37510</v>
      </c>
      <c r="S590" s="21" t="str">
        <f>HYPERLINK("https://www.lincolnedu.com/net-price-calculator", "$22389")</f>
        <v>$22389</v>
      </c>
      <c r="T590" s="20">
        <v>25704</v>
      </c>
      <c r="U590" s="20" t="s">
        <v>36</v>
      </c>
      <c r="V590" s="20">
        <v>6160</v>
      </c>
      <c r="W590" s="20">
        <v>16229</v>
      </c>
      <c r="Y590" s="19">
        <v>0.55410000000000004</v>
      </c>
      <c r="Z590" s="19">
        <v>0.49890000000000001</v>
      </c>
      <c r="AB590" s="18">
        <v>465</v>
      </c>
    </row>
    <row r="591" spans="1:28" ht="15.75" customHeight="1" x14ac:dyDescent="0.2">
      <c r="A591" s="36" t="str">
        <f>HYPERLINK("https://www.lincolntech.edu/campus/marietta-ga", "Lincoln College of Technology-Marietta")</f>
        <v>Lincoln College of Technology-Marietta</v>
      </c>
      <c r="B591" s="18" t="s">
        <v>368</v>
      </c>
      <c r="C591" s="18" t="s">
        <v>107</v>
      </c>
      <c r="D591" s="18" t="s">
        <v>948</v>
      </c>
      <c r="E591" s="18" t="s">
        <v>36</v>
      </c>
      <c r="F591" s="18" t="s">
        <v>36</v>
      </c>
      <c r="J591" s="19"/>
      <c r="K591" s="19">
        <v>0.61629999999999996</v>
      </c>
      <c r="L591" s="19">
        <v>0.51678832100000005</v>
      </c>
      <c r="M591" s="19">
        <v>0.64710000000000001</v>
      </c>
      <c r="N591" s="19">
        <v>0.57999999999999996</v>
      </c>
      <c r="O591" s="19">
        <v>0.6</v>
      </c>
      <c r="P591" s="19">
        <v>0.66669999999999996</v>
      </c>
      <c r="Q591" s="19">
        <v>3.5707712000000003E-2</v>
      </c>
      <c r="R591" s="20" t="s">
        <v>36</v>
      </c>
      <c r="S591" s="21" t="str">
        <f>HYPERLINK("https://www.lincolntech.edu/net-price-calculator", "$15524")</f>
        <v>$15524</v>
      </c>
      <c r="T591" s="20">
        <v>16580</v>
      </c>
      <c r="U591" s="20">
        <v>19356</v>
      </c>
      <c r="V591" s="20" t="s">
        <v>36</v>
      </c>
      <c r="W591" s="20" t="s">
        <v>36</v>
      </c>
      <c r="Y591" s="19">
        <v>0.70409999999999995</v>
      </c>
      <c r="Z591" s="19">
        <v>0.88460000000000005</v>
      </c>
      <c r="AB591" s="18">
        <v>286</v>
      </c>
    </row>
    <row r="592" spans="1:28" ht="15.75" customHeight="1" x14ac:dyDescent="0.2">
      <c r="A592" s="36" t="str">
        <f>HYPERLINK("https://www.llcc.edu", "Lincoln Land Community College")</f>
        <v>Lincoln Land Community College</v>
      </c>
      <c r="B592" s="18" t="s">
        <v>49</v>
      </c>
      <c r="C592" s="18" t="s">
        <v>137</v>
      </c>
      <c r="D592" s="18" t="s">
        <v>349</v>
      </c>
      <c r="E592" s="18" t="s">
        <v>36</v>
      </c>
      <c r="F592" s="18" t="s">
        <v>36</v>
      </c>
      <c r="J592" s="19"/>
      <c r="K592" s="19">
        <v>0.312</v>
      </c>
      <c r="L592" s="19">
        <v>0.134099617</v>
      </c>
      <c r="M592" s="19">
        <v>0.34920000000000001</v>
      </c>
      <c r="N592" s="19">
        <v>0.125</v>
      </c>
      <c r="O592" s="19">
        <v>0.22500000000000001</v>
      </c>
      <c r="P592" s="19">
        <v>0.42859999999999998</v>
      </c>
      <c r="Q592" s="19">
        <v>7.6297050000000005E-2</v>
      </c>
      <c r="R592" s="20">
        <v>21721</v>
      </c>
      <c r="S592" s="21" t="str">
        <f>HYPERLINK("https://ww3.llcc.edu/calc/npcalc.htm", "$15735")</f>
        <v>$15735</v>
      </c>
      <c r="T592" s="20">
        <v>18703</v>
      </c>
      <c r="U592" s="20">
        <v>21375</v>
      </c>
      <c r="V592" s="20">
        <v>5626</v>
      </c>
      <c r="W592" s="20">
        <v>10109.96629213483</v>
      </c>
      <c r="Y592" s="19">
        <v>0.33950000000000002</v>
      </c>
      <c r="Z592" s="19">
        <v>0.26160000000000011</v>
      </c>
      <c r="AB592" s="18">
        <v>4530</v>
      </c>
    </row>
    <row r="593" spans="1:28" ht="15.75" customHeight="1" x14ac:dyDescent="0.2">
      <c r="A593" s="36" t="str">
        <f>HYPERLINK("https://www.lincolntech.edu/campus/philadelphia-pa", "Lincoln Technical Institute-Philadelphia")</f>
        <v>Lincoln Technical Institute-Philadelphia</v>
      </c>
      <c r="B593" s="18" t="s">
        <v>368</v>
      </c>
      <c r="C593" s="18" t="s">
        <v>65</v>
      </c>
      <c r="D593" s="18" t="s">
        <v>168</v>
      </c>
      <c r="E593" s="18" t="s">
        <v>36</v>
      </c>
      <c r="F593" s="18" t="s">
        <v>36</v>
      </c>
      <c r="J593" s="19"/>
      <c r="K593" s="19">
        <v>0.44059999999999999</v>
      </c>
      <c r="L593" s="19">
        <v>0.51066758400000001</v>
      </c>
      <c r="M593" s="19">
        <v>0.59650000000000003</v>
      </c>
      <c r="N593" s="19">
        <v>0.35770000000000002</v>
      </c>
      <c r="O593" s="19">
        <v>0.4259</v>
      </c>
      <c r="P593" s="19">
        <v>0.5625</v>
      </c>
      <c r="Q593" s="19">
        <v>1.1086475E-2</v>
      </c>
      <c r="R593" s="20" t="s">
        <v>36</v>
      </c>
      <c r="S593" s="21" t="str">
        <f>HYPERLINK("https://www.lincolntech.edu/net-price-calculator", "$21567")</f>
        <v>$21567</v>
      </c>
      <c r="T593" s="20">
        <v>24256</v>
      </c>
      <c r="U593" s="20">
        <v>26486</v>
      </c>
      <c r="V593" s="20" t="s">
        <v>36</v>
      </c>
      <c r="W593" s="20" t="s">
        <v>36</v>
      </c>
      <c r="Y593" s="19">
        <v>0.81889999999999996</v>
      </c>
      <c r="Z593" s="19">
        <v>0.80889999999999995</v>
      </c>
      <c r="AB593" s="18">
        <v>246</v>
      </c>
    </row>
    <row r="594" spans="1:28" ht="15.75" customHeight="1" x14ac:dyDescent="0.2">
      <c r="A594" s="36" t="str">
        <f>HYPERLINK("https://www.lincolntech.edu/campus/union-nj", "Lincoln Technical Institute-Union")</f>
        <v>Lincoln Technical Institute-Union</v>
      </c>
      <c r="B594" s="18" t="s">
        <v>368</v>
      </c>
      <c r="C594" s="18" t="s">
        <v>141</v>
      </c>
      <c r="D594" s="18" t="s">
        <v>870</v>
      </c>
      <c r="E594" s="18" t="s">
        <v>36</v>
      </c>
      <c r="F594" s="18" t="s">
        <v>36</v>
      </c>
      <c r="J594" s="19"/>
      <c r="K594" s="19">
        <v>0.64410000000000001</v>
      </c>
      <c r="L594" s="19">
        <v>0.305363781</v>
      </c>
      <c r="M594" s="19" t="s">
        <v>36</v>
      </c>
      <c r="N594" s="19" t="s">
        <v>36</v>
      </c>
      <c r="O594" s="19" t="s">
        <v>36</v>
      </c>
      <c r="P594" s="19" t="s">
        <v>36</v>
      </c>
      <c r="Q594" s="19">
        <v>5.7316249999999997E-3</v>
      </c>
      <c r="R594" s="20" t="s">
        <v>36</v>
      </c>
      <c r="S594" s="21" t="str">
        <f>HYPERLINK("https://www.lincolntech.edu/net-price-calculator", "$17532")</f>
        <v>$17532</v>
      </c>
      <c r="T594" s="20">
        <v>20040</v>
      </c>
      <c r="U594" s="20">
        <v>21104</v>
      </c>
      <c r="V594" s="20" t="s">
        <v>36</v>
      </c>
      <c r="W594" s="20" t="s">
        <v>36</v>
      </c>
      <c r="Y594" s="19">
        <v>0.70740000000000003</v>
      </c>
      <c r="Z594" s="19">
        <v>0.83740000000000003</v>
      </c>
      <c r="AB594" s="18">
        <v>1224</v>
      </c>
    </row>
    <row r="595" spans="1:28" ht="15.75" customHeight="1" x14ac:dyDescent="0.2">
      <c r="A595" s="36" t="str">
        <f>HYPERLINK("https://www.iecc.edu/ltc", "Lincoln Trail College")</f>
        <v>Lincoln Trail College</v>
      </c>
      <c r="B595" s="18" t="s">
        <v>49</v>
      </c>
      <c r="C595" s="18" t="s">
        <v>137</v>
      </c>
      <c r="D595" s="18" t="s">
        <v>1480</v>
      </c>
      <c r="E595" s="18" t="s">
        <v>36</v>
      </c>
      <c r="F595" s="18" t="s">
        <v>36</v>
      </c>
      <c r="J595" s="19"/>
      <c r="K595" s="19">
        <v>0.47439999999999999</v>
      </c>
      <c r="L595" s="19">
        <v>0.28729281800000001</v>
      </c>
      <c r="M595" s="19">
        <v>0.49659999999999999</v>
      </c>
      <c r="N595" s="19">
        <v>0.4</v>
      </c>
      <c r="O595" s="19">
        <v>0</v>
      </c>
      <c r="P595" s="19">
        <v>0</v>
      </c>
      <c r="Q595" s="19">
        <v>6.3829786999999999E-2</v>
      </c>
      <c r="R595" s="20">
        <v>20755</v>
      </c>
      <c r="S595" s="21" t="str">
        <f>HYPERLINK("https://www.iecc.edu/files_user/FAID/netcalc/npcalc.htm", "$15718")</f>
        <v>$15718</v>
      </c>
      <c r="T595" s="20">
        <v>18490</v>
      </c>
      <c r="U595" s="20">
        <v>19690</v>
      </c>
      <c r="V595" s="20">
        <v>2900</v>
      </c>
      <c r="W595" s="20">
        <v>12818.92307692308</v>
      </c>
      <c r="Y595" s="19">
        <v>0.2752</v>
      </c>
      <c r="Z595" s="19">
        <v>0.13739999999999999</v>
      </c>
      <c r="AB595" s="18">
        <v>495</v>
      </c>
    </row>
    <row r="596" spans="1:28" ht="15.75" customHeight="1" x14ac:dyDescent="0.2">
      <c r="A596" s="36" t="str">
        <f>HYPERLINK("https://www.linnbenton.edu", "Linn-Benton Community College")</f>
        <v>Linn-Benton Community College</v>
      </c>
      <c r="B596" s="18" t="s">
        <v>49</v>
      </c>
      <c r="C596" s="18" t="s">
        <v>143</v>
      </c>
      <c r="D596" s="18" t="s">
        <v>550</v>
      </c>
      <c r="E596" s="18" t="s">
        <v>36</v>
      </c>
      <c r="F596" s="18" t="s">
        <v>36</v>
      </c>
      <c r="J596" s="19"/>
      <c r="K596" s="19">
        <v>0.1792</v>
      </c>
      <c r="L596" s="19">
        <v>0.120582121</v>
      </c>
      <c r="M596" s="19">
        <v>0.1973</v>
      </c>
      <c r="N596" s="19">
        <v>0.125</v>
      </c>
      <c r="O596" s="19">
        <v>0.1212</v>
      </c>
      <c r="P596" s="19">
        <v>0.1</v>
      </c>
      <c r="Q596" s="19">
        <v>0.107049608</v>
      </c>
      <c r="R596" s="20">
        <v>23102</v>
      </c>
      <c r="S596" s="21" t="str">
        <f>HYPERLINK("https://linnbenton.edu/net-price-calculator-folder/npcalc.htm", "$16866")</f>
        <v>$16866</v>
      </c>
      <c r="T596" s="20">
        <v>19545</v>
      </c>
      <c r="U596" s="20">
        <v>20513</v>
      </c>
      <c r="V596" s="20">
        <v>4311</v>
      </c>
      <c r="W596" s="20">
        <v>12555.37142857143</v>
      </c>
      <c r="Y596" s="19">
        <v>0.26800000000000002</v>
      </c>
      <c r="Z596" s="19">
        <v>0.38460000000000011</v>
      </c>
      <c r="AB596" s="18">
        <v>5723</v>
      </c>
    </row>
    <row r="597" spans="1:28" ht="15.75" customHeight="1" x14ac:dyDescent="0.2">
      <c r="A597" s="36" t="str">
        <f>HYPERLINK("https://www.lbhc.edu/", "Little Big Horn College")</f>
        <v>Little Big Horn College</v>
      </c>
      <c r="B597" s="18" t="s">
        <v>49</v>
      </c>
      <c r="C597" s="18" t="s">
        <v>421</v>
      </c>
      <c r="D597" s="18" t="s">
        <v>1481</v>
      </c>
      <c r="E597" s="18" t="s">
        <v>36</v>
      </c>
      <c r="F597" s="18" t="s">
        <v>36</v>
      </c>
      <c r="J597" s="19"/>
      <c r="K597" s="19">
        <v>2.3300000000000001E-2</v>
      </c>
      <c r="L597" s="19" t="s">
        <v>36</v>
      </c>
      <c r="M597" s="19" t="s">
        <v>36</v>
      </c>
      <c r="N597" s="19" t="s">
        <v>36</v>
      </c>
      <c r="O597" s="19">
        <v>0</v>
      </c>
      <c r="P597" s="19" t="s">
        <v>36</v>
      </c>
      <c r="Q597" s="19" t="s">
        <v>36</v>
      </c>
      <c r="R597" s="20">
        <v>11635</v>
      </c>
      <c r="S597" s="21" t="str">
        <f>HYPERLINK("https://www.lbhc.edu/finaid/npcalc.htm", "$7894")</f>
        <v>$7894</v>
      </c>
      <c r="T597" s="20">
        <v>8183</v>
      </c>
      <c r="U597" s="20">
        <v>9935</v>
      </c>
      <c r="V597" s="20">
        <v>2000</v>
      </c>
      <c r="W597" s="20">
        <v>5894.7083333333339</v>
      </c>
      <c r="Y597" s="19">
        <v>0.4395</v>
      </c>
      <c r="Z597" s="19">
        <v>0.98450000000000004</v>
      </c>
      <c r="AB597" s="18">
        <v>193</v>
      </c>
    </row>
    <row r="598" spans="1:28" ht="15.75" customHeight="1" x14ac:dyDescent="0.2">
      <c r="A598" s="36" t="str">
        <f>HYPERLINK("https://www.littlepriest.edu", "Little Priest Tribal College")</f>
        <v>Little Priest Tribal College</v>
      </c>
      <c r="B598" s="18" t="s">
        <v>49</v>
      </c>
      <c r="C598" s="18" t="s">
        <v>341</v>
      </c>
      <c r="D598" s="18" t="s">
        <v>1482</v>
      </c>
      <c r="E598" s="18" t="s">
        <v>36</v>
      </c>
      <c r="F598" s="18" t="s">
        <v>36</v>
      </c>
      <c r="J598" s="19"/>
      <c r="K598" s="19">
        <v>0.1176</v>
      </c>
      <c r="L598" s="19" t="s">
        <v>36</v>
      </c>
      <c r="M598" s="19">
        <v>0</v>
      </c>
      <c r="N598" s="19" t="s">
        <v>36</v>
      </c>
      <c r="O598" s="19" t="s">
        <v>36</v>
      </c>
      <c r="P598" s="19" t="s">
        <v>36</v>
      </c>
      <c r="Q598" s="19" t="s">
        <v>36</v>
      </c>
      <c r="R598" s="20">
        <v>14874</v>
      </c>
      <c r="S598" s="21" t="str">
        <f>HYPERLINK("https://www.littlepriest.edu/current-prospective-student/net-price-calculator.html", "$10653")</f>
        <v>$10653</v>
      </c>
      <c r="T598" s="20">
        <v>13874</v>
      </c>
      <c r="U598" s="20" t="s">
        <v>36</v>
      </c>
      <c r="V598" s="20">
        <v>4734</v>
      </c>
      <c r="W598" s="20">
        <v>5919.5555555555547</v>
      </c>
      <c r="Y598" s="19">
        <v>0.72729999999999995</v>
      </c>
      <c r="Z598" s="19">
        <v>0.96</v>
      </c>
      <c r="AB598" s="18">
        <v>100</v>
      </c>
    </row>
    <row r="599" spans="1:28" ht="15.75" customHeight="1" x14ac:dyDescent="0.2">
      <c r="A599" s="36" t="str">
        <f>HYPERLINK("https://www.lonestar.edu", "Lone Star College System")</f>
        <v>Lone Star College System</v>
      </c>
      <c r="B599" s="18" t="s">
        <v>49</v>
      </c>
      <c r="C599" s="18" t="s">
        <v>146</v>
      </c>
      <c r="D599" s="18" t="s">
        <v>1483</v>
      </c>
      <c r="E599" s="18" t="s">
        <v>36</v>
      </c>
      <c r="F599" s="18" t="s">
        <v>36</v>
      </c>
      <c r="J599" s="19"/>
      <c r="K599" s="19">
        <v>0.122</v>
      </c>
      <c r="L599" s="19">
        <v>0.115332975</v>
      </c>
      <c r="M599" s="19">
        <v>0.12839999999999999</v>
      </c>
      <c r="N599" s="19">
        <v>6.4299999999999996E-2</v>
      </c>
      <c r="O599" s="19">
        <v>0.13450000000000001</v>
      </c>
      <c r="P599" s="19">
        <v>0.15210000000000001</v>
      </c>
      <c r="Q599" s="19">
        <v>0.112803258</v>
      </c>
      <c r="R599" s="20">
        <v>21695</v>
      </c>
      <c r="S599" s="21" t="str">
        <f>HYPERLINK("https://www.lonestar.edu/financial-aid.htm", "$16280")</f>
        <v>$16280</v>
      </c>
      <c r="T599" s="20">
        <v>19062</v>
      </c>
      <c r="U599" s="20">
        <v>21236</v>
      </c>
      <c r="V599" s="20">
        <v>5484</v>
      </c>
      <c r="W599" s="20">
        <v>10796.21608040201</v>
      </c>
      <c r="Y599" s="19">
        <v>0.26440000000000002</v>
      </c>
      <c r="Z599" s="19">
        <v>0.70689999999999997</v>
      </c>
      <c r="AB599" s="18">
        <v>59107</v>
      </c>
    </row>
    <row r="600" spans="1:28" ht="15.75" customHeight="1" x14ac:dyDescent="0.2">
      <c r="A600" s="36" t="str">
        <f>HYPERLINK("https://www.lbcc.edu", "Long Beach City College")</f>
        <v>Long Beach City College</v>
      </c>
      <c r="B600" s="18" t="s">
        <v>49</v>
      </c>
      <c r="C600" s="18" t="s">
        <v>68</v>
      </c>
      <c r="D600" s="18" t="s">
        <v>608</v>
      </c>
      <c r="E600" s="18" t="s">
        <v>36</v>
      </c>
      <c r="F600" s="18" t="s">
        <v>36</v>
      </c>
      <c r="J600" s="19"/>
      <c r="K600" s="19">
        <v>0.18920000000000001</v>
      </c>
      <c r="L600" s="19" t="s">
        <v>36</v>
      </c>
      <c r="M600" s="19">
        <v>0.31190000000000001</v>
      </c>
      <c r="N600" s="19">
        <v>9.6000000000000002E-2</v>
      </c>
      <c r="O600" s="19">
        <v>0.17960000000000001</v>
      </c>
      <c r="P600" s="19">
        <v>0.2442</v>
      </c>
      <c r="Q600" s="19">
        <v>9.9151049000000005E-2</v>
      </c>
      <c r="R600" s="20">
        <v>27156</v>
      </c>
      <c r="S600" s="21" t="str">
        <f>HYPERLINK("https://misweb.cccco.edu/npc/841/npcalc.htm", "$20162")</f>
        <v>$20162</v>
      </c>
      <c r="T600" s="20">
        <v>22620</v>
      </c>
      <c r="U600" s="20">
        <v>24786</v>
      </c>
      <c r="V600" s="20">
        <v>6363</v>
      </c>
      <c r="W600" s="20">
        <v>13799.334136546189</v>
      </c>
      <c r="Y600" s="19">
        <v>0.33629999999999999</v>
      </c>
      <c r="Z600" s="19">
        <v>0.86650000000000005</v>
      </c>
      <c r="AB600" s="18">
        <v>23312</v>
      </c>
    </row>
    <row r="601" spans="1:28" ht="15.75" customHeight="1" x14ac:dyDescent="0.2">
      <c r="A601" s="36" t="str">
        <f>HYPERLINK("https://www.libi.edu", "Long Island Business Institute")</f>
        <v>Long Island Business Institute</v>
      </c>
      <c r="B601" s="18" t="s">
        <v>368</v>
      </c>
      <c r="C601" s="18" t="s">
        <v>38</v>
      </c>
      <c r="D601" s="18" t="s">
        <v>1374</v>
      </c>
      <c r="E601" s="18" t="s">
        <v>36</v>
      </c>
      <c r="F601" s="18" t="s">
        <v>45</v>
      </c>
      <c r="J601" s="19"/>
      <c r="K601" s="19">
        <v>0.23960000000000001</v>
      </c>
      <c r="L601" s="19">
        <v>9.7133758000000001E-2</v>
      </c>
      <c r="M601" s="19">
        <v>0.5</v>
      </c>
      <c r="N601" s="19">
        <v>0.4</v>
      </c>
      <c r="O601" s="19">
        <v>0.16669999999999999</v>
      </c>
      <c r="P601" s="19">
        <v>0.21429999999999999</v>
      </c>
      <c r="Q601" s="19">
        <v>2.4590164000000001E-2</v>
      </c>
      <c r="R601" s="20">
        <v>17175</v>
      </c>
      <c r="S601" s="21" t="str">
        <f>HYPERLINK("https://libi.edu/net-price-calculator/npcalc.htm", "$14487")</f>
        <v>$14487</v>
      </c>
      <c r="T601" s="20">
        <v>15714</v>
      </c>
      <c r="U601" s="20">
        <v>15745</v>
      </c>
      <c r="V601" s="20">
        <v>2700</v>
      </c>
      <c r="W601" s="20">
        <v>11787</v>
      </c>
      <c r="Y601" s="19">
        <v>0.82950000000000002</v>
      </c>
      <c r="Z601" s="19">
        <v>0.90190000000000003</v>
      </c>
      <c r="AB601" s="18">
        <v>693</v>
      </c>
    </row>
    <row r="602" spans="1:28" ht="15.75" customHeight="1" x14ac:dyDescent="0.2">
      <c r="A602" s="36" t="str">
        <f>HYPERLINK("https://www.lorainccc.edu", "Lorain County Community College")</f>
        <v>Lorain County Community College</v>
      </c>
      <c r="B602" s="18" t="s">
        <v>49</v>
      </c>
      <c r="C602" s="18" t="s">
        <v>75</v>
      </c>
      <c r="D602" s="18" t="s">
        <v>1484</v>
      </c>
      <c r="E602" s="18" t="s">
        <v>36</v>
      </c>
      <c r="F602" s="18" t="s">
        <v>36</v>
      </c>
      <c r="J602" s="19"/>
      <c r="K602" s="19">
        <v>0.22589999999999999</v>
      </c>
      <c r="L602" s="19">
        <v>7.8341014E-2</v>
      </c>
      <c r="M602" s="19">
        <v>0.25440000000000002</v>
      </c>
      <c r="N602" s="19">
        <v>5.8000000000000003E-2</v>
      </c>
      <c r="O602" s="19">
        <v>0.19589999999999999</v>
      </c>
      <c r="P602" s="19">
        <v>0.25</v>
      </c>
      <c r="Q602" s="19">
        <v>8.4180790999999991E-2</v>
      </c>
      <c r="R602" s="20">
        <v>14500</v>
      </c>
      <c r="S602" s="21" t="str">
        <f>HYPERLINK("https://apps.lorainccc.edu/netprice", "$9542")</f>
        <v>$9542</v>
      </c>
      <c r="T602" s="20">
        <v>11168</v>
      </c>
      <c r="U602" s="20">
        <v>13593</v>
      </c>
      <c r="V602" s="20">
        <v>3315</v>
      </c>
      <c r="W602" s="20">
        <v>6227.7340720221619</v>
      </c>
      <c r="Y602" s="19">
        <v>0.35649999999999998</v>
      </c>
      <c r="Z602" s="19">
        <v>0.28689999999999999</v>
      </c>
      <c r="AB602" s="18">
        <v>7976</v>
      </c>
    </row>
    <row r="603" spans="1:28" ht="15.75" customHeight="1" x14ac:dyDescent="0.2">
      <c r="A603" s="36" t="str">
        <f>HYPERLINK("https://www.lacm.edu", "Los Angeles College of Music")</f>
        <v>Los Angeles College of Music</v>
      </c>
      <c r="B603" s="18" t="s">
        <v>368</v>
      </c>
      <c r="C603" s="18" t="s">
        <v>68</v>
      </c>
      <c r="D603" s="18" t="s">
        <v>69</v>
      </c>
      <c r="E603" s="18" t="s">
        <v>36</v>
      </c>
      <c r="F603" s="18" t="s">
        <v>36</v>
      </c>
      <c r="J603" s="19"/>
      <c r="K603" s="19">
        <v>0.72729999999999995</v>
      </c>
      <c r="L603" s="19" t="s">
        <v>36</v>
      </c>
      <c r="M603" s="19">
        <v>0.83330000000000004</v>
      </c>
      <c r="N603" s="19">
        <v>1</v>
      </c>
      <c r="O603" s="19">
        <v>0.66669999999999996</v>
      </c>
      <c r="P603" s="19">
        <v>0</v>
      </c>
      <c r="Q603" s="19" t="s">
        <v>36</v>
      </c>
      <c r="R603" s="20">
        <v>42736</v>
      </c>
      <c r="S603" s="21" t="str">
        <f>HYPERLINK("https://www.lacm.edu/wp-content/uploads/2014/03/npcalc2.htm", "$33035")</f>
        <v>$33035</v>
      </c>
      <c r="T603" s="20">
        <v>34808</v>
      </c>
      <c r="U603" s="20">
        <v>35262</v>
      </c>
      <c r="V603" s="20">
        <v>5139</v>
      </c>
      <c r="W603" s="20">
        <v>27896</v>
      </c>
      <c r="Y603" s="19">
        <v>0.28299999999999997</v>
      </c>
      <c r="Z603" s="19">
        <v>0.66379999999999995</v>
      </c>
      <c r="AB603" s="18">
        <v>235</v>
      </c>
    </row>
    <row r="604" spans="1:28" ht="15.75" customHeight="1" x14ac:dyDescent="0.2">
      <c r="A604" s="36" t="str">
        <f>HYPERLINK("https://dhs.lacounty.gov/wps/portal/dhs/conah/", "Los Angeles County College of Nursing and Allied Health")</f>
        <v>Los Angeles County College of Nursing and Allied Health</v>
      </c>
      <c r="B604" s="18" t="s">
        <v>49</v>
      </c>
      <c r="C604" s="18" t="s">
        <v>68</v>
      </c>
      <c r="D604" s="18" t="s">
        <v>140</v>
      </c>
      <c r="E604" s="18" t="s">
        <v>36</v>
      </c>
      <c r="F604" s="18" t="s">
        <v>36</v>
      </c>
      <c r="J604" s="19"/>
      <c r="K604" s="19" t="s">
        <v>36</v>
      </c>
      <c r="L604" s="19">
        <v>0.44736842100000002</v>
      </c>
      <c r="M604" s="19" t="s">
        <v>36</v>
      </c>
      <c r="N604" s="19" t="s">
        <v>36</v>
      </c>
      <c r="O604" s="19" t="s">
        <v>36</v>
      </c>
      <c r="P604" s="19" t="s">
        <v>36</v>
      </c>
      <c r="Q604" s="19" t="s">
        <v>36</v>
      </c>
      <c r="R604" s="20" t="s">
        <v>36</v>
      </c>
      <c r="S604" s="35" t="s">
        <v>36</v>
      </c>
      <c r="T604" s="20" t="s">
        <v>36</v>
      </c>
      <c r="U604" s="20" t="s">
        <v>36</v>
      </c>
      <c r="V604" s="20" t="s">
        <v>36</v>
      </c>
      <c r="W604" s="20" t="s">
        <v>36</v>
      </c>
      <c r="Y604" s="19">
        <v>0.39</v>
      </c>
      <c r="Z604" s="19">
        <v>0.80289999999999995</v>
      </c>
      <c r="AB604" s="18">
        <v>208</v>
      </c>
    </row>
    <row r="605" spans="1:28" ht="15.75" customHeight="1" x14ac:dyDescent="0.2">
      <c r="A605" s="36" t="str">
        <f>HYPERLINK("https://www.lafilm.edu", "Los Angeles Film School")</f>
        <v>Los Angeles Film School</v>
      </c>
      <c r="B605" s="18" t="s">
        <v>368</v>
      </c>
      <c r="C605" s="18" t="s">
        <v>68</v>
      </c>
      <c r="D605" s="18" t="s">
        <v>762</v>
      </c>
      <c r="E605" s="18" t="s">
        <v>36</v>
      </c>
      <c r="F605" s="18" t="s">
        <v>36</v>
      </c>
      <c r="J605" s="19"/>
      <c r="K605" s="19">
        <v>0.60470000000000002</v>
      </c>
      <c r="L605" s="19">
        <v>0.559888579</v>
      </c>
      <c r="M605" s="19">
        <v>0.68479999999999996</v>
      </c>
      <c r="N605" s="19">
        <v>0.50900000000000001</v>
      </c>
      <c r="O605" s="19">
        <v>0.67710000000000004</v>
      </c>
      <c r="P605" s="19">
        <v>0.56820000000000004</v>
      </c>
      <c r="Q605" s="19">
        <v>8.8809949999999992E-3</v>
      </c>
      <c r="R605" s="20" t="s">
        <v>36</v>
      </c>
      <c r="S605" s="21" t="str">
        <f>HYPERLINK("https://lafilm.studentaidcalculator.com/survey.aspx", "$29337")</f>
        <v>$29337</v>
      </c>
      <c r="T605" s="20">
        <v>30029</v>
      </c>
      <c r="U605" s="20">
        <v>31401</v>
      </c>
      <c r="V605" s="20" t="s">
        <v>36</v>
      </c>
      <c r="W605" s="20" t="s">
        <v>36</v>
      </c>
      <c r="Y605" s="19">
        <v>0.56910000000000005</v>
      </c>
      <c r="Z605" s="19">
        <v>0.86419999999999997</v>
      </c>
      <c r="AB605" s="18">
        <v>3653</v>
      </c>
    </row>
    <row r="606" spans="1:28" ht="15.75" customHeight="1" x14ac:dyDescent="0.2">
      <c r="A606" s="36" t="str">
        <f>HYPERLINK("https://www.lahc.edu", "Los Angeles Harbor College")</f>
        <v>Los Angeles Harbor College</v>
      </c>
      <c r="B606" s="18" t="s">
        <v>49</v>
      </c>
      <c r="C606" s="18" t="s">
        <v>68</v>
      </c>
      <c r="D606" s="18" t="s">
        <v>517</v>
      </c>
      <c r="E606" s="18" t="s">
        <v>36</v>
      </c>
      <c r="F606" s="18" t="s">
        <v>36</v>
      </c>
      <c r="J606" s="19"/>
      <c r="K606" s="19">
        <v>0.23019999999999999</v>
      </c>
      <c r="L606" s="19">
        <v>0.103787879</v>
      </c>
      <c r="M606" s="19">
        <v>0.35210000000000002</v>
      </c>
      <c r="N606" s="19">
        <v>0.1515</v>
      </c>
      <c r="O606" s="19">
        <v>0.1925</v>
      </c>
      <c r="P606" s="19">
        <v>0.45100000000000001</v>
      </c>
      <c r="Q606" s="19">
        <v>9.0909090999999997E-2</v>
      </c>
      <c r="R606" s="20">
        <v>26924</v>
      </c>
      <c r="S606" s="21" t="str">
        <f>HYPERLINK("https://misweb.cccco.edu/npc/742/npcalc.htm", "$19973")</f>
        <v>$19973</v>
      </c>
      <c r="T606" s="20">
        <v>23161</v>
      </c>
      <c r="U606" s="20">
        <v>23823</v>
      </c>
      <c r="V606" s="20">
        <v>6093</v>
      </c>
      <c r="W606" s="20">
        <v>13880.103448275861</v>
      </c>
      <c r="Y606" s="19">
        <v>0.27060000000000001</v>
      </c>
      <c r="Z606" s="19">
        <v>0.88700000000000001</v>
      </c>
      <c r="AB606" s="18">
        <v>7354</v>
      </c>
    </row>
    <row r="607" spans="1:28" ht="15.75" customHeight="1" x14ac:dyDescent="0.2">
      <c r="A607" s="36" t="str">
        <f>HYPERLINK("https://www.lamission.edu", "Los Angeles Mission College")</f>
        <v>Los Angeles Mission College</v>
      </c>
      <c r="B607" s="18" t="s">
        <v>49</v>
      </c>
      <c r="C607" s="18" t="s">
        <v>68</v>
      </c>
      <c r="D607" s="18" t="s">
        <v>1487</v>
      </c>
      <c r="E607" s="18" t="s">
        <v>36</v>
      </c>
      <c r="F607" s="18" t="s">
        <v>36</v>
      </c>
      <c r="J607" s="19"/>
      <c r="K607" s="19">
        <v>0.18609999999999999</v>
      </c>
      <c r="L607" s="19">
        <v>0.09</v>
      </c>
      <c r="M607" s="19">
        <v>0.1905</v>
      </c>
      <c r="N607" s="19">
        <v>0.1429</v>
      </c>
      <c r="O607" s="19">
        <v>0.1772</v>
      </c>
      <c r="P607" s="19">
        <v>0.3</v>
      </c>
      <c r="Q607" s="19">
        <v>0.10465901399999999</v>
      </c>
      <c r="R607" s="20">
        <v>26924</v>
      </c>
      <c r="S607" s="21" t="str">
        <f>HYPERLINK("https://misweb.cccco.edu/npc/743/npcalc.htm", "$20191")</f>
        <v>$20191</v>
      </c>
      <c r="T607" s="20">
        <v>22869</v>
      </c>
      <c r="U607" s="20">
        <v>23448</v>
      </c>
      <c r="V607" s="20">
        <v>6093</v>
      </c>
      <c r="W607" s="20">
        <v>14098.85057471264</v>
      </c>
      <c r="Y607" s="19">
        <v>0.27600000000000002</v>
      </c>
      <c r="Z607" s="19">
        <v>0.89700000000000002</v>
      </c>
      <c r="AB607" s="18">
        <v>8624</v>
      </c>
    </row>
    <row r="608" spans="1:28" ht="15.75" customHeight="1" x14ac:dyDescent="0.2">
      <c r="A608" s="36" t="str">
        <f>HYPERLINK("https://www.laort.edu", "Los Angeles ORT College-Los Angeles Campus")</f>
        <v>Los Angeles ORT College-Los Angeles Campus</v>
      </c>
      <c r="B608" s="18" t="s">
        <v>32</v>
      </c>
      <c r="C608" s="18" t="s">
        <v>68</v>
      </c>
      <c r="D608" s="18" t="s">
        <v>140</v>
      </c>
      <c r="E608" s="18" t="s">
        <v>36</v>
      </c>
      <c r="F608" s="18" t="s">
        <v>36</v>
      </c>
      <c r="J608" s="19"/>
      <c r="K608" s="19">
        <v>0.9032</v>
      </c>
      <c r="L608" s="19">
        <v>0.244147157</v>
      </c>
      <c r="M608" s="19">
        <v>0.92859999999999998</v>
      </c>
      <c r="N608" s="19">
        <v>0.95450000000000002</v>
      </c>
      <c r="O608" s="19">
        <v>0.88890000000000002</v>
      </c>
      <c r="P608" s="19">
        <v>0.85709999999999997</v>
      </c>
      <c r="Q608" s="19" t="s">
        <v>36</v>
      </c>
      <c r="R608" s="20" t="s">
        <v>36</v>
      </c>
      <c r="S608" s="21" t="str">
        <f>HYPERLINK("https://www.laort.edu", "$14363")</f>
        <v>$14363</v>
      </c>
      <c r="T608" s="20">
        <v>16002</v>
      </c>
      <c r="U608" s="20">
        <v>17247</v>
      </c>
      <c r="V608" s="20" t="s">
        <v>36</v>
      </c>
      <c r="W608" s="20" t="s">
        <v>36</v>
      </c>
      <c r="Y608" s="19">
        <v>0.49919999999999998</v>
      </c>
      <c r="Z608" s="19">
        <v>0.72560000000000002</v>
      </c>
      <c r="AB608" s="18">
        <v>164</v>
      </c>
    </row>
    <row r="609" spans="1:28" ht="15.75" customHeight="1" x14ac:dyDescent="0.2">
      <c r="A609" s="36" t="str">
        <f>HYPERLINK("https://www.laort.edu", "Los Angeles ORT College-Van Nuys Campus")</f>
        <v>Los Angeles ORT College-Van Nuys Campus</v>
      </c>
      <c r="B609" s="18" t="s">
        <v>32</v>
      </c>
      <c r="C609" s="18" t="s">
        <v>68</v>
      </c>
      <c r="D609" s="18" t="s">
        <v>1488</v>
      </c>
      <c r="E609" s="18" t="s">
        <v>36</v>
      </c>
      <c r="F609" s="18" t="s">
        <v>36</v>
      </c>
      <c r="J609" s="19"/>
      <c r="K609" s="19">
        <v>0.92449999999999999</v>
      </c>
      <c r="L609" s="19">
        <v>0.244147157</v>
      </c>
      <c r="M609" s="19">
        <v>0.95450000000000002</v>
      </c>
      <c r="N609" s="19">
        <v>1</v>
      </c>
      <c r="O609" s="19">
        <v>0.88460000000000005</v>
      </c>
      <c r="P609" s="19">
        <v>1</v>
      </c>
      <c r="Q609" s="19" t="s">
        <v>36</v>
      </c>
      <c r="R609" s="20" t="s">
        <v>36</v>
      </c>
      <c r="S609" s="21" t="str">
        <f>HYPERLINK("https://www.laort.edu", "$13552")</f>
        <v>$13552</v>
      </c>
      <c r="T609" s="20">
        <v>15501</v>
      </c>
      <c r="U609" s="20">
        <v>16255</v>
      </c>
      <c r="V609" s="20" t="s">
        <v>36</v>
      </c>
      <c r="W609" s="20" t="s">
        <v>36</v>
      </c>
      <c r="Y609" s="19">
        <v>0.79</v>
      </c>
      <c r="Z609" s="19">
        <v>0.32300000000000001</v>
      </c>
      <c r="AB609" s="18">
        <v>291</v>
      </c>
    </row>
    <row r="610" spans="1:28" ht="15.75" customHeight="1" x14ac:dyDescent="0.2">
      <c r="A610" s="36" t="str">
        <f>HYPERLINK("https://www.piercecollege.edu", "Los Angeles Pierce College")</f>
        <v>Los Angeles Pierce College</v>
      </c>
      <c r="B610" s="18" t="s">
        <v>49</v>
      </c>
      <c r="C610" s="18" t="s">
        <v>68</v>
      </c>
      <c r="D610" s="18" t="s">
        <v>1489</v>
      </c>
      <c r="E610" s="18" t="s">
        <v>36</v>
      </c>
      <c r="F610" s="18" t="s">
        <v>36</v>
      </c>
      <c r="J610" s="19"/>
      <c r="K610" s="19">
        <v>0.30020000000000002</v>
      </c>
      <c r="L610" s="19">
        <v>0.111065574</v>
      </c>
      <c r="M610" s="19">
        <v>0.40579999999999999</v>
      </c>
      <c r="N610" s="19">
        <v>0.23880000000000001</v>
      </c>
      <c r="O610" s="19">
        <v>0.2354</v>
      </c>
      <c r="P610" s="19">
        <v>0.36420000000000002</v>
      </c>
      <c r="Q610" s="19">
        <v>0.144724557</v>
      </c>
      <c r="R610" s="20">
        <v>27156</v>
      </c>
      <c r="S610" s="21" t="str">
        <f>HYPERLINK("https://misweb.cccco.edu/npc/744/npcalc.htm", "$19866")</f>
        <v>$19866</v>
      </c>
      <c r="T610" s="20">
        <v>22831</v>
      </c>
      <c r="U610" s="20">
        <v>23585</v>
      </c>
      <c r="V610" s="20">
        <v>6093</v>
      </c>
      <c r="W610" s="20">
        <v>13773.64220183486</v>
      </c>
      <c r="Y610" s="19">
        <v>0.29970000000000002</v>
      </c>
      <c r="Z610" s="19">
        <v>0.74669999999999992</v>
      </c>
      <c r="AB610" s="18">
        <v>16439</v>
      </c>
    </row>
    <row r="611" spans="1:28" ht="15.75" customHeight="1" x14ac:dyDescent="0.2">
      <c r="A611" s="36" t="str">
        <f>HYPERLINK("https://www.lasc.edu", "Los Angeles Southwest College")</f>
        <v>Los Angeles Southwest College</v>
      </c>
      <c r="B611" s="18" t="s">
        <v>49</v>
      </c>
      <c r="C611" s="18" t="s">
        <v>68</v>
      </c>
      <c r="D611" s="18" t="s">
        <v>140</v>
      </c>
      <c r="E611" s="18" t="s">
        <v>36</v>
      </c>
      <c r="F611" s="18" t="s">
        <v>36</v>
      </c>
      <c r="J611" s="19"/>
      <c r="K611" s="19">
        <v>0.1212</v>
      </c>
      <c r="L611" s="19">
        <v>5.2451539000000012E-2</v>
      </c>
      <c r="M611" s="19" t="s">
        <v>36</v>
      </c>
      <c r="N611" s="19">
        <v>0.11210000000000001</v>
      </c>
      <c r="O611" s="19">
        <v>0.13850000000000001</v>
      </c>
      <c r="P611" s="19">
        <v>0</v>
      </c>
      <c r="Q611" s="19">
        <v>6.2347784000000003E-2</v>
      </c>
      <c r="R611" s="20">
        <v>26924</v>
      </c>
      <c r="S611" s="21" t="str">
        <f>HYPERLINK("https://misweb.cccco.edu/npc/745/npcalc.htm", "$20328")</f>
        <v>$20328</v>
      </c>
      <c r="T611" s="20">
        <v>22207</v>
      </c>
      <c r="U611" s="20">
        <v>23803</v>
      </c>
      <c r="V611" s="20">
        <v>6093</v>
      </c>
      <c r="W611" s="20">
        <v>14235.52173913044</v>
      </c>
      <c r="Y611" s="19">
        <v>0.38879999999999998</v>
      </c>
      <c r="Z611" s="19">
        <v>0.97899999999999998</v>
      </c>
      <c r="AB611" s="18">
        <v>5138</v>
      </c>
    </row>
    <row r="612" spans="1:28" ht="15.75" customHeight="1" x14ac:dyDescent="0.2">
      <c r="A612" s="36" t="str">
        <f>HYPERLINK("https://www.losmedanos.edu/", "Los Medanos College")</f>
        <v>Los Medanos College</v>
      </c>
      <c r="B612" s="18" t="s">
        <v>49</v>
      </c>
      <c r="C612" s="18" t="s">
        <v>68</v>
      </c>
      <c r="D612" s="18" t="s">
        <v>1068</v>
      </c>
      <c r="E612" s="18" t="s">
        <v>36</v>
      </c>
      <c r="F612" s="18" t="s">
        <v>36</v>
      </c>
      <c r="J612" s="19"/>
      <c r="K612" s="19">
        <v>0.3362</v>
      </c>
      <c r="L612" s="19">
        <v>2.5954199000000001E-2</v>
      </c>
      <c r="M612" s="19">
        <v>0.43680000000000002</v>
      </c>
      <c r="N612" s="19">
        <v>0.19789999999999999</v>
      </c>
      <c r="O612" s="19">
        <v>0.30869999999999997</v>
      </c>
      <c r="P612" s="19">
        <v>0.4355</v>
      </c>
      <c r="Q612" s="19">
        <v>9.1120139000000003E-2</v>
      </c>
      <c r="R612" s="20">
        <v>27812</v>
      </c>
      <c r="S612" s="21" t="str">
        <f>HYPERLINK("https://misweb.cccco.edu/npc/313/npcalc.htm", "$20759")</f>
        <v>$20759</v>
      </c>
      <c r="T612" s="20">
        <v>24530</v>
      </c>
      <c r="U612" s="20">
        <v>24888</v>
      </c>
      <c r="V612" s="20">
        <v>6094</v>
      </c>
      <c r="W612" s="20">
        <v>14665.44736842105</v>
      </c>
      <c r="Y612" s="19">
        <v>0.28060000000000002</v>
      </c>
      <c r="Z612" s="19">
        <v>0.74560000000000004</v>
      </c>
      <c r="AB612" s="18">
        <v>8110</v>
      </c>
    </row>
    <row r="613" spans="1:28" ht="15.75" customHeight="1" x14ac:dyDescent="0.2">
      <c r="A613" s="36" t="str">
        <f>HYPERLINK("https://www.louisburg.edu", "Louisburg College")</f>
        <v>Louisburg College</v>
      </c>
      <c r="B613" s="18" t="s">
        <v>32</v>
      </c>
      <c r="C613" s="18" t="s">
        <v>103</v>
      </c>
      <c r="D613" s="18" t="s">
        <v>1490</v>
      </c>
      <c r="E613" s="18">
        <v>825</v>
      </c>
      <c r="F613" s="18" t="s">
        <v>35</v>
      </c>
      <c r="J613" s="19"/>
      <c r="K613" s="19">
        <v>0.3014</v>
      </c>
      <c r="L613" s="19">
        <v>0.118705036</v>
      </c>
      <c r="M613" s="19">
        <v>0.48859999999999998</v>
      </c>
      <c r="N613" s="19">
        <v>0.1981</v>
      </c>
      <c r="O613" s="19">
        <v>0</v>
      </c>
      <c r="P613" s="19">
        <v>0.6</v>
      </c>
      <c r="Q613" s="19">
        <v>0.123620309</v>
      </c>
      <c r="R613" s="20">
        <v>32409</v>
      </c>
      <c r="S613" s="21" t="str">
        <f>HYPERLINK("https://www.louisburg.edu/admissions/financial-aid/cost.php", "$27971")</f>
        <v>$27971</v>
      </c>
      <c r="T613" s="20">
        <v>27513</v>
      </c>
      <c r="U613" s="20">
        <v>25786</v>
      </c>
      <c r="V613" s="20">
        <v>3119</v>
      </c>
      <c r="W613" s="20">
        <v>24852</v>
      </c>
      <c r="Y613" s="19">
        <v>0.72050000000000003</v>
      </c>
      <c r="Z613" s="19">
        <v>0.79349999999999998</v>
      </c>
      <c r="AB613" s="18">
        <v>620</v>
      </c>
    </row>
    <row r="614" spans="1:28" ht="15.75" customHeight="1" x14ac:dyDescent="0.2">
      <c r="A614" s="36" t="str">
        <f>HYPERLINK("https://www.lci.edu", "Louisiana Culinary Institute")</f>
        <v>Louisiana Culinary Institute</v>
      </c>
      <c r="B614" s="18" t="s">
        <v>368</v>
      </c>
      <c r="C614" s="18" t="s">
        <v>158</v>
      </c>
      <c r="D614" s="18" t="s">
        <v>398</v>
      </c>
      <c r="E614" s="18" t="s">
        <v>36</v>
      </c>
      <c r="F614" s="18" t="s">
        <v>90</v>
      </c>
      <c r="J614" s="19"/>
      <c r="K614" s="19">
        <v>0.41670000000000001</v>
      </c>
      <c r="L614" s="19">
        <v>0.53846153899999993</v>
      </c>
      <c r="M614" s="19">
        <v>0.42859999999999998</v>
      </c>
      <c r="N614" s="19">
        <v>0.4</v>
      </c>
      <c r="O614" s="19" t="s">
        <v>36</v>
      </c>
      <c r="P614" s="19" t="s">
        <v>36</v>
      </c>
      <c r="Q614" s="19" t="s">
        <v>36</v>
      </c>
      <c r="R614" s="20">
        <v>33007</v>
      </c>
      <c r="S614" s="21" t="str">
        <f>HYPERLINK("https://www.lci.edu/net-price-calculator/npcalc.htm", "Not reported")</f>
        <v>Not reported</v>
      </c>
      <c r="T614" s="20">
        <v>20473</v>
      </c>
      <c r="U614" s="20">
        <v>22099</v>
      </c>
      <c r="V614" s="20">
        <v>7704</v>
      </c>
      <c r="W614" s="20" t="s">
        <v>36</v>
      </c>
      <c r="Y614" s="19">
        <v>0.5</v>
      </c>
      <c r="Z614" s="19">
        <v>0.42459999999999998</v>
      </c>
      <c r="AB614" s="18">
        <v>179</v>
      </c>
    </row>
    <row r="615" spans="1:28" ht="15.75" customHeight="1" x14ac:dyDescent="0.2">
      <c r="A615" s="36" t="str">
        <f>HYPERLINK("https://www.lsue.edu", "Louisiana State University-Eunice")</f>
        <v>Louisiana State University-Eunice</v>
      </c>
      <c r="B615" s="18" t="s">
        <v>49</v>
      </c>
      <c r="C615" s="18" t="s">
        <v>158</v>
      </c>
      <c r="D615" s="18" t="s">
        <v>1491</v>
      </c>
      <c r="E615" s="18" t="s">
        <v>36</v>
      </c>
      <c r="F615" s="18" t="s">
        <v>36</v>
      </c>
      <c r="J615" s="19"/>
      <c r="K615" s="19">
        <v>0.1096</v>
      </c>
      <c r="L615" s="19">
        <v>0.108064516</v>
      </c>
      <c r="M615" s="19">
        <v>0.13400000000000001</v>
      </c>
      <c r="N615" s="19">
        <v>3.9199999999999999E-2</v>
      </c>
      <c r="O615" s="19">
        <v>8.3299999999999999E-2</v>
      </c>
      <c r="P615" s="19">
        <v>0.33329999999999999</v>
      </c>
      <c r="Q615" s="19">
        <v>0.121794872</v>
      </c>
      <c r="R615" s="20">
        <v>21450</v>
      </c>
      <c r="S615" s="21" t="str">
        <f>HYPERLINK("https://web.lsue.edu/docs/FinancialAid/npcalc.htm", "$15439")</f>
        <v>$15439</v>
      </c>
      <c r="T615" s="20">
        <v>17655</v>
      </c>
      <c r="U615" s="20">
        <v>19734</v>
      </c>
      <c r="V615" s="20">
        <v>5118</v>
      </c>
      <c r="W615" s="20">
        <v>10321.626666666671</v>
      </c>
      <c r="Y615" s="19">
        <v>0.41120000000000001</v>
      </c>
      <c r="Z615" s="19">
        <v>0.31419999999999998</v>
      </c>
      <c r="AB615" s="18">
        <v>2444</v>
      </c>
    </row>
    <row r="616" spans="1:28" ht="15.75" customHeight="1" x14ac:dyDescent="0.2">
      <c r="A616" s="36" t="str">
        <f>HYPERLINK("https://lowercolumbia.edu", "Lower Columbia College")</f>
        <v>Lower Columbia College</v>
      </c>
      <c r="B616" s="18" t="s">
        <v>49</v>
      </c>
      <c r="C616" s="18" t="s">
        <v>184</v>
      </c>
      <c r="D616" s="18" t="s">
        <v>899</v>
      </c>
      <c r="E616" s="18" t="s">
        <v>36</v>
      </c>
      <c r="F616" s="18" t="s">
        <v>36</v>
      </c>
      <c r="J616" s="19"/>
      <c r="K616" s="19">
        <v>0.28239999999999998</v>
      </c>
      <c r="L616" s="19">
        <v>0.18940137400000001</v>
      </c>
      <c r="M616" s="19">
        <v>0.29630000000000001</v>
      </c>
      <c r="N616" s="19">
        <v>0</v>
      </c>
      <c r="O616" s="19">
        <v>0.08</v>
      </c>
      <c r="P616" s="19">
        <v>0.33329999999999999</v>
      </c>
      <c r="Q616" s="19">
        <v>6.0584461999999999E-2</v>
      </c>
      <c r="R616" s="20">
        <v>20747</v>
      </c>
      <c r="S616" s="21" t="str">
        <f>HYPERLINK("https://lcc.ctc.edu/info/webresources2/NetPrice/npcalc.htm", "$14170")</f>
        <v>$14170</v>
      </c>
      <c r="T616" s="20">
        <v>16453</v>
      </c>
      <c r="U616" s="20">
        <v>20432</v>
      </c>
      <c r="V616" s="20">
        <v>4719</v>
      </c>
      <c r="W616" s="20">
        <v>9451.3009708737864</v>
      </c>
      <c r="Y616" s="19">
        <v>0.3911</v>
      </c>
      <c r="Z616" s="19">
        <v>0.27750000000000002</v>
      </c>
      <c r="AB616" s="18">
        <v>1301</v>
      </c>
    </row>
    <row r="617" spans="1:28" ht="15.75" customHeight="1" x14ac:dyDescent="0.2">
      <c r="A617" s="36" t="str">
        <f>HYPERLINK("https://www.lbwcc.edu", "Lurleen B Wallace Community College")</f>
        <v>Lurleen B Wallace Community College</v>
      </c>
      <c r="B617" s="18" t="s">
        <v>49</v>
      </c>
      <c r="C617" s="18" t="s">
        <v>300</v>
      </c>
      <c r="D617" s="18" t="s">
        <v>1492</v>
      </c>
      <c r="E617" s="18" t="s">
        <v>36</v>
      </c>
      <c r="F617" s="18" t="s">
        <v>36</v>
      </c>
      <c r="J617" s="19"/>
      <c r="K617" s="19">
        <v>0.34749999999999998</v>
      </c>
      <c r="L617" s="19">
        <v>0.111498258</v>
      </c>
      <c r="M617" s="19">
        <v>0.37409999999999999</v>
      </c>
      <c r="N617" s="19">
        <v>0.29499999999999998</v>
      </c>
      <c r="O617" s="19">
        <v>0.375</v>
      </c>
      <c r="P617" s="19">
        <v>0.5</v>
      </c>
      <c r="Q617" s="19">
        <v>6.9541029000000004E-2</v>
      </c>
      <c r="R617" s="20">
        <v>22277</v>
      </c>
      <c r="S617" s="21" t="str">
        <f>HYPERLINK("https://www.lbwcc.edu/financial-aid/net-price-calculator", "Not reported")</f>
        <v>Not reported</v>
      </c>
      <c r="T617" s="20" t="s">
        <v>36</v>
      </c>
      <c r="U617" s="20" t="s">
        <v>36</v>
      </c>
      <c r="V617" s="20">
        <v>4817</v>
      </c>
      <c r="W617" s="20" t="s">
        <v>36</v>
      </c>
      <c r="Y617" s="19">
        <v>0.51780000000000004</v>
      </c>
      <c r="Z617" s="19">
        <v>0.30059999999999998</v>
      </c>
      <c r="AB617" s="18">
        <v>1354</v>
      </c>
    </row>
    <row r="618" spans="1:28" ht="15.75" customHeight="1" x14ac:dyDescent="0.2">
      <c r="A618" s="36" t="str">
        <f>HYPERLINK("https://www.luzerne.edu", "Luzerne County Community College")</f>
        <v>Luzerne County Community College</v>
      </c>
      <c r="B618" s="18" t="s">
        <v>49</v>
      </c>
      <c r="C618" s="18" t="s">
        <v>65</v>
      </c>
      <c r="D618" s="18" t="s">
        <v>1493</v>
      </c>
      <c r="E618" s="18" t="s">
        <v>36</v>
      </c>
      <c r="F618" s="18" t="s">
        <v>36</v>
      </c>
      <c r="J618" s="19"/>
      <c r="K618" s="19">
        <v>0.1774</v>
      </c>
      <c r="L618" s="19">
        <v>0.18798150999999999</v>
      </c>
      <c r="M618" s="19">
        <v>0.1988</v>
      </c>
      <c r="N618" s="19">
        <v>1.7899999999999999E-2</v>
      </c>
      <c r="O618" s="19">
        <v>6.1899999999999997E-2</v>
      </c>
      <c r="P618" s="19">
        <v>0.2</v>
      </c>
      <c r="Q618" s="19">
        <v>8.5006408000000006E-2</v>
      </c>
      <c r="R618" s="20">
        <v>21840</v>
      </c>
      <c r="S618" s="21" t="str">
        <f>HYPERLINK("https://www.luzerne.edu/npc/npcalc.htm", "$16465")</f>
        <v>$16465</v>
      </c>
      <c r="T618" s="20">
        <v>19587</v>
      </c>
      <c r="U618" s="20">
        <v>21527</v>
      </c>
      <c r="V618" s="20">
        <v>3600</v>
      </c>
      <c r="W618" s="20">
        <v>12865.576309794989</v>
      </c>
      <c r="Y618" s="19">
        <v>0.38679999999999998</v>
      </c>
      <c r="Z618" s="19">
        <v>0.34830000000000011</v>
      </c>
      <c r="AB618" s="18">
        <v>4758</v>
      </c>
    </row>
    <row r="619" spans="1:28" ht="15.75" customHeight="1" x14ac:dyDescent="0.2">
      <c r="A619" s="36" t="str">
        <f>HYPERLINK("https://www.maccormac.edu", "MacCormac College")</f>
        <v>MacCormac College</v>
      </c>
      <c r="B619" s="18" t="s">
        <v>32</v>
      </c>
      <c r="C619" s="18" t="s">
        <v>137</v>
      </c>
      <c r="D619" s="18" t="s">
        <v>161</v>
      </c>
      <c r="E619" s="18" t="s">
        <v>36</v>
      </c>
      <c r="F619" s="18" t="s">
        <v>36</v>
      </c>
      <c r="J619" s="19"/>
      <c r="K619" s="19">
        <v>0.1176</v>
      </c>
      <c r="L619" s="19" t="s">
        <v>36</v>
      </c>
      <c r="M619" s="19">
        <v>0.25</v>
      </c>
      <c r="N619" s="19">
        <v>0.1111</v>
      </c>
      <c r="O619" s="19">
        <v>0</v>
      </c>
      <c r="P619" s="19" t="s">
        <v>36</v>
      </c>
      <c r="Q619" s="19" t="s">
        <v>36</v>
      </c>
      <c r="R619" s="20">
        <v>25620</v>
      </c>
      <c r="S619" s="21" t="str">
        <f>HYPERLINK("https://www2.ferrum.edu/financialaid/netPrice/npcalc.htm", "$20140")</f>
        <v>$20140</v>
      </c>
      <c r="T619" s="20" t="s">
        <v>36</v>
      </c>
      <c r="U619" s="20" t="s">
        <v>36</v>
      </c>
      <c r="V619" s="20">
        <v>5550</v>
      </c>
      <c r="W619" s="20">
        <v>14590</v>
      </c>
      <c r="Y619" s="19">
        <v>0.4128</v>
      </c>
      <c r="Z619" s="19">
        <v>0.82730000000000004</v>
      </c>
      <c r="AB619" s="18">
        <v>278</v>
      </c>
    </row>
    <row r="620" spans="1:28" ht="15.75" customHeight="1" x14ac:dyDescent="0.2">
      <c r="A620" s="36" t="str">
        <f>HYPERLINK("https://www.macomb.edu", "Macomb Community College")</f>
        <v>Macomb Community College</v>
      </c>
      <c r="B620" s="18" t="s">
        <v>49</v>
      </c>
      <c r="C620" s="18" t="s">
        <v>226</v>
      </c>
      <c r="D620" s="18" t="s">
        <v>713</v>
      </c>
      <c r="E620" s="18" t="s">
        <v>36</v>
      </c>
      <c r="F620" s="18" t="s">
        <v>36</v>
      </c>
      <c r="J620" s="19"/>
      <c r="K620" s="19">
        <v>0.1113</v>
      </c>
      <c r="L620" s="19">
        <v>0.121745599</v>
      </c>
      <c r="M620" s="19">
        <v>0.1168</v>
      </c>
      <c r="N620" s="19">
        <v>5.3800000000000001E-2</v>
      </c>
      <c r="O620" s="19">
        <v>0.22220000000000001</v>
      </c>
      <c r="P620" s="19">
        <v>0.1111</v>
      </c>
      <c r="Q620" s="19">
        <v>8.9896708000000006E-2</v>
      </c>
      <c r="R620" s="20">
        <v>18463</v>
      </c>
      <c r="S620" s="21" t="str">
        <f>HYPERLINK("https://www.macomb.edu", "Not reported")</f>
        <v>Not reported</v>
      </c>
      <c r="T620" s="20" t="s">
        <v>36</v>
      </c>
      <c r="U620" s="20" t="s">
        <v>36</v>
      </c>
      <c r="V620" s="20">
        <v>4206</v>
      </c>
      <c r="W620" s="20" t="s">
        <v>36</v>
      </c>
      <c r="Y620" s="19">
        <v>0.21379999999999999</v>
      </c>
      <c r="Z620" s="19">
        <v>0.31859999999999999</v>
      </c>
      <c r="AB620" s="18">
        <v>16146</v>
      </c>
    </row>
    <row r="621" spans="1:28" ht="15.75" customHeight="1" x14ac:dyDescent="0.2">
      <c r="A621" s="36" t="str">
        <f>HYPERLINK("https://www.mchp.edu", "Maine College of Health Professions")</f>
        <v>Maine College of Health Professions</v>
      </c>
      <c r="B621" s="18" t="s">
        <v>32</v>
      </c>
      <c r="C621" s="18" t="s">
        <v>43</v>
      </c>
      <c r="D621" s="18" t="s">
        <v>44</v>
      </c>
      <c r="E621" s="18">
        <v>920</v>
      </c>
      <c r="F621" s="18" t="s">
        <v>35</v>
      </c>
      <c r="J621" s="19"/>
      <c r="K621" s="19">
        <v>1</v>
      </c>
      <c r="L621" s="19">
        <v>0.64444444400000001</v>
      </c>
      <c r="M621" s="19">
        <v>1</v>
      </c>
      <c r="N621" s="19" t="s">
        <v>36</v>
      </c>
      <c r="O621" s="19" t="s">
        <v>36</v>
      </c>
      <c r="P621" s="19" t="s">
        <v>36</v>
      </c>
      <c r="Q621" s="19" t="s">
        <v>36</v>
      </c>
      <c r="R621" s="20">
        <v>19406</v>
      </c>
      <c r="S621" s="21" t="str">
        <f>HYPERLINK("https://www.mchp.edu/net-price-calculator", "$11295")</f>
        <v>$11295</v>
      </c>
      <c r="T621" s="20">
        <v>18810</v>
      </c>
      <c r="U621" s="20">
        <v>18810</v>
      </c>
      <c r="V621" s="20">
        <v>3000</v>
      </c>
      <c r="W621" s="20">
        <v>8295</v>
      </c>
      <c r="Y621" s="19">
        <v>0.44309999999999999</v>
      </c>
      <c r="Z621" s="19">
        <v>0.16489999999999999</v>
      </c>
      <c r="AB621" s="18">
        <v>188</v>
      </c>
    </row>
    <row r="622" spans="1:28" ht="15.75" customHeight="1" x14ac:dyDescent="0.2">
      <c r="A622" s="36" t="str">
        <f>HYPERLINK("https://www.manchestercc.edu/", "Manchester Community College")</f>
        <v>Manchester Community College</v>
      </c>
      <c r="B622" s="18" t="s">
        <v>49</v>
      </c>
      <c r="C622" s="18" t="s">
        <v>94</v>
      </c>
      <c r="D622" s="18" t="s">
        <v>466</v>
      </c>
      <c r="E622" s="18" t="s">
        <v>36</v>
      </c>
      <c r="F622" s="18" t="s">
        <v>36</v>
      </c>
      <c r="J622" s="19"/>
      <c r="K622" s="19">
        <v>0.18779999999999999</v>
      </c>
      <c r="L622" s="19">
        <v>0.15399061</v>
      </c>
      <c r="M622" s="19">
        <v>0.25</v>
      </c>
      <c r="N622" s="19">
        <v>8.2600000000000007E-2</v>
      </c>
      <c r="O622" s="19">
        <v>9.1499999999999998E-2</v>
      </c>
      <c r="P622" s="19">
        <v>0.17860000000000001</v>
      </c>
      <c r="Q622" s="19">
        <v>8.0577270000000006E-2</v>
      </c>
      <c r="R622" s="20">
        <v>26112</v>
      </c>
      <c r="S622" s="21" t="str">
        <f>HYPERLINK("https://bor.ct.edu/finaid/netprice/b_npcalc.htm", "$20401")</f>
        <v>$20401</v>
      </c>
      <c r="T622" s="20">
        <v>20921</v>
      </c>
      <c r="U622" s="20">
        <v>23394</v>
      </c>
      <c r="V622" s="20">
        <v>5712</v>
      </c>
      <c r="W622" s="20">
        <v>14689.627906976741</v>
      </c>
      <c r="Y622" s="19">
        <v>0.38719999999999999</v>
      </c>
      <c r="Z622" s="19">
        <v>0.51929999999999998</v>
      </c>
      <c r="AB622" s="18">
        <v>5611</v>
      </c>
    </row>
    <row r="623" spans="1:28" ht="15.75" customHeight="1" x14ac:dyDescent="0.2">
      <c r="A623" s="36" t="str">
        <f>HYPERLINK("https://www.mccnh.edu", "Manchester Community College")</f>
        <v>Manchester Community College</v>
      </c>
      <c r="B623" s="18" t="s">
        <v>49</v>
      </c>
      <c r="C623" s="18" t="s">
        <v>101</v>
      </c>
      <c r="D623" s="18" t="s">
        <v>466</v>
      </c>
      <c r="E623" s="18" t="s">
        <v>36</v>
      </c>
      <c r="F623" s="18" t="s">
        <v>36</v>
      </c>
      <c r="J623" s="19"/>
      <c r="K623" s="19">
        <v>0.28570000000000001</v>
      </c>
      <c r="L623" s="19" t="s">
        <v>36</v>
      </c>
      <c r="M623" s="19">
        <v>0.3034</v>
      </c>
      <c r="N623" s="19">
        <v>0.33329999999999999</v>
      </c>
      <c r="O623" s="19">
        <v>0.21049999999999999</v>
      </c>
      <c r="P623" s="19">
        <v>0.4</v>
      </c>
      <c r="Q623" s="19">
        <v>0.14084506999999999</v>
      </c>
      <c r="R623" s="20">
        <v>35752</v>
      </c>
      <c r="S623" s="21" t="str">
        <f>HYPERLINK("https://www.mccnh.edu/admissions/financial-aid/net-price-calculator", "$32614")</f>
        <v>$32614</v>
      </c>
      <c r="T623" s="20">
        <v>35752</v>
      </c>
      <c r="U623" s="20">
        <v>35752</v>
      </c>
      <c r="V623" s="20">
        <v>5517</v>
      </c>
      <c r="W623" s="20">
        <v>27097.653543307089</v>
      </c>
      <c r="Y623" s="19">
        <v>0.318</v>
      </c>
      <c r="Z623" s="19">
        <v>0.2311</v>
      </c>
      <c r="AB623" s="18">
        <v>2272</v>
      </c>
    </row>
    <row r="624" spans="1:28" ht="15.75" customHeight="1" x14ac:dyDescent="0.2">
      <c r="A624" s="36" t="str">
        <f>HYPERLINK("https://www.mandl.edu", "Mandl School-The College of Allied Health")</f>
        <v>Mandl School-The College of Allied Health</v>
      </c>
      <c r="B624" s="18" t="s">
        <v>368</v>
      </c>
      <c r="C624" s="18" t="s">
        <v>38</v>
      </c>
      <c r="D624" s="18" t="s">
        <v>39</v>
      </c>
      <c r="E624" s="18" t="s">
        <v>36</v>
      </c>
      <c r="F624" s="18" t="s">
        <v>36</v>
      </c>
      <c r="J624" s="19"/>
      <c r="K624" s="19">
        <v>0.43280000000000002</v>
      </c>
      <c r="L624" s="19">
        <v>0.37991266400000001</v>
      </c>
      <c r="M624" s="19">
        <v>1</v>
      </c>
      <c r="N624" s="19">
        <v>0.36</v>
      </c>
      <c r="O624" s="19">
        <v>0.47220000000000001</v>
      </c>
      <c r="P624" s="19">
        <v>1</v>
      </c>
      <c r="Q624" s="19">
        <v>2.8355387999999999E-2</v>
      </c>
      <c r="R624" s="20">
        <v>18665</v>
      </c>
      <c r="S624" s="21" t="str">
        <f>HYPERLINK("https://mandl.edu/wp-content/uploads/netcalc/npcalc.htm", "$17580")</f>
        <v>$17580</v>
      </c>
      <c r="T624" s="20">
        <v>23623</v>
      </c>
      <c r="U624" s="20" t="s">
        <v>36</v>
      </c>
      <c r="V624" s="20">
        <v>4595</v>
      </c>
      <c r="W624" s="20">
        <v>12985</v>
      </c>
      <c r="Y624" s="19">
        <v>0.90429999999999999</v>
      </c>
      <c r="Z624" s="19">
        <v>0.9415</v>
      </c>
      <c r="AB624" s="18">
        <v>598</v>
      </c>
    </row>
    <row r="625" spans="1:28" ht="15.75" customHeight="1" x14ac:dyDescent="0.2">
      <c r="A625" s="36" t="str">
        <f>HYPERLINK("https://www.manor.edu", "Manor College")</f>
        <v>Manor College</v>
      </c>
      <c r="B625" s="18" t="s">
        <v>32</v>
      </c>
      <c r="C625" s="18" t="s">
        <v>65</v>
      </c>
      <c r="D625" s="18" t="s">
        <v>1494</v>
      </c>
      <c r="E625" s="18">
        <v>885</v>
      </c>
      <c r="F625" s="18" t="s">
        <v>35</v>
      </c>
      <c r="J625" s="19"/>
      <c r="K625" s="19">
        <v>0.19750000000000001</v>
      </c>
      <c r="L625" s="19">
        <v>0.23015873000000001</v>
      </c>
      <c r="M625" s="19">
        <v>0.32650000000000001</v>
      </c>
      <c r="N625" s="19">
        <v>7.3499999999999996E-2</v>
      </c>
      <c r="O625" s="19">
        <v>0.2</v>
      </c>
      <c r="P625" s="19">
        <v>1</v>
      </c>
      <c r="Q625" s="19">
        <v>0.13588850199999999</v>
      </c>
      <c r="R625" s="20">
        <v>29230</v>
      </c>
      <c r="S625" s="21" t="str">
        <f>HYPERLINK("https://www.manor.edu/netprice/npcalc.htm", "$14887")</f>
        <v>$14887</v>
      </c>
      <c r="T625" s="20">
        <v>16699</v>
      </c>
      <c r="U625" s="20">
        <v>19975</v>
      </c>
      <c r="V625" s="20">
        <v>4475</v>
      </c>
      <c r="W625" s="20">
        <v>10412</v>
      </c>
      <c r="Y625" s="19">
        <v>0.62360000000000004</v>
      </c>
      <c r="Z625" s="19">
        <v>0.60299999999999998</v>
      </c>
      <c r="AB625" s="18">
        <v>602</v>
      </c>
    </row>
    <row r="626" spans="1:28" ht="15.75" customHeight="1" x14ac:dyDescent="0.2">
      <c r="A626" s="36" t="str">
        <f>HYPERLINK("https://www.mariacollege.edu", "Maria College of Albany")</f>
        <v>Maria College of Albany</v>
      </c>
      <c r="B626" s="18" t="s">
        <v>32</v>
      </c>
      <c r="C626" s="18" t="s">
        <v>38</v>
      </c>
      <c r="D626" s="18" t="s">
        <v>550</v>
      </c>
      <c r="E626" s="18" t="s">
        <v>36</v>
      </c>
      <c r="F626" s="18" t="s">
        <v>90</v>
      </c>
      <c r="J626" s="19"/>
      <c r="K626" s="19">
        <v>0.15629999999999999</v>
      </c>
      <c r="L626" s="19">
        <v>0.25609756099999997</v>
      </c>
      <c r="M626" s="19">
        <v>0.2</v>
      </c>
      <c r="N626" s="19">
        <v>0</v>
      </c>
      <c r="O626" s="19">
        <v>0.25</v>
      </c>
      <c r="P626" s="19" t="s">
        <v>36</v>
      </c>
      <c r="Q626" s="19">
        <v>8.6419753000000002E-2</v>
      </c>
      <c r="R626" s="20">
        <v>27874</v>
      </c>
      <c r="S626" s="21" t="str">
        <f>HYPERLINK("https://mariacollege.studentaidcalculator.com", "$6332")</f>
        <v>$6332</v>
      </c>
      <c r="T626" s="20">
        <v>11399</v>
      </c>
      <c r="U626" s="20">
        <v>15300</v>
      </c>
      <c r="V626" s="20">
        <v>3784</v>
      </c>
      <c r="W626" s="20">
        <v>2548</v>
      </c>
      <c r="Y626" s="19">
        <v>0.52969999999999995</v>
      </c>
      <c r="Z626" s="19">
        <v>0.43730000000000002</v>
      </c>
      <c r="AB626" s="18">
        <v>830</v>
      </c>
    </row>
    <row r="627" spans="1:28" ht="15.75" customHeight="1" x14ac:dyDescent="0.2">
      <c r="A627" s="36" t="str">
        <f>HYPERLINK("https://www.marionmilitary.edu", "Marion Military Institute")</f>
        <v>Marion Military Institute</v>
      </c>
      <c r="B627" s="18" t="s">
        <v>49</v>
      </c>
      <c r="C627" s="18" t="s">
        <v>300</v>
      </c>
      <c r="D627" s="18" t="s">
        <v>841</v>
      </c>
      <c r="E627" s="18">
        <v>1138</v>
      </c>
      <c r="F627" s="18" t="s">
        <v>35</v>
      </c>
      <c r="J627" s="19"/>
      <c r="K627" s="19">
        <v>0.34420000000000001</v>
      </c>
      <c r="L627" s="19">
        <v>0.25555555600000002</v>
      </c>
      <c r="M627" s="19">
        <v>0.33139999999999997</v>
      </c>
      <c r="N627" s="19">
        <v>0.30609999999999998</v>
      </c>
      <c r="O627" s="19">
        <v>0.45829999999999999</v>
      </c>
      <c r="P627" s="19">
        <v>0.25</v>
      </c>
      <c r="Q627" s="19">
        <v>7.5949367000000004E-2</v>
      </c>
      <c r="R627" s="20">
        <v>24568</v>
      </c>
      <c r="S627" s="21" t="str">
        <f>HYPERLINK("https://marionmilitary.edu/calculator/", "$15128")</f>
        <v>$15128</v>
      </c>
      <c r="T627" s="20">
        <v>18287</v>
      </c>
      <c r="U627" s="20">
        <v>19610</v>
      </c>
      <c r="V627" s="20">
        <v>4200</v>
      </c>
      <c r="W627" s="20">
        <v>10928.142857142861</v>
      </c>
      <c r="Y627" s="19">
        <v>0.4118</v>
      </c>
      <c r="Z627" s="19">
        <v>0.3468</v>
      </c>
      <c r="AB627" s="18">
        <v>444</v>
      </c>
    </row>
    <row r="628" spans="1:28" ht="15.75" customHeight="1" x14ac:dyDescent="0.2">
      <c r="A628" s="36" t="str">
        <f>HYPERLINK("https://www.mtc.edu", "Marion Technical College")</f>
        <v>Marion Technical College</v>
      </c>
      <c r="B628" s="18" t="s">
        <v>49</v>
      </c>
      <c r="C628" s="18" t="s">
        <v>75</v>
      </c>
      <c r="D628" s="18" t="s">
        <v>841</v>
      </c>
      <c r="E628" s="18" t="s">
        <v>36</v>
      </c>
      <c r="F628" s="18" t="s">
        <v>36</v>
      </c>
      <c r="J628" s="19"/>
      <c r="K628" s="19">
        <v>0.2233</v>
      </c>
      <c r="L628" s="19">
        <v>7.9629630000000007E-2</v>
      </c>
      <c r="M628" s="19">
        <v>0.23330000000000001</v>
      </c>
      <c r="N628" s="19">
        <v>0</v>
      </c>
      <c r="O628" s="19">
        <v>0.5</v>
      </c>
      <c r="P628" s="19" t="s">
        <v>36</v>
      </c>
      <c r="Q628" s="19">
        <v>5.4360136000000003E-2</v>
      </c>
      <c r="R628" s="20">
        <v>14600</v>
      </c>
      <c r="S628" s="21" t="str">
        <f>HYPERLINK("https://www.mtc.edu", "$9424")</f>
        <v>$9424</v>
      </c>
      <c r="T628" s="20">
        <v>11513</v>
      </c>
      <c r="U628" s="20">
        <v>13940</v>
      </c>
      <c r="V628" s="20">
        <v>3200</v>
      </c>
      <c r="W628" s="20">
        <v>6224.4057971014481</v>
      </c>
      <c r="Y628" s="19">
        <v>0.26590000000000003</v>
      </c>
      <c r="Z628" s="19">
        <v>0.19700000000000009</v>
      </c>
      <c r="AB628" s="18">
        <v>1340</v>
      </c>
    </row>
    <row r="629" spans="1:28" ht="15.75" customHeight="1" x14ac:dyDescent="0.2">
      <c r="A629" s="36" t="str">
        <f>HYPERLINK("https://mcc.iavalley.edu", "Marshalltown Community College")</f>
        <v>Marshalltown Community College</v>
      </c>
      <c r="B629" s="18" t="s">
        <v>49</v>
      </c>
      <c r="C629" s="18" t="s">
        <v>211</v>
      </c>
      <c r="D629" s="18" t="s">
        <v>1496</v>
      </c>
      <c r="E629" s="18" t="s">
        <v>36</v>
      </c>
      <c r="F629" s="18" t="s">
        <v>36</v>
      </c>
      <c r="J629" s="19"/>
      <c r="K629" s="19">
        <v>0.37380000000000002</v>
      </c>
      <c r="L629" s="19">
        <v>0.10498687700000001</v>
      </c>
      <c r="M629" s="19">
        <v>0.39429999999999998</v>
      </c>
      <c r="N629" s="19">
        <v>0.1053</v>
      </c>
      <c r="O629" s="19">
        <v>0.44069999999999998</v>
      </c>
      <c r="P629" s="19">
        <v>0.5</v>
      </c>
      <c r="Q629" s="19">
        <v>9.2846270999999994E-2</v>
      </c>
      <c r="R629" s="20">
        <v>16824</v>
      </c>
      <c r="S629" s="21" t="str">
        <f>HYPERLINK("https://mcc.iavalley.edu/admissions/financial-aid/costs/", "$11175")</f>
        <v>$11175</v>
      </c>
      <c r="T629" s="20">
        <v>12360</v>
      </c>
      <c r="U629" s="20">
        <v>15069</v>
      </c>
      <c r="V629" s="20">
        <v>4552</v>
      </c>
      <c r="W629" s="20">
        <v>6623.4466019417487</v>
      </c>
      <c r="Y629" s="19">
        <v>0.25829999999999997</v>
      </c>
      <c r="Z629" s="19">
        <v>0.45240000000000002</v>
      </c>
      <c r="AB629" s="18">
        <v>1019</v>
      </c>
    </row>
    <row r="630" spans="1:28" ht="15.75" customHeight="1" x14ac:dyDescent="0.2">
      <c r="A630" s="36" t="str">
        <f>HYPERLINK("https://www.martincc.edu", "Martin Community College")</f>
        <v>Martin Community College</v>
      </c>
      <c r="B630" s="18" t="s">
        <v>49</v>
      </c>
      <c r="C630" s="18" t="s">
        <v>103</v>
      </c>
      <c r="D630" s="18" t="s">
        <v>1498</v>
      </c>
      <c r="E630" s="18" t="s">
        <v>36</v>
      </c>
      <c r="F630" s="18" t="s">
        <v>36</v>
      </c>
      <c r="J630" s="19"/>
      <c r="K630" s="19">
        <v>0.12770000000000001</v>
      </c>
      <c r="L630" s="19" t="s">
        <v>36</v>
      </c>
      <c r="M630" s="19">
        <v>0</v>
      </c>
      <c r="N630" s="19">
        <v>0.1429</v>
      </c>
      <c r="O630" s="19">
        <v>0</v>
      </c>
      <c r="P630" s="19" t="s">
        <v>36</v>
      </c>
      <c r="Q630" s="19" t="s">
        <v>36</v>
      </c>
      <c r="R630" s="20">
        <v>18594</v>
      </c>
      <c r="S630" s="21" t="str">
        <f>HYPERLINK("https://www.martincc.edu", "$13126")</f>
        <v>$13126</v>
      </c>
      <c r="T630" s="20">
        <v>13987</v>
      </c>
      <c r="U630" s="20">
        <v>16999</v>
      </c>
      <c r="V630" s="20">
        <v>5800</v>
      </c>
      <c r="W630" s="20">
        <v>7326.7999999999993</v>
      </c>
      <c r="Y630" s="19">
        <v>0.2281</v>
      </c>
      <c r="Z630" s="19">
        <v>0.62769999999999992</v>
      </c>
      <c r="AB630" s="18">
        <v>274</v>
      </c>
    </row>
    <row r="631" spans="1:28" ht="15.75" customHeight="1" x14ac:dyDescent="0.2">
      <c r="A631" s="36" t="str">
        <f>HYPERLINK("https://www.massbay.edu", "Massachusetts Bay Community College")</f>
        <v>Massachusetts Bay Community College</v>
      </c>
      <c r="B631" s="18" t="s">
        <v>49</v>
      </c>
      <c r="C631" s="18" t="s">
        <v>33</v>
      </c>
      <c r="D631" s="18" t="s">
        <v>1499</v>
      </c>
      <c r="E631" s="18" t="s">
        <v>36</v>
      </c>
      <c r="F631" s="18" t="s">
        <v>36</v>
      </c>
      <c r="J631" s="19"/>
      <c r="K631" s="19">
        <v>0.16819999999999999</v>
      </c>
      <c r="L631" s="19">
        <v>0.17952522300000001</v>
      </c>
      <c r="M631" s="19">
        <v>0.189</v>
      </c>
      <c r="N631" s="19">
        <v>9.6199999999999994E-2</v>
      </c>
      <c r="O631" s="19">
        <v>0.1053</v>
      </c>
      <c r="P631" s="19">
        <v>0.20830000000000001</v>
      </c>
      <c r="Q631" s="19">
        <v>0.109209454</v>
      </c>
      <c r="R631" s="20">
        <v>24930</v>
      </c>
      <c r="S631" s="21" t="str">
        <f>HYPERLINK("https://mbccweb.massbay.edu/netpricecalculator/", "$19099")</f>
        <v>$19099</v>
      </c>
      <c r="T631" s="20">
        <v>21380</v>
      </c>
      <c r="U631" s="20">
        <v>23044</v>
      </c>
      <c r="V631" s="20">
        <v>6292</v>
      </c>
      <c r="W631" s="20">
        <v>12807.698924731179</v>
      </c>
      <c r="Y631" s="19">
        <v>0.21870000000000001</v>
      </c>
      <c r="Z631" s="19">
        <v>0.49809999999999999</v>
      </c>
      <c r="AB631" s="18">
        <v>3736</v>
      </c>
    </row>
    <row r="632" spans="1:28" ht="15.75" customHeight="1" x14ac:dyDescent="0.2">
      <c r="A632" s="36" t="str">
        <f>HYPERLINK("https://www.massasoit.edu", "Massasoit Community College")</f>
        <v>Massasoit Community College</v>
      </c>
      <c r="B632" s="18" t="s">
        <v>49</v>
      </c>
      <c r="C632" s="18" t="s">
        <v>33</v>
      </c>
      <c r="D632" s="18" t="s">
        <v>1501</v>
      </c>
      <c r="E632" s="18" t="s">
        <v>36</v>
      </c>
      <c r="F632" s="18" t="s">
        <v>36</v>
      </c>
      <c r="J632" s="19"/>
      <c r="K632" s="19">
        <v>0.1716</v>
      </c>
      <c r="L632" s="19">
        <v>0.22862632099999999</v>
      </c>
      <c r="M632" s="19">
        <v>0.19400000000000001</v>
      </c>
      <c r="N632" s="19">
        <v>0.13489999999999999</v>
      </c>
      <c r="O632" s="19">
        <v>9.9000000000000005E-2</v>
      </c>
      <c r="P632" s="19">
        <v>0.21740000000000001</v>
      </c>
      <c r="Q632" s="19">
        <v>7.2494669999999997E-2</v>
      </c>
      <c r="R632" s="20">
        <v>22774</v>
      </c>
      <c r="S632" s="21" t="str">
        <f>HYPERLINK("https://www.massasoit.edu/students-and-parents/paying-for-college/net-price-calculator/index", "$17368")</f>
        <v>$17368</v>
      </c>
      <c r="T632" s="20">
        <v>19698</v>
      </c>
      <c r="U632" s="20">
        <v>22277</v>
      </c>
      <c r="V632" s="20">
        <v>4150</v>
      </c>
      <c r="W632" s="20">
        <v>13218.81701030928</v>
      </c>
      <c r="Y632" s="19">
        <v>0.3412</v>
      </c>
      <c r="Z632" s="19">
        <v>0.48120000000000002</v>
      </c>
      <c r="AB632" s="18">
        <v>6035</v>
      </c>
    </row>
    <row r="633" spans="1:28" ht="15.75" customHeight="1" x14ac:dyDescent="0.2">
      <c r="A633" s="36" t="str">
        <f t="shared" ref="A633:A634" si="4">HYPERLINK("https://www.mccann.edu", "McCann School of Business &amp; Technology")</f>
        <v>McCann School of Business &amp; Technology</v>
      </c>
      <c r="B633" s="18" t="s">
        <v>368</v>
      </c>
      <c r="C633" s="18" t="s">
        <v>65</v>
      </c>
      <c r="D633" s="18" t="s">
        <v>1502</v>
      </c>
      <c r="E633" s="18" t="s">
        <v>36</v>
      </c>
      <c r="F633" s="18" t="s">
        <v>36</v>
      </c>
      <c r="J633" s="19"/>
      <c r="K633" s="19">
        <v>0.5625</v>
      </c>
      <c r="L633" s="19" t="s">
        <v>36</v>
      </c>
      <c r="M633" s="19">
        <v>0.54549999999999998</v>
      </c>
      <c r="N633" s="19" t="s">
        <v>36</v>
      </c>
      <c r="O633" s="19">
        <v>0.6</v>
      </c>
      <c r="P633" s="19" t="s">
        <v>36</v>
      </c>
      <c r="Q633" s="19" t="s">
        <v>36</v>
      </c>
      <c r="R633" s="20">
        <v>27626</v>
      </c>
      <c r="S633" s="21" t="str">
        <f>HYPERLINK("https://disclosure.mccann.edu/npc/npcalc-hazleton.htm", "$19158")</f>
        <v>$19158</v>
      </c>
      <c r="T633" s="20" t="s">
        <v>36</v>
      </c>
      <c r="U633" s="20">
        <v>24109</v>
      </c>
      <c r="V633" s="20">
        <v>7549</v>
      </c>
      <c r="W633" s="20">
        <v>11609</v>
      </c>
      <c r="Y633" s="19">
        <v>0.78749999999999998</v>
      </c>
      <c r="Z633" s="19">
        <v>0.32740000000000002</v>
      </c>
      <c r="AB633" s="18">
        <v>168</v>
      </c>
    </row>
    <row r="634" spans="1:28" ht="15.75" customHeight="1" x14ac:dyDescent="0.2">
      <c r="A634" s="36" t="str">
        <f t="shared" si="4"/>
        <v>McCann School of Business &amp; Technology</v>
      </c>
      <c r="B634" s="18" t="s">
        <v>368</v>
      </c>
      <c r="C634" s="18" t="s">
        <v>65</v>
      </c>
      <c r="D634" s="18" t="s">
        <v>1505</v>
      </c>
      <c r="E634" s="18" t="s">
        <v>36</v>
      </c>
      <c r="F634" s="18" t="s">
        <v>36</v>
      </c>
      <c r="J634" s="19"/>
      <c r="K634" s="19">
        <v>0.35709999999999997</v>
      </c>
      <c r="L634" s="19" t="s">
        <v>36</v>
      </c>
      <c r="M634" s="19">
        <v>0.39129999999999998</v>
      </c>
      <c r="N634" s="19">
        <v>0.33329999999999999</v>
      </c>
      <c r="O634" s="19">
        <v>0</v>
      </c>
      <c r="P634" s="19" t="s">
        <v>36</v>
      </c>
      <c r="Q634" s="19" t="s">
        <v>36</v>
      </c>
      <c r="R634" s="20">
        <v>27939</v>
      </c>
      <c r="S634" s="21" t="str">
        <f>HYPERLINK("https://disclosure.mccann.edu/npc/npcalc-lewisburg.htm", "Not reported")</f>
        <v>Not reported</v>
      </c>
      <c r="T634" s="20" t="s">
        <v>36</v>
      </c>
      <c r="U634" s="20" t="s">
        <v>36</v>
      </c>
      <c r="V634" s="20">
        <v>9434</v>
      </c>
      <c r="W634" s="20" t="s">
        <v>36</v>
      </c>
      <c r="Y634" s="19">
        <v>0.72219999999999995</v>
      </c>
      <c r="Z634" s="19">
        <v>0</v>
      </c>
      <c r="AB634" s="18">
        <v>5</v>
      </c>
    </row>
    <row r="635" spans="1:28" ht="15.75" customHeight="1" x14ac:dyDescent="0.2">
      <c r="A635" s="36" t="str">
        <f>HYPERLINK("https://mccann.edu/", "McCann School of Business &amp; Technology")</f>
        <v>McCann School of Business &amp; Technology</v>
      </c>
      <c r="B635" s="18" t="s">
        <v>368</v>
      </c>
      <c r="C635" s="18" t="s">
        <v>65</v>
      </c>
      <c r="D635" s="18" t="s">
        <v>875</v>
      </c>
      <c r="E635" s="18" t="s">
        <v>36</v>
      </c>
      <c r="F635" s="18" t="s">
        <v>36</v>
      </c>
      <c r="J635" s="19"/>
      <c r="K635" s="19">
        <v>0.46879999999999999</v>
      </c>
      <c r="L635" s="19" t="s">
        <v>36</v>
      </c>
      <c r="M635" s="19">
        <v>0.55559999999999998</v>
      </c>
      <c r="N635" s="19">
        <v>0.3</v>
      </c>
      <c r="O635" s="19">
        <v>0.5</v>
      </c>
      <c r="P635" s="19" t="s">
        <v>36</v>
      </c>
      <c r="Q635" s="19" t="s">
        <v>36</v>
      </c>
      <c r="R635" s="20">
        <v>27909</v>
      </c>
      <c r="S635" s="21" t="str">
        <f>HYPERLINK("https://disclosure.mccann.edu/npc/npcalc-wilkesbarre.htm", "$19412")</f>
        <v>$19412</v>
      </c>
      <c r="T635" s="20" t="s">
        <v>36</v>
      </c>
      <c r="U635" s="20" t="s">
        <v>36</v>
      </c>
      <c r="V635" s="20" t="s">
        <v>36</v>
      </c>
      <c r="W635" s="20" t="s">
        <v>36</v>
      </c>
      <c r="Y635" s="19">
        <v>0.79269999999999996</v>
      </c>
      <c r="Z635" s="19">
        <v>0.43200000000000011</v>
      </c>
      <c r="AB635" s="18">
        <v>125</v>
      </c>
    </row>
    <row r="636" spans="1:28" ht="15.75" customHeight="1" x14ac:dyDescent="0.2">
      <c r="A636" s="36" t="str">
        <f>HYPERLINK("https://www.mccann.edu", "McCann School of Business &amp; Technology")</f>
        <v>McCann School of Business &amp; Technology</v>
      </c>
      <c r="B636" s="18" t="s">
        <v>368</v>
      </c>
      <c r="C636" s="18" t="s">
        <v>65</v>
      </c>
      <c r="D636" s="18" t="s">
        <v>1508</v>
      </c>
      <c r="E636" s="18" t="s">
        <v>36</v>
      </c>
      <c r="F636" s="18" t="s">
        <v>36</v>
      </c>
      <c r="J636" s="19"/>
      <c r="K636" s="19">
        <v>0.30559999999999998</v>
      </c>
      <c r="L636" s="19">
        <v>0.28839830900000002</v>
      </c>
      <c r="M636" s="19">
        <v>0.30299999999999999</v>
      </c>
      <c r="N636" s="19">
        <v>0.5</v>
      </c>
      <c r="O636" s="19" t="s">
        <v>36</v>
      </c>
      <c r="P636" s="19" t="s">
        <v>36</v>
      </c>
      <c r="Q636" s="19">
        <v>2.2719448999999999E-2</v>
      </c>
      <c r="R636" s="20">
        <v>27449</v>
      </c>
      <c r="S636" s="21" t="str">
        <f>HYPERLINK("https://disclosure.mccann.edu/npc/npcalc-pottsville.htm", "$17619")</f>
        <v>$17619</v>
      </c>
      <c r="T636" s="20" t="s">
        <v>36</v>
      </c>
      <c r="U636" s="20" t="s">
        <v>36</v>
      </c>
      <c r="V636" s="20">
        <v>7659</v>
      </c>
      <c r="W636" s="20">
        <v>9960</v>
      </c>
      <c r="Y636" s="19">
        <v>0.76419999999999999</v>
      </c>
      <c r="Z636" s="19">
        <v>0.12770000000000001</v>
      </c>
      <c r="AB636" s="18">
        <v>188</v>
      </c>
    </row>
    <row r="637" spans="1:28" ht="15.75" customHeight="1" x14ac:dyDescent="0.2">
      <c r="A637" s="36" t="str">
        <f>HYPERLINK("https://www.mcdowelltech.edu", "McDowell Technical Community College")</f>
        <v>McDowell Technical Community College</v>
      </c>
      <c r="B637" s="18" t="s">
        <v>49</v>
      </c>
      <c r="C637" s="18" t="s">
        <v>103</v>
      </c>
      <c r="D637" s="18" t="s">
        <v>841</v>
      </c>
      <c r="E637" s="18" t="s">
        <v>36</v>
      </c>
      <c r="F637" s="18" t="s">
        <v>36</v>
      </c>
      <c r="J637" s="19"/>
      <c r="K637" s="19">
        <v>0.23330000000000001</v>
      </c>
      <c r="L637" s="19">
        <v>0.20785219399999999</v>
      </c>
      <c r="M637" s="19">
        <v>0.25</v>
      </c>
      <c r="N637" s="19">
        <v>0</v>
      </c>
      <c r="O637" s="19">
        <v>0</v>
      </c>
      <c r="P637" s="19">
        <v>0</v>
      </c>
      <c r="Q637" s="19" t="s">
        <v>36</v>
      </c>
      <c r="R637" s="20">
        <v>19476</v>
      </c>
      <c r="S637" s="21" t="str">
        <f>HYPERLINK("https://www.mcdowelltech.edu/apps/pages/index.jsp?uREC_ID=1022347&amp;type=d&amp;pREC_ID=1328344", "$14092")</f>
        <v>$14092</v>
      </c>
      <c r="T637" s="20">
        <v>14728</v>
      </c>
      <c r="U637" s="20">
        <v>15734</v>
      </c>
      <c r="V637" s="20">
        <v>4868</v>
      </c>
      <c r="W637" s="20">
        <v>9224.9473684210534</v>
      </c>
      <c r="Y637" s="19">
        <v>0.41880000000000001</v>
      </c>
      <c r="Z637" s="19">
        <v>0.13660000000000011</v>
      </c>
      <c r="AB637" s="18">
        <v>571</v>
      </c>
    </row>
    <row r="638" spans="1:28" ht="15.75" customHeight="1" x14ac:dyDescent="0.2">
      <c r="A638" s="36" t="str">
        <f>HYPERLINK("https://www.mchenry.edu", "McHenry County College")</f>
        <v>McHenry County College</v>
      </c>
      <c r="B638" s="18" t="s">
        <v>49</v>
      </c>
      <c r="C638" s="18" t="s">
        <v>137</v>
      </c>
      <c r="D638" s="18" t="s">
        <v>1510</v>
      </c>
      <c r="E638" s="18" t="s">
        <v>36</v>
      </c>
      <c r="F638" s="18" t="s">
        <v>36</v>
      </c>
      <c r="J638" s="19"/>
      <c r="K638" s="19">
        <v>0.28889999999999999</v>
      </c>
      <c r="L638" s="19">
        <v>0.247328244</v>
      </c>
      <c r="M638" s="19">
        <v>0.31009999999999999</v>
      </c>
      <c r="N638" s="19">
        <v>5.8799999999999998E-2</v>
      </c>
      <c r="O638" s="19">
        <v>0.22339999999999999</v>
      </c>
      <c r="P638" s="19">
        <v>0.22220000000000001</v>
      </c>
      <c r="Q638" s="19">
        <v>8.8211708000000014E-2</v>
      </c>
      <c r="R638" s="20">
        <v>30485</v>
      </c>
      <c r="S638" s="21" t="str">
        <f>HYPERLINK("https://www.mchenry.edu/netprice", "$25438")</f>
        <v>$25438</v>
      </c>
      <c r="T638" s="20">
        <v>27896</v>
      </c>
      <c r="U638" s="20">
        <v>29505</v>
      </c>
      <c r="V638" s="20">
        <v>4318</v>
      </c>
      <c r="W638" s="20">
        <v>21120.364238410599</v>
      </c>
      <c r="Y638" s="19">
        <v>0.1968</v>
      </c>
      <c r="Z638" s="19">
        <v>0.30059999999999998</v>
      </c>
      <c r="AB638" s="18">
        <v>4324</v>
      </c>
    </row>
    <row r="639" spans="1:28" ht="15.75" customHeight="1" x14ac:dyDescent="0.2">
      <c r="A639" s="36" t="str">
        <f>HYPERLINK("https://www.mclennan.edu", "McLennan Community College")</f>
        <v>McLennan Community College</v>
      </c>
      <c r="B639" s="18" t="s">
        <v>49</v>
      </c>
      <c r="C639" s="18" t="s">
        <v>146</v>
      </c>
      <c r="D639" s="18" t="s">
        <v>195</v>
      </c>
      <c r="E639" s="18" t="s">
        <v>36</v>
      </c>
      <c r="F639" s="18" t="s">
        <v>36</v>
      </c>
      <c r="J639" s="19"/>
      <c r="K639" s="19">
        <v>0.29599999999999999</v>
      </c>
      <c r="L639" s="19">
        <v>0.157105943</v>
      </c>
      <c r="M639" s="19">
        <v>0.3196</v>
      </c>
      <c r="N639" s="19">
        <v>0.1605</v>
      </c>
      <c r="O639" s="19">
        <v>0.33560000000000001</v>
      </c>
      <c r="P639" s="19">
        <v>0.47370000000000001</v>
      </c>
      <c r="Q639" s="19">
        <v>8.8471850000000005E-2</v>
      </c>
      <c r="R639" s="20">
        <v>16806</v>
      </c>
      <c r="S639" s="21" t="str">
        <f>HYPERLINK("https://www.mclennan.edu/financial-aid/", "$10180")</f>
        <v>$10180</v>
      </c>
      <c r="T639" s="20">
        <v>13050</v>
      </c>
      <c r="U639" s="20">
        <v>15340</v>
      </c>
      <c r="V639" s="20">
        <v>5688</v>
      </c>
      <c r="W639" s="20">
        <v>4492.1036585365846</v>
      </c>
      <c r="Y639" s="19">
        <v>0.39489999999999997</v>
      </c>
      <c r="Z639" s="19">
        <v>0.50570000000000004</v>
      </c>
      <c r="AB639" s="18">
        <v>6913</v>
      </c>
    </row>
    <row r="640" spans="1:28" ht="15.75" customHeight="1" x14ac:dyDescent="0.2">
      <c r="A640" s="36" t="str">
        <f>HYPERLINK("https://www.sphp.com/son", "Memorial College of Nursing")</f>
        <v>Memorial College of Nursing</v>
      </c>
      <c r="B640" s="18" t="s">
        <v>32</v>
      </c>
      <c r="C640" s="18" t="s">
        <v>38</v>
      </c>
      <c r="D640" s="18" t="s">
        <v>550</v>
      </c>
      <c r="E640" s="18" t="s">
        <v>36</v>
      </c>
      <c r="F640" s="18" t="s">
        <v>45</v>
      </c>
      <c r="J640" s="19"/>
      <c r="K640" s="19">
        <v>0.5</v>
      </c>
      <c r="L640" s="19" t="s">
        <v>36</v>
      </c>
      <c r="M640" s="19">
        <v>0.5</v>
      </c>
      <c r="N640" s="19" t="s">
        <v>36</v>
      </c>
      <c r="O640" s="19" t="s">
        <v>36</v>
      </c>
      <c r="P640" s="19" t="s">
        <v>36</v>
      </c>
      <c r="Q640" s="19" t="s">
        <v>36</v>
      </c>
      <c r="R640" s="20">
        <v>32245</v>
      </c>
      <c r="S640" s="21" t="str">
        <f>HYPERLINK("https://apps.sphp.com/SON/Net_Price_Calculator/", "Not reported")</f>
        <v>Not reported</v>
      </c>
      <c r="T640" s="20" t="s">
        <v>36</v>
      </c>
      <c r="U640" s="20">
        <v>19174</v>
      </c>
      <c r="V640" s="20">
        <v>7250</v>
      </c>
      <c r="W640" s="20" t="s">
        <v>36</v>
      </c>
      <c r="Y640" s="19">
        <v>0.38890000000000002</v>
      </c>
      <c r="Z640" s="19">
        <v>0.25</v>
      </c>
      <c r="AB640" s="18">
        <v>124</v>
      </c>
    </row>
    <row r="641" spans="1:28" ht="15.75" customHeight="1" x14ac:dyDescent="0.2">
      <c r="A641" s="36" t="str">
        <f>HYPERLINK("https://www.mendocino.edu", "Mendocino College")</f>
        <v>Mendocino College</v>
      </c>
      <c r="B641" s="18" t="s">
        <v>49</v>
      </c>
      <c r="C641" s="18" t="s">
        <v>68</v>
      </c>
      <c r="D641" s="18" t="s">
        <v>1511</v>
      </c>
      <c r="E641" s="18" t="s">
        <v>36</v>
      </c>
      <c r="F641" s="18" t="s">
        <v>36</v>
      </c>
      <c r="J641" s="19"/>
      <c r="K641" s="19">
        <v>0.22120000000000001</v>
      </c>
      <c r="L641" s="19">
        <v>0.11627907</v>
      </c>
      <c r="M641" s="19">
        <v>0.22889999999999999</v>
      </c>
      <c r="N641" s="19">
        <v>0.15790000000000001</v>
      </c>
      <c r="O641" s="19">
        <v>0.23910000000000001</v>
      </c>
      <c r="P641" s="19">
        <v>0.16669999999999999</v>
      </c>
      <c r="Q641" s="19">
        <v>5.5299539000000002E-2</v>
      </c>
      <c r="R641" s="20">
        <v>26449</v>
      </c>
      <c r="S641" s="21" t="str">
        <f>HYPERLINK("https://misweb.cccco.edu/npc/141/npcalc.htm", "$19204")</f>
        <v>$19204</v>
      </c>
      <c r="T641" s="20" t="s">
        <v>36</v>
      </c>
      <c r="U641" s="20" t="s">
        <v>36</v>
      </c>
      <c r="V641" s="20">
        <v>6093</v>
      </c>
      <c r="W641" s="20">
        <v>13111.931034482761</v>
      </c>
      <c r="Y641" s="19">
        <v>0.27350000000000002</v>
      </c>
      <c r="Z641" s="19">
        <v>0.44519999999999998</v>
      </c>
      <c r="AB641" s="18">
        <v>2983</v>
      </c>
    </row>
    <row r="642" spans="1:28" ht="15.75" customHeight="1" x14ac:dyDescent="0.2">
      <c r="A642" s="36" t="str">
        <f>HYPERLINK("https://www.mccd.edu", "Merced College")</f>
        <v>Merced College</v>
      </c>
      <c r="B642" s="18" t="s">
        <v>49</v>
      </c>
      <c r="C642" s="18" t="s">
        <v>68</v>
      </c>
      <c r="D642" s="18" t="s">
        <v>1265</v>
      </c>
      <c r="E642" s="18" t="s">
        <v>36</v>
      </c>
      <c r="F642" s="18" t="s">
        <v>36</v>
      </c>
      <c r="J642" s="19"/>
      <c r="K642" s="19">
        <v>0.24690000000000001</v>
      </c>
      <c r="L642" s="19">
        <v>7.5983717999999992E-2</v>
      </c>
      <c r="M642" s="19">
        <v>0.2732</v>
      </c>
      <c r="N642" s="19">
        <v>7.3200000000000001E-2</v>
      </c>
      <c r="O642" s="19">
        <v>0.2286</v>
      </c>
      <c r="P642" s="19">
        <v>0.32040000000000002</v>
      </c>
      <c r="Q642" s="19">
        <v>8.7219054000000004E-2</v>
      </c>
      <c r="R642" s="20">
        <v>22729</v>
      </c>
      <c r="S642" s="21" t="str">
        <f>HYPERLINK("https://misweb.cccco.edu/npc/531/npcalc.htm", "$15884")</f>
        <v>$15884</v>
      </c>
      <c r="T642" s="20">
        <v>18223</v>
      </c>
      <c r="U642" s="20">
        <v>20076</v>
      </c>
      <c r="V642" s="20">
        <v>5634</v>
      </c>
      <c r="W642" s="20">
        <v>10250.670520231221</v>
      </c>
      <c r="Y642" s="19">
        <v>0.39939999999999998</v>
      </c>
      <c r="Z642" s="19">
        <v>0.79089999999999994</v>
      </c>
      <c r="AB642" s="18">
        <v>9914</v>
      </c>
    </row>
    <row r="643" spans="1:28" ht="15.75" customHeight="1" x14ac:dyDescent="0.2">
      <c r="A643" s="36" t="str">
        <f>HYPERLINK("https://www.mccc.edu", "Mercer County Community College")</f>
        <v>Mercer County Community College</v>
      </c>
      <c r="B643" s="18" t="s">
        <v>49</v>
      </c>
      <c r="C643" s="18" t="s">
        <v>141</v>
      </c>
      <c r="D643" s="18" t="s">
        <v>1512</v>
      </c>
      <c r="E643" s="18" t="s">
        <v>36</v>
      </c>
      <c r="F643" s="18" t="s">
        <v>36</v>
      </c>
      <c r="J643" s="19"/>
      <c r="K643" s="19">
        <v>0.1966</v>
      </c>
      <c r="L643" s="19">
        <v>1.6242937999999998E-2</v>
      </c>
      <c r="M643" s="19">
        <v>0.27910000000000001</v>
      </c>
      <c r="N643" s="19">
        <v>7.3200000000000001E-2</v>
      </c>
      <c r="O643" s="19">
        <v>0.1532</v>
      </c>
      <c r="P643" s="19">
        <v>0.25369999999999998</v>
      </c>
      <c r="Q643" s="19">
        <v>0.124371285</v>
      </c>
      <c r="R643" s="20">
        <v>20729</v>
      </c>
      <c r="S643" s="21" t="str">
        <f>HYPERLINK("https://www.mccc.edu/admissions_financial_calculator.shtml", "$14662")</f>
        <v>$14662</v>
      </c>
      <c r="T643" s="20">
        <v>17443</v>
      </c>
      <c r="U643" s="20">
        <v>19804</v>
      </c>
      <c r="V643" s="20">
        <v>5421</v>
      </c>
      <c r="W643" s="20">
        <v>9241.548076923078</v>
      </c>
      <c r="Y643" s="19">
        <v>0.29509999999999997</v>
      </c>
      <c r="Z643" s="19">
        <v>0.623</v>
      </c>
      <c r="AB643" s="18">
        <v>6570</v>
      </c>
    </row>
    <row r="644" spans="1:28" ht="15.75" customHeight="1" x14ac:dyDescent="0.2">
      <c r="A644" s="36" t="str">
        <f>HYPERLINK("https://www.mercycollege.edu", "Mercy College of Ohio")</f>
        <v>Mercy College of Ohio</v>
      </c>
      <c r="B644" s="18" t="s">
        <v>32</v>
      </c>
      <c r="C644" s="18" t="s">
        <v>75</v>
      </c>
      <c r="D644" s="18" t="s">
        <v>1256</v>
      </c>
      <c r="E644" s="18" t="s">
        <v>36</v>
      </c>
      <c r="F644" s="18" t="s">
        <v>90</v>
      </c>
      <c r="J644" s="19"/>
      <c r="K644" s="19">
        <v>0.57579999999999998</v>
      </c>
      <c r="L644" s="19">
        <v>0.58620689700000006</v>
      </c>
      <c r="M644" s="19">
        <v>0.6</v>
      </c>
      <c r="N644" s="19">
        <v>1</v>
      </c>
      <c r="O644" s="19" t="s">
        <v>36</v>
      </c>
      <c r="P644" s="19" t="s">
        <v>36</v>
      </c>
      <c r="Q644" s="19">
        <v>6.9212411000000001E-2</v>
      </c>
      <c r="R644" s="20">
        <v>34542</v>
      </c>
      <c r="S644" s="21" t="str">
        <f>HYPERLINK("https://mercycollege.studentaidcalculator.com/survey.aspx", "$17312")</f>
        <v>$17312</v>
      </c>
      <c r="T644" s="20">
        <v>20919</v>
      </c>
      <c r="U644" s="20">
        <v>22167</v>
      </c>
      <c r="V644" s="20">
        <v>10382</v>
      </c>
      <c r="W644" s="20">
        <v>6930</v>
      </c>
      <c r="Y644" s="19">
        <v>0.43230000000000002</v>
      </c>
      <c r="Z644" s="19">
        <v>0.2218</v>
      </c>
      <c r="AB644" s="18">
        <v>1402</v>
      </c>
    </row>
    <row r="645" spans="1:28" ht="15.75" customHeight="1" x14ac:dyDescent="0.2">
      <c r="A645" s="36" t="str">
        <f>HYPERLINK("https://northeast.mercyhurst.edu/", "Mercyhurst University-North East Campus")</f>
        <v>Mercyhurst University-North East Campus</v>
      </c>
      <c r="B645" s="18" t="s">
        <v>32</v>
      </c>
      <c r="C645" s="18" t="s">
        <v>65</v>
      </c>
      <c r="D645" s="18" t="s">
        <v>1089</v>
      </c>
      <c r="E645" s="18" t="s">
        <v>36</v>
      </c>
      <c r="F645" s="18" t="s">
        <v>36</v>
      </c>
      <c r="J645" s="19"/>
      <c r="K645" s="19">
        <v>0.35139999999999999</v>
      </c>
      <c r="L645" s="19">
        <v>0.25409836099999999</v>
      </c>
      <c r="M645" s="19">
        <v>0.46429999999999999</v>
      </c>
      <c r="N645" s="19">
        <v>0.16980000000000001</v>
      </c>
      <c r="O645" s="19">
        <v>0.2</v>
      </c>
      <c r="P645" s="19">
        <v>1</v>
      </c>
      <c r="Q645" s="19">
        <v>8.9887640000000005E-2</v>
      </c>
      <c r="R645" s="20">
        <v>31860</v>
      </c>
      <c r="S645" s="21" t="str">
        <f>HYPERLINK("https://mercyhurst.studentaidcalculator.com/survey.aspx", "$11983")</f>
        <v>$11983</v>
      </c>
      <c r="T645" s="20">
        <v>11807</v>
      </c>
      <c r="U645" s="20">
        <v>14474</v>
      </c>
      <c r="V645" s="20">
        <v>2950</v>
      </c>
      <c r="W645" s="20">
        <v>9033</v>
      </c>
      <c r="Y645" s="19">
        <v>0.59619999999999995</v>
      </c>
      <c r="Z645" s="19">
        <v>0.31030000000000002</v>
      </c>
      <c r="AB645" s="18">
        <v>751</v>
      </c>
    </row>
    <row r="646" spans="1:28" ht="15.75" customHeight="1" x14ac:dyDescent="0.2">
      <c r="A646" s="36" t="str">
        <f>HYPERLINK("https://www.meridiancc.edu", "Meridian Community College")</f>
        <v>Meridian Community College</v>
      </c>
      <c r="B646" s="18" t="s">
        <v>49</v>
      </c>
      <c r="C646" s="18" t="s">
        <v>59</v>
      </c>
      <c r="D646" s="18" t="s">
        <v>1515</v>
      </c>
      <c r="E646" s="18" t="s">
        <v>36</v>
      </c>
      <c r="F646" s="18" t="s">
        <v>36</v>
      </c>
      <c r="J646" s="19"/>
      <c r="K646" s="19">
        <v>0.27839999999999998</v>
      </c>
      <c r="L646" s="19">
        <v>0.25037594000000002</v>
      </c>
      <c r="M646" s="19">
        <v>0.34689999999999999</v>
      </c>
      <c r="N646" s="19">
        <v>0.1739</v>
      </c>
      <c r="O646" s="19">
        <v>0</v>
      </c>
      <c r="P646" s="19">
        <v>0.5</v>
      </c>
      <c r="Q646" s="19">
        <v>5.0029780000000003E-2</v>
      </c>
      <c r="R646" s="20">
        <v>12384</v>
      </c>
      <c r="S646" s="21" t="str">
        <f>HYPERLINK("https://xtraweb.mcc.cc.ms.us/net_price_cal/npcalc.htm", "$7558")</f>
        <v>$7558</v>
      </c>
      <c r="T646" s="20">
        <v>9519</v>
      </c>
      <c r="U646" s="20" t="s">
        <v>36</v>
      </c>
      <c r="V646" s="20">
        <v>3940</v>
      </c>
      <c r="W646" s="20">
        <v>3618.2189349112418</v>
      </c>
      <c r="Y646" s="19">
        <v>0.40489999999999998</v>
      </c>
      <c r="Z646" s="19">
        <v>0.52939999999999998</v>
      </c>
      <c r="AB646" s="18">
        <v>3243</v>
      </c>
    </row>
    <row r="647" spans="1:28" ht="15.75" customHeight="1" x14ac:dyDescent="0.2">
      <c r="A647" s="36" t="str">
        <f>HYPERLINK("https://www.mesacc.edu", "Mesa Community College")</f>
        <v>Mesa Community College</v>
      </c>
      <c r="B647" s="18" t="s">
        <v>49</v>
      </c>
      <c r="C647" s="18" t="s">
        <v>354</v>
      </c>
      <c r="D647" s="18" t="s">
        <v>556</v>
      </c>
      <c r="E647" s="18" t="s">
        <v>36</v>
      </c>
      <c r="F647" s="18" t="s">
        <v>36</v>
      </c>
      <c r="J647" s="19"/>
      <c r="K647" s="19">
        <v>0.1585</v>
      </c>
      <c r="L647" s="19">
        <v>1.2229745E-2</v>
      </c>
      <c r="M647" s="19">
        <v>0.18160000000000001</v>
      </c>
      <c r="N647" s="19">
        <v>0.1207</v>
      </c>
      <c r="O647" s="19">
        <v>0.1225</v>
      </c>
      <c r="P647" s="19">
        <v>0.2281</v>
      </c>
      <c r="Q647" s="19">
        <v>0.16115876800000001</v>
      </c>
      <c r="R647" s="20">
        <v>21565</v>
      </c>
      <c r="S647" s="21" t="str">
        <f>HYPERLINK("https://www.mesacc.edu/students/net-price-calculator.html", "$16304")</f>
        <v>$16304</v>
      </c>
      <c r="T647" s="20">
        <v>18984</v>
      </c>
      <c r="U647" s="20">
        <v>20970</v>
      </c>
      <c r="V647" s="20">
        <v>7907</v>
      </c>
      <c r="W647" s="20">
        <v>8397.9</v>
      </c>
      <c r="Y647" s="19">
        <v>0.29049999999999998</v>
      </c>
      <c r="Z647" s="19">
        <v>0.54149999999999998</v>
      </c>
      <c r="AB647" s="18">
        <v>15759</v>
      </c>
    </row>
    <row r="648" spans="1:28" ht="15.75" customHeight="1" x14ac:dyDescent="0.2">
      <c r="A648" s="36" t="str">
        <f>HYPERLINK("https://mesivtaofeasternparkway.com", "Mesivta of Eastern Parkway-Yeshiva Zichron Meilech")</f>
        <v>Mesivta of Eastern Parkway-Yeshiva Zichron Meilech</v>
      </c>
      <c r="B648" s="18" t="s">
        <v>32</v>
      </c>
      <c r="C648" s="18" t="s">
        <v>38</v>
      </c>
      <c r="D648" s="18" t="s">
        <v>593</v>
      </c>
      <c r="E648" s="18" t="s">
        <v>36</v>
      </c>
      <c r="F648" s="18" t="s">
        <v>45</v>
      </c>
      <c r="J648" s="19"/>
      <c r="K648" s="19">
        <v>0.1429</v>
      </c>
      <c r="L648" s="19" t="s">
        <v>36</v>
      </c>
      <c r="M648" s="19">
        <v>0.1429</v>
      </c>
      <c r="N648" s="19" t="s">
        <v>36</v>
      </c>
      <c r="O648" s="19" t="s">
        <v>36</v>
      </c>
      <c r="P648" s="19" t="s">
        <v>36</v>
      </c>
      <c r="Q648" s="19" t="s">
        <v>36</v>
      </c>
      <c r="R648" s="20">
        <v>16625</v>
      </c>
      <c r="S648" s="21" t="str">
        <f>HYPERLINK("https://sites.google.com/site/mesivtaofeasternparkway", "$7890")</f>
        <v>$7890</v>
      </c>
      <c r="T648" s="20">
        <v>8000</v>
      </c>
      <c r="U648" s="20" t="s">
        <v>36</v>
      </c>
      <c r="V648" s="20">
        <v>4000</v>
      </c>
      <c r="W648" s="20">
        <v>3890</v>
      </c>
      <c r="Y648" s="19">
        <v>0.66669999999999996</v>
      </c>
      <c r="Z648" s="19">
        <v>3.3300000000000003E-2</v>
      </c>
      <c r="AB648" s="18">
        <v>30</v>
      </c>
    </row>
    <row r="649" spans="1:28" ht="15.75" customHeight="1" x14ac:dyDescent="0.2">
      <c r="A649" s="36" t="str">
        <f>HYPERLINK("https://www.metrobusinesscollege.edu", "Metro Business College-Jefferson City")</f>
        <v>Metro Business College-Jefferson City</v>
      </c>
      <c r="B649" s="18" t="s">
        <v>368</v>
      </c>
      <c r="C649" s="18" t="s">
        <v>164</v>
      </c>
      <c r="D649" s="18" t="s">
        <v>623</v>
      </c>
      <c r="E649" s="18" t="s">
        <v>36</v>
      </c>
      <c r="F649" s="18" t="s">
        <v>36</v>
      </c>
      <c r="J649" s="19"/>
      <c r="K649" s="19">
        <v>0.61109999999999998</v>
      </c>
      <c r="L649" s="19">
        <v>0.48642533900000001</v>
      </c>
      <c r="M649" s="19">
        <v>0.6</v>
      </c>
      <c r="N649" s="19">
        <v>0.66669999999999996</v>
      </c>
      <c r="O649" s="19" t="s">
        <v>36</v>
      </c>
      <c r="P649" s="19" t="s">
        <v>36</v>
      </c>
      <c r="Q649" s="19">
        <v>2.4221453E-2</v>
      </c>
      <c r="R649" s="20">
        <v>16849</v>
      </c>
      <c r="S649" s="21" t="str">
        <f>HYPERLINK("https://www.metrobusinesscollege.edu/npcalc.htm", "$8979")</f>
        <v>$8979</v>
      </c>
      <c r="T649" s="20">
        <v>13077</v>
      </c>
      <c r="U649" s="20">
        <v>16392</v>
      </c>
      <c r="V649" s="20" t="s">
        <v>36</v>
      </c>
      <c r="W649" s="20" t="s">
        <v>36</v>
      </c>
      <c r="Y649" s="19">
        <v>0.77590000000000003</v>
      </c>
      <c r="Z649" s="19">
        <v>0.24490000000000001</v>
      </c>
      <c r="AB649" s="18">
        <v>49</v>
      </c>
    </row>
    <row r="650" spans="1:28" ht="15.75" customHeight="1" x14ac:dyDescent="0.2">
      <c r="A650" s="36" t="str">
        <f>HYPERLINK("https://www.metrobusinesscollege.edu", "Metro Business College-Rolla")</f>
        <v>Metro Business College-Rolla</v>
      </c>
      <c r="B650" s="18" t="s">
        <v>368</v>
      </c>
      <c r="C650" s="18" t="s">
        <v>164</v>
      </c>
      <c r="D650" s="18" t="s">
        <v>420</v>
      </c>
      <c r="E650" s="18" t="s">
        <v>36</v>
      </c>
      <c r="F650" s="18" t="s">
        <v>36</v>
      </c>
      <c r="J650" s="19"/>
      <c r="K650" s="19">
        <v>0.4</v>
      </c>
      <c r="L650" s="19">
        <v>0.48642533900000001</v>
      </c>
      <c r="M650" s="19">
        <v>0.42859999999999998</v>
      </c>
      <c r="N650" s="19">
        <v>0</v>
      </c>
      <c r="O650" s="19" t="s">
        <v>36</v>
      </c>
      <c r="P650" s="19" t="s">
        <v>36</v>
      </c>
      <c r="Q650" s="19">
        <v>2.4221453E-2</v>
      </c>
      <c r="R650" s="20">
        <v>16827</v>
      </c>
      <c r="S650" s="21" t="str">
        <f>HYPERLINK("https://www.metrobusinesscollege.edu/npcalc.htm", "Not reported")</f>
        <v>Not reported</v>
      </c>
      <c r="T650" s="20" t="s">
        <v>36</v>
      </c>
      <c r="U650" s="20" t="s">
        <v>36</v>
      </c>
      <c r="V650" s="20">
        <v>1533</v>
      </c>
      <c r="W650" s="20" t="s">
        <v>36</v>
      </c>
      <c r="Y650" s="19">
        <v>0.75680000000000003</v>
      </c>
      <c r="Z650" s="19">
        <v>0.1389</v>
      </c>
      <c r="AB650" s="18">
        <v>36</v>
      </c>
    </row>
    <row r="651" spans="1:28" ht="15.75" customHeight="1" x14ac:dyDescent="0.2">
      <c r="A651" s="36" t="str">
        <f>HYPERLINK("https://www.mccneb.edu", "Metropolitan Community College Area")</f>
        <v>Metropolitan Community College Area</v>
      </c>
      <c r="B651" s="18" t="s">
        <v>49</v>
      </c>
      <c r="C651" s="18" t="s">
        <v>341</v>
      </c>
      <c r="D651" s="18" t="s">
        <v>345</v>
      </c>
      <c r="E651" s="18" t="s">
        <v>36</v>
      </c>
      <c r="F651" s="18" t="s">
        <v>36</v>
      </c>
      <c r="J651" s="19"/>
      <c r="K651" s="19">
        <v>0.15809999999999999</v>
      </c>
      <c r="L651" s="19">
        <v>0.108713693</v>
      </c>
      <c r="M651" s="19">
        <v>0.2046</v>
      </c>
      <c r="N651" s="19">
        <v>0.1037</v>
      </c>
      <c r="O651" s="19">
        <v>7.5200000000000003E-2</v>
      </c>
      <c r="P651" s="19">
        <v>0.18920000000000001</v>
      </c>
      <c r="Q651" s="19">
        <v>9.9777035E-2</v>
      </c>
      <c r="R651" s="20">
        <v>14423</v>
      </c>
      <c r="S651" s="21" t="str">
        <f>HYPERLINK("https://mccneb.studentaidcalculator.com/survey.aspx", "$9819")</f>
        <v>$9819</v>
      </c>
      <c r="T651" s="20">
        <v>11599</v>
      </c>
      <c r="U651" s="20">
        <v>13361</v>
      </c>
      <c r="V651" s="20">
        <v>3600</v>
      </c>
      <c r="W651" s="20">
        <v>6219.9885057471256</v>
      </c>
      <c r="Y651" s="19">
        <v>0.2802</v>
      </c>
      <c r="Z651" s="19">
        <v>0.46429999999999999</v>
      </c>
      <c r="AB651" s="18">
        <v>7107</v>
      </c>
    </row>
    <row r="652" spans="1:28" ht="15.75" customHeight="1" x14ac:dyDescent="0.2">
      <c r="A652" s="36" t="str">
        <f>HYPERLINK("https://www.mcckc.edu", "Metropolitan Community College-Kansas City")</f>
        <v>Metropolitan Community College-Kansas City</v>
      </c>
      <c r="B652" s="18" t="s">
        <v>49</v>
      </c>
      <c r="C652" s="18" t="s">
        <v>164</v>
      </c>
      <c r="D652" s="18" t="s">
        <v>515</v>
      </c>
      <c r="E652" s="18" t="s">
        <v>36</v>
      </c>
      <c r="F652" s="18" t="s">
        <v>36</v>
      </c>
      <c r="J652" s="19"/>
      <c r="K652" s="19">
        <v>0.21199999999999999</v>
      </c>
      <c r="L652" s="19">
        <v>0.15841340200000001</v>
      </c>
      <c r="M652" s="19">
        <v>0.23280000000000001</v>
      </c>
      <c r="N652" s="19">
        <v>0.14099999999999999</v>
      </c>
      <c r="O652" s="19">
        <v>0.1983</v>
      </c>
      <c r="P652" s="19">
        <v>0.2545</v>
      </c>
      <c r="Q652" s="19">
        <v>9.4528974000000002E-2</v>
      </c>
      <c r="R652" s="20">
        <v>21130</v>
      </c>
      <c r="S652" s="21" t="str">
        <f>HYPERLINK("https://www.mcckc.edu/pay/calculator.htm", "$16049")</f>
        <v>$16049</v>
      </c>
      <c r="T652" s="20">
        <v>17751</v>
      </c>
      <c r="U652" s="20">
        <v>18896</v>
      </c>
      <c r="V652" s="20">
        <v>7662</v>
      </c>
      <c r="W652" s="20">
        <v>8387.4278350515451</v>
      </c>
      <c r="Y652" s="19">
        <v>0.36520000000000002</v>
      </c>
      <c r="Z652" s="19">
        <v>0.4143</v>
      </c>
      <c r="AB652" s="18">
        <v>14276</v>
      </c>
    </row>
    <row r="653" spans="1:28" ht="15.75" customHeight="1" x14ac:dyDescent="0.2">
      <c r="A653" s="36" t="str">
        <f>HYPERLINK("https://www.mdc.edu/main/", "Miami Dade College")</f>
        <v>Miami Dade College</v>
      </c>
      <c r="B653" s="18" t="s">
        <v>49</v>
      </c>
      <c r="C653" s="18" t="s">
        <v>162</v>
      </c>
      <c r="D653" s="18" t="s">
        <v>359</v>
      </c>
      <c r="E653" s="18" t="s">
        <v>36</v>
      </c>
      <c r="F653" s="18" t="s">
        <v>36</v>
      </c>
      <c r="J653" s="19"/>
      <c r="K653" s="19">
        <v>0.31190000000000001</v>
      </c>
      <c r="L653" s="19">
        <v>0.279060904</v>
      </c>
      <c r="M653" s="19">
        <v>0.36870000000000003</v>
      </c>
      <c r="N653" s="19">
        <v>0.24410000000000001</v>
      </c>
      <c r="O653" s="19">
        <v>0.31559999999999999</v>
      </c>
      <c r="P653" s="19">
        <v>0.68120000000000003</v>
      </c>
      <c r="Q653" s="19">
        <v>7.0776935999999999E-2</v>
      </c>
      <c r="R653" s="20">
        <v>33676</v>
      </c>
      <c r="S653" s="21" t="str">
        <f>HYPERLINK("https://www.mdc.edu/netpricecalculator/npcalc.htm", "$28065")</f>
        <v>$28065</v>
      </c>
      <c r="T653" s="20">
        <v>29805</v>
      </c>
      <c r="U653" s="20">
        <v>31283</v>
      </c>
      <c r="V653" s="20">
        <v>7680</v>
      </c>
      <c r="W653" s="20">
        <v>20385.55962171053</v>
      </c>
      <c r="Y653" s="19">
        <v>0.49180000000000001</v>
      </c>
      <c r="Z653" s="19">
        <v>0.94550000000000001</v>
      </c>
      <c r="AB653" s="18">
        <v>51015</v>
      </c>
    </row>
    <row r="654" spans="1:28" ht="15.75" customHeight="1" x14ac:dyDescent="0.2">
      <c r="A654" s="36" t="str">
        <f>HYPERLINK("https://www.mru.edu", "Management Resources College")</f>
        <v>Management Resources College</v>
      </c>
      <c r="B654" s="18" t="s">
        <v>368</v>
      </c>
      <c r="C654" s="18" t="s">
        <v>162</v>
      </c>
      <c r="D654" s="18" t="s">
        <v>1524</v>
      </c>
      <c r="E654" s="18" t="s">
        <v>36</v>
      </c>
      <c r="F654" s="18" t="s">
        <v>45</v>
      </c>
      <c r="J654" s="19"/>
      <c r="K654" s="19">
        <v>0.67920000000000003</v>
      </c>
      <c r="L654" s="19">
        <v>0.46626984100000002</v>
      </c>
      <c r="M654" s="19">
        <v>0.625</v>
      </c>
      <c r="N654" s="19">
        <v>0.66669999999999996</v>
      </c>
      <c r="O654" s="19">
        <v>0.68030000000000002</v>
      </c>
      <c r="P654" s="19" t="s">
        <v>36</v>
      </c>
      <c r="Q654" s="19" t="s">
        <v>36</v>
      </c>
      <c r="R654" s="20" t="s">
        <v>36</v>
      </c>
      <c r="S654" s="21" t="str">
        <f>HYPERLINK("https://mru.edu/NetPriceCalculator/npcalc.htm", "$20285")</f>
        <v>$20285</v>
      </c>
      <c r="T654" s="20">
        <v>20806</v>
      </c>
      <c r="U654" s="20">
        <v>20842</v>
      </c>
      <c r="V654" s="20" t="s">
        <v>36</v>
      </c>
      <c r="W654" s="20" t="s">
        <v>36</v>
      </c>
      <c r="Y654" s="19">
        <v>0.31669999999999998</v>
      </c>
      <c r="Z654" s="19">
        <v>0.99060000000000004</v>
      </c>
      <c r="AB654" s="18">
        <v>638</v>
      </c>
    </row>
    <row r="655" spans="1:28" ht="15.75" customHeight="1" x14ac:dyDescent="0.2">
      <c r="A655" s="36" t="str">
        <f>HYPERLINK("https://www.miamijacobs.edu", "Miami-Jacobs Career College-Columbus")</f>
        <v>Miami-Jacobs Career College-Columbus</v>
      </c>
      <c r="B655" s="18" t="s">
        <v>368</v>
      </c>
      <c r="C655" s="18" t="s">
        <v>75</v>
      </c>
      <c r="D655" s="18" t="s">
        <v>237</v>
      </c>
      <c r="E655" s="18" t="s">
        <v>36</v>
      </c>
      <c r="F655" s="18" t="s">
        <v>36</v>
      </c>
      <c r="J655" s="19"/>
      <c r="K655" s="19">
        <v>0.15379999999999999</v>
      </c>
      <c r="L655" s="19">
        <v>0.28839830900000002</v>
      </c>
      <c r="M655" s="19">
        <v>0.2</v>
      </c>
      <c r="N655" s="19">
        <v>0.1522</v>
      </c>
      <c r="O655" s="19">
        <v>1</v>
      </c>
      <c r="P655" s="19">
        <v>0</v>
      </c>
      <c r="Q655" s="19">
        <v>2.2719448999999999E-2</v>
      </c>
      <c r="R655" s="20">
        <v>28509</v>
      </c>
      <c r="S655" s="21" t="str">
        <f>HYPERLINK("https://disclosure.miamijacobs.edu/npc/npcalc-columbusoh.htm", "$23116")</f>
        <v>$23116</v>
      </c>
      <c r="T655" s="20" t="s">
        <v>36</v>
      </c>
      <c r="U655" s="20" t="s">
        <v>36</v>
      </c>
      <c r="V655" s="20">
        <v>8584</v>
      </c>
      <c r="W655" s="20">
        <v>14532</v>
      </c>
      <c r="Y655" s="19">
        <v>0.8659</v>
      </c>
      <c r="Z655" s="19">
        <v>0.79169999999999996</v>
      </c>
      <c r="AB655" s="18">
        <v>48</v>
      </c>
    </row>
    <row r="656" spans="1:28" ht="15.75" customHeight="1" x14ac:dyDescent="0.2">
      <c r="A656" s="36" t="str">
        <f>HYPERLINK("https://www.miamijacobs.edu", "Miami-Jacobs Career College-Dayton")</f>
        <v>Miami-Jacobs Career College-Dayton</v>
      </c>
      <c r="B656" s="18" t="s">
        <v>368</v>
      </c>
      <c r="C656" s="18" t="s">
        <v>75</v>
      </c>
      <c r="D656" s="18" t="s">
        <v>506</v>
      </c>
      <c r="E656" s="18" t="s">
        <v>36</v>
      </c>
      <c r="F656" s="18" t="s">
        <v>36</v>
      </c>
      <c r="J656" s="19"/>
      <c r="K656" s="19">
        <v>0.25929999999999997</v>
      </c>
      <c r="L656" s="19">
        <v>0.28839830900000002</v>
      </c>
      <c r="M656" s="19">
        <v>0.2727</v>
      </c>
      <c r="N656" s="19">
        <v>0.25</v>
      </c>
      <c r="O656" s="19" t="s">
        <v>36</v>
      </c>
      <c r="P656" s="19" t="s">
        <v>36</v>
      </c>
      <c r="Q656" s="19">
        <v>2.2719448999999999E-2</v>
      </c>
      <c r="R656" s="20">
        <v>28659</v>
      </c>
      <c r="S656" s="21" t="str">
        <f t="shared" ref="S656:S657" si="5">HYPERLINK("https://disclosure.miamijacobs.edu/npc/npcalc-dayton.htm", "Not reported")</f>
        <v>Not reported</v>
      </c>
      <c r="T656" s="20" t="s">
        <v>36</v>
      </c>
      <c r="U656" s="20" t="s">
        <v>36</v>
      </c>
      <c r="V656" s="20">
        <v>9134</v>
      </c>
      <c r="W656" s="20" t="s">
        <v>36</v>
      </c>
      <c r="Y656" s="19">
        <v>0.90380000000000005</v>
      </c>
      <c r="Z656" s="19">
        <v>0.63640000000000008</v>
      </c>
      <c r="AB656" s="18">
        <v>11</v>
      </c>
    </row>
    <row r="657" spans="1:28" ht="15.75" customHeight="1" x14ac:dyDescent="0.2">
      <c r="A657" s="36" t="str">
        <f>HYPERLINK("https://www.miamijacobs.edu", "Miami-Jacobs Career College-Troy")</f>
        <v>Miami-Jacobs Career College-Troy</v>
      </c>
      <c r="B657" s="18" t="s">
        <v>368</v>
      </c>
      <c r="C657" s="18" t="s">
        <v>75</v>
      </c>
      <c r="D657" s="18" t="s">
        <v>145</v>
      </c>
      <c r="E657" s="18" t="s">
        <v>36</v>
      </c>
      <c r="F657" s="18" t="s">
        <v>36</v>
      </c>
      <c r="J657" s="19"/>
      <c r="K657" s="19">
        <v>0.51219999999999999</v>
      </c>
      <c r="L657" s="19">
        <v>0.28839830900000002</v>
      </c>
      <c r="M657" s="19">
        <v>0.55259999999999998</v>
      </c>
      <c r="N657" s="19">
        <v>0</v>
      </c>
      <c r="O657" s="19">
        <v>0</v>
      </c>
      <c r="P657" s="19" t="s">
        <v>36</v>
      </c>
      <c r="Q657" s="19">
        <v>2.2719448999999999E-2</v>
      </c>
      <c r="R657" s="20">
        <v>28899</v>
      </c>
      <c r="S657" s="21" t="str">
        <f t="shared" si="5"/>
        <v>Not reported</v>
      </c>
      <c r="T657" s="20" t="s">
        <v>36</v>
      </c>
      <c r="U657" s="20" t="s">
        <v>36</v>
      </c>
      <c r="V657" s="20">
        <v>9134</v>
      </c>
      <c r="W657" s="20" t="s">
        <v>36</v>
      </c>
      <c r="Y657" s="19">
        <v>0.7349</v>
      </c>
      <c r="Z657" s="19">
        <v>0.1111</v>
      </c>
      <c r="AB657" s="18">
        <v>18</v>
      </c>
    </row>
    <row r="658" spans="1:28" ht="15.75" customHeight="1" x14ac:dyDescent="0.2">
      <c r="A658" s="36" t="str">
        <f>HYPERLINK("https://www.midmich.edu", "Mid Michigan Community College")</f>
        <v>Mid Michigan Community College</v>
      </c>
      <c r="B658" s="18" t="s">
        <v>49</v>
      </c>
      <c r="C658" s="18" t="s">
        <v>226</v>
      </c>
      <c r="D658" s="18" t="s">
        <v>1525</v>
      </c>
      <c r="E658" s="18" t="s">
        <v>36</v>
      </c>
      <c r="F658" s="18" t="s">
        <v>36</v>
      </c>
      <c r="J658" s="19"/>
      <c r="K658" s="19">
        <v>0.1166</v>
      </c>
      <c r="L658" s="19">
        <v>0.129256966</v>
      </c>
      <c r="M658" s="19">
        <v>0.14000000000000001</v>
      </c>
      <c r="N658" s="19">
        <v>7.1400000000000005E-2</v>
      </c>
      <c r="O658" s="19">
        <v>0</v>
      </c>
      <c r="P658" s="19">
        <v>0</v>
      </c>
      <c r="Q658" s="19">
        <v>9.1387560000000007E-2</v>
      </c>
      <c r="R658" s="20">
        <v>17850</v>
      </c>
      <c r="S658" s="21" t="str">
        <f>HYPERLINK("https://www.midmich.edu/?gid=2&amp;sid=32&amp;pid=2869", "$11563")</f>
        <v>$11563</v>
      </c>
      <c r="T658" s="20">
        <v>14582</v>
      </c>
      <c r="U658" s="20">
        <v>16708</v>
      </c>
      <c r="V658" s="20">
        <v>4968</v>
      </c>
      <c r="W658" s="20">
        <v>6595.6552901023897</v>
      </c>
      <c r="Y658" s="19">
        <v>0.40789999999999998</v>
      </c>
      <c r="Z658" s="19">
        <v>0.21829999999999999</v>
      </c>
      <c r="AB658" s="18">
        <v>2913</v>
      </c>
    </row>
    <row r="659" spans="1:28" ht="15.75" customHeight="1" x14ac:dyDescent="0.2">
      <c r="A659" s="36" t="str">
        <f>HYPERLINK("https://www.mid-america.edu", "Mid-America College of Funeral Service")</f>
        <v>Mid-America College of Funeral Service</v>
      </c>
      <c r="B659" s="18" t="s">
        <v>32</v>
      </c>
      <c r="C659" s="18" t="s">
        <v>148</v>
      </c>
      <c r="D659" s="18" t="s">
        <v>1526</v>
      </c>
      <c r="E659" s="18" t="s">
        <v>36</v>
      </c>
      <c r="F659" s="18" t="s">
        <v>36</v>
      </c>
      <c r="J659" s="19"/>
      <c r="K659" s="19">
        <v>0.92859999999999998</v>
      </c>
      <c r="L659" s="19">
        <v>0.57446808500000002</v>
      </c>
      <c r="M659" s="19">
        <v>0.91669999999999996</v>
      </c>
      <c r="N659" s="19">
        <v>1</v>
      </c>
      <c r="O659" s="19">
        <v>1</v>
      </c>
      <c r="P659" s="19" t="s">
        <v>36</v>
      </c>
      <c r="Q659" s="19" t="s">
        <v>36</v>
      </c>
      <c r="R659" s="20">
        <v>27110</v>
      </c>
      <c r="S659" s="21" t="str">
        <f>HYPERLINK("https://mid-america.edu/net-price-calculator", "$18666")</f>
        <v>$18666</v>
      </c>
      <c r="T659" s="20">
        <v>18666</v>
      </c>
      <c r="U659" s="20" t="s">
        <v>36</v>
      </c>
      <c r="V659" s="20" t="s">
        <v>36</v>
      </c>
      <c r="W659" s="20" t="s">
        <v>36</v>
      </c>
      <c r="Y659" s="19">
        <v>0.49299999999999999</v>
      </c>
      <c r="Z659" s="19">
        <v>0.2079</v>
      </c>
      <c r="AB659" s="18">
        <v>101</v>
      </c>
    </row>
    <row r="660" spans="1:28" ht="15.75" customHeight="1" x14ac:dyDescent="0.2">
      <c r="A660" s="36" t="str">
        <f>HYPERLINK("https://www.mpcc.edu", "Mid-Plains Community College")</f>
        <v>Mid-Plains Community College</v>
      </c>
      <c r="B660" s="18" t="s">
        <v>49</v>
      </c>
      <c r="C660" s="18" t="s">
        <v>341</v>
      </c>
      <c r="D660" s="18" t="s">
        <v>1527</v>
      </c>
      <c r="E660" s="18" t="s">
        <v>36</v>
      </c>
      <c r="F660" s="18" t="s">
        <v>36</v>
      </c>
      <c r="J660" s="19"/>
      <c r="K660" s="19">
        <v>0.34939999999999999</v>
      </c>
      <c r="L660" s="19">
        <v>0.24705882400000001</v>
      </c>
      <c r="M660" s="19">
        <v>0.34810000000000002</v>
      </c>
      <c r="N660" s="19">
        <v>0.21429999999999999</v>
      </c>
      <c r="O660" s="19">
        <v>0.35</v>
      </c>
      <c r="P660" s="19">
        <v>0</v>
      </c>
      <c r="Q660" s="19">
        <v>7.8341014E-2</v>
      </c>
      <c r="R660" s="20">
        <v>13760</v>
      </c>
      <c r="S660" s="21" t="str">
        <f>HYPERLINK("https://www.mpcc.edu/financial-services/financial-aid", "$8416")</f>
        <v>$8416</v>
      </c>
      <c r="T660" s="20">
        <v>10605</v>
      </c>
      <c r="U660" s="20">
        <v>12845</v>
      </c>
      <c r="V660" s="20">
        <v>3430</v>
      </c>
      <c r="W660" s="20">
        <v>4986.58</v>
      </c>
      <c r="Y660" s="19">
        <v>0.25659999999999999</v>
      </c>
      <c r="Z660" s="19">
        <v>0.20910000000000001</v>
      </c>
      <c r="AB660" s="18">
        <v>1205</v>
      </c>
    </row>
    <row r="661" spans="1:28" ht="15.75" customHeight="1" x14ac:dyDescent="0.2">
      <c r="A661" s="36" t="str">
        <f>HYPERLINK("https://www.middlesex.mass.edu", "Middlesex Community College")</f>
        <v>Middlesex Community College</v>
      </c>
      <c r="B661" s="18" t="s">
        <v>49</v>
      </c>
      <c r="C661" s="18" t="s">
        <v>33</v>
      </c>
      <c r="D661" s="18" t="s">
        <v>997</v>
      </c>
      <c r="E661" s="18" t="s">
        <v>36</v>
      </c>
      <c r="F661" s="18" t="s">
        <v>36</v>
      </c>
      <c r="J661" s="19"/>
      <c r="K661" s="19">
        <v>0.19309999999999999</v>
      </c>
      <c r="L661" s="19">
        <v>0.19629927599999999</v>
      </c>
      <c r="M661" s="19">
        <v>0.224</v>
      </c>
      <c r="N661" s="19">
        <v>9.0899999999999995E-2</v>
      </c>
      <c r="O661" s="19">
        <v>0.12989999999999999</v>
      </c>
      <c r="P661" s="19">
        <v>0.2</v>
      </c>
      <c r="Q661" s="19">
        <v>9.6720631000000001E-2</v>
      </c>
      <c r="R661" s="20">
        <v>23686</v>
      </c>
      <c r="S661" s="21" t="str">
        <f>HYPERLINK("https://www.middlesex.mass.edu/netpricecalc/", "$17767")</f>
        <v>$17767</v>
      </c>
      <c r="T661" s="20">
        <v>18791</v>
      </c>
      <c r="U661" s="20">
        <v>22524</v>
      </c>
      <c r="V661" s="20">
        <v>3445</v>
      </c>
      <c r="W661" s="20">
        <v>14322.711538461541</v>
      </c>
      <c r="Y661" s="19">
        <v>0.3135</v>
      </c>
      <c r="Z661" s="19">
        <v>0.45190000000000002</v>
      </c>
      <c r="AB661" s="18">
        <v>7183</v>
      </c>
    </row>
    <row r="662" spans="1:28" ht="15.75" customHeight="1" x14ac:dyDescent="0.2">
      <c r="A662" s="36" t="str">
        <f>HYPERLINK("https://www.mxcc.edu", "Middlesex Community College")</f>
        <v>Middlesex Community College</v>
      </c>
      <c r="B662" s="18" t="s">
        <v>49</v>
      </c>
      <c r="C662" s="18" t="s">
        <v>94</v>
      </c>
      <c r="D662" s="18" t="s">
        <v>183</v>
      </c>
      <c r="E662" s="18" t="s">
        <v>36</v>
      </c>
      <c r="F662" s="18" t="s">
        <v>36</v>
      </c>
      <c r="J662" s="19"/>
      <c r="K662" s="19">
        <v>0.1754</v>
      </c>
      <c r="L662" s="19">
        <v>0.113300493</v>
      </c>
      <c r="M662" s="19">
        <v>0.19839999999999999</v>
      </c>
      <c r="N662" s="19">
        <v>0.1351</v>
      </c>
      <c r="O662" s="19">
        <v>0.1429</v>
      </c>
      <c r="P662" s="19">
        <v>0.25</v>
      </c>
      <c r="Q662" s="19">
        <v>0.10223642199999999</v>
      </c>
      <c r="R662" s="20">
        <v>25478</v>
      </c>
      <c r="S662" s="21" t="str">
        <f>HYPERLINK("https://www.commnet.edu/finaid/netprice/f_npcalc.htm", "$20125")</f>
        <v>$20125</v>
      </c>
      <c r="T662" s="20" t="s">
        <v>36</v>
      </c>
      <c r="U662" s="20" t="s">
        <v>36</v>
      </c>
      <c r="V662" s="20">
        <v>5150</v>
      </c>
      <c r="W662" s="20">
        <v>14975.29677419355</v>
      </c>
      <c r="Y662" s="19">
        <v>0.36520000000000002</v>
      </c>
      <c r="Z662" s="19">
        <v>0.38800000000000001</v>
      </c>
      <c r="AB662" s="18">
        <v>2304</v>
      </c>
    </row>
    <row r="663" spans="1:28" ht="15.75" customHeight="1" x14ac:dyDescent="0.2">
      <c r="A663" s="36" t="str">
        <f>HYPERLINK("https://www.middlesexcc.edu", "Middlesex County College")</f>
        <v>Middlesex County College</v>
      </c>
      <c r="B663" s="18" t="s">
        <v>49</v>
      </c>
      <c r="C663" s="18" t="s">
        <v>141</v>
      </c>
      <c r="D663" s="18" t="s">
        <v>1528</v>
      </c>
      <c r="E663" s="18" t="s">
        <v>36</v>
      </c>
      <c r="F663" s="18" t="s">
        <v>36</v>
      </c>
      <c r="J663" s="19"/>
      <c r="K663" s="19">
        <v>0.17660000000000001</v>
      </c>
      <c r="L663" s="19">
        <v>0.20035992799999999</v>
      </c>
      <c r="M663" s="19">
        <v>0.24410000000000001</v>
      </c>
      <c r="N663" s="19">
        <v>0.106</v>
      </c>
      <c r="O663" s="19">
        <v>0.1265</v>
      </c>
      <c r="P663" s="19">
        <v>0.21249999999999999</v>
      </c>
      <c r="Q663" s="19">
        <v>8.6630286999999986E-2</v>
      </c>
      <c r="R663" s="20">
        <v>24769</v>
      </c>
      <c r="S663" s="21" t="str">
        <f>HYPERLINK("https://www.middlesexcc.edu/financial-aid/net-price-calculator-2/", "$18636")</f>
        <v>$18636</v>
      </c>
      <c r="T663" s="20">
        <v>21125</v>
      </c>
      <c r="U663" s="20">
        <v>24244</v>
      </c>
      <c r="V663" s="20">
        <v>7366</v>
      </c>
      <c r="W663" s="20">
        <v>11270.29107981221</v>
      </c>
      <c r="Y663" s="19">
        <v>0.34799999999999998</v>
      </c>
      <c r="Z663" s="19">
        <v>0.71340000000000003</v>
      </c>
      <c r="AB663" s="18">
        <v>10478</v>
      </c>
    </row>
    <row r="664" spans="1:28" ht="15.75" customHeight="1" x14ac:dyDescent="0.2">
      <c r="A664" s="36" t="str">
        <f>HYPERLINK("https://www.midland.edu", "Midland College")</f>
        <v>Midland College</v>
      </c>
      <c r="B664" s="18" t="s">
        <v>49</v>
      </c>
      <c r="C664" s="18" t="s">
        <v>146</v>
      </c>
      <c r="D664" s="18" t="s">
        <v>710</v>
      </c>
      <c r="E664" s="18" t="s">
        <v>36</v>
      </c>
      <c r="F664" s="18" t="s">
        <v>36</v>
      </c>
      <c r="J664" s="19"/>
      <c r="K664" s="19">
        <v>0.1905</v>
      </c>
      <c r="L664" s="19">
        <v>0.14500684</v>
      </c>
      <c r="M664" s="19">
        <v>0.24440000000000001</v>
      </c>
      <c r="N664" s="19">
        <v>7.6899999999999996E-2</v>
      </c>
      <c r="O664" s="19">
        <v>0.15279999999999999</v>
      </c>
      <c r="P664" s="19">
        <v>0</v>
      </c>
      <c r="Q664" s="19">
        <v>4.8133595000000001E-2</v>
      </c>
      <c r="R664" s="20">
        <v>13956</v>
      </c>
      <c r="S664" s="21" t="str">
        <f>HYPERLINK("https://www.collegeforalltexans.com/apps/CollegeMoney/", "$9327")</f>
        <v>$9327</v>
      </c>
      <c r="T664" s="20">
        <v>11459</v>
      </c>
      <c r="U664" s="20">
        <v>13474</v>
      </c>
      <c r="V664" s="20">
        <v>3566</v>
      </c>
      <c r="W664" s="20">
        <v>5761.5</v>
      </c>
      <c r="Y664" s="19">
        <v>0.2364</v>
      </c>
      <c r="Z664" s="19">
        <v>0.62619999999999998</v>
      </c>
      <c r="AB664" s="18">
        <v>3983</v>
      </c>
    </row>
    <row r="665" spans="1:28" ht="15.75" customHeight="1" x14ac:dyDescent="0.2">
      <c r="A665" s="36" t="str">
        <f>HYPERLINK("https://www.midlandstech.edu", "Midlands Technical College")</f>
        <v>Midlands Technical College</v>
      </c>
      <c r="B665" s="18" t="s">
        <v>49</v>
      </c>
      <c r="C665" s="18" t="s">
        <v>208</v>
      </c>
      <c r="D665" s="18" t="s">
        <v>1529</v>
      </c>
      <c r="E665" s="18" t="s">
        <v>36</v>
      </c>
      <c r="F665" s="18" t="s">
        <v>36</v>
      </c>
      <c r="J665" s="19"/>
      <c r="K665" s="19">
        <v>8.77E-2</v>
      </c>
      <c r="L665" s="19">
        <v>0.132539092</v>
      </c>
      <c r="M665" s="19">
        <v>0.108</v>
      </c>
      <c r="N665" s="19">
        <v>4.3400000000000001E-2</v>
      </c>
      <c r="O665" s="19">
        <v>8.5699999999999998E-2</v>
      </c>
      <c r="P665" s="19">
        <v>0.1429</v>
      </c>
      <c r="Q665" s="19">
        <v>0.104304259</v>
      </c>
      <c r="R665" s="20">
        <v>24844</v>
      </c>
      <c r="S665" s="21" t="str">
        <f>HYPERLINK("https://www.midlandstech.edu/net-price-calculator", "$18440")</f>
        <v>$18440</v>
      </c>
      <c r="T665" s="20">
        <v>19889</v>
      </c>
      <c r="U665" s="20">
        <v>20671</v>
      </c>
      <c r="V665" s="20">
        <v>6270</v>
      </c>
      <c r="W665" s="20">
        <v>12170.945288753799</v>
      </c>
      <c r="Y665" s="19">
        <v>0.45040000000000002</v>
      </c>
      <c r="Z665" s="19">
        <v>0.53679999999999994</v>
      </c>
      <c r="AB665" s="18">
        <v>9918</v>
      </c>
    </row>
    <row r="666" spans="1:28" ht="15.75" customHeight="1" x14ac:dyDescent="0.2">
      <c r="A666" s="36" t="str">
        <f>HYPERLINK("https://www.midwifery.edu/", "Midwives College of Utah")</f>
        <v>Midwives College of Utah</v>
      </c>
      <c r="B666" s="18" t="s">
        <v>32</v>
      </c>
      <c r="C666" s="18" t="s">
        <v>199</v>
      </c>
      <c r="D666" s="18" t="s">
        <v>525</v>
      </c>
      <c r="E666" s="18" t="s">
        <v>36</v>
      </c>
      <c r="F666" s="18" t="s">
        <v>45</v>
      </c>
      <c r="J666" s="19"/>
      <c r="K666" s="19" t="s">
        <v>36</v>
      </c>
      <c r="L666" s="19" t="s">
        <v>36</v>
      </c>
      <c r="M666" s="19" t="s">
        <v>36</v>
      </c>
      <c r="N666" s="19" t="s">
        <v>36</v>
      </c>
      <c r="O666" s="19" t="s">
        <v>36</v>
      </c>
      <c r="P666" s="19" t="s">
        <v>36</v>
      </c>
      <c r="Q666" s="19" t="s">
        <v>36</v>
      </c>
      <c r="R666" s="20">
        <v>26040</v>
      </c>
      <c r="S666" s="21" t="str">
        <f>HYPERLINK("https://www.midwifery.edu/wordpress/wp-content/uploads/2013/06/npcalc.htm", "$21256")</f>
        <v>$21256</v>
      </c>
      <c r="T666" s="20" t="s">
        <v>36</v>
      </c>
      <c r="U666" s="20" t="s">
        <v>36</v>
      </c>
      <c r="V666" s="20">
        <v>6416</v>
      </c>
      <c r="W666" s="20">
        <v>14840</v>
      </c>
      <c r="Y666" s="19">
        <v>0.30209999999999998</v>
      </c>
      <c r="Z666" s="19">
        <v>0.2107</v>
      </c>
      <c r="AB666" s="18">
        <v>242</v>
      </c>
    </row>
    <row r="667" spans="1:28" ht="15.75" customHeight="1" x14ac:dyDescent="0.2">
      <c r="A667" s="36" t="str">
        <f>HYPERLINK("https://www.mildred-elley.edu", "Mildred Elley School-Albany Campus")</f>
        <v>Mildred Elley School-Albany Campus</v>
      </c>
      <c r="B667" s="18" t="s">
        <v>368</v>
      </c>
      <c r="C667" s="18" t="s">
        <v>38</v>
      </c>
      <c r="D667" s="18" t="s">
        <v>550</v>
      </c>
      <c r="E667" s="18" t="s">
        <v>36</v>
      </c>
      <c r="F667" s="18" t="s">
        <v>36</v>
      </c>
      <c r="J667" s="19"/>
      <c r="K667" s="19">
        <v>0.33329999999999999</v>
      </c>
      <c r="L667" s="19">
        <v>0.43320848899999997</v>
      </c>
      <c r="M667" s="19">
        <v>0.36</v>
      </c>
      <c r="N667" s="19">
        <v>0.22919999999999999</v>
      </c>
      <c r="O667" s="19">
        <v>0.46150000000000002</v>
      </c>
      <c r="P667" s="19">
        <v>0.66669999999999996</v>
      </c>
      <c r="Q667" s="19">
        <v>1.4127143999999999E-2</v>
      </c>
      <c r="R667" s="20">
        <v>25359</v>
      </c>
      <c r="S667" s="21" t="str">
        <f>HYPERLINK("https://www.mildred-elley.edu/admissions/financial-aid", "$19359")</f>
        <v>$19359</v>
      </c>
      <c r="T667" s="20">
        <v>22452</v>
      </c>
      <c r="U667" s="20">
        <v>23407</v>
      </c>
      <c r="V667" s="20">
        <v>6298</v>
      </c>
      <c r="W667" s="20">
        <v>13061</v>
      </c>
      <c r="Y667" s="19">
        <v>0.65300000000000002</v>
      </c>
      <c r="Z667" s="19">
        <v>0.70829999999999993</v>
      </c>
      <c r="AB667" s="18">
        <v>521</v>
      </c>
    </row>
    <row r="668" spans="1:28" ht="15.75" customHeight="1" x14ac:dyDescent="0.2">
      <c r="A668" s="36" t="str">
        <f>HYPERLINK("https://www.mildred-elley.edu", "Mildred Elley-New York Campus")</f>
        <v>Mildred Elley-New York Campus</v>
      </c>
      <c r="B668" s="18" t="s">
        <v>368</v>
      </c>
      <c r="C668" s="18" t="s">
        <v>38</v>
      </c>
      <c r="D668" s="18" t="s">
        <v>39</v>
      </c>
      <c r="E668" s="18" t="s">
        <v>36</v>
      </c>
      <c r="F668" s="18" t="s">
        <v>36</v>
      </c>
      <c r="J668" s="19"/>
      <c r="K668" s="19">
        <v>0.4219</v>
      </c>
      <c r="L668" s="19">
        <v>0.43320848899999997</v>
      </c>
      <c r="M668" s="19">
        <v>1</v>
      </c>
      <c r="N668" s="19">
        <v>0.4103</v>
      </c>
      <c r="O668" s="19">
        <v>0.4375</v>
      </c>
      <c r="P668" s="19">
        <v>0.75</v>
      </c>
      <c r="Q668" s="19">
        <v>1.4127143999999999E-2</v>
      </c>
      <c r="R668" s="20">
        <v>18597</v>
      </c>
      <c r="S668" s="21" t="str">
        <f>HYPERLINK("https://www.mildred-elley.edu/admissions/financial-aid", "$17841")</f>
        <v>$17841</v>
      </c>
      <c r="T668" s="20">
        <v>20795</v>
      </c>
      <c r="U668" s="20">
        <v>22206</v>
      </c>
      <c r="V668" s="20">
        <v>5232</v>
      </c>
      <c r="W668" s="20">
        <v>12609</v>
      </c>
      <c r="Y668" s="19">
        <v>0.78269999999999995</v>
      </c>
      <c r="Z668" s="19">
        <v>0.97860000000000003</v>
      </c>
      <c r="AB668" s="18">
        <v>1077</v>
      </c>
    </row>
    <row r="669" spans="1:28" ht="15.75" customHeight="1" x14ac:dyDescent="0.2">
      <c r="A669" s="36" t="str">
        <f>HYPERLINK("https://www.milescc.edu/", "Miles Community College")</f>
        <v>Miles Community College</v>
      </c>
      <c r="B669" s="18" t="s">
        <v>49</v>
      </c>
      <c r="C669" s="18" t="s">
        <v>421</v>
      </c>
      <c r="D669" s="18" t="s">
        <v>1530</v>
      </c>
      <c r="E669" s="18" t="s">
        <v>36</v>
      </c>
      <c r="F669" s="18" t="s">
        <v>36</v>
      </c>
      <c r="J669" s="19"/>
      <c r="K669" s="19">
        <v>0.4375</v>
      </c>
      <c r="L669" s="19">
        <v>0.32380952400000002</v>
      </c>
      <c r="M669" s="19">
        <v>0.43020000000000003</v>
      </c>
      <c r="N669" s="19">
        <v>0.4</v>
      </c>
      <c r="O669" s="19" t="s">
        <v>36</v>
      </c>
      <c r="P669" s="19">
        <v>1</v>
      </c>
      <c r="Q669" s="19" t="s">
        <v>36</v>
      </c>
      <c r="R669" s="20">
        <v>17845</v>
      </c>
      <c r="S669" s="21" t="str">
        <f>HYPERLINK("https://www.milescc.edu/CampusServices/FinancialAid/NetPriceCalc/", "$12671")</f>
        <v>$12671</v>
      </c>
      <c r="T669" s="20">
        <v>15560</v>
      </c>
      <c r="U669" s="20">
        <v>16669</v>
      </c>
      <c r="V669" s="20">
        <v>2500</v>
      </c>
      <c r="W669" s="20">
        <v>10171.142857142861</v>
      </c>
      <c r="Y669" s="19">
        <v>0.31790000000000002</v>
      </c>
      <c r="Z669" s="19">
        <v>0.1414</v>
      </c>
      <c r="AB669" s="18">
        <v>389</v>
      </c>
    </row>
    <row r="670" spans="1:28" ht="15.75" customHeight="1" x14ac:dyDescent="0.2">
      <c r="A670" s="36" t="str">
        <f>HYPERLINK("https://www.miller-motte.edu/", "Miller-Motte Technical College-Lynchburg")</f>
        <v>Miller-Motte Technical College-Lynchburg</v>
      </c>
      <c r="B670" s="18" t="s">
        <v>368</v>
      </c>
      <c r="C670" s="18" t="s">
        <v>83</v>
      </c>
      <c r="D670" s="18" t="s">
        <v>449</v>
      </c>
      <c r="E670" s="18" t="s">
        <v>36</v>
      </c>
      <c r="F670" s="18" t="s">
        <v>36</v>
      </c>
      <c r="J670" s="19"/>
      <c r="K670" s="19">
        <v>0.32079999999999997</v>
      </c>
      <c r="L670" s="19">
        <v>0.38731117799999998</v>
      </c>
      <c r="M670" s="19">
        <v>0.36359999999999998</v>
      </c>
      <c r="N670" s="19">
        <v>0.2</v>
      </c>
      <c r="O670" s="19">
        <v>1</v>
      </c>
      <c r="P670" s="19" t="s">
        <v>36</v>
      </c>
      <c r="Q670" s="19">
        <v>2.3877745999999998E-2</v>
      </c>
      <c r="R670" s="20">
        <v>27589</v>
      </c>
      <c r="S670" s="21" t="str">
        <f>HYPERLINK("https://disclosure.miller-motte.edu/npc/npcalc-lynchburg.htm", "$18147")</f>
        <v>$18147</v>
      </c>
      <c r="T670" s="20" t="s">
        <v>36</v>
      </c>
      <c r="U670" s="20" t="s">
        <v>36</v>
      </c>
      <c r="V670" s="20">
        <v>7984</v>
      </c>
      <c r="W670" s="20">
        <v>10163</v>
      </c>
      <c r="Y670" s="19">
        <v>0.88160000000000005</v>
      </c>
      <c r="Z670" s="19">
        <v>0.45800000000000002</v>
      </c>
      <c r="AB670" s="18">
        <v>131</v>
      </c>
    </row>
    <row r="671" spans="1:28" ht="15.75" customHeight="1" x14ac:dyDescent="0.2">
      <c r="A671" s="36" t="str">
        <f>HYPERLINK("https://matc.edu", "Milwaukee Area Technical College")</f>
        <v>Milwaukee Area Technical College</v>
      </c>
      <c r="B671" s="18" t="s">
        <v>49</v>
      </c>
      <c r="C671" s="18" t="s">
        <v>196</v>
      </c>
      <c r="D671" s="18" t="s">
        <v>410</v>
      </c>
      <c r="E671" s="18" t="s">
        <v>36</v>
      </c>
      <c r="F671" s="18" t="s">
        <v>36</v>
      </c>
      <c r="J671" s="19"/>
      <c r="K671" s="19">
        <v>0.1099</v>
      </c>
      <c r="L671" s="19">
        <v>0.16588462600000001</v>
      </c>
      <c r="M671" s="19">
        <v>0.1328</v>
      </c>
      <c r="N671" s="19">
        <v>0.13220000000000001</v>
      </c>
      <c r="O671" s="19">
        <v>5.6300000000000003E-2</v>
      </c>
      <c r="P671" s="19">
        <v>0.125</v>
      </c>
      <c r="Q671" s="19">
        <v>6.1654663999999998E-2</v>
      </c>
      <c r="R671" s="20">
        <v>19500</v>
      </c>
      <c r="S671" s="21" t="str">
        <f>HYPERLINK("https://www.matc.edu/student/resources/financial_aid/NetPriceCalculator/npcalc.htm", "$14292")</f>
        <v>$14292</v>
      </c>
      <c r="T671" s="20">
        <v>16824</v>
      </c>
      <c r="U671" s="20">
        <v>18890</v>
      </c>
      <c r="V671" s="20">
        <v>5722</v>
      </c>
      <c r="W671" s="20">
        <v>8570.9611197511658</v>
      </c>
      <c r="Y671" s="19">
        <v>0.4592</v>
      </c>
      <c r="Z671" s="19">
        <v>0.60799999999999998</v>
      </c>
      <c r="AB671" s="18">
        <v>12692</v>
      </c>
    </row>
    <row r="672" spans="1:28" ht="15.75" customHeight="1" x14ac:dyDescent="0.2">
      <c r="A672" s="36" t="str">
        <f>HYPERLINK("https://www.mineralarea.edu", "Mineral Area College")</f>
        <v>Mineral Area College</v>
      </c>
      <c r="B672" s="18" t="s">
        <v>49</v>
      </c>
      <c r="C672" s="18" t="s">
        <v>164</v>
      </c>
      <c r="D672" s="18" t="s">
        <v>1531</v>
      </c>
      <c r="E672" s="18" t="s">
        <v>36</v>
      </c>
      <c r="F672" s="18" t="s">
        <v>36</v>
      </c>
      <c r="J672" s="19"/>
      <c r="K672" s="19">
        <v>0.33119999999999999</v>
      </c>
      <c r="L672" s="19">
        <v>0.25730994200000001</v>
      </c>
      <c r="M672" s="19">
        <v>0.35870000000000002</v>
      </c>
      <c r="N672" s="19">
        <v>2.4400000000000002E-2</v>
      </c>
      <c r="O672" s="19">
        <v>0</v>
      </c>
      <c r="P672" s="19">
        <v>0</v>
      </c>
      <c r="Q672" s="19">
        <v>6.4856711999999997E-2</v>
      </c>
      <c r="R672" s="20">
        <v>18580</v>
      </c>
      <c r="S672" s="21" t="str">
        <f>HYPERLINK("https://my.mineralarea.edu/ICS/Admissions/Public.jnz?portlet=Net_Price_Calculator_2015-02-13T09-18-07-273", "$13172")</f>
        <v>$13172</v>
      </c>
      <c r="T672" s="20">
        <v>14927</v>
      </c>
      <c r="U672" s="20">
        <v>17026</v>
      </c>
      <c r="V672" s="20">
        <v>5062</v>
      </c>
      <c r="W672" s="20">
        <v>8110.106109324759</v>
      </c>
      <c r="Y672" s="19">
        <v>0.33019999999999999</v>
      </c>
      <c r="Z672" s="19">
        <v>9.6600000000000019E-2</v>
      </c>
      <c r="AB672" s="18">
        <v>2774</v>
      </c>
    </row>
    <row r="673" spans="1:28" ht="15.75" customHeight="1" x14ac:dyDescent="0.2">
      <c r="A673" s="36" t="str">
        <f>HYPERLINK("https://www.minneapolis.edu", "Minneapolis Community and Technical College")</f>
        <v>Minneapolis Community and Technical College</v>
      </c>
      <c r="B673" s="18" t="s">
        <v>49</v>
      </c>
      <c r="C673" s="18" t="s">
        <v>72</v>
      </c>
      <c r="D673" s="18" t="s">
        <v>283</v>
      </c>
      <c r="E673" s="18" t="s">
        <v>36</v>
      </c>
      <c r="F673" s="18" t="s">
        <v>36</v>
      </c>
      <c r="J673" s="19"/>
      <c r="K673" s="19">
        <v>0.1615</v>
      </c>
      <c r="L673" s="19">
        <v>8.6829268000000001E-2</v>
      </c>
      <c r="M673" s="19">
        <v>0.20180000000000001</v>
      </c>
      <c r="N673" s="19">
        <v>0.12859999999999999</v>
      </c>
      <c r="O673" s="19">
        <v>0.15790000000000001</v>
      </c>
      <c r="P673" s="19">
        <v>0.14000000000000001</v>
      </c>
      <c r="Q673" s="19">
        <v>9.4731978000000008E-2</v>
      </c>
      <c r="R673" s="20">
        <v>23524</v>
      </c>
      <c r="S673" s="21" t="str">
        <f>HYPERLINK("https://www.minnstate.edu/admissions/calculator/minneapolis.html?_ga=2.41113442.1933815707.1534515365-1056090733.1512683119", "$18226")</f>
        <v>$18226</v>
      </c>
      <c r="T673" s="20">
        <v>20119</v>
      </c>
      <c r="U673" s="20">
        <v>22402</v>
      </c>
      <c r="V673" s="20">
        <v>7070</v>
      </c>
      <c r="W673" s="20">
        <v>11156.045112781951</v>
      </c>
      <c r="Y673" s="19">
        <v>0.441</v>
      </c>
      <c r="Z673" s="19">
        <v>0.62050000000000005</v>
      </c>
      <c r="AB673" s="18">
        <v>6218</v>
      </c>
    </row>
    <row r="674" spans="1:28" ht="15.75" customHeight="1" x14ac:dyDescent="0.2">
      <c r="A674" s="36" t="str">
        <f>HYPERLINK("https://www.minnesota.edu", "Minnesota State Community and Technical College")</f>
        <v>Minnesota State Community and Technical College</v>
      </c>
      <c r="B674" s="18" t="s">
        <v>49</v>
      </c>
      <c r="C674" s="18" t="s">
        <v>72</v>
      </c>
      <c r="D674" s="18" t="s">
        <v>1532</v>
      </c>
      <c r="E674" s="18" t="s">
        <v>36</v>
      </c>
      <c r="F674" s="18" t="s">
        <v>36</v>
      </c>
      <c r="J674" s="19"/>
      <c r="K674" s="19">
        <v>0.35709999999999997</v>
      </c>
      <c r="L674" s="19">
        <v>0.261087866</v>
      </c>
      <c r="M674" s="19">
        <v>0.40629999999999999</v>
      </c>
      <c r="N674" s="19">
        <v>7.6899999999999996E-2</v>
      </c>
      <c r="O674" s="19">
        <v>0.21879999999999999</v>
      </c>
      <c r="P674" s="19">
        <v>0.1429</v>
      </c>
      <c r="Q674" s="19">
        <v>5.5090347999999997E-2</v>
      </c>
      <c r="R674" s="20">
        <v>16819</v>
      </c>
      <c r="S674" s="21" t="str">
        <f>HYPERLINK("https://www.MinnState.edu/admissions/calculator/msctc.html", "$11042")</f>
        <v>$11042</v>
      </c>
      <c r="T674" s="20">
        <v>12488</v>
      </c>
      <c r="U674" s="20">
        <v>14650</v>
      </c>
      <c r="V674" s="20">
        <v>4760</v>
      </c>
      <c r="W674" s="20">
        <v>6282.5932203389821</v>
      </c>
      <c r="Y674" s="19">
        <v>0.32929999999999998</v>
      </c>
      <c r="Z674" s="19">
        <v>0.26219999999999999</v>
      </c>
      <c r="AB674" s="18">
        <v>4191</v>
      </c>
    </row>
    <row r="675" spans="1:28" ht="15.75" customHeight="1" x14ac:dyDescent="0.2">
      <c r="A675" s="36" t="str">
        <f>HYPERLINK("https://www.missioncollege.edu/", "Mission College")</f>
        <v>Mission College</v>
      </c>
      <c r="B675" s="18" t="s">
        <v>49</v>
      </c>
      <c r="C675" s="18" t="s">
        <v>68</v>
      </c>
      <c r="D675" s="18" t="s">
        <v>150</v>
      </c>
      <c r="E675" s="18" t="s">
        <v>36</v>
      </c>
      <c r="F675" s="18" t="s">
        <v>36</v>
      </c>
      <c r="J675" s="19"/>
      <c r="K675" s="19">
        <v>0.24490000000000001</v>
      </c>
      <c r="L675" s="19">
        <v>5.1818181999999997E-2</v>
      </c>
      <c r="M675" s="19">
        <v>0.2286</v>
      </c>
      <c r="N675" s="19">
        <v>0.1111</v>
      </c>
      <c r="O675" s="19">
        <v>0.22</v>
      </c>
      <c r="P675" s="19">
        <v>0.23860000000000001</v>
      </c>
      <c r="Q675" s="19">
        <v>0.116058394</v>
      </c>
      <c r="R675" s="20">
        <v>24546</v>
      </c>
      <c r="S675" s="21" t="str">
        <f>HYPERLINK("https://misweb.cccco.edu/npc/492/npcalc.htm", "$17141")</f>
        <v>$17141</v>
      </c>
      <c r="T675" s="20">
        <v>19927</v>
      </c>
      <c r="U675" s="20">
        <v>20858</v>
      </c>
      <c r="V675" s="20">
        <v>5949</v>
      </c>
      <c r="W675" s="20">
        <v>11192.37931034483</v>
      </c>
      <c r="Y675" s="19">
        <v>0.18490000000000001</v>
      </c>
      <c r="Z675" s="19">
        <v>0.83600000000000008</v>
      </c>
      <c r="AB675" s="18">
        <v>5993</v>
      </c>
    </row>
    <row r="676" spans="1:28" ht="15.75" customHeight="1" x14ac:dyDescent="0.2">
      <c r="A676" s="36" t="str">
        <f>HYPERLINK("https://www.msdelta.edu/", "Mississippi Delta Community College")</f>
        <v>Mississippi Delta Community College</v>
      </c>
      <c r="B676" s="18" t="s">
        <v>49</v>
      </c>
      <c r="C676" s="18" t="s">
        <v>59</v>
      </c>
      <c r="D676" s="18" t="s">
        <v>679</v>
      </c>
      <c r="E676" s="18" t="s">
        <v>36</v>
      </c>
      <c r="F676" s="18" t="s">
        <v>36</v>
      </c>
      <c r="J676" s="19"/>
      <c r="K676" s="19">
        <v>0.3599</v>
      </c>
      <c r="L676" s="19">
        <v>6.0374150000000001E-2</v>
      </c>
      <c r="M676" s="19">
        <v>0.44230000000000003</v>
      </c>
      <c r="N676" s="19">
        <v>0.32529999999999998</v>
      </c>
      <c r="O676" s="19">
        <v>0.54549999999999998</v>
      </c>
      <c r="P676" s="19">
        <v>0</v>
      </c>
      <c r="Q676" s="19">
        <v>9.6252754999999995E-2</v>
      </c>
      <c r="R676" s="20">
        <v>10718</v>
      </c>
      <c r="S676" s="21" t="str">
        <f>HYPERLINK("https://www.msdelta.edu/index.php/net-price-calculator", "$4965")</f>
        <v>$4965</v>
      </c>
      <c r="T676" s="20">
        <v>5550</v>
      </c>
      <c r="U676" s="20">
        <v>5590</v>
      </c>
      <c r="V676" s="20">
        <v>3200</v>
      </c>
      <c r="W676" s="20">
        <v>1765.6473429951691</v>
      </c>
      <c r="Y676" s="19">
        <v>0.70099999999999996</v>
      </c>
      <c r="Z676" s="19">
        <v>0.71879999999999999</v>
      </c>
      <c r="AB676" s="18">
        <v>2034</v>
      </c>
    </row>
    <row r="677" spans="1:28" ht="15.75" customHeight="1" x14ac:dyDescent="0.2">
      <c r="A677" s="36" t="str">
        <f>HYPERLINK("https://www.mgccc.edu", "Mississippi Gulf Coast Community College")</f>
        <v>Mississippi Gulf Coast Community College</v>
      </c>
      <c r="B677" s="18" t="s">
        <v>49</v>
      </c>
      <c r="C677" s="18" t="s">
        <v>59</v>
      </c>
      <c r="D677" s="18" t="s">
        <v>1533</v>
      </c>
      <c r="E677" s="18" t="s">
        <v>36</v>
      </c>
      <c r="F677" s="18" t="s">
        <v>36</v>
      </c>
      <c r="J677" s="19"/>
      <c r="K677" s="19">
        <v>0.35560000000000003</v>
      </c>
      <c r="L677" s="19">
        <v>4.9271637E-2</v>
      </c>
      <c r="M677" s="19">
        <v>0.37959999999999999</v>
      </c>
      <c r="N677" s="19">
        <v>0.29099999999999998</v>
      </c>
      <c r="O677" s="19">
        <v>0.4</v>
      </c>
      <c r="P677" s="19">
        <v>0.42109999999999997</v>
      </c>
      <c r="Q677" s="19">
        <v>0.113754193</v>
      </c>
      <c r="R677" s="20">
        <v>15220</v>
      </c>
      <c r="S677" s="21" t="str">
        <f>HYPERLINK("https://mgccc.edu/enroll/financial-aid/net-price-calculator/", "$9233")</f>
        <v>$9233</v>
      </c>
      <c r="T677" s="20">
        <v>11921</v>
      </c>
      <c r="U677" s="20">
        <v>13799</v>
      </c>
      <c r="V677" s="20">
        <v>3750</v>
      </c>
      <c r="W677" s="20">
        <v>5483.0782122905039</v>
      </c>
      <c r="Y677" s="19">
        <v>0.48680000000000001</v>
      </c>
      <c r="Z677" s="19">
        <v>0.38800000000000001</v>
      </c>
      <c r="AB677" s="18">
        <v>7858</v>
      </c>
    </row>
    <row r="678" spans="1:28" ht="15.75" customHeight="1" x14ac:dyDescent="0.2">
      <c r="A678" s="36" t="str">
        <f>HYPERLINK("https://www.wp.missouristate.edu", "Missouri State University-West Plains")</f>
        <v>Missouri State University-West Plains</v>
      </c>
      <c r="B678" s="18" t="s">
        <v>49</v>
      </c>
      <c r="C678" s="18" t="s">
        <v>164</v>
      </c>
      <c r="D678" s="18" t="s">
        <v>1534</v>
      </c>
      <c r="E678" s="18" t="s">
        <v>36</v>
      </c>
      <c r="F678" s="18" t="s">
        <v>36</v>
      </c>
      <c r="J678" s="19"/>
      <c r="K678" s="19">
        <v>0.20530000000000001</v>
      </c>
      <c r="L678" s="19">
        <v>0.177165354</v>
      </c>
      <c r="M678" s="19">
        <v>0.20810000000000001</v>
      </c>
      <c r="N678" s="19">
        <v>0.16</v>
      </c>
      <c r="O678" s="19">
        <v>0.25</v>
      </c>
      <c r="P678" s="19">
        <v>0</v>
      </c>
      <c r="Q678" s="19">
        <v>8.045977E-2</v>
      </c>
      <c r="R678" s="20">
        <v>18034</v>
      </c>
      <c r="S678" s="21" t="str">
        <f>HYPERLINK("https://grizzlyden.missouristate.edu:9010/npcalc.htm", "$12493")</f>
        <v>$12493</v>
      </c>
      <c r="T678" s="20">
        <v>10730</v>
      </c>
      <c r="U678" s="20">
        <v>18034</v>
      </c>
      <c r="V678" s="20">
        <v>4174</v>
      </c>
      <c r="W678" s="20">
        <v>8319.2754716981144</v>
      </c>
      <c r="Y678" s="19">
        <v>0.45800000000000002</v>
      </c>
      <c r="Z678" s="19">
        <v>0.16189999999999999</v>
      </c>
      <c r="AB678" s="18">
        <v>1229</v>
      </c>
    </row>
    <row r="679" spans="1:28" ht="15.75" customHeight="1" x14ac:dyDescent="0.2">
      <c r="A679" s="36" t="str">
        <f>HYPERLINK("https://mitchellcc.edu", "Mitchell Community College")</f>
        <v>Mitchell Community College</v>
      </c>
      <c r="B679" s="18" t="s">
        <v>49</v>
      </c>
      <c r="C679" s="18" t="s">
        <v>103</v>
      </c>
      <c r="D679" s="18" t="s">
        <v>1535</v>
      </c>
      <c r="E679" s="18" t="s">
        <v>36</v>
      </c>
      <c r="F679" s="18" t="s">
        <v>36</v>
      </c>
      <c r="J679" s="19"/>
      <c r="K679" s="19">
        <v>0.2477</v>
      </c>
      <c r="L679" s="19">
        <v>0.17663817700000001</v>
      </c>
      <c r="M679" s="19">
        <v>0.27429999999999999</v>
      </c>
      <c r="N679" s="19">
        <v>0.1351</v>
      </c>
      <c r="O679" s="19">
        <v>0.1875</v>
      </c>
      <c r="P679" s="19">
        <v>0.3</v>
      </c>
      <c r="Q679" s="19">
        <v>4.8218029000000003E-2</v>
      </c>
      <c r="R679" s="20">
        <v>26747</v>
      </c>
      <c r="S679" s="21" t="str">
        <f>HYPERLINK("https://mitchellcc.edu/tuition-calculator", "$21251")</f>
        <v>$21251</v>
      </c>
      <c r="T679" s="20">
        <v>21433</v>
      </c>
      <c r="U679" s="20">
        <v>25332</v>
      </c>
      <c r="V679" s="20">
        <v>7206</v>
      </c>
      <c r="W679" s="20">
        <v>14045.707692307689</v>
      </c>
      <c r="Y679" s="19">
        <v>0.33090000000000003</v>
      </c>
      <c r="Z679" s="19">
        <v>0.30549999999999999</v>
      </c>
      <c r="AB679" s="18">
        <v>2000</v>
      </c>
    </row>
    <row r="680" spans="1:28" ht="15.75" customHeight="1" x14ac:dyDescent="0.2">
      <c r="A680" s="36" t="str">
        <f>HYPERLINK("https://www.mitchelltech.edu", "Mitchell Technical Institute")</f>
        <v>Mitchell Technical Institute</v>
      </c>
      <c r="B680" s="18" t="s">
        <v>49</v>
      </c>
      <c r="C680" s="18" t="s">
        <v>302</v>
      </c>
      <c r="D680" s="18" t="s">
        <v>698</v>
      </c>
      <c r="E680" s="18" t="s">
        <v>36</v>
      </c>
      <c r="F680" s="18" t="s">
        <v>36</v>
      </c>
      <c r="J680" s="19"/>
      <c r="K680" s="19">
        <v>0.68389999999999995</v>
      </c>
      <c r="L680" s="19">
        <v>0.56016597499999998</v>
      </c>
      <c r="M680" s="19">
        <v>0.69779999999999998</v>
      </c>
      <c r="N680" s="19" t="s">
        <v>36</v>
      </c>
      <c r="O680" s="19">
        <v>0</v>
      </c>
      <c r="P680" s="19">
        <v>1</v>
      </c>
      <c r="Q680" s="19">
        <v>2.2044088E-2</v>
      </c>
      <c r="R680" s="20">
        <v>15992</v>
      </c>
      <c r="S680" s="21" t="str">
        <f>HYPERLINK("https://www.mitchelltech.edu/admissions/financial-aid-options/net-price-calculator", "$10070")</f>
        <v>$10070</v>
      </c>
      <c r="T680" s="20">
        <v>13947</v>
      </c>
      <c r="U680" s="20">
        <v>14860</v>
      </c>
      <c r="V680" s="20">
        <v>3400</v>
      </c>
      <c r="W680" s="20">
        <v>6670.0873786407756</v>
      </c>
      <c r="Y680" s="19">
        <v>0.2737</v>
      </c>
      <c r="Z680" s="19">
        <v>0.10249999999999999</v>
      </c>
      <c r="AB680" s="18">
        <v>1005</v>
      </c>
    </row>
    <row r="681" spans="1:28" ht="15.75" customHeight="1" x14ac:dyDescent="0.2">
      <c r="A681" s="36" t="str">
        <f>HYPERLINK("https://www.macc.edu", "Moberly Area Community College")</f>
        <v>Moberly Area Community College</v>
      </c>
      <c r="B681" s="18" t="s">
        <v>49</v>
      </c>
      <c r="C681" s="18" t="s">
        <v>164</v>
      </c>
      <c r="D681" s="18" t="s">
        <v>1536</v>
      </c>
      <c r="E681" s="18" t="s">
        <v>36</v>
      </c>
      <c r="F681" s="18" t="s">
        <v>36</v>
      </c>
      <c r="J681" s="19"/>
      <c r="K681" s="19">
        <v>0.30180000000000001</v>
      </c>
      <c r="L681" s="19">
        <v>0.15931721200000001</v>
      </c>
      <c r="M681" s="19">
        <v>0.31769999999999998</v>
      </c>
      <c r="N681" s="19">
        <v>0.125</v>
      </c>
      <c r="O681" s="19">
        <v>0.25929999999999997</v>
      </c>
      <c r="P681" s="19">
        <v>0.21429999999999999</v>
      </c>
      <c r="Q681" s="19">
        <v>0.102892366</v>
      </c>
      <c r="R681" s="20">
        <v>15866</v>
      </c>
      <c r="S681" s="21" t="str">
        <f>HYPERLINK("https://my.macc.edu/ics/Admissions/Admissions_Homepage.jnz?portlet=Net_Price_Calculator", "$10505")</f>
        <v>$10505</v>
      </c>
      <c r="T681" s="20">
        <v>12026</v>
      </c>
      <c r="U681" s="20">
        <v>13757</v>
      </c>
      <c r="V681" s="20">
        <v>3434</v>
      </c>
      <c r="W681" s="20">
        <v>7071.3843749999996</v>
      </c>
      <c r="Y681" s="19">
        <v>0.44619999999999999</v>
      </c>
      <c r="Z681" s="19">
        <v>0.22389999999999999</v>
      </c>
      <c r="AB681" s="18">
        <v>3635</v>
      </c>
    </row>
    <row r="682" spans="1:28" ht="15.75" customHeight="1" x14ac:dyDescent="0.2">
      <c r="A682" s="36" t="str">
        <f>HYPERLINK("https://www.mjc.edu", "Modesto Junior College")</f>
        <v>Modesto Junior College</v>
      </c>
      <c r="B682" s="18" t="s">
        <v>49</v>
      </c>
      <c r="C682" s="18" t="s">
        <v>68</v>
      </c>
      <c r="D682" s="18" t="s">
        <v>745</v>
      </c>
      <c r="E682" s="18" t="s">
        <v>36</v>
      </c>
      <c r="F682" s="18" t="s">
        <v>36</v>
      </c>
      <c r="J682" s="19"/>
      <c r="K682" s="19">
        <v>0.1888</v>
      </c>
      <c r="L682" s="19">
        <v>7.4958124000000001E-2</v>
      </c>
      <c r="M682" s="19">
        <v>0.21099999999999999</v>
      </c>
      <c r="N682" s="19">
        <v>8.5699999999999998E-2</v>
      </c>
      <c r="O682" s="19">
        <v>0.17050000000000001</v>
      </c>
      <c r="P682" s="19">
        <v>0.1875</v>
      </c>
      <c r="Q682" s="19">
        <v>9.1193983000000006E-2</v>
      </c>
      <c r="R682" s="20">
        <v>24589</v>
      </c>
      <c r="S682" s="21" t="str">
        <f>HYPERLINK("https://misweb.cccco.edu/npc/592/npcalc.htm", "$17997")</f>
        <v>$17997</v>
      </c>
      <c r="T682" s="20">
        <v>20645</v>
      </c>
      <c r="U682" s="20">
        <v>22014</v>
      </c>
      <c r="V682" s="20">
        <v>5841</v>
      </c>
      <c r="W682" s="20">
        <v>12156.536842105261</v>
      </c>
      <c r="Y682" s="19">
        <v>0.37509999999999999</v>
      </c>
      <c r="Z682" s="19">
        <v>0.63660000000000005</v>
      </c>
      <c r="AB682" s="18">
        <v>16425</v>
      </c>
    </row>
    <row r="683" spans="1:28" ht="15.75" customHeight="1" x14ac:dyDescent="0.2">
      <c r="A683" s="36" t="str">
        <f>HYPERLINK("https://www.mohave.edu", "Mohave Community College")</f>
        <v>Mohave Community College</v>
      </c>
      <c r="B683" s="18" t="s">
        <v>49</v>
      </c>
      <c r="C683" s="18" t="s">
        <v>354</v>
      </c>
      <c r="D683" s="18" t="s">
        <v>1537</v>
      </c>
      <c r="E683" s="18" t="s">
        <v>36</v>
      </c>
      <c r="F683" s="18" t="s">
        <v>36</v>
      </c>
      <c r="J683" s="19"/>
      <c r="K683" s="19">
        <v>0.13950000000000001</v>
      </c>
      <c r="L683" s="19">
        <v>0.163265306</v>
      </c>
      <c r="M683" s="19">
        <v>0.15890000000000001</v>
      </c>
      <c r="N683" s="19" t="s">
        <v>36</v>
      </c>
      <c r="O683" s="19">
        <v>0.1163</v>
      </c>
      <c r="P683" s="19">
        <v>0</v>
      </c>
      <c r="Q683" s="19">
        <v>3.9132485000000002E-2</v>
      </c>
      <c r="R683" s="20">
        <v>20424</v>
      </c>
      <c r="S683" s="21" t="str">
        <f>HYPERLINK("https://www.mohave.edu/assets/NetPriceCalculator1415/npcalc.htm", "$15571")</f>
        <v>$15571</v>
      </c>
      <c r="T683" s="20">
        <v>18207</v>
      </c>
      <c r="U683" s="20">
        <v>19036</v>
      </c>
      <c r="V683" s="20">
        <v>5322</v>
      </c>
      <c r="W683" s="20">
        <v>10249.206896551719</v>
      </c>
      <c r="Y683" s="19">
        <v>0.38229999999999997</v>
      </c>
      <c r="Z683" s="19">
        <v>0.32629999999999998</v>
      </c>
      <c r="AB683" s="18">
        <v>2875</v>
      </c>
    </row>
    <row r="684" spans="1:28" ht="15.75" customHeight="1" x14ac:dyDescent="0.2">
      <c r="A684" s="36" t="str">
        <f>HYPERLINK("https://www.mvcc.edu", "SUNY Mohawk Valley Community College")</f>
        <v>SUNY Mohawk Valley Community College</v>
      </c>
      <c r="B684" s="18" t="s">
        <v>49</v>
      </c>
      <c r="C684" s="18" t="s">
        <v>38</v>
      </c>
      <c r="D684" s="18" t="s">
        <v>463</v>
      </c>
      <c r="E684" s="18" t="s">
        <v>36</v>
      </c>
      <c r="F684" s="18" t="s">
        <v>36</v>
      </c>
      <c r="J684" s="19"/>
      <c r="K684" s="19">
        <v>0.30049999999999999</v>
      </c>
      <c r="L684" s="19">
        <v>0.196637427</v>
      </c>
      <c r="M684" s="19">
        <v>0.34799999999999998</v>
      </c>
      <c r="N684" s="19">
        <v>0.1603</v>
      </c>
      <c r="O684" s="19">
        <v>0.18310000000000001</v>
      </c>
      <c r="P684" s="19">
        <v>0.25</v>
      </c>
      <c r="Q684" s="19">
        <v>5.6043495999999998E-2</v>
      </c>
      <c r="R684" s="20">
        <v>18443</v>
      </c>
      <c r="S684" s="21" t="str">
        <f>HYPERLINK("https://www.mvcc.edu/institutional-research-and-assessment/npc", "$6224")</f>
        <v>$6224</v>
      </c>
      <c r="T684" s="20">
        <v>10552</v>
      </c>
      <c r="U684" s="20">
        <v>12768</v>
      </c>
      <c r="V684" s="20">
        <v>3020</v>
      </c>
      <c r="W684" s="20">
        <v>3204</v>
      </c>
      <c r="Y684" s="19">
        <v>0.41460000000000002</v>
      </c>
      <c r="Z684" s="19">
        <v>0.29490000000000011</v>
      </c>
      <c r="AB684" s="18">
        <v>4171</v>
      </c>
    </row>
    <row r="685" spans="1:28" ht="15.75" customHeight="1" x14ac:dyDescent="0.2">
      <c r="A685" s="36" t="str">
        <f>HYPERLINK("https://www.monroecollege.edu", "Monroe College")</f>
        <v>Monroe College</v>
      </c>
      <c r="B685" s="18" t="s">
        <v>368</v>
      </c>
      <c r="C685" s="18" t="s">
        <v>38</v>
      </c>
      <c r="D685" s="18" t="s">
        <v>217</v>
      </c>
      <c r="E685" s="18" t="s">
        <v>36</v>
      </c>
      <c r="F685" s="18" t="s">
        <v>90</v>
      </c>
      <c r="J685" s="19"/>
      <c r="K685" s="19">
        <v>0.53059999999999996</v>
      </c>
      <c r="L685" s="19">
        <v>0.46830692200000001</v>
      </c>
      <c r="M685" s="19">
        <v>0.4</v>
      </c>
      <c r="N685" s="19">
        <v>0.52439999999999998</v>
      </c>
      <c r="O685" s="19">
        <v>0.54269999999999996</v>
      </c>
      <c r="P685" s="19">
        <v>0.3</v>
      </c>
      <c r="Q685" s="19">
        <v>2.1911718E-2</v>
      </c>
      <c r="R685" s="20">
        <v>30006</v>
      </c>
      <c r="S685" s="21" t="str">
        <f>HYPERLINK("https://www.monroecollege.edu", "$10883")</f>
        <v>$10883</v>
      </c>
      <c r="T685" s="20">
        <v>14954</v>
      </c>
      <c r="U685" s="20">
        <v>16976</v>
      </c>
      <c r="V685" s="20">
        <v>4900</v>
      </c>
      <c r="W685" s="20">
        <v>5983</v>
      </c>
      <c r="Y685" s="19">
        <v>0.69799999999999995</v>
      </c>
      <c r="Z685" s="19">
        <v>0.97530000000000006</v>
      </c>
      <c r="AB685" s="18">
        <v>5417</v>
      </c>
    </row>
    <row r="686" spans="1:28" ht="15.75" customHeight="1" x14ac:dyDescent="0.2">
      <c r="A686" s="36" t="str">
        <f>HYPERLINK("https://www.monroecc.edu/", "SUNY Monroe Community College")</f>
        <v>SUNY Monroe Community College</v>
      </c>
      <c r="B686" s="18" t="s">
        <v>49</v>
      </c>
      <c r="C686" s="18" t="s">
        <v>38</v>
      </c>
      <c r="D686" s="18" t="s">
        <v>170</v>
      </c>
      <c r="E686" s="18" t="s">
        <v>36</v>
      </c>
      <c r="F686" s="18" t="s">
        <v>36</v>
      </c>
      <c r="G686" s="18" t="s">
        <v>51</v>
      </c>
      <c r="I686" s="18" t="s">
        <v>1538</v>
      </c>
      <c r="J686" s="19"/>
      <c r="K686" s="19">
        <v>0.2135</v>
      </c>
      <c r="L686" s="19">
        <v>0.22394249399999999</v>
      </c>
      <c r="M686" s="19">
        <v>0.27560000000000001</v>
      </c>
      <c r="N686" s="19">
        <v>8.2299999999999998E-2</v>
      </c>
      <c r="O686" s="19">
        <v>0.15440000000000001</v>
      </c>
      <c r="P686" s="19">
        <v>0.21099999999999999</v>
      </c>
      <c r="Q686" s="19">
        <v>6.5713842000000008E-2</v>
      </c>
      <c r="R686" s="20">
        <v>17589</v>
      </c>
      <c r="S686" s="21" t="str">
        <f>HYPERLINK("https://www.suny.edu/howmuch/netpricecalculator.xhtml?embed=n&amp;headerUrl=www.monroecc.edu/images/header_images/mcc_home_header_01.gif&amp;bgColor=FCF", "$5054")</f>
        <v>$5054</v>
      </c>
      <c r="T686" s="20">
        <v>9777</v>
      </c>
      <c r="U686" s="20">
        <v>11867</v>
      </c>
      <c r="V686" s="20">
        <v>3900</v>
      </c>
      <c r="W686" s="20">
        <v>1154</v>
      </c>
      <c r="Y686" s="19">
        <v>0.47210000000000002</v>
      </c>
      <c r="Z686" s="19">
        <v>0.4173</v>
      </c>
      <c r="AB686" s="18">
        <v>11878</v>
      </c>
    </row>
    <row r="687" spans="1:28" ht="15.75" customHeight="1" x14ac:dyDescent="0.2">
      <c r="A687" s="36" t="str">
        <f>HYPERLINK("https://www.monroeccc.edu", "Monroe County Community College")</f>
        <v>Monroe County Community College</v>
      </c>
      <c r="B687" s="18" t="s">
        <v>49</v>
      </c>
      <c r="C687" s="18" t="s">
        <v>226</v>
      </c>
      <c r="D687" s="18" t="s">
        <v>1282</v>
      </c>
      <c r="E687" s="18" t="s">
        <v>36</v>
      </c>
      <c r="F687" s="18" t="s">
        <v>36</v>
      </c>
      <c r="J687" s="19"/>
      <c r="K687" s="19">
        <v>0.1542</v>
      </c>
      <c r="L687" s="19">
        <v>0.101359703</v>
      </c>
      <c r="M687" s="19">
        <v>0.14749999999999999</v>
      </c>
      <c r="N687" s="19">
        <v>0</v>
      </c>
      <c r="O687" s="19">
        <v>0</v>
      </c>
      <c r="P687" s="19" t="s">
        <v>36</v>
      </c>
      <c r="Q687" s="19">
        <v>9.0836653000000003E-2</v>
      </c>
      <c r="R687" s="20">
        <v>17774</v>
      </c>
      <c r="S687" s="21" t="str">
        <f>HYPERLINK("https://www.monroeccc.edu/financialaid/netprice/npcalc.htm", "$12123")</f>
        <v>$12123</v>
      </c>
      <c r="T687" s="20">
        <v>14210</v>
      </c>
      <c r="U687" s="20">
        <v>16752</v>
      </c>
      <c r="V687" s="20">
        <v>4143</v>
      </c>
      <c r="W687" s="20">
        <v>7980.3896103896113</v>
      </c>
      <c r="Y687" s="19">
        <v>0.29210000000000003</v>
      </c>
      <c r="Z687" s="19">
        <v>0.14760000000000001</v>
      </c>
      <c r="AB687" s="18">
        <v>2249</v>
      </c>
    </row>
    <row r="688" spans="1:28" ht="15.75" customHeight="1" x14ac:dyDescent="0.2">
      <c r="A688" s="36" t="str">
        <f>HYPERLINK("https://www.monteclaro.edu", "Monteclaro Escuela de Hoteleria y Artes Culinarias")</f>
        <v>Monteclaro Escuela de Hoteleria y Artes Culinarias</v>
      </c>
      <c r="B688" s="18" t="s">
        <v>32</v>
      </c>
      <c r="C688" s="18" t="s">
        <v>284</v>
      </c>
      <c r="D688" s="18" t="s">
        <v>1539</v>
      </c>
      <c r="E688" s="18" t="s">
        <v>36</v>
      </c>
      <c r="F688" s="18" t="s">
        <v>45</v>
      </c>
      <c r="J688" s="19"/>
      <c r="K688" s="19">
        <v>0.85709999999999997</v>
      </c>
      <c r="L688" s="19" t="s">
        <v>36</v>
      </c>
      <c r="M688" s="19" t="s">
        <v>36</v>
      </c>
      <c r="N688" s="19" t="s">
        <v>36</v>
      </c>
      <c r="O688" s="19">
        <v>0.85709999999999997</v>
      </c>
      <c r="P688" s="19" t="s">
        <v>36</v>
      </c>
      <c r="Q688" s="19" t="s">
        <v>36</v>
      </c>
      <c r="R688" s="20" t="s">
        <v>36</v>
      </c>
      <c r="S688" s="21" t="str">
        <f>HYPERLINK("https://www.monteclaro.edu/AyudaEcon%c3%b3mica/Matr%c3%adculayCostos.aspx", "$2109")</f>
        <v>$2109</v>
      </c>
      <c r="T688" s="20" t="s">
        <v>36</v>
      </c>
      <c r="U688" s="20" t="s">
        <v>36</v>
      </c>
      <c r="V688" s="20" t="s">
        <v>36</v>
      </c>
      <c r="W688" s="20" t="s">
        <v>36</v>
      </c>
      <c r="Y688" s="19">
        <v>1</v>
      </c>
      <c r="Z688" s="19">
        <v>1</v>
      </c>
      <c r="AB688" s="18">
        <v>16</v>
      </c>
    </row>
    <row r="689" spans="1:28" ht="15.75" customHeight="1" x14ac:dyDescent="0.2">
      <c r="A689" s="36" t="str">
        <f>HYPERLINK("https://www.mpc.edu", "Monterey Peninsula College")</f>
        <v>Monterey Peninsula College</v>
      </c>
      <c r="B689" s="18" t="s">
        <v>49</v>
      </c>
      <c r="C689" s="18" t="s">
        <v>68</v>
      </c>
      <c r="D689" s="18" t="s">
        <v>1540</v>
      </c>
      <c r="E689" s="18" t="s">
        <v>36</v>
      </c>
      <c r="F689" s="18" t="s">
        <v>36</v>
      </c>
      <c r="J689" s="19"/>
      <c r="K689" s="19">
        <v>0.26729999999999998</v>
      </c>
      <c r="L689" s="19">
        <v>0.108416548</v>
      </c>
      <c r="M689" s="19">
        <v>0.28460000000000002</v>
      </c>
      <c r="N689" s="19">
        <v>0.21740000000000001</v>
      </c>
      <c r="O689" s="19">
        <v>0.25590000000000002</v>
      </c>
      <c r="P689" s="19">
        <v>0.37780000000000002</v>
      </c>
      <c r="Q689" s="19">
        <v>0.12286002</v>
      </c>
      <c r="R689" s="20">
        <v>30221</v>
      </c>
      <c r="S689" s="21" t="str">
        <f>HYPERLINK("https://www.mpc.edu/financial-aid/getting-started/net-price-calculator", "$22168")</f>
        <v>$22168</v>
      </c>
      <c r="T689" s="20">
        <v>23491</v>
      </c>
      <c r="U689" s="20">
        <v>21354</v>
      </c>
      <c r="V689" s="20">
        <v>6131</v>
      </c>
      <c r="W689" s="20">
        <v>16037.91489361702</v>
      </c>
      <c r="Y689" s="19">
        <v>0.18579999999999999</v>
      </c>
      <c r="Z689" s="19">
        <v>0.63190000000000002</v>
      </c>
      <c r="AB689" s="18">
        <v>6856</v>
      </c>
    </row>
    <row r="690" spans="1:28" ht="15.75" customHeight="1" x14ac:dyDescent="0.2">
      <c r="A690" s="36" t="str">
        <f>HYPERLINK("https://www.montgomerycollege.edu", "Montgomery College")</f>
        <v>Montgomery College</v>
      </c>
      <c r="B690" s="18" t="s">
        <v>49</v>
      </c>
      <c r="C690" s="18" t="s">
        <v>124</v>
      </c>
      <c r="D690" s="18" t="s">
        <v>1541</v>
      </c>
      <c r="E690" s="18" t="s">
        <v>36</v>
      </c>
      <c r="F690" s="18" t="s">
        <v>36</v>
      </c>
      <c r="J690" s="19"/>
      <c r="K690" s="19">
        <v>0.22509999999999999</v>
      </c>
      <c r="L690" s="19">
        <v>0.184074074</v>
      </c>
      <c r="M690" s="19">
        <v>0.27100000000000002</v>
      </c>
      <c r="N690" s="19">
        <v>0.14899999999999999</v>
      </c>
      <c r="O690" s="19">
        <v>0.18129999999999999</v>
      </c>
      <c r="P690" s="19">
        <v>0.27100000000000002</v>
      </c>
      <c r="Q690" s="19">
        <v>0.127240927</v>
      </c>
      <c r="R690" s="20">
        <v>32598</v>
      </c>
      <c r="S690" s="21" t="str">
        <f>HYPERLINK("https://appserv.montgomerycollege.edu/netprice/NetPriceCalculator/npcalc.htm", "$26588")</f>
        <v>$26588</v>
      </c>
      <c r="T690" s="20">
        <v>29146</v>
      </c>
      <c r="U690" s="20">
        <v>31664</v>
      </c>
      <c r="V690" s="20">
        <v>5550</v>
      </c>
      <c r="W690" s="20">
        <v>21038.259459459459</v>
      </c>
      <c r="Y690" s="19">
        <v>0.31190000000000001</v>
      </c>
      <c r="Z690" s="19">
        <v>0.7681</v>
      </c>
      <c r="AB690" s="18">
        <v>18915</v>
      </c>
    </row>
    <row r="691" spans="1:28" ht="15.75" customHeight="1" x14ac:dyDescent="0.2">
      <c r="A691" s="36" t="str">
        <f>HYPERLINK("https://www.mc3.edu", "Montgomery County Community College")</f>
        <v>Montgomery County Community College</v>
      </c>
      <c r="B691" s="18" t="s">
        <v>49</v>
      </c>
      <c r="C691" s="18" t="s">
        <v>65</v>
      </c>
      <c r="D691" s="18" t="s">
        <v>1542</v>
      </c>
      <c r="E691" s="18" t="s">
        <v>36</v>
      </c>
      <c r="F691" s="18" t="s">
        <v>36</v>
      </c>
      <c r="J691" s="19"/>
      <c r="K691" s="19">
        <v>0.21310000000000001</v>
      </c>
      <c r="L691" s="19">
        <v>0.174725983</v>
      </c>
      <c r="M691" s="19">
        <v>0.24490000000000001</v>
      </c>
      <c r="N691" s="19">
        <v>8.6400000000000005E-2</v>
      </c>
      <c r="O691" s="19">
        <v>0.15659999999999999</v>
      </c>
      <c r="P691" s="19">
        <v>0.21740000000000001</v>
      </c>
      <c r="Q691" s="19">
        <v>0.109045068</v>
      </c>
      <c r="R691" s="20">
        <v>26460</v>
      </c>
      <c r="S691" s="21" t="str">
        <f>HYPERLINK("https://www3.mc3.edu/calculator/", "$21176")</f>
        <v>$21176</v>
      </c>
      <c r="T691" s="20">
        <v>23786</v>
      </c>
      <c r="U691" s="20">
        <v>26020</v>
      </c>
      <c r="V691" s="20">
        <v>2940</v>
      </c>
      <c r="W691" s="20">
        <v>18236.590476190471</v>
      </c>
      <c r="Y691" s="19">
        <v>0.27500000000000002</v>
      </c>
      <c r="Z691" s="19">
        <v>0.41710000000000003</v>
      </c>
      <c r="AB691" s="18">
        <v>8948</v>
      </c>
    </row>
    <row r="692" spans="1:28" ht="15.75" customHeight="1" x14ac:dyDescent="0.2">
      <c r="A692" s="36" t="str">
        <f>HYPERLINK("https://www.moorparkcollege.edu/index.shtml", "Moorpark College")</f>
        <v>Moorpark College</v>
      </c>
      <c r="B692" s="18" t="s">
        <v>49</v>
      </c>
      <c r="C692" s="18" t="s">
        <v>68</v>
      </c>
      <c r="D692" s="18" t="s">
        <v>1543</v>
      </c>
      <c r="E692" s="18" t="s">
        <v>36</v>
      </c>
      <c r="F692" s="18" t="s">
        <v>36</v>
      </c>
      <c r="J692" s="19"/>
      <c r="K692" s="19">
        <v>0.37719999999999998</v>
      </c>
      <c r="L692" s="19">
        <v>0.15796178299999999</v>
      </c>
      <c r="M692" s="19">
        <v>0.4259</v>
      </c>
      <c r="N692" s="19">
        <v>0.4</v>
      </c>
      <c r="O692" s="19">
        <v>0.29189999999999999</v>
      </c>
      <c r="P692" s="19">
        <v>0.43180000000000002</v>
      </c>
      <c r="Q692" s="19">
        <v>0.16798592800000001</v>
      </c>
      <c r="R692" s="20">
        <v>25491</v>
      </c>
      <c r="S692" s="21" t="str">
        <f>HYPERLINK("https://www.moorparkcollege.edu/services_for_students/financial_aid/index.shtml", "$18333")</f>
        <v>$18333</v>
      </c>
      <c r="T692" s="20">
        <v>21461</v>
      </c>
      <c r="U692" s="20">
        <v>23021</v>
      </c>
      <c r="V692" s="20">
        <v>5949</v>
      </c>
      <c r="W692" s="20">
        <v>12384.428571428571</v>
      </c>
      <c r="Y692" s="19">
        <v>0.18640000000000001</v>
      </c>
      <c r="Z692" s="19">
        <v>0.51910000000000001</v>
      </c>
      <c r="AB692" s="18">
        <v>13378</v>
      </c>
    </row>
    <row r="693" spans="1:28" ht="15.75" customHeight="1" x14ac:dyDescent="0.2">
      <c r="A693" s="36" t="str">
        <f>HYPERLINK("https://www.morainevalley.edu", "Moraine Valley Community College")</f>
        <v>Moraine Valley Community College</v>
      </c>
      <c r="B693" s="18" t="s">
        <v>49</v>
      </c>
      <c r="C693" s="18" t="s">
        <v>137</v>
      </c>
      <c r="D693" s="18" t="s">
        <v>1544</v>
      </c>
      <c r="E693" s="18" t="s">
        <v>36</v>
      </c>
      <c r="F693" s="18" t="s">
        <v>36</v>
      </c>
      <c r="J693" s="19"/>
      <c r="K693" s="19">
        <v>0.27450000000000002</v>
      </c>
      <c r="L693" s="19">
        <v>0.172394679</v>
      </c>
      <c r="M693" s="19">
        <v>0.33489999999999998</v>
      </c>
      <c r="N693" s="19">
        <v>0.15790000000000001</v>
      </c>
      <c r="O693" s="19">
        <v>0.24299999999999999</v>
      </c>
      <c r="P693" s="19">
        <v>0.33329999999999999</v>
      </c>
      <c r="Q693" s="19">
        <v>0.14035714299999999</v>
      </c>
      <c r="R693" s="20">
        <v>24656</v>
      </c>
      <c r="S693" s="21" t="str">
        <f>HYPERLINK("https://netcalc.apps.morainevalley.edu/", "$18279")</f>
        <v>$18279</v>
      </c>
      <c r="T693" s="20">
        <v>21635</v>
      </c>
      <c r="U693" s="20">
        <v>24280</v>
      </c>
      <c r="V693" s="20">
        <v>6664</v>
      </c>
      <c r="W693" s="20">
        <v>11615.73929961089</v>
      </c>
      <c r="Y693" s="19">
        <v>0.27460000000000001</v>
      </c>
      <c r="Z693" s="19">
        <v>0.48909999999999998</v>
      </c>
      <c r="AB693" s="18">
        <v>11104</v>
      </c>
    </row>
    <row r="694" spans="1:28" ht="15.75" customHeight="1" x14ac:dyDescent="0.2">
      <c r="A694" s="36" t="str">
        <f>HYPERLINK("https://www.mvc.edu/", "Moreno Valley College")</f>
        <v>Moreno Valley College</v>
      </c>
      <c r="B694" s="18" t="s">
        <v>49</v>
      </c>
      <c r="C694" s="18" t="s">
        <v>68</v>
      </c>
      <c r="D694" s="18" t="s">
        <v>1545</v>
      </c>
      <c r="E694" s="18" t="s">
        <v>36</v>
      </c>
      <c r="F694" s="18" t="s">
        <v>36</v>
      </c>
      <c r="J694" s="19"/>
      <c r="K694" s="19">
        <v>0.1706</v>
      </c>
      <c r="L694" s="19" t="s">
        <v>36</v>
      </c>
      <c r="M694" s="19">
        <v>0.2</v>
      </c>
      <c r="N694" s="19">
        <v>0.1017</v>
      </c>
      <c r="O694" s="19">
        <v>0.17610000000000001</v>
      </c>
      <c r="P694" s="19">
        <v>0.15790000000000001</v>
      </c>
      <c r="Q694" s="19" t="s">
        <v>36</v>
      </c>
      <c r="R694" s="20">
        <v>31220</v>
      </c>
      <c r="S694" s="21" t="str">
        <f>HYPERLINK("https://misweb.cccco.edu/npc/962/npcalc.htm", "$24860")</f>
        <v>$24860</v>
      </c>
      <c r="T694" s="20">
        <v>27199</v>
      </c>
      <c r="U694" s="20">
        <v>27583</v>
      </c>
      <c r="V694" s="20">
        <v>6094</v>
      </c>
      <c r="W694" s="20">
        <v>18766.807560137458</v>
      </c>
      <c r="Y694" s="19">
        <v>0.27050000000000002</v>
      </c>
      <c r="Z694" s="19">
        <v>0.84460000000000002</v>
      </c>
      <c r="AB694" s="18">
        <v>8087</v>
      </c>
    </row>
    <row r="695" spans="1:28" ht="15.75" customHeight="1" x14ac:dyDescent="0.2">
      <c r="A695" s="36" t="str">
        <f>HYPERLINK("https://www.morrisontech.edu", "Morrison Institute of Technology")</f>
        <v>Morrison Institute of Technology</v>
      </c>
      <c r="B695" s="18" t="s">
        <v>32</v>
      </c>
      <c r="C695" s="18" t="s">
        <v>137</v>
      </c>
      <c r="D695" s="18" t="s">
        <v>1546</v>
      </c>
      <c r="E695" s="18" t="s">
        <v>36</v>
      </c>
      <c r="F695" s="18" t="s">
        <v>36</v>
      </c>
      <c r="J695" s="19"/>
      <c r="K695" s="19">
        <v>0.69230000000000003</v>
      </c>
      <c r="L695" s="19" t="s">
        <v>36</v>
      </c>
      <c r="M695" s="19">
        <v>0.71430000000000005</v>
      </c>
      <c r="N695" s="19" t="s">
        <v>36</v>
      </c>
      <c r="O695" s="19">
        <v>1</v>
      </c>
      <c r="P695" s="19" t="s">
        <v>36</v>
      </c>
      <c r="Q695" s="19" t="s">
        <v>36</v>
      </c>
      <c r="R695" s="20">
        <v>28575</v>
      </c>
      <c r="S695" s="21" t="str">
        <f>HYPERLINK("https://www.morrisontech.edu/netpricecalculator2/npcalc.htm", "$13242")</f>
        <v>$13242</v>
      </c>
      <c r="T695" s="20">
        <v>17550</v>
      </c>
      <c r="U695" s="20">
        <v>21606</v>
      </c>
      <c r="V695" s="20">
        <v>6930</v>
      </c>
      <c r="W695" s="20">
        <v>6312</v>
      </c>
      <c r="Y695" s="19">
        <v>0.46150000000000002</v>
      </c>
      <c r="Z695" s="19">
        <v>0.2059</v>
      </c>
      <c r="AB695" s="18">
        <v>102</v>
      </c>
    </row>
    <row r="696" spans="1:28" ht="15.75" customHeight="1" x14ac:dyDescent="0.2">
      <c r="A696" s="36" t="str">
        <f>HYPERLINK("https://www.morton.edu", "Morton College")</f>
        <v>Morton College</v>
      </c>
      <c r="B696" s="18" t="s">
        <v>49</v>
      </c>
      <c r="C696" s="18" t="s">
        <v>137</v>
      </c>
      <c r="D696" s="18" t="s">
        <v>1547</v>
      </c>
      <c r="E696" s="18" t="s">
        <v>36</v>
      </c>
      <c r="F696" s="18" t="s">
        <v>36</v>
      </c>
      <c r="J696" s="19"/>
      <c r="K696" s="19">
        <v>0.2404</v>
      </c>
      <c r="L696" s="19">
        <v>6.6592675000000004E-2</v>
      </c>
      <c r="M696" s="19">
        <v>0.30769999999999997</v>
      </c>
      <c r="N696" s="19">
        <v>0</v>
      </c>
      <c r="O696" s="19">
        <v>0.23530000000000001</v>
      </c>
      <c r="P696" s="19">
        <v>0.33329999999999999</v>
      </c>
      <c r="Q696" s="19">
        <v>0.103557312</v>
      </c>
      <c r="R696" s="20">
        <v>27060</v>
      </c>
      <c r="S696" s="21" t="str">
        <f>HYPERLINK("https://morton.edu/Net_Price_Calculator/", "$21126")</f>
        <v>$21126</v>
      </c>
      <c r="T696" s="20">
        <v>24158</v>
      </c>
      <c r="U696" s="20">
        <v>26174</v>
      </c>
      <c r="V696" s="20">
        <v>4800</v>
      </c>
      <c r="W696" s="20">
        <v>16326.35294117647</v>
      </c>
      <c r="Y696" s="19">
        <v>0.43099999999999999</v>
      </c>
      <c r="Z696" s="19">
        <v>0.92569999999999997</v>
      </c>
      <c r="AB696" s="18">
        <v>3404</v>
      </c>
    </row>
    <row r="697" spans="1:28" ht="15.75" customHeight="1" x14ac:dyDescent="0.2">
      <c r="A697" s="36" t="str">
        <f>HYPERLINK("https://www.mscc.edu", "Motlow College")</f>
        <v>Motlow College</v>
      </c>
      <c r="B697" s="18" t="s">
        <v>49</v>
      </c>
      <c r="C697" s="18" t="s">
        <v>174</v>
      </c>
      <c r="D697" s="18" t="s">
        <v>1548</v>
      </c>
      <c r="E697" s="18" t="s">
        <v>36</v>
      </c>
      <c r="F697" s="18" t="s">
        <v>36</v>
      </c>
      <c r="J697" s="19"/>
      <c r="K697" s="19">
        <v>0.3402</v>
      </c>
      <c r="L697" s="19">
        <v>0.14885496200000001</v>
      </c>
      <c r="M697" s="19">
        <v>0.34760000000000002</v>
      </c>
      <c r="N697" s="19">
        <v>0.2029</v>
      </c>
      <c r="O697" s="19">
        <v>0.31580000000000003</v>
      </c>
      <c r="P697" s="19">
        <v>0.2727</v>
      </c>
      <c r="Q697" s="19">
        <v>9.8220640999999997E-2</v>
      </c>
      <c r="R697" s="20">
        <v>25245</v>
      </c>
      <c r="S697" s="21" t="str">
        <f>HYPERLINK("https://www.mscc.edu/financialaid/netpricecalculator/npcalc.htm", "$18075")</f>
        <v>$18075</v>
      </c>
      <c r="T697" s="20">
        <v>20420</v>
      </c>
      <c r="U697" s="20">
        <v>20307</v>
      </c>
      <c r="V697" s="20">
        <v>5342</v>
      </c>
      <c r="W697" s="20">
        <v>12733.40752864157</v>
      </c>
      <c r="Y697" s="19">
        <v>0.30320000000000003</v>
      </c>
      <c r="Z697" s="19">
        <v>0.25650000000000001</v>
      </c>
      <c r="AB697" s="18">
        <v>4896</v>
      </c>
    </row>
    <row r="698" spans="1:28" ht="15.75" customHeight="1" x14ac:dyDescent="0.2">
      <c r="A698" s="36" t="str">
        <f>HYPERLINK("https://www.mcc.edu", "Mott Community College")</f>
        <v>Mott Community College</v>
      </c>
      <c r="B698" s="18" t="s">
        <v>49</v>
      </c>
      <c r="C698" s="18" t="s">
        <v>226</v>
      </c>
      <c r="D698" s="18" t="s">
        <v>228</v>
      </c>
      <c r="E698" s="18" t="s">
        <v>36</v>
      </c>
      <c r="F698" s="18" t="s">
        <v>36</v>
      </c>
      <c r="J698" s="19"/>
      <c r="K698" s="19">
        <v>0.14949999999999999</v>
      </c>
      <c r="L698" s="19">
        <v>8.7768181000000001E-2</v>
      </c>
      <c r="M698" s="19">
        <v>0.16089999999999999</v>
      </c>
      <c r="N698" s="19">
        <v>4.1700000000000001E-2</v>
      </c>
      <c r="O698" s="19">
        <v>0.14810000000000001</v>
      </c>
      <c r="P698" s="19">
        <v>0.25</v>
      </c>
      <c r="Q698" s="19">
        <v>6.836569599999999E-2</v>
      </c>
      <c r="R698" s="20">
        <v>19592</v>
      </c>
      <c r="S698" s="21" t="str">
        <f>HYPERLINK("https://www.mcc.edu/financial_aid/netpricecalc/fa_npcalc.shtml", "$13779")</f>
        <v>$13779</v>
      </c>
      <c r="T698" s="20">
        <v>16761</v>
      </c>
      <c r="U698" s="20">
        <v>18536</v>
      </c>
      <c r="V698" s="20">
        <v>5358</v>
      </c>
      <c r="W698" s="20">
        <v>8421.2266666666656</v>
      </c>
      <c r="Y698" s="19">
        <v>0.44169999999999998</v>
      </c>
      <c r="Z698" s="19">
        <v>0.31069999999999998</v>
      </c>
      <c r="AB698" s="18">
        <v>6290</v>
      </c>
    </row>
    <row r="699" spans="1:28" ht="15.75" customHeight="1" x14ac:dyDescent="0.2">
      <c r="A699" s="36" t="str">
        <f>HYPERLINK("https://MWCC.EDU", "Mount Wachusett Community College")</f>
        <v>Mount Wachusett Community College</v>
      </c>
      <c r="B699" s="18" t="s">
        <v>49</v>
      </c>
      <c r="C699" s="18" t="s">
        <v>33</v>
      </c>
      <c r="D699" s="18" t="s">
        <v>1549</v>
      </c>
      <c r="E699" s="18" t="s">
        <v>36</v>
      </c>
      <c r="F699" s="18" t="s">
        <v>36</v>
      </c>
      <c r="J699" s="19"/>
      <c r="K699" s="19">
        <v>0.2127</v>
      </c>
      <c r="L699" s="19">
        <v>0.20069605600000001</v>
      </c>
      <c r="M699" s="19">
        <v>0.25219999999999998</v>
      </c>
      <c r="N699" s="19">
        <v>3.4500000000000003E-2</v>
      </c>
      <c r="O699" s="19">
        <v>0.14810000000000001</v>
      </c>
      <c r="P699" s="19">
        <v>0.22220000000000001</v>
      </c>
      <c r="Q699" s="19">
        <v>5.9602649000000001E-2</v>
      </c>
      <c r="R699" s="20">
        <v>22648</v>
      </c>
      <c r="S699" s="21" t="str">
        <f>HYPERLINK("https://mwcc.edu/about-mwcc/public-disclosure/net-price-calculator/", "$16053")</f>
        <v>$16053</v>
      </c>
      <c r="T699" s="20">
        <v>18132</v>
      </c>
      <c r="U699" s="20">
        <v>20832</v>
      </c>
      <c r="V699" s="20">
        <v>4900</v>
      </c>
      <c r="W699" s="20">
        <v>11153.647342995169</v>
      </c>
      <c r="Y699" s="19">
        <v>0.4612</v>
      </c>
      <c r="Z699" s="19">
        <v>0.3196</v>
      </c>
      <c r="AB699" s="18">
        <v>3410</v>
      </c>
    </row>
    <row r="700" spans="1:28" ht="15.75" customHeight="1" x14ac:dyDescent="0.2">
      <c r="A700" s="36" t="str">
        <f>HYPERLINK("https://www.msc.edu", "Mountain State College")</f>
        <v>Mountain State College</v>
      </c>
      <c r="B700" s="18" t="s">
        <v>368</v>
      </c>
      <c r="C700" s="18" t="s">
        <v>574</v>
      </c>
      <c r="D700" s="18" t="s">
        <v>1550</v>
      </c>
      <c r="E700" s="18" t="s">
        <v>36</v>
      </c>
      <c r="F700" s="18" t="s">
        <v>36</v>
      </c>
      <c r="J700" s="19"/>
      <c r="K700" s="19">
        <v>0.5</v>
      </c>
      <c r="L700" s="19" t="s">
        <v>36</v>
      </c>
      <c r="M700" s="19">
        <v>0.5</v>
      </c>
      <c r="N700" s="19" t="s">
        <v>36</v>
      </c>
      <c r="O700" s="19" t="s">
        <v>36</v>
      </c>
      <c r="P700" s="19" t="s">
        <v>36</v>
      </c>
      <c r="Q700" s="19" t="s">
        <v>36</v>
      </c>
      <c r="R700" s="20">
        <v>21499</v>
      </c>
      <c r="S700" s="21" t="str">
        <f>HYPERLINK("https://msc.edu", "$15270")</f>
        <v>$15270</v>
      </c>
      <c r="T700" s="20">
        <v>16617</v>
      </c>
      <c r="U700" s="20">
        <v>15467</v>
      </c>
      <c r="V700" s="20">
        <v>7434</v>
      </c>
      <c r="W700" s="20">
        <v>7836</v>
      </c>
      <c r="Y700" s="19">
        <v>0.91959999999999997</v>
      </c>
      <c r="Z700" s="19">
        <v>0</v>
      </c>
      <c r="AB700" s="18">
        <v>78</v>
      </c>
    </row>
    <row r="701" spans="1:28" ht="15.75" customHeight="1" x14ac:dyDescent="0.2">
      <c r="A701" s="36" t="str">
        <f>HYPERLINK("https://www.dcccd.edu", "Mountain View College")</f>
        <v>Mountain View College</v>
      </c>
      <c r="B701" s="18" t="s">
        <v>49</v>
      </c>
      <c r="C701" s="18" t="s">
        <v>146</v>
      </c>
      <c r="D701" s="18" t="s">
        <v>152</v>
      </c>
      <c r="E701" s="18" t="s">
        <v>36</v>
      </c>
      <c r="F701" s="18" t="s">
        <v>36</v>
      </c>
      <c r="J701" s="19"/>
      <c r="K701" s="19">
        <v>0.1038</v>
      </c>
      <c r="L701" s="19" t="s">
        <v>36</v>
      </c>
      <c r="M701" s="19">
        <v>9.6799999999999997E-2</v>
      </c>
      <c r="N701" s="19">
        <v>6.3E-2</v>
      </c>
      <c r="O701" s="19">
        <v>0.12130000000000001</v>
      </c>
      <c r="P701" s="19">
        <v>0</v>
      </c>
      <c r="Q701" s="19">
        <v>0.107921929</v>
      </c>
      <c r="R701" s="20">
        <v>20621</v>
      </c>
      <c r="S701" s="21" t="str">
        <f>HYPERLINK("https://www.dcccd.edu/pc/cost/pages/coa.aspx", "$15279")</f>
        <v>$15279</v>
      </c>
      <c r="T701" s="20">
        <v>18016</v>
      </c>
      <c r="U701" s="20">
        <v>19974</v>
      </c>
      <c r="V701" s="20">
        <v>5456</v>
      </c>
      <c r="W701" s="20">
        <v>9823.7066666666669</v>
      </c>
      <c r="Y701" s="19">
        <v>0.30149999999999999</v>
      </c>
      <c r="Z701" s="19">
        <v>0.90480000000000005</v>
      </c>
      <c r="AB701" s="18">
        <v>6952</v>
      </c>
    </row>
    <row r="702" spans="1:28" ht="15.75" customHeight="1" x14ac:dyDescent="0.2">
      <c r="A702" s="36" t="str">
        <f>HYPERLINK("https://www.mhcc.edu", "Mt Hood Community College")</f>
        <v>Mt Hood Community College</v>
      </c>
      <c r="B702" s="18" t="s">
        <v>49</v>
      </c>
      <c r="C702" s="18" t="s">
        <v>143</v>
      </c>
      <c r="D702" s="18" t="s">
        <v>1551</v>
      </c>
      <c r="E702" s="18" t="s">
        <v>36</v>
      </c>
      <c r="F702" s="18" t="s">
        <v>36</v>
      </c>
      <c r="J702" s="19"/>
      <c r="K702" s="19">
        <v>0.26490000000000002</v>
      </c>
      <c r="L702" s="19">
        <v>0.142167617</v>
      </c>
      <c r="M702" s="19">
        <v>0.28310000000000002</v>
      </c>
      <c r="N702" s="19">
        <v>0.12770000000000001</v>
      </c>
      <c r="O702" s="19">
        <v>0.25640000000000002</v>
      </c>
      <c r="P702" s="19">
        <v>0.3226</v>
      </c>
      <c r="Q702" s="19">
        <v>7.2102220999999994E-2</v>
      </c>
      <c r="R702" s="20">
        <v>22136</v>
      </c>
      <c r="S702" s="21" t="str">
        <f>HYPERLINK("https://my.mhcc.edu/ics/Resources/MyMHCC_Portal_Documentation_for_Students.jnz?portlet=External_Content", "$17518")</f>
        <v>$17518</v>
      </c>
      <c r="T702" s="20">
        <v>19388</v>
      </c>
      <c r="U702" s="20">
        <v>21011</v>
      </c>
      <c r="V702" s="20">
        <v>4725</v>
      </c>
      <c r="W702" s="20">
        <v>12793.52542372881</v>
      </c>
      <c r="Y702" s="19">
        <v>0.26840000000000003</v>
      </c>
      <c r="Z702" s="19">
        <v>0.50209999999999999</v>
      </c>
      <c r="AB702" s="18">
        <v>7168</v>
      </c>
    </row>
    <row r="703" spans="1:28" ht="15.75" customHeight="1" x14ac:dyDescent="0.2">
      <c r="A703" s="36" t="str">
        <f>HYPERLINK("https://www.mtsac.edu", "Mt San Antonio College")</f>
        <v>Mt San Antonio College</v>
      </c>
      <c r="B703" s="18" t="s">
        <v>49</v>
      </c>
      <c r="C703" s="18" t="s">
        <v>68</v>
      </c>
      <c r="D703" s="18" t="s">
        <v>1552</v>
      </c>
      <c r="E703" s="18" t="s">
        <v>36</v>
      </c>
      <c r="F703" s="18" t="s">
        <v>36</v>
      </c>
      <c r="J703" s="19"/>
      <c r="K703" s="19">
        <v>0.3236</v>
      </c>
      <c r="L703" s="19">
        <v>0.136594095</v>
      </c>
      <c r="M703" s="19">
        <v>0.38329999999999997</v>
      </c>
      <c r="N703" s="19">
        <v>0.20269999999999999</v>
      </c>
      <c r="O703" s="19">
        <v>0.2535</v>
      </c>
      <c r="P703" s="19">
        <v>0.5323</v>
      </c>
      <c r="Q703" s="19">
        <v>0.135066042</v>
      </c>
      <c r="R703" s="20">
        <v>27036</v>
      </c>
      <c r="S703" s="21" t="str">
        <f>HYPERLINK("https://www.mtsac.edu/financialaid/resources/npcalc.html", "$19416")</f>
        <v>$19416</v>
      </c>
      <c r="T703" s="20">
        <v>22818</v>
      </c>
      <c r="U703" s="20">
        <v>24074</v>
      </c>
      <c r="V703" s="20">
        <v>5002</v>
      </c>
      <c r="W703" s="20">
        <v>14414.64453125</v>
      </c>
      <c r="Y703" s="19">
        <v>0.33310000000000001</v>
      </c>
      <c r="Z703" s="19">
        <v>0.89300000000000002</v>
      </c>
      <c r="AB703" s="18">
        <v>26865</v>
      </c>
    </row>
    <row r="704" spans="1:28" ht="15.75" customHeight="1" x14ac:dyDescent="0.2">
      <c r="A704" s="36" t="str">
        <f>HYPERLINK("https://www.msjc.edu", "Mt San Jacinto Community College District")</f>
        <v>Mt San Jacinto Community College District</v>
      </c>
      <c r="B704" s="18" t="s">
        <v>49</v>
      </c>
      <c r="C704" s="18" t="s">
        <v>68</v>
      </c>
      <c r="D704" s="18" t="s">
        <v>1553</v>
      </c>
      <c r="E704" s="18" t="s">
        <v>36</v>
      </c>
      <c r="F704" s="18" t="s">
        <v>36</v>
      </c>
      <c r="J704" s="19"/>
      <c r="K704" s="19">
        <v>0.26150000000000001</v>
      </c>
      <c r="L704" s="19">
        <v>2.0542636E-2</v>
      </c>
      <c r="M704" s="19">
        <v>0.25540000000000002</v>
      </c>
      <c r="N704" s="19">
        <v>0.1429</v>
      </c>
      <c r="O704" s="19">
        <v>0.25140000000000001</v>
      </c>
      <c r="P704" s="19">
        <v>0.45450000000000002</v>
      </c>
      <c r="Q704" s="19">
        <v>0.112939841</v>
      </c>
      <c r="R704" s="20">
        <v>28332</v>
      </c>
      <c r="S704" s="21" t="str">
        <f>HYPERLINK("https://www.msjc.edu/StudentServices/FinancialAid/Pages/default.aspx", "$21755")</f>
        <v>$21755</v>
      </c>
      <c r="T704" s="20">
        <v>24534</v>
      </c>
      <c r="U704" s="20">
        <v>24941</v>
      </c>
      <c r="V704" s="20">
        <v>6093</v>
      </c>
      <c r="W704" s="20">
        <v>15662.533980582521</v>
      </c>
      <c r="Y704" s="19">
        <v>0.3523</v>
      </c>
      <c r="Z704" s="19">
        <v>0.71130000000000004</v>
      </c>
      <c r="AB704" s="18">
        <v>14620</v>
      </c>
    </row>
    <row r="705" spans="1:28" ht="15.75" customHeight="1" x14ac:dyDescent="0.2">
      <c r="A705" s="36" t="str">
        <f>HYPERLINK("https://www.mscok.edu", "Murray State College")</f>
        <v>Murray State College</v>
      </c>
      <c r="B705" s="18" t="s">
        <v>49</v>
      </c>
      <c r="C705" s="18" t="s">
        <v>290</v>
      </c>
      <c r="D705" s="18" t="s">
        <v>1554</v>
      </c>
      <c r="E705" s="18" t="s">
        <v>36</v>
      </c>
      <c r="F705" s="18" t="s">
        <v>36</v>
      </c>
      <c r="J705" s="19"/>
      <c r="K705" s="19">
        <v>0.26800000000000002</v>
      </c>
      <c r="L705" s="19">
        <v>0.144104804</v>
      </c>
      <c r="M705" s="19">
        <v>0.26140000000000002</v>
      </c>
      <c r="N705" s="19">
        <v>0.23080000000000001</v>
      </c>
      <c r="O705" s="19">
        <v>0.26669999999999999</v>
      </c>
      <c r="P705" s="19">
        <v>0</v>
      </c>
      <c r="Q705" s="19">
        <v>7.2604065999999995E-2</v>
      </c>
      <c r="R705" s="20">
        <v>22716</v>
      </c>
      <c r="S705" s="21" t="str">
        <f>HYPERLINK("https://www.mscok.edu/future_students/cost_of_attending.aspx", "$15583")</f>
        <v>$15583</v>
      </c>
      <c r="T705" s="20">
        <v>19232</v>
      </c>
      <c r="U705" s="20">
        <v>20969</v>
      </c>
      <c r="V705" s="20">
        <v>5326</v>
      </c>
      <c r="W705" s="20">
        <v>10257.040816326529</v>
      </c>
      <c r="Y705" s="19">
        <v>0.43120000000000003</v>
      </c>
      <c r="Z705" s="19">
        <v>0.49690000000000001</v>
      </c>
      <c r="AB705" s="18">
        <v>1797</v>
      </c>
    </row>
    <row r="706" spans="1:28" ht="15.75" customHeight="1" x14ac:dyDescent="0.2">
      <c r="A706" s="36" t="str">
        <f>HYPERLINK("https://www.muskegoncc.edu", "Muskegon Community College")</f>
        <v>Muskegon Community College</v>
      </c>
      <c r="B706" s="18" t="s">
        <v>49</v>
      </c>
      <c r="C706" s="18" t="s">
        <v>226</v>
      </c>
      <c r="D706" s="18" t="s">
        <v>634</v>
      </c>
      <c r="E706" s="18" t="s">
        <v>36</v>
      </c>
      <c r="F706" s="18" t="s">
        <v>36</v>
      </c>
      <c r="J706" s="19"/>
      <c r="K706" s="19">
        <v>0.15540000000000001</v>
      </c>
      <c r="L706" s="19">
        <v>0.101694915</v>
      </c>
      <c r="M706" s="19">
        <v>0.17699999999999999</v>
      </c>
      <c r="N706" s="19">
        <v>9.0899999999999995E-2</v>
      </c>
      <c r="O706" s="19">
        <v>0</v>
      </c>
      <c r="P706" s="19">
        <v>0.25</v>
      </c>
      <c r="Q706" s="19">
        <v>7.7091306999999998E-2</v>
      </c>
      <c r="R706" s="20">
        <v>19720</v>
      </c>
      <c r="S706" s="21" t="str">
        <f>HYPERLINK("https://www.muskegoncc.edu/financial-aid/net-price-calculator/", "$15645")</f>
        <v>$15645</v>
      </c>
      <c r="T706" s="20">
        <v>18468</v>
      </c>
      <c r="U706" s="20">
        <v>18248</v>
      </c>
      <c r="V706" s="20">
        <v>3216</v>
      </c>
      <c r="W706" s="20">
        <v>12429.298804780879</v>
      </c>
      <c r="Y706" s="19">
        <v>0.32329999999999998</v>
      </c>
      <c r="Z706" s="19">
        <v>0.23830000000000001</v>
      </c>
      <c r="AB706" s="18">
        <v>3411</v>
      </c>
    </row>
    <row r="707" spans="1:28" ht="15.75" customHeight="1" x14ac:dyDescent="0.2">
      <c r="A707" s="36" t="str">
        <f>HYPERLINK("https://www.myotherapy.edu", "Myotherapy Institute")</f>
        <v>Myotherapy Institute</v>
      </c>
      <c r="B707" s="18" t="s">
        <v>368</v>
      </c>
      <c r="C707" s="18" t="s">
        <v>341</v>
      </c>
      <c r="D707" s="18" t="s">
        <v>516</v>
      </c>
      <c r="E707" s="18" t="s">
        <v>36</v>
      </c>
      <c r="F707" s="18" t="s">
        <v>36</v>
      </c>
      <c r="J707" s="19"/>
      <c r="K707" s="19">
        <v>0.76919999999999999</v>
      </c>
      <c r="L707" s="19" t="s">
        <v>36</v>
      </c>
      <c r="M707" s="19">
        <v>0.72729999999999995</v>
      </c>
      <c r="N707" s="19" t="s">
        <v>36</v>
      </c>
      <c r="O707" s="19">
        <v>1</v>
      </c>
      <c r="P707" s="19" t="s">
        <v>36</v>
      </c>
      <c r="Q707" s="19" t="s">
        <v>36</v>
      </c>
      <c r="R707" s="20">
        <v>32392</v>
      </c>
      <c r="S707" s="21" t="str">
        <f>HYPERLINK("https://www.myotherapy.edu", "$20934")</f>
        <v>$20934</v>
      </c>
      <c r="T707" s="20">
        <v>24771</v>
      </c>
      <c r="U707" s="20" t="s">
        <v>36</v>
      </c>
      <c r="V707" s="20">
        <v>5670</v>
      </c>
      <c r="W707" s="20">
        <v>15264</v>
      </c>
      <c r="Y707" s="19">
        <v>0.51219999999999999</v>
      </c>
      <c r="Z707" s="19">
        <v>8.7000000000000077E-2</v>
      </c>
      <c r="AB707" s="18">
        <v>23</v>
      </c>
    </row>
    <row r="708" spans="1:28" ht="15.75" customHeight="1" x14ac:dyDescent="0.2">
      <c r="A708" s="36" t="str">
        <f>HYPERLINK("https://www.nhti.edu", "NHTI-Concord's Community College")</f>
        <v>NHTI-Concord's Community College</v>
      </c>
      <c r="B708" s="18" t="s">
        <v>49</v>
      </c>
      <c r="C708" s="18" t="s">
        <v>101</v>
      </c>
      <c r="D708" s="18" t="s">
        <v>804</v>
      </c>
      <c r="E708" s="18" t="s">
        <v>36</v>
      </c>
      <c r="F708" s="18" t="s">
        <v>36</v>
      </c>
      <c r="J708" s="19"/>
      <c r="K708" s="19">
        <v>0.20080000000000001</v>
      </c>
      <c r="L708" s="19">
        <v>0.25865209500000003</v>
      </c>
      <c r="M708" s="19">
        <v>0.20280000000000001</v>
      </c>
      <c r="N708" s="19">
        <v>0.1429</v>
      </c>
      <c r="O708" s="19">
        <v>0.25</v>
      </c>
      <c r="P708" s="19">
        <v>0.23080000000000001</v>
      </c>
      <c r="Q708" s="19">
        <v>8.7741935999999993E-2</v>
      </c>
      <c r="R708" s="20">
        <v>30112</v>
      </c>
      <c r="S708" s="21" t="str">
        <f>HYPERLINK("https://www.nhti.edu/admissions/financial-aid/net-price-calculator", "$26669")</f>
        <v>$26669</v>
      </c>
      <c r="T708" s="20">
        <v>30112</v>
      </c>
      <c r="U708" s="20">
        <v>30112</v>
      </c>
      <c r="V708" s="20">
        <v>5306</v>
      </c>
      <c r="W708" s="20">
        <v>21363.65979381443</v>
      </c>
      <c r="Y708" s="19">
        <v>0.32290000000000002</v>
      </c>
      <c r="Z708" s="19">
        <v>0.1804</v>
      </c>
      <c r="AB708" s="18">
        <v>3309</v>
      </c>
    </row>
    <row r="709" spans="1:28" ht="15.75" customHeight="1" x14ac:dyDescent="0.2">
      <c r="A709" s="36" t="str">
        <f>HYPERLINK("https://www.napavalley.edu", "Napa Valley College")</f>
        <v>Napa Valley College</v>
      </c>
      <c r="B709" s="18" t="s">
        <v>49</v>
      </c>
      <c r="C709" s="18" t="s">
        <v>68</v>
      </c>
      <c r="D709" s="18" t="s">
        <v>1555</v>
      </c>
      <c r="E709" s="18" t="s">
        <v>36</v>
      </c>
      <c r="F709" s="18" t="s">
        <v>36</v>
      </c>
      <c r="J709" s="19"/>
      <c r="K709" s="19">
        <v>0.33650000000000002</v>
      </c>
      <c r="L709" s="19">
        <v>8.1530781999999996E-2</v>
      </c>
      <c r="M709" s="19">
        <v>0.30880000000000002</v>
      </c>
      <c r="N709" s="19">
        <v>9.0899999999999995E-2</v>
      </c>
      <c r="O709" s="19">
        <v>0.3478</v>
      </c>
      <c r="P709" s="19">
        <v>0.39019999999999999</v>
      </c>
      <c r="Q709" s="19">
        <v>0.133171913</v>
      </c>
      <c r="R709" s="20">
        <v>26144</v>
      </c>
      <c r="S709" s="21" t="str">
        <f>HYPERLINK("https://misweb.cccco.edu/npc/241/npcalc.htm", "$19282")</f>
        <v>$19282</v>
      </c>
      <c r="T709" s="20">
        <v>22871</v>
      </c>
      <c r="U709" s="20" t="s">
        <v>36</v>
      </c>
      <c r="V709" s="20">
        <v>6093</v>
      </c>
      <c r="W709" s="20">
        <v>13189.77844311377</v>
      </c>
      <c r="Y709" s="19">
        <v>0.2074</v>
      </c>
      <c r="Z709" s="19">
        <v>0.71130000000000004</v>
      </c>
      <c r="AB709" s="18">
        <v>5237</v>
      </c>
    </row>
    <row r="710" spans="1:28" ht="15.75" customHeight="1" x14ac:dyDescent="0.2">
      <c r="A710" s="36" t="str">
        <f>HYPERLINK("https://nashuacc.edu", "Nashua Community College")</f>
        <v>Nashua Community College</v>
      </c>
      <c r="B710" s="18" t="s">
        <v>49</v>
      </c>
      <c r="C710" s="18" t="s">
        <v>101</v>
      </c>
      <c r="D710" s="18" t="s">
        <v>450</v>
      </c>
      <c r="E710" s="18" t="s">
        <v>36</v>
      </c>
      <c r="F710" s="18" t="s">
        <v>36</v>
      </c>
      <c r="J710" s="19"/>
      <c r="K710" s="19">
        <v>0.26140000000000002</v>
      </c>
      <c r="L710" s="19">
        <v>0.190972222</v>
      </c>
      <c r="M710" s="19">
        <v>0.27139999999999997</v>
      </c>
      <c r="N710" s="19">
        <v>0.4</v>
      </c>
      <c r="O710" s="19">
        <v>8.3299999999999999E-2</v>
      </c>
      <c r="P710" s="19">
        <v>0.5</v>
      </c>
      <c r="Q710" s="19">
        <v>0.101010101</v>
      </c>
      <c r="R710" s="20">
        <v>36054</v>
      </c>
      <c r="S710" s="21" t="str">
        <f>HYPERLINK("https://nashuacc.edu/npcalc/npcalc.htm", "$32826")</f>
        <v>$32826</v>
      </c>
      <c r="T710" s="20">
        <v>35967</v>
      </c>
      <c r="U710" s="20">
        <v>36054</v>
      </c>
      <c r="V710" s="20">
        <v>5723</v>
      </c>
      <c r="W710" s="20">
        <v>27103.558139534889</v>
      </c>
      <c r="Y710" s="19">
        <v>0.30259999999999998</v>
      </c>
      <c r="Z710" s="19">
        <v>0.24840000000000001</v>
      </c>
      <c r="AB710" s="18">
        <v>1534</v>
      </c>
    </row>
    <row r="711" spans="1:28" ht="15.75" customHeight="1" x14ac:dyDescent="0.2">
      <c r="A711" s="36" t="str">
        <f>HYPERLINK("https://www.ncc.edu/", "SUNY Nassau Community College")</f>
        <v>SUNY Nassau Community College</v>
      </c>
      <c r="B711" s="18" t="s">
        <v>49</v>
      </c>
      <c r="C711" s="18" t="s">
        <v>38</v>
      </c>
      <c r="D711" s="18" t="s">
        <v>545</v>
      </c>
      <c r="E711" s="18" t="s">
        <v>36</v>
      </c>
      <c r="F711" s="18" t="s">
        <v>36</v>
      </c>
      <c r="G711" s="18" t="s">
        <v>51</v>
      </c>
      <c r="I711" s="18" t="s">
        <v>1321</v>
      </c>
      <c r="J711" s="19"/>
      <c r="K711" s="19">
        <v>0.23719999999999999</v>
      </c>
      <c r="L711" s="19">
        <v>0.21366782000000001</v>
      </c>
      <c r="M711" s="19">
        <v>0.30059999999999998</v>
      </c>
      <c r="N711" s="19">
        <v>0.13200000000000001</v>
      </c>
      <c r="O711" s="19">
        <v>0.21590000000000001</v>
      </c>
      <c r="P711" s="19">
        <v>0.21079999999999999</v>
      </c>
      <c r="Q711" s="19">
        <v>0.113377193</v>
      </c>
      <c r="R711" s="20">
        <v>24782</v>
      </c>
      <c r="S711" s="21" t="str">
        <f>HYPERLINK("https://www.ncc.edu/payingforcollege/net_price_tuition_calculator.shtml", "$2833")</f>
        <v>$2833</v>
      </c>
      <c r="T711" s="20">
        <v>7151</v>
      </c>
      <c r="U711" s="20">
        <v>9790</v>
      </c>
      <c r="V711" s="20">
        <v>4580</v>
      </c>
      <c r="W711" s="20">
        <v>-1747</v>
      </c>
      <c r="Y711" s="19">
        <v>0.38940000000000002</v>
      </c>
      <c r="Z711" s="19">
        <v>0.64799999999999991</v>
      </c>
      <c r="AB711" s="18">
        <v>16964</v>
      </c>
    </row>
    <row r="712" spans="1:28" ht="15.75" customHeight="1" x14ac:dyDescent="0.2">
      <c r="A712" s="36" t="str">
        <f>HYPERLINK("https://www.national.edu/locations/campuses/bellevue/", "National American University-Bellevue")</f>
        <v>National American University-Bellevue</v>
      </c>
      <c r="B712" s="18" t="s">
        <v>368</v>
      </c>
      <c r="C712" s="18" t="s">
        <v>341</v>
      </c>
      <c r="D712" s="18" t="s">
        <v>640</v>
      </c>
      <c r="E712" s="18" t="s">
        <v>36</v>
      </c>
      <c r="F712" s="18" t="s">
        <v>36</v>
      </c>
      <c r="J712" s="19"/>
      <c r="K712" s="19" t="s">
        <v>36</v>
      </c>
      <c r="L712" s="19">
        <v>0.13367217300000001</v>
      </c>
      <c r="M712" s="19" t="s">
        <v>36</v>
      </c>
      <c r="N712" s="19" t="s">
        <v>36</v>
      </c>
      <c r="O712" s="19" t="s">
        <v>36</v>
      </c>
      <c r="P712" s="19" t="s">
        <v>36</v>
      </c>
      <c r="Q712" s="19">
        <v>5.6063480999999998E-2</v>
      </c>
      <c r="R712" s="20">
        <v>23805</v>
      </c>
      <c r="S712" s="21" t="str">
        <f t="shared" ref="S712:S714" si="6">HYPERLINK("https://www.national.edu/net-price-calculator/", "Not reported")</f>
        <v>Not reported</v>
      </c>
      <c r="T712" s="20" t="s">
        <v>36</v>
      </c>
      <c r="U712" s="20" t="s">
        <v>36</v>
      </c>
      <c r="V712" s="20">
        <v>1623</v>
      </c>
      <c r="W712" s="20" t="s">
        <v>36</v>
      </c>
      <c r="Y712" s="19">
        <v>0.73580000000000001</v>
      </c>
      <c r="Z712" s="19">
        <v>0.40820000000000001</v>
      </c>
      <c r="AB712" s="18">
        <v>98</v>
      </c>
    </row>
    <row r="713" spans="1:28" ht="15.75" customHeight="1" x14ac:dyDescent="0.2">
      <c r="A713" s="36" t="str">
        <f>HYPERLINK("https://www.national.edu/locations/campuses/brooklyn-center/", "National American University-Brooklyn Center")</f>
        <v>National American University-Brooklyn Center</v>
      </c>
      <c r="B713" s="18" t="s">
        <v>368</v>
      </c>
      <c r="C713" s="18" t="s">
        <v>72</v>
      </c>
      <c r="D713" s="18" t="s">
        <v>1556</v>
      </c>
      <c r="E713" s="18" t="s">
        <v>36</v>
      </c>
      <c r="F713" s="18" t="s">
        <v>36</v>
      </c>
      <c r="J713" s="19"/>
      <c r="K713" s="19">
        <v>0</v>
      </c>
      <c r="L713" s="19">
        <v>0.13367217300000001</v>
      </c>
      <c r="M713" s="19">
        <v>0</v>
      </c>
      <c r="N713" s="19">
        <v>0</v>
      </c>
      <c r="O713" s="19" t="s">
        <v>36</v>
      </c>
      <c r="P713" s="19" t="s">
        <v>36</v>
      </c>
      <c r="Q713" s="19">
        <v>5.6063480999999998E-2</v>
      </c>
      <c r="R713" s="20">
        <v>23805</v>
      </c>
      <c r="S713" s="21" t="str">
        <f t="shared" si="6"/>
        <v>Not reported</v>
      </c>
      <c r="T713" s="20" t="s">
        <v>36</v>
      </c>
      <c r="U713" s="20" t="s">
        <v>36</v>
      </c>
      <c r="V713" s="20">
        <v>1623</v>
      </c>
      <c r="W713" s="20" t="s">
        <v>36</v>
      </c>
      <c r="Y713" s="19">
        <v>0.73880000000000001</v>
      </c>
      <c r="Z713" s="19">
        <v>0.46400000000000002</v>
      </c>
      <c r="AB713" s="18">
        <v>125</v>
      </c>
    </row>
    <row r="714" spans="1:28" ht="15.75" customHeight="1" x14ac:dyDescent="0.2">
      <c r="A714" s="36" t="str">
        <f>HYPERLINK("https://www.national.edu/locations/campuses/burnsville/", "National American University-Burnsville")</f>
        <v>National American University-Burnsville</v>
      </c>
      <c r="B714" s="18" t="s">
        <v>368</v>
      </c>
      <c r="C714" s="18" t="s">
        <v>72</v>
      </c>
      <c r="D714" s="18" t="s">
        <v>1557</v>
      </c>
      <c r="E714" s="18" t="s">
        <v>36</v>
      </c>
      <c r="F714" s="18" t="s">
        <v>36</v>
      </c>
      <c r="J714" s="19"/>
      <c r="K714" s="19" t="s">
        <v>36</v>
      </c>
      <c r="L714" s="19">
        <v>0.13367217300000001</v>
      </c>
      <c r="M714" s="19" t="s">
        <v>36</v>
      </c>
      <c r="N714" s="19" t="s">
        <v>36</v>
      </c>
      <c r="O714" s="19" t="s">
        <v>36</v>
      </c>
      <c r="P714" s="19" t="s">
        <v>36</v>
      </c>
      <c r="Q714" s="19">
        <v>5.6063480999999998E-2</v>
      </c>
      <c r="R714" s="20">
        <v>23805</v>
      </c>
      <c r="S714" s="21" t="str">
        <f t="shared" si="6"/>
        <v>Not reported</v>
      </c>
      <c r="T714" s="20" t="s">
        <v>36</v>
      </c>
      <c r="U714" s="20" t="s">
        <v>36</v>
      </c>
      <c r="V714" s="20">
        <v>1623</v>
      </c>
      <c r="W714" s="20" t="s">
        <v>36</v>
      </c>
      <c r="Y714" s="19">
        <v>0.7288</v>
      </c>
      <c r="Z714" s="19">
        <v>0.47729999999999989</v>
      </c>
      <c r="AB714" s="18">
        <v>44</v>
      </c>
    </row>
    <row r="715" spans="1:28" ht="15.75" customHeight="1" x14ac:dyDescent="0.2">
      <c r="A715" s="36" t="str">
        <f>HYPERLINK("https://www.national.edu/locations/campuses/centennial/", "National American University-Centennial")</f>
        <v>National American University-Centennial</v>
      </c>
      <c r="B715" s="18" t="s">
        <v>368</v>
      </c>
      <c r="C715" s="18" t="s">
        <v>87</v>
      </c>
      <c r="D715" s="18" t="s">
        <v>1558</v>
      </c>
      <c r="E715" s="18" t="s">
        <v>36</v>
      </c>
      <c r="F715" s="18" t="s">
        <v>36</v>
      </c>
      <c r="J715" s="19"/>
      <c r="K715" s="19" t="s">
        <v>36</v>
      </c>
      <c r="L715" s="19">
        <v>0.13367217300000001</v>
      </c>
      <c r="M715" s="19" t="s">
        <v>36</v>
      </c>
      <c r="N715" s="19" t="s">
        <v>36</v>
      </c>
      <c r="O715" s="19" t="s">
        <v>36</v>
      </c>
      <c r="P715" s="19" t="s">
        <v>36</v>
      </c>
      <c r="Q715" s="19">
        <v>5.6063480999999998E-2</v>
      </c>
      <c r="R715" s="20">
        <v>23805</v>
      </c>
      <c r="S715" s="21" t="str">
        <f>HYPERLINK("https://www.national.edu/net-price-calculator/", "$11532")</f>
        <v>$11532</v>
      </c>
      <c r="T715" s="20" t="s">
        <v>36</v>
      </c>
      <c r="U715" s="20" t="s">
        <v>36</v>
      </c>
      <c r="V715" s="20">
        <v>1623</v>
      </c>
      <c r="W715" s="20">
        <v>9909</v>
      </c>
      <c r="Y715" s="19">
        <v>0.66890000000000005</v>
      </c>
      <c r="Z715" s="19">
        <v>0.50859999999999994</v>
      </c>
      <c r="AB715" s="18">
        <v>175</v>
      </c>
    </row>
    <row r="716" spans="1:28" ht="15.75" customHeight="1" x14ac:dyDescent="0.2">
      <c r="A716" s="36" t="str">
        <f>HYPERLINK("https://www.national.edu/locations/campuses/colorado-springs/", "National American University-Colorado Springs")</f>
        <v>National American University-Colorado Springs</v>
      </c>
      <c r="B716" s="18" t="s">
        <v>368</v>
      </c>
      <c r="C716" s="18" t="s">
        <v>87</v>
      </c>
      <c r="D716" s="18" t="s">
        <v>88</v>
      </c>
      <c r="E716" s="18" t="s">
        <v>36</v>
      </c>
      <c r="F716" s="18" t="s">
        <v>36</v>
      </c>
      <c r="J716" s="19"/>
      <c r="K716" s="19">
        <v>7.6899999999999996E-2</v>
      </c>
      <c r="L716" s="19">
        <v>0.13367217300000001</v>
      </c>
      <c r="M716" s="19">
        <v>0.1429</v>
      </c>
      <c r="N716" s="19">
        <v>0</v>
      </c>
      <c r="O716" s="19">
        <v>0</v>
      </c>
      <c r="P716" s="19">
        <v>0</v>
      </c>
      <c r="Q716" s="19">
        <v>5.6063480999999998E-2</v>
      </c>
      <c r="R716" s="20">
        <v>23805</v>
      </c>
      <c r="S716" s="21" t="str">
        <f t="shared" ref="S716:S727" si="7">HYPERLINK("https://www.national.edu/net-price-calculator/", "Not reported")</f>
        <v>Not reported</v>
      </c>
      <c r="T716" s="20" t="s">
        <v>36</v>
      </c>
      <c r="U716" s="20" t="s">
        <v>36</v>
      </c>
      <c r="V716" s="20">
        <v>1623</v>
      </c>
      <c r="W716" s="20" t="s">
        <v>36</v>
      </c>
      <c r="Y716" s="19">
        <v>0.57950000000000002</v>
      </c>
      <c r="Z716" s="19">
        <v>0.53059999999999996</v>
      </c>
      <c r="AB716" s="18">
        <v>196</v>
      </c>
    </row>
    <row r="717" spans="1:28" ht="15.75" customHeight="1" x14ac:dyDescent="0.2">
      <c r="A717" s="36" t="str">
        <f>HYPERLINK("https://www.national.edu/locations/campuses/colorado-springs-south/", "National American University-Colorado Springs South")</f>
        <v>National American University-Colorado Springs South</v>
      </c>
      <c r="B717" s="18" t="s">
        <v>368</v>
      </c>
      <c r="C717" s="18" t="s">
        <v>87</v>
      </c>
      <c r="D717" s="18" t="s">
        <v>88</v>
      </c>
      <c r="E717" s="18" t="s">
        <v>36</v>
      </c>
      <c r="F717" s="18" t="s">
        <v>36</v>
      </c>
      <c r="J717" s="19"/>
      <c r="K717" s="19" t="s">
        <v>36</v>
      </c>
      <c r="L717" s="19">
        <v>0.13367217300000001</v>
      </c>
      <c r="M717" s="19" t="s">
        <v>36</v>
      </c>
      <c r="N717" s="19" t="s">
        <v>36</v>
      </c>
      <c r="O717" s="19" t="s">
        <v>36</v>
      </c>
      <c r="P717" s="19" t="s">
        <v>36</v>
      </c>
      <c r="Q717" s="19">
        <v>5.6063480999999998E-2</v>
      </c>
      <c r="R717" s="20">
        <v>23805</v>
      </c>
      <c r="S717" s="21" t="str">
        <f t="shared" si="7"/>
        <v>Not reported</v>
      </c>
      <c r="T717" s="20" t="s">
        <v>36</v>
      </c>
      <c r="U717" s="20">
        <v>9593</v>
      </c>
      <c r="V717" s="20">
        <v>1623</v>
      </c>
      <c r="W717" s="20" t="s">
        <v>36</v>
      </c>
      <c r="Y717" s="19">
        <v>0.623</v>
      </c>
      <c r="Z717" s="19">
        <v>0.55919999999999992</v>
      </c>
      <c r="AB717" s="18">
        <v>152</v>
      </c>
    </row>
    <row r="718" spans="1:28" ht="15.75" customHeight="1" x14ac:dyDescent="0.2">
      <c r="A718" s="36" t="str">
        <f>HYPERLINK("https://www.national.edu/locations/campuses/georgetown/", "National American University-Georgetown")</f>
        <v>National American University-Georgetown</v>
      </c>
      <c r="B718" s="18" t="s">
        <v>368</v>
      </c>
      <c r="C718" s="18" t="s">
        <v>146</v>
      </c>
      <c r="D718" s="18" t="s">
        <v>481</v>
      </c>
      <c r="E718" s="18" t="s">
        <v>36</v>
      </c>
      <c r="F718" s="18" t="s">
        <v>36</v>
      </c>
      <c r="J718" s="19"/>
      <c r="K718" s="19" t="s">
        <v>36</v>
      </c>
      <c r="L718" s="19">
        <v>0.13367217300000001</v>
      </c>
      <c r="M718" s="19" t="s">
        <v>36</v>
      </c>
      <c r="N718" s="19" t="s">
        <v>36</v>
      </c>
      <c r="O718" s="19" t="s">
        <v>36</v>
      </c>
      <c r="P718" s="19" t="s">
        <v>36</v>
      </c>
      <c r="Q718" s="19">
        <v>5.6063480999999998E-2</v>
      </c>
      <c r="R718" s="20">
        <v>23805</v>
      </c>
      <c r="S718" s="21" t="str">
        <f t="shared" si="7"/>
        <v>Not reported</v>
      </c>
      <c r="T718" s="20" t="s">
        <v>36</v>
      </c>
      <c r="U718" s="20" t="s">
        <v>36</v>
      </c>
      <c r="V718" s="20">
        <v>1623</v>
      </c>
      <c r="W718" s="20" t="s">
        <v>36</v>
      </c>
      <c r="Y718" s="19">
        <v>0.94310000000000005</v>
      </c>
      <c r="Z718" s="19">
        <v>0.63040000000000007</v>
      </c>
      <c r="AB718" s="18">
        <v>138</v>
      </c>
    </row>
    <row r="719" spans="1:28" ht="15.75" customHeight="1" x14ac:dyDescent="0.2">
      <c r="A719" s="36" t="str">
        <f>HYPERLINK("https://www.national.edu/locations/campuses/houston/", "National American University-Houston")</f>
        <v>National American University-Houston</v>
      </c>
      <c r="B719" s="18" t="s">
        <v>368</v>
      </c>
      <c r="C719" s="18" t="s">
        <v>146</v>
      </c>
      <c r="D719" s="18" t="s">
        <v>147</v>
      </c>
      <c r="E719" s="18" t="s">
        <v>36</v>
      </c>
      <c r="F719" s="18" t="s">
        <v>36</v>
      </c>
      <c r="J719" s="19"/>
      <c r="K719" s="19" t="s">
        <v>36</v>
      </c>
      <c r="L719" s="19">
        <v>0.13367217300000001</v>
      </c>
      <c r="M719" s="19" t="s">
        <v>36</v>
      </c>
      <c r="N719" s="19" t="s">
        <v>36</v>
      </c>
      <c r="O719" s="19" t="s">
        <v>36</v>
      </c>
      <c r="P719" s="19" t="s">
        <v>36</v>
      </c>
      <c r="Q719" s="19">
        <v>5.6063480999999998E-2</v>
      </c>
      <c r="R719" s="20">
        <v>23805</v>
      </c>
      <c r="S719" s="21" t="str">
        <f t="shared" si="7"/>
        <v>Not reported</v>
      </c>
      <c r="T719" s="20" t="s">
        <v>36</v>
      </c>
      <c r="U719" s="20" t="s">
        <v>36</v>
      </c>
      <c r="V719" s="20">
        <v>1623</v>
      </c>
      <c r="W719" s="20" t="s">
        <v>36</v>
      </c>
      <c r="Y719" s="19">
        <v>0.82430000000000003</v>
      </c>
      <c r="Z719" s="19">
        <v>0.90910000000000002</v>
      </c>
      <c r="AB719" s="18">
        <v>77</v>
      </c>
    </row>
    <row r="720" spans="1:28" ht="15.75" customHeight="1" x14ac:dyDescent="0.2">
      <c r="A720" s="36" t="str">
        <f>HYPERLINK("https://www.national.edu/locations/campuses/independence/", "National American University-Independence")</f>
        <v>National American University-Independence</v>
      </c>
      <c r="B720" s="18" t="s">
        <v>368</v>
      </c>
      <c r="C720" s="18" t="s">
        <v>164</v>
      </c>
      <c r="D720" s="18" t="s">
        <v>801</v>
      </c>
      <c r="E720" s="18" t="s">
        <v>36</v>
      </c>
      <c r="F720" s="18" t="s">
        <v>36</v>
      </c>
      <c r="J720" s="19"/>
      <c r="K720" s="19">
        <v>0</v>
      </c>
      <c r="L720" s="19">
        <v>0.13367217300000001</v>
      </c>
      <c r="M720" s="19">
        <v>0</v>
      </c>
      <c r="N720" s="19">
        <v>0</v>
      </c>
      <c r="O720" s="19">
        <v>0</v>
      </c>
      <c r="P720" s="19" t="s">
        <v>36</v>
      </c>
      <c r="Q720" s="19">
        <v>5.6063480999999998E-2</v>
      </c>
      <c r="R720" s="20">
        <v>23805</v>
      </c>
      <c r="S720" s="21" t="str">
        <f t="shared" si="7"/>
        <v>Not reported</v>
      </c>
      <c r="T720" s="20" t="s">
        <v>36</v>
      </c>
      <c r="U720" s="20" t="s">
        <v>36</v>
      </c>
      <c r="V720" s="20">
        <v>1623</v>
      </c>
      <c r="W720" s="20" t="s">
        <v>36</v>
      </c>
      <c r="Y720" s="19">
        <v>0.71660000000000001</v>
      </c>
      <c r="Z720" s="19">
        <v>0.47839999999999999</v>
      </c>
      <c r="AB720" s="18">
        <v>255</v>
      </c>
    </row>
    <row r="721" spans="1:28" ht="15.75" customHeight="1" x14ac:dyDescent="0.2">
      <c r="A721" s="36" t="str">
        <f>HYPERLINK("https://www.national.edu/locations/campuses/indianapolis/", "National American University-Indianapolis")</f>
        <v>National American University-Indianapolis</v>
      </c>
      <c r="B721" s="18" t="s">
        <v>368</v>
      </c>
      <c r="C721" s="18" t="s">
        <v>148</v>
      </c>
      <c r="D721" s="18" t="s">
        <v>316</v>
      </c>
      <c r="E721" s="18" t="s">
        <v>36</v>
      </c>
      <c r="F721" s="18" t="s">
        <v>36</v>
      </c>
      <c r="J721" s="19"/>
      <c r="K721" s="19" t="s">
        <v>36</v>
      </c>
      <c r="L721" s="19">
        <v>0.13367217300000001</v>
      </c>
      <c r="M721" s="19" t="s">
        <v>36</v>
      </c>
      <c r="N721" s="19" t="s">
        <v>36</v>
      </c>
      <c r="O721" s="19" t="s">
        <v>36</v>
      </c>
      <c r="P721" s="19" t="s">
        <v>36</v>
      </c>
      <c r="Q721" s="19">
        <v>5.6063480999999998E-2</v>
      </c>
      <c r="R721" s="20">
        <v>23805</v>
      </c>
      <c r="S721" s="21" t="str">
        <f t="shared" si="7"/>
        <v>Not reported</v>
      </c>
      <c r="T721" s="20" t="s">
        <v>36</v>
      </c>
      <c r="U721" s="20" t="s">
        <v>36</v>
      </c>
      <c r="V721" s="20">
        <v>1623</v>
      </c>
      <c r="W721" s="20" t="s">
        <v>36</v>
      </c>
      <c r="Y721" s="19">
        <v>0.84960000000000002</v>
      </c>
      <c r="Z721" s="19">
        <v>0.60420000000000007</v>
      </c>
      <c r="AB721" s="18">
        <v>96</v>
      </c>
    </row>
    <row r="722" spans="1:28" ht="15.75" customHeight="1" x14ac:dyDescent="0.2">
      <c r="A722" s="36" t="str">
        <f>HYPERLINK("https://www.national.edu/locations/campuses/lees-summit/", "National American University-Lee's Summit")</f>
        <v>National American University-Lee's Summit</v>
      </c>
      <c r="B722" s="18" t="s">
        <v>368</v>
      </c>
      <c r="C722" s="18" t="s">
        <v>164</v>
      </c>
      <c r="D722" s="18" t="s">
        <v>1559</v>
      </c>
      <c r="E722" s="18" t="s">
        <v>36</v>
      </c>
      <c r="F722" s="18" t="s">
        <v>36</v>
      </c>
      <c r="J722" s="19"/>
      <c r="K722" s="19">
        <v>0</v>
      </c>
      <c r="L722" s="19">
        <v>0.13367217300000001</v>
      </c>
      <c r="M722" s="19">
        <v>0</v>
      </c>
      <c r="N722" s="19" t="s">
        <v>36</v>
      </c>
      <c r="O722" s="19" t="s">
        <v>36</v>
      </c>
      <c r="P722" s="19" t="s">
        <v>36</v>
      </c>
      <c r="Q722" s="19">
        <v>5.6063480999999998E-2</v>
      </c>
      <c r="R722" s="20">
        <v>23805</v>
      </c>
      <c r="S722" s="21" t="str">
        <f t="shared" si="7"/>
        <v>Not reported</v>
      </c>
      <c r="T722" s="20" t="s">
        <v>36</v>
      </c>
      <c r="U722" s="20" t="s">
        <v>36</v>
      </c>
      <c r="V722" s="20">
        <v>1623</v>
      </c>
      <c r="W722" s="20" t="s">
        <v>36</v>
      </c>
      <c r="Y722" s="19">
        <v>0.74860000000000004</v>
      </c>
      <c r="Z722" s="19">
        <v>0.45450000000000002</v>
      </c>
      <c r="AB722" s="18">
        <v>154</v>
      </c>
    </row>
    <row r="723" spans="1:28" ht="15.75" customHeight="1" x14ac:dyDescent="0.2">
      <c r="A723" s="36" t="str">
        <f>HYPERLINK("https://www.national.edu/locations/campuses/mesquite/", "National American University-Mesquite")</f>
        <v>National American University-Mesquite</v>
      </c>
      <c r="B723" s="18" t="s">
        <v>368</v>
      </c>
      <c r="C723" s="18" t="s">
        <v>146</v>
      </c>
      <c r="D723" s="18" t="s">
        <v>1297</v>
      </c>
      <c r="E723" s="18" t="s">
        <v>36</v>
      </c>
      <c r="F723" s="18" t="s">
        <v>36</v>
      </c>
      <c r="J723" s="19"/>
      <c r="K723" s="19" t="s">
        <v>36</v>
      </c>
      <c r="L723" s="19">
        <v>0.13367217300000001</v>
      </c>
      <c r="M723" s="19" t="s">
        <v>36</v>
      </c>
      <c r="N723" s="19" t="s">
        <v>36</v>
      </c>
      <c r="O723" s="19" t="s">
        <v>36</v>
      </c>
      <c r="P723" s="19" t="s">
        <v>36</v>
      </c>
      <c r="Q723" s="19">
        <v>5.6063480999999998E-2</v>
      </c>
      <c r="R723" s="20">
        <v>23805</v>
      </c>
      <c r="S723" s="21" t="str">
        <f t="shared" si="7"/>
        <v>Not reported</v>
      </c>
      <c r="T723" s="20" t="s">
        <v>36</v>
      </c>
      <c r="U723" s="20" t="s">
        <v>36</v>
      </c>
      <c r="V723" s="20">
        <v>1623</v>
      </c>
      <c r="W723" s="20" t="s">
        <v>36</v>
      </c>
      <c r="Y723" s="19">
        <v>0.81740000000000002</v>
      </c>
      <c r="Z723" s="19">
        <v>0.7238</v>
      </c>
      <c r="AB723" s="18">
        <v>105</v>
      </c>
    </row>
    <row r="724" spans="1:28" ht="15.75" customHeight="1" x14ac:dyDescent="0.2">
      <c r="A724" s="36" t="str">
        <f>HYPERLINK("https://www.national.edu/locations/campuses/overland-park/", "National American University-Overland Park")</f>
        <v>National American University-Overland Park</v>
      </c>
      <c r="B724" s="18" t="s">
        <v>368</v>
      </c>
      <c r="C724" s="18" t="s">
        <v>307</v>
      </c>
      <c r="D724" s="18" t="s">
        <v>1448</v>
      </c>
      <c r="E724" s="18" t="s">
        <v>36</v>
      </c>
      <c r="F724" s="18" t="s">
        <v>36</v>
      </c>
      <c r="J724" s="19"/>
      <c r="K724" s="19">
        <v>0</v>
      </c>
      <c r="L724" s="19">
        <v>0.13367217300000001</v>
      </c>
      <c r="M724" s="19">
        <v>0</v>
      </c>
      <c r="N724" s="19">
        <v>0</v>
      </c>
      <c r="O724" s="19">
        <v>0</v>
      </c>
      <c r="P724" s="19" t="s">
        <v>36</v>
      </c>
      <c r="Q724" s="19">
        <v>5.6063480999999998E-2</v>
      </c>
      <c r="R724" s="20">
        <v>23805</v>
      </c>
      <c r="S724" s="21" t="str">
        <f t="shared" si="7"/>
        <v>Not reported</v>
      </c>
      <c r="T724" s="20" t="s">
        <v>36</v>
      </c>
      <c r="U724" s="20" t="s">
        <v>36</v>
      </c>
      <c r="V724" s="20">
        <v>1623</v>
      </c>
      <c r="W724" s="20" t="s">
        <v>36</v>
      </c>
      <c r="Y724" s="19">
        <v>0.58230000000000004</v>
      </c>
      <c r="Z724" s="19">
        <v>0.49280000000000002</v>
      </c>
      <c r="AB724" s="18">
        <v>207</v>
      </c>
    </row>
    <row r="725" spans="1:28" ht="15.75" customHeight="1" x14ac:dyDescent="0.2">
      <c r="A725" s="36" t="str">
        <f>HYPERLINK("https://www.national.edu/locations/campuses/richardson/", "National American University-Richardson")</f>
        <v>National American University-Richardson</v>
      </c>
      <c r="B725" s="18" t="s">
        <v>368</v>
      </c>
      <c r="C725" s="18" t="s">
        <v>146</v>
      </c>
      <c r="D725" s="18" t="s">
        <v>265</v>
      </c>
      <c r="E725" s="18" t="s">
        <v>36</v>
      </c>
      <c r="F725" s="18" t="s">
        <v>36</v>
      </c>
      <c r="J725" s="19"/>
      <c r="K725" s="19" t="s">
        <v>36</v>
      </c>
      <c r="L725" s="19">
        <v>0.13367217300000001</v>
      </c>
      <c r="M725" s="19" t="s">
        <v>36</v>
      </c>
      <c r="N725" s="19" t="s">
        <v>36</v>
      </c>
      <c r="O725" s="19" t="s">
        <v>36</v>
      </c>
      <c r="P725" s="19" t="s">
        <v>36</v>
      </c>
      <c r="Q725" s="19">
        <v>5.6063480999999998E-2</v>
      </c>
      <c r="R725" s="20">
        <v>23805</v>
      </c>
      <c r="S725" s="21" t="str">
        <f t="shared" si="7"/>
        <v>Not reported</v>
      </c>
      <c r="T725" s="20" t="s">
        <v>36</v>
      </c>
      <c r="U725" s="20" t="s">
        <v>36</v>
      </c>
      <c r="V725" s="20">
        <v>1623</v>
      </c>
      <c r="W725" s="20" t="s">
        <v>36</v>
      </c>
      <c r="Y725" s="19">
        <v>0.8014</v>
      </c>
      <c r="Z725" s="19">
        <v>0.78669999999999995</v>
      </c>
      <c r="AB725" s="18">
        <v>150</v>
      </c>
    </row>
    <row r="726" spans="1:28" ht="15.75" customHeight="1" x14ac:dyDescent="0.2">
      <c r="A726" s="36" t="str">
        <f>HYPERLINK("https://www.national.edu/locations/campuses/rochester/", "National American University-Rochester")</f>
        <v>National American University-Rochester</v>
      </c>
      <c r="B726" s="18" t="s">
        <v>368</v>
      </c>
      <c r="C726" s="18" t="s">
        <v>72</v>
      </c>
      <c r="D726" s="18" t="s">
        <v>170</v>
      </c>
      <c r="E726" s="18" t="s">
        <v>36</v>
      </c>
      <c r="F726" s="18" t="s">
        <v>36</v>
      </c>
      <c r="J726" s="19"/>
      <c r="K726" s="19" t="s">
        <v>36</v>
      </c>
      <c r="L726" s="19">
        <v>0.13367217300000001</v>
      </c>
      <c r="M726" s="19" t="s">
        <v>36</v>
      </c>
      <c r="N726" s="19" t="s">
        <v>36</v>
      </c>
      <c r="O726" s="19" t="s">
        <v>36</v>
      </c>
      <c r="P726" s="19" t="s">
        <v>36</v>
      </c>
      <c r="Q726" s="19">
        <v>5.6063480999999998E-2</v>
      </c>
      <c r="R726" s="20">
        <v>23805</v>
      </c>
      <c r="S726" s="21" t="str">
        <f t="shared" si="7"/>
        <v>Not reported</v>
      </c>
      <c r="T726" s="20" t="s">
        <v>36</v>
      </c>
      <c r="U726" s="20" t="s">
        <v>36</v>
      </c>
      <c r="V726" s="20">
        <v>1623</v>
      </c>
      <c r="W726" s="20" t="s">
        <v>36</v>
      </c>
      <c r="Y726" s="19">
        <v>0.75760000000000005</v>
      </c>
      <c r="Z726" s="19">
        <v>0.30859999999999999</v>
      </c>
      <c r="AB726" s="18">
        <v>81</v>
      </c>
    </row>
    <row r="727" spans="1:28" ht="15.75" customHeight="1" x14ac:dyDescent="0.2">
      <c r="A727" s="36" t="str">
        <f>HYPERLINK("https://www.national.edu/locations/campuses/roseville/", "National American University-Roseville")</f>
        <v>National American University-Roseville</v>
      </c>
      <c r="B727" s="18" t="s">
        <v>368</v>
      </c>
      <c r="C727" s="18" t="s">
        <v>72</v>
      </c>
      <c r="D727" s="18" t="s">
        <v>1560</v>
      </c>
      <c r="E727" s="18" t="s">
        <v>36</v>
      </c>
      <c r="F727" s="18" t="s">
        <v>36</v>
      </c>
      <c r="J727" s="19"/>
      <c r="K727" s="19">
        <v>0.125</v>
      </c>
      <c r="L727" s="19">
        <v>0.13367217300000001</v>
      </c>
      <c r="M727" s="19">
        <v>0</v>
      </c>
      <c r="N727" s="19">
        <v>0.33329999999999999</v>
      </c>
      <c r="O727" s="19" t="s">
        <v>36</v>
      </c>
      <c r="P727" s="19" t="s">
        <v>36</v>
      </c>
      <c r="Q727" s="19">
        <v>5.6063480999999998E-2</v>
      </c>
      <c r="R727" s="20">
        <v>23805</v>
      </c>
      <c r="S727" s="21" t="str">
        <f t="shared" si="7"/>
        <v>Not reported</v>
      </c>
      <c r="T727" s="20" t="s">
        <v>36</v>
      </c>
      <c r="U727" s="20" t="s">
        <v>36</v>
      </c>
      <c r="V727" s="20">
        <v>1623</v>
      </c>
      <c r="W727" s="20" t="s">
        <v>36</v>
      </c>
      <c r="Y727" s="19">
        <v>0.78290000000000004</v>
      </c>
      <c r="Z727" s="19">
        <v>0.58589999999999998</v>
      </c>
      <c r="AB727" s="18">
        <v>99</v>
      </c>
    </row>
    <row r="728" spans="1:28" ht="15.75" customHeight="1" x14ac:dyDescent="0.2">
      <c r="A728" s="36" t="str">
        <f>HYPERLINK("https://www.national.edu/locations/campuses/sioux-falls/", "National American University-Sioux Falls")</f>
        <v>National American University-Sioux Falls</v>
      </c>
      <c r="B728" s="18" t="s">
        <v>368</v>
      </c>
      <c r="C728" s="18" t="s">
        <v>302</v>
      </c>
      <c r="D728" s="18" t="s">
        <v>303</v>
      </c>
      <c r="E728" s="18" t="s">
        <v>36</v>
      </c>
      <c r="F728" s="18" t="s">
        <v>36</v>
      </c>
      <c r="J728" s="19"/>
      <c r="K728" s="19">
        <v>0.22220000000000001</v>
      </c>
      <c r="L728" s="19">
        <v>0.13367217300000001</v>
      </c>
      <c r="M728" s="19">
        <v>0.25</v>
      </c>
      <c r="N728" s="19">
        <v>0</v>
      </c>
      <c r="O728" s="19">
        <v>0</v>
      </c>
      <c r="P728" s="19" t="s">
        <v>36</v>
      </c>
      <c r="Q728" s="19">
        <v>5.6063480999999998E-2</v>
      </c>
      <c r="R728" s="20">
        <v>23805</v>
      </c>
      <c r="S728" s="21" t="str">
        <f>HYPERLINK("https://www.national.edu/net-price-calculator/", "$11583")</f>
        <v>$11583</v>
      </c>
      <c r="T728" s="20" t="s">
        <v>36</v>
      </c>
      <c r="U728" s="20" t="s">
        <v>36</v>
      </c>
      <c r="V728" s="20">
        <v>1623</v>
      </c>
      <c r="W728" s="20">
        <v>9960</v>
      </c>
      <c r="Y728" s="19">
        <v>0.70409999999999995</v>
      </c>
      <c r="Z728" s="19">
        <v>0.28439999999999999</v>
      </c>
      <c r="AB728" s="18">
        <v>218</v>
      </c>
    </row>
    <row r="729" spans="1:28" ht="15.75" customHeight="1" x14ac:dyDescent="0.2">
      <c r="A729" s="36" t="str">
        <f>HYPERLINK("https://www.national.edu/locations/campuses/tulsa/", "National American University-Tulsa")</f>
        <v>National American University-Tulsa</v>
      </c>
      <c r="B729" s="18" t="s">
        <v>368</v>
      </c>
      <c r="C729" s="18" t="s">
        <v>290</v>
      </c>
      <c r="D729" s="18" t="s">
        <v>291</v>
      </c>
      <c r="E729" s="18" t="s">
        <v>36</v>
      </c>
      <c r="F729" s="18" t="s">
        <v>36</v>
      </c>
      <c r="J729" s="19"/>
      <c r="K729" s="19">
        <v>0</v>
      </c>
      <c r="L729" s="19">
        <v>0.13367217300000001</v>
      </c>
      <c r="M729" s="19">
        <v>0</v>
      </c>
      <c r="N729" s="19">
        <v>0</v>
      </c>
      <c r="O729" s="19" t="s">
        <v>36</v>
      </c>
      <c r="P729" s="19" t="s">
        <v>36</v>
      </c>
      <c r="Q729" s="19">
        <v>5.6063480999999998E-2</v>
      </c>
      <c r="R729" s="20">
        <v>23805</v>
      </c>
      <c r="S729" s="21" t="str">
        <f>HYPERLINK("https://www.national.edu/net-price-calculator/", "$21684")</f>
        <v>$21684</v>
      </c>
      <c r="T729" s="20" t="s">
        <v>36</v>
      </c>
      <c r="U729" s="20" t="s">
        <v>36</v>
      </c>
      <c r="V729" s="20">
        <v>1623</v>
      </c>
      <c r="W729" s="20">
        <v>20061</v>
      </c>
      <c r="Y729" s="19">
        <v>0.83530000000000004</v>
      </c>
      <c r="Z729" s="19">
        <v>0.47089999999999999</v>
      </c>
      <c r="AB729" s="18">
        <v>172</v>
      </c>
    </row>
    <row r="730" spans="1:28" ht="15.75" customHeight="1" x14ac:dyDescent="0.2">
      <c r="A730" s="36" t="str">
        <f>HYPERLINK("https://www.national.edu/locations/campuses/wichita/", "National American University-Wichita")</f>
        <v>National American University-Wichita</v>
      </c>
      <c r="B730" s="18" t="s">
        <v>368</v>
      </c>
      <c r="C730" s="18" t="s">
        <v>307</v>
      </c>
      <c r="D730" s="18" t="s">
        <v>778</v>
      </c>
      <c r="E730" s="18" t="s">
        <v>36</v>
      </c>
      <c r="F730" s="18" t="s">
        <v>36</v>
      </c>
      <c r="J730" s="19"/>
      <c r="K730" s="19" t="s">
        <v>36</v>
      </c>
      <c r="L730" s="19">
        <v>0.13367217300000001</v>
      </c>
      <c r="M730" s="19" t="s">
        <v>36</v>
      </c>
      <c r="N730" s="19" t="s">
        <v>36</v>
      </c>
      <c r="O730" s="19" t="s">
        <v>36</v>
      </c>
      <c r="P730" s="19" t="s">
        <v>36</v>
      </c>
      <c r="Q730" s="19">
        <v>5.6063480999999998E-2</v>
      </c>
      <c r="R730" s="20">
        <v>23805</v>
      </c>
      <c r="S730" s="21" t="str">
        <f t="shared" ref="S730:S732" si="8">HYPERLINK("https://www.national.edu/net-price-calculator/", "Not reported")</f>
        <v>Not reported</v>
      </c>
      <c r="T730" s="20" t="s">
        <v>36</v>
      </c>
      <c r="U730" s="20" t="s">
        <v>36</v>
      </c>
      <c r="V730" s="20">
        <v>1623</v>
      </c>
      <c r="W730" s="20" t="s">
        <v>36</v>
      </c>
      <c r="Y730" s="19">
        <v>0.84460000000000002</v>
      </c>
      <c r="Z730" s="19">
        <v>0.50770000000000004</v>
      </c>
      <c r="AB730" s="18">
        <v>130</v>
      </c>
    </row>
    <row r="731" spans="1:28" ht="15.75" customHeight="1" x14ac:dyDescent="0.2">
      <c r="A731" s="36" t="str">
        <f>HYPERLINK("https://www.national.edu/locations/campuses/wichita-west/", "National American University-Wichita West")</f>
        <v>National American University-Wichita West</v>
      </c>
      <c r="B731" s="18" t="s">
        <v>368</v>
      </c>
      <c r="C731" s="18" t="s">
        <v>307</v>
      </c>
      <c r="D731" s="18" t="s">
        <v>778</v>
      </c>
      <c r="E731" s="18" t="s">
        <v>36</v>
      </c>
      <c r="F731" s="18" t="s">
        <v>36</v>
      </c>
      <c r="J731" s="19"/>
      <c r="K731" s="19" t="s">
        <v>36</v>
      </c>
      <c r="L731" s="19">
        <v>0.13367217300000001</v>
      </c>
      <c r="M731" s="19" t="s">
        <v>36</v>
      </c>
      <c r="N731" s="19" t="s">
        <v>36</v>
      </c>
      <c r="O731" s="19" t="s">
        <v>36</v>
      </c>
      <c r="P731" s="19" t="s">
        <v>36</v>
      </c>
      <c r="Q731" s="19">
        <v>5.6063480999999998E-2</v>
      </c>
      <c r="R731" s="20">
        <v>23805</v>
      </c>
      <c r="S731" s="21" t="str">
        <f t="shared" si="8"/>
        <v>Not reported</v>
      </c>
      <c r="T731" s="20" t="s">
        <v>36</v>
      </c>
      <c r="U731" s="20" t="s">
        <v>36</v>
      </c>
      <c r="V731" s="20">
        <v>1623</v>
      </c>
      <c r="W731" s="20" t="s">
        <v>36</v>
      </c>
      <c r="Y731" s="19">
        <v>0.77780000000000005</v>
      </c>
      <c r="Z731" s="19">
        <v>0.4</v>
      </c>
      <c r="AB731" s="18">
        <v>90</v>
      </c>
    </row>
    <row r="732" spans="1:28" ht="15.75" customHeight="1" x14ac:dyDescent="0.2">
      <c r="A732" s="36" t="str">
        <f>HYPERLINK("https://www.national.edu/locations/campuses/zona-rosa/", "National American University-Zona Rosa")</f>
        <v>National American University-Zona Rosa</v>
      </c>
      <c r="B732" s="18" t="s">
        <v>368</v>
      </c>
      <c r="C732" s="18" t="s">
        <v>164</v>
      </c>
      <c r="D732" s="18" t="s">
        <v>515</v>
      </c>
      <c r="E732" s="18" t="s">
        <v>36</v>
      </c>
      <c r="F732" s="18" t="s">
        <v>36</v>
      </c>
      <c r="J732" s="19"/>
      <c r="K732" s="19">
        <v>0</v>
      </c>
      <c r="L732" s="19">
        <v>0.13367217300000001</v>
      </c>
      <c r="M732" s="19">
        <v>0</v>
      </c>
      <c r="N732" s="19">
        <v>0</v>
      </c>
      <c r="O732" s="19">
        <v>0</v>
      </c>
      <c r="P732" s="19" t="s">
        <v>36</v>
      </c>
      <c r="Q732" s="19">
        <v>5.6063480999999998E-2</v>
      </c>
      <c r="R732" s="20">
        <v>23805</v>
      </c>
      <c r="S732" s="21" t="str">
        <f t="shared" si="8"/>
        <v>Not reported</v>
      </c>
      <c r="T732" s="20">
        <v>22446</v>
      </c>
      <c r="U732" s="20" t="s">
        <v>36</v>
      </c>
      <c r="V732" s="20">
        <v>1623</v>
      </c>
      <c r="W732" s="20" t="s">
        <v>36</v>
      </c>
      <c r="Y732" s="19">
        <v>0.79500000000000004</v>
      </c>
      <c r="Z732" s="19">
        <v>0.39600000000000002</v>
      </c>
      <c r="AB732" s="18">
        <v>149</v>
      </c>
    </row>
    <row r="733" spans="1:28" ht="15.75" customHeight="1" x14ac:dyDescent="0.2">
      <c r="A733" s="36" t="str">
        <f>HYPERLINK("https://nationalparalegal.edu", "National Paralegal College")</f>
        <v>National Paralegal College</v>
      </c>
      <c r="B733" s="18" t="s">
        <v>368</v>
      </c>
      <c r="C733" s="18" t="s">
        <v>354</v>
      </c>
      <c r="D733" s="18" t="s">
        <v>369</v>
      </c>
      <c r="E733" s="18" t="s">
        <v>36</v>
      </c>
      <c r="F733" s="18" t="s">
        <v>36</v>
      </c>
      <c r="J733" s="19"/>
      <c r="K733" s="19">
        <v>0.3105</v>
      </c>
      <c r="L733" s="19" t="s">
        <v>36</v>
      </c>
      <c r="M733" s="19">
        <v>0.52780000000000005</v>
      </c>
      <c r="N733" s="19">
        <v>0</v>
      </c>
      <c r="O733" s="19">
        <v>0.5</v>
      </c>
      <c r="P733" s="19">
        <v>0</v>
      </c>
      <c r="Q733" s="19" t="s">
        <v>36</v>
      </c>
      <c r="R733" s="20">
        <v>20283</v>
      </c>
      <c r="S733" s="21" t="str">
        <f>HYPERLINK("https://nationalparalegal.edu/npcalc/npcalc.html", "$15803")</f>
        <v>$15803</v>
      </c>
      <c r="T733" s="20">
        <v>18333</v>
      </c>
      <c r="U733" s="20">
        <v>19119</v>
      </c>
      <c r="V733" s="20">
        <v>4216</v>
      </c>
      <c r="W733" s="20">
        <v>11587</v>
      </c>
      <c r="Y733" s="19">
        <v>0.54120000000000001</v>
      </c>
      <c r="Z733" s="19">
        <v>0.68530000000000002</v>
      </c>
      <c r="AB733" s="18">
        <v>753</v>
      </c>
    </row>
    <row r="734" spans="1:28" ht="15.75" customHeight="1" x14ac:dyDescent="0.2">
      <c r="A734" s="36" t="str">
        <f>HYPERLINK("https://www.np.edu", "National Park Community College")</f>
        <v>National Park Community College</v>
      </c>
      <c r="B734" s="18" t="s">
        <v>49</v>
      </c>
      <c r="C734" s="18" t="s">
        <v>371</v>
      </c>
      <c r="D734" s="18" t="s">
        <v>1561</v>
      </c>
      <c r="E734" s="18" t="s">
        <v>36</v>
      </c>
      <c r="F734" s="18" t="s">
        <v>36</v>
      </c>
      <c r="J734" s="19"/>
      <c r="K734" s="19">
        <v>0.27200000000000002</v>
      </c>
      <c r="L734" s="19">
        <v>0.22677322699999999</v>
      </c>
      <c r="M734" s="19">
        <v>0.29339999999999999</v>
      </c>
      <c r="N734" s="19">
        <v>0.1613</v>
      </c>
      <c r="O734" s="19">
        <v>0.36359999999999998</v>
      </c>
      <c r="P734" s="19">
        <v>0.25</v>
      </c>
      <c r="Q734" s="19">
        <v>5.1562499999999997E-2</v>
      </c>
      <c r="R734" s="20">
        <v>19330</v>
      </c>
      <c r="S734" s="21" t="str">
        <f>HYPERLINK("https://np.edu/admissions/financial-aid/consumer-disclosures/npcalc.htm", "$14905")</f>
        <v>$14905</v>
      </c>
      <c r="T734" s="20">
        <v>16623</v>
      </c>
      <c r="U734" s="20">
        <v>16626</v>
      </c>
      <c r="V734" s="20">
        <v>4930</v>
      </c>
      <c r="W734" s="20">
        <v>9975.5847457627115</v>
      </c>
      <c r="Y734" s="19">
        <v>0.5927</v>
      </c>
      <c r="Z734" s="19">
        <v>0.22620000000000001</v>
      </c>
      <c r="AB734" s="18">
        <v>2140</v>
      </c>
    </row>
    <row r="735" spans="1:28" ht="15.75" customHeight="1" x14ac:dyDescent="0.2">
      <c r="A735" s="36" t="str">
        <f>HYPERLINK("https://www.nv.edu", "Naugatuck Valley Community College")</f>
        <v>Naugatuck Valley Community College</v>
      </c>
      <c r="B735" s="18" t="s">
        <v>49</v>
      </c>
      <c r="C735" s="18" t="s">
        <v>94</v>
      </c>
      <c r="D735" s="18" t="s">
        <v>887</v>
      </c>
      <c r="E735" s="18" t="s">
        <v>36</v>
      </c>
      <c r="F735" s="18" t="s">
        <v>36</v>
      </c>
      <c r="J735" s="19"/>
      <c r="K735" s="19">
        <v>0.17169999999999999</v>
      </c>
      <c r="L735" s="19">
        <v>0.204494382</v>
      </c>
      <c r="M735" s="19">
        <v>0.22140000000000001</v>
      </c>
      <c r="N735" s="19">
        <v>9.2100000000000001E-2</v>
      </c>
      <c r="O735" s="19">
        <v>0.12889999999999999</v>
      </c>
      <c r="P735" s="19">
        <v>0.13039999999999999</v>
      </c>
      <c r="Q735" s="19">
        <v>7.4716478000000003E-2</v>
      </c>
      <c r="R735" s="20">
        <v>27036</v>
      </c>
      <c r="S735" s="21" t="str">
        <f>HYPERLINK("https://www.nv.edu/Admissions-and-Aid/Paying-for-College/Financial-Aid", "$21469")</f>
        <v>$21469</v>
      </c>
      <c r="T735" s="20">
        <v>21975</v>
      </c>
      <c r="U735" s="20">
        <v>22739</v>
      </c>
      <c r="V735" s="20">
        <v>5530</v>
      </c>
      <c r="W735" s="20">
        <v>15939.630170316301</v>
      </c>
      <c r="Y735" s="19">
        <v>0.40689999999999998</v>
      </c>
      <c r="Z735" s="19">
        <v>0.5363</v>
      </c>
      <c r="AB735" s="18">
        <v>5754</v>
      </c>
    </row>
    <row r="736" spans="1:28" ht="15.75" customHeight="1" x14ac:dyDescent="0.2">
      <c r="A736" s="36" t="str">
        <f>HYPERLINK("https://www.navarrocollege.edu", "Navarro College")</f>
        <v>Navarro College</v>
      </c>
      <c r="B736" s="18" t="s">
        <v>49</v>
      </c>
      <c r="C736" s="18" t="s">
        <v>146</v>
      </c>
      <c r="D736" s="18" t="s">
        <v>1562</v>
      </c>
      <c r="E736" s="18" t="s">
        <v>36</v>
      </c>
      <c r="F736" s="18" t="s">
        <v>36</v>
      </c>
      <c r="J736" s="19"/>
      <c r="K736" s="19">
        <v>0.1852</v>
      </c>
      <c r="L736" s="19">
        <v>0.13573141499999999</v>
      </c>
      <c r="M736" s="19">
        <v>0.21820000000000001</v>
      </c>
      <c r="N736" s="19">
        <v>0.1061</v>
      </c>
      <c r="O736" s="19">
        <v>0.25629999999999997</v>
      </c>
      <c r="P736" s="19">
        <v>8.3299999999999999E-2</v>
      </c>
      <c r="Q736" s="19">
        <v>8.0933616E-2</v>
      </c>
      <c r="R736" s="20">
        <v>20665</v>
      </c>
      <c r="S736" s="21" t="str">
        <f>HYPERLINK("https://www.collegeforalltexans.com/apps/CollegeMoney/index.php", "$17996")</f>
        <v>$17996</v>
      </c>
      <c r="T736" s="20">
        <v>19378</v>
      </c>
      <c r="U736" s="20">
        <v>20214</v>
      </c>
      <c r="V736" s="20">
        <v>8577</v>
      </c>
      <c r="W736" s="20">
        <v>9419.7228464419459</v>
      </c>
      <c r="Y736" s="19">
        <v>0.30309999999999998</v>
      </c>
      <c r="Z736" s="19">
        <v>0.45760000000000001</v>
      </c>
      <c r="AB736" s="18">
        <v>8968</v>
      </c>
    </row>
    <row r="737" spans="1:28" ht="15.75" customHeight="1" x14ac:dyDescent="0.2">
      <c r="A737" s="36" t="str">
        <f>HYPERLINK("https://ncta.unl.edu", "Nebraska College of Technical Agriculture")</f>
        <v>Nebraska College of Technical Agriculture</v>
      </c>
      <c r="B737" s="18" t="s">
        <v>49</v>
      </c>
      <c r="C737" s="18" t="s">
        <v>341</v>
      </c>
      <c r="D737" s="18" t="s">
        <v>1563</v>
      </c>
      <c r="E737" s="18" t="s">
        <v>36</v>
      </c>
      <c r="F737" s="18" t="s">
        <v>36</v>
      </c>
      <c r="J737" s="19"/>
      <c r="K737" s="19">
        <v>0.48759999999999998</v>
      </c>
      <c r="L737" s="19">
        <v>0.52961672500000001</v>
      </c>
      <c r="M737" s="19">
        <v>0.49149999999999999</v>
      </c>
      <c r="N737" s="19" t="s">
        <v>36</v>
      </c>
      <c r="O737" s="19">
        <v>0</v>
      </c>
      <c r="P737" s="19">
        <v>1</v>
      </c>
      <c r="Q737" s="19">
        <v>0.105390836</v>
      </c>
      <c r="R737" s="20">
        <v>16770</v>
      </c>
      <c r="S737" s="21" t="str">
        <f>HYPERLINK("https://ncta.unl.edu/tuition-costs", "$10288")</f>
        <v>$10288</v>
      </c>
      <c r="T737" s="20">
        <v>13930</v>
      </c>
      <c r="U737" s="20">
        <v>15038</v>
      </c>
      <c r="V737" s="20">
        <v>4610</v>
      </c>
      <c r="W737" s="20">
        <v>5678.1428571428569</v>
      </c>
      <c r="Y737" s="19">
        <v>0.28360000000000002</v>
      </c>
      <c r="Z737" s="19">
        <v>3.4599999999999957E-2</v>
      </c>
      <c r="AB737" s="18">
        <v>260</v>
      </c>
    </row>
    <row r="738" spans="1:28" ht="15.75" customHeight="1" x14ac:dyDescent="0.2">
      <c r="A738" s="36" t="str">
        <f>HYPERLINK("https://www.thenicc.edu", "Nebraska Indian Community College")</f>
        <v>Nebraska Indian Community College</v>
      </c>
      <c r="B738" s="18" t="s">
        <v>49</v>
      </c>
      <c r="C738" s="18" t="s">
        <v>341</v>
      </c>
      <c r="D738" s="18" t="s">
        <v>1564</v>
      </c>
      <c r="E738" s="18" t="s">
        <v>36</v>
      </c>
      <c r="F738" s="18" t="s">
        <v>36</v>
      </c>
      <c r="J738" s="19"/>
      <c r="K738" s="19">
        <v>6.6699999999999995E-2</v>
      </c>
      <c r="L738" s="19" t="s">
        <v>36</v>
      </c>
      <c r="M738" s="19" t="s">
        <v>36</v>
      </c>
      <c r="N738" s="19" t="s">
        <v>36</v>
      </c>
      <c r="O738" s="19" t="s">
        <v>36</v>
      </c>
      <c r="P738" s="19" t="s">
        <v>36</v>
      </c>
      <c r="Q738" s="19" t="s">
        <v>36</v>
      </c>
      <c r="R738" s="20">
        <v>26041</v>
      </c>
      <c r="S738" s="21" t="str">
        <f>HYPERLINK("https://www.thenicc.edu/NetPriceCalculator/npcalc.htm", "$19343")</f>
        <v>$19343</v>
      </c>
      <c r="T738" s="20" t="s">
        <v>36</v>
      </c>
      <c r="U738" s="20" t="s">
        <v>36</v>
      </c>
      <c r="V738" s="20" t="s">
        <v>36</v>
      </c>
      <c r="W738" s="20" t="s">
        <v>36</v>
      </c>
      <c r="Y738" s="19">
        <v>0.38290000000000002</v>
      </c>
      <c r="Z738" s="19">
        <v>0.97619999999999996</v>
      </c>
      <c r="AB738" s="18">
        <v>126</v>
      </c>
    </row>
    <row r="739" spans="1:28" ht="15.75" customHeight="1" x14ac:dyDescent="0.2">
      <c r="A739" s="36" t="str">
        <f>HYPERLINK("https://www.ncstrades.edu", "New Castle School of Trades")</f>
        <v>New Castle School of Trades</v>
      </c>
      <c r="B739" s="18" t="s">
        <v>368</v>
      </c>
      <c r="C739" s="18" t="s">
        <v>65</v>
      </c>
      <c r="D739" s="18" t="s">
        <v>940</v>
      </c>
      <c r="E739" s="18" t="s">
        <v>36</v>
      </c>
      <c r="F739" s="18" t="s">
        <v>45</v>
      </c>
      <c r="J739" s="19"/>
      <c r="K739" s="19">
        <v>0.75370000000000004</v>
      </c>
      <c r="L739" s="19">
        <v>0.52816901399999994</v>
      </c>
      <c r="M739" s="19">
        <v>0.77229999999999999</v>
      </c>
      <c r="N739" s="19">
        <v>0.63829999999999998</v>
      </c>
      <c r="O739" s="19">
        <v>0.72729999999999995</v>
      </c>
      <c r="P739" s="19" t="s">
        <v>36</v>
      </c>
      <c r="Q739" s="19" t="s">
        <v>36</v>
      </c>
      <c r="R739" s="20" t="s">
        <v>36</v>
      </c>
      <c r="S739" s="21" t="str">
        <f>HYPERLINK("https://ncst.bitballoon.com/npc/npcalc.htm", "$7729")</f>
        <v>$7729</v>
      </c>
      <c r="T739" s="20">
        <v>9506</v>
      </c>
      <c r="U739" s="20" t="s">
        <v>36</v>
      </c>
      <c r="V739" s="20" t="s">
        <v>36</v>
      </c>
      <c r="W739" s="20" t="s">
        <v>36</v>
      </c>
      <c r="Y739" s="19">
        <v>0.68789999999999996</v>
      </c>
      <c r="Z739" s="19">
        <v>0.11799999999999999</v>
      </c>
      <c r="AB739" s="18">
        <v>763</v>
      </c>
    </row>
    <row r="740" spans="1:28" ht="15.75" customHeight="1" x14ac:dyDescent="0.2">
      <c r="A740" s="36" t="str">
        <f>HYPERLINK("https://www.neit.edu", "New England Institute of Technology")</f>
        <v>New England Institute of Technology</v>
      </c>
      <c r="B740" s="18" t="s">
        <v>32</v>
      </c>
      <c r="C740" s="18" t="s">
        <v>63</v>
      </c>
      <c r="D740" s="18" t="s">
        <v>1565</v>
      </c>
      <c r="E740" s="18" t="s">
        <v>36</v>
      </c>
      <c r="F740" s="18" t="s">
        <v>36</v>
      </c>
      <c r="J740" s="19"/>
      <c r="K740" s="19">
        <v>0.52410000000000001</v>
      </c>
      <c r="L740" s="19">
        <v>0.31310679600000002</v>
      </c>
      <c r="M740" s="19">
        <v>0.56399999999999995</v>
      </c>
      <c r="N740" s="19">
        <v>9.5200000000000007E-2</v>
      </c>
      <c r="O740" s="19">
        <v>0.36109999999999998</v>
      </c>
      <c r="P740" s="19">
        <v>0.71430000000000005</v>
      </c>
      <c r="Q740" s="19">
        <v>1.7795637E-2</v>
      </c>
      <c r="R740" s="20">
        <v>44642</v>
      </c>
      <c r="S740" s="21" t="str">
        <f>HYPERLINK("https://www.neit.edu/Financial-Aid/Net-Price-Calculator", "$29338")</f>
        <v>$29338</v>
      </c>
      <c r="T740" s="20">
        <v>32535</v>
      </c>
      <c r="U740" s="20">
        <v>33645</v>
      </c>
      <c r="V740" s="20">
        <v>4346</v>
      </c>
      <c r="W740" s="20">
        <v>24992</v>
      </c>
      <c r="Y740" s="19">
        <v>0.48230000000000001</v>
      </c>
      <c r="Z740" s="19">
        <v>0.57450000000000001</v>
      </c>
      <c r="AB740" s="18">
        <v>2658</v>
      </c>
    </row>
    <row r="741" spans="1:28" ht="15.75" customHeight="1" x14ac:dyDescent="0.2">
      <c r="A741" s="36" t="str">
        <f>HYPERLINK("https://www.nmjc.edu", "New Mexico Junior College")</f>
        <v>New Mexico Junior College</v>
      </c>
      <c r="B741" s="18" t="s">
        <v>49</v>
      </c>
      <c r="C741" s="18" t="s">
        <v>234</v>
      </c>
      <c r="D741" s="18" t="s">
        <v>1566</v>
      </c>
      <c r="E741" s="18" t="s">
        <v>36</v>
      </c>
      <c r="F741" s="18" t="s">
        <v>36</v>
      </c>
      <c r="J741" s="19"/>
      <c r="K741" s="19">
        <v>0.33329999999999999</v>
      </c>
      <c r="L741" s="19">
        <v>6.3136455999999994E-2</v>
      </c>
      <c r="M741" s="19">
        <v>0.35589999999999999</v>
      </c>
      <c r="N741" s="19">
        <v>0.26319999999999999</v>
      </c>
      <c r="O741" s="19">
        <v>0.34179999999999999</v>
      </c>
      <c r="P741" s="19" t="s">
        <v>36</v>
      </c>
      <c r="Q741" s="19">
        <v>6.0308555E-2</v>
      </c>
      <c r="R741" s="20">
        <v>9694</v>
      </c>
      <c r="S741" s="21" t="str">
        <f>HYPERLINK("https://www.nmjc.edu/NetPrice/npcalc.htm", "$7325")</f>
        <v>$7325</v>
      </c>
      <c r="T741" s="20" t="s">
        <v>36</v>
      </c>
      <c r="U741" s="20" t="s">
        <v>36</v>
      </c>
      <c r="V741" s="20">
        <v>3526</v>
      </c>
      <c r="W741" s="20">
        <v>3799.6571428571419</v>
      </c>
      <c r="Y741" s="19">
        <v>0.23449999999999999</v>
      </c>
      <c r="Z741" s="19">
        <v>0.67049999999999998</v>
      </c>
      <c r="AB741" s="18">
        <v>2182</v>
      </c>
    </row>
    <row r="742" spans="1:28" ht="15.75" customHeight="1" x14ac:dyDescent="0.2">
      <c r="A742" s="36" t="str">
        <f>HYPERLINK("https://www.nmmi.edu", "New Mexico Military Institute")</f>
        <v>New Mexico Military Institute</v>
      </c>
      <c r="B742" s="18" t="s">
        <v>49</v>
      </c>
      <c r="C742" s="18" t="s">
        <v>234</v>
      </c>
      <c r="D742" s="18" t="s">
        <v>719</v>
      </c>
      <c r="E742" s="18">
        <v>1015</v>
      </c>
      <c r="F742" s="18" t="s">
        <v>35</v>
      </c>
      <c r="J742" s="19"/>
      <c r="K742" s="19">
        <v>0.3271</v>
      </c>
      <c r="L742" s="19" t="s">
        <v>36</v>
      </c>
      <c r="M742" s="19">
        <v>0.31459999999999999</v>
      </c>
      <c r="N742" s="19">
        <v>0.27450000000000002</v>
      </c>
      <c r="O742" s="19">
        <v>0.33929999999999999</v>
      </c>
      <c r="P742" s="19">
        <v>0.71430000000000005</v>
      </c>
      <c r="Q742" s="19">
        <v>0.15555555600000001</v>
      </c>
      <c r="R742" s="20">
        <v>21726</v>
      </c>
      <c r="S742" s="21" t="str">
        <f>HYPERLINK("https://www.nmmi.edu/financial-aid-scholarships/net-price-calculator/", "$8680")</f>
        <v>$8680</v>
      </c>
      <c r="T742" s="20">
        <v>13226</v>
      </c>
      <c r="U742" s="20">
        <v>18566</v>
      </c>
      <c r="V742" s="20">
        <v>3100</v>
      </c>
      <c r="W742" s="20">
        <v>5580.5882352941171</v>
      </c>
      <c r="Y742" s="19">
        <v>0.37680000000000002</v>
      </c>
      <c r="Z742" s="19">
        <v>0.68740000000000001</v>
      </c>
      <c r="AB742" s="18">
        <v>419</v>
      </c>
    </row>
    <row r="743" spans="1:28" ht="15.75" customHeight="1" x14ac:dyDescent="0.2">
      <c r="A743" s="36" t="str">
        <f>HYPERLINK("https://nmsua.edu", "New Mexico State University-Alamogordo")</f>
        <v>New Mexico State University-Alamogordo</v>
      </c>
      <c r="B743" s="18" t="s">
        <v>49</v>
      </c>
      <c r="C743" s="18" t="s">
        <v>234</v>
      </c>
      <c r="D743" s="18" t="s">
        <v>1567</v>
      </c>
      <c r="E743" s="18" t="s">
        <v>36</v>
      </c>
      <c r="F743" s="18" t="s">
        <v>36</v>
      </c>
      <c r="J743" s="19"/>
      <c r="K743" s="19">
        <v>0.12</v>
      </c>
      <c r="L743" s="19">
        <v>0.296712109</v>
      </c>
      <c r="M743" s="19">
        <v>0.125</v>
      </c>
      <c r="N743" s="19">
        <v>0.125</v>
      </c>
      <c r="O743" s="19">
        <v>6.9400000000000003E-2</v>
      </c>
      <c r="P743" s="19">
        <v>1</v>
      </c>
      <c r="Q743" s="19">
        <v>4.1901292E-2</v>
      </c>
      <c r="R743" s="20">
        <v>18852</v>
      </c>
      <c r="S743" s="21" t="str">
        <f>HYPERLINK("https://fa.nmsu.edu/true-cost-calculator/", "$13480")</f>
        <v>$13480</v>
      </c>
      <c r="T743" s="20">
        <v>14690</v>
      </c>
      <c r="U743" s="20">
        <v>17868</v>
      </c>
      <c r="V743" s="20">
        <v>5012</v>
      </c>
      <c r="W743" s="20">
        <v>8468.8032786885233</v>
      </c>
      <c r="Y743" s="19">
        <v>0.41949999999999998</v>
      </c>
      <c r="Z743" s="19">
        <v>0.56210000000000004</v>
      </c>
      <c r="AB743" s="18">
        <v>717</v>
      </c>
    </row>
    <row r="744" spans="1:28" ht="15.75" customHeight="1" x14ac:dyDescent="0.2">
      <c r="A744" s="36" t="str">
        <f>HYPERLINK("https://carlsbad.nmsu.edu", "New Mexico State University-Carlsbad")</f>
        <v>New Mexico State University-Carlsbad</v>
      </c>
      <c r="B744" s="18" t="s">
        <v>49</v>
      </c>
      <c r="C744" s="18" t="s">
        <v>234</v>
      </c>
      <c r="D744" s="18" t="s">
        <v>1373</v>
      </c>
      <c r="E744" s="18" t="s">
        <v>36</v>
      </c>
      <c r="F744" s="18" t="s">
        <v>36</v>
      </c>
      <c r="J744" s="19"/>
      <c r="K744" s="19">
        <v>0.12859999999999999</v>
      </c>
      <c r="L744" s="19">
        <v>0.296712109</v>
      </c>
      <c r="M744" s="19">
        <v>0.18179999999999999</v>
      </c>
      <c r="N744" s="19">
        <v>0</v>
      </c>
      <c r="O744" s="19">
        <v>0.1</v>
      </c>
      <c r="P744" s="19">
        <v>0</v>
      </c>
      <c r="Q744" s="19">
        <v>4.1901292E-2</v>
      </c>
      <c r="R744" s="20">
        <v>21612</v>
      </c>
      <c r="S744" s="21" t="str">
        <f>HYPERLINK("https://fa.nmsu.edu/true-cost-calculator", "$15956")</f>
        <v>$15956</v>
      </c>
      <c r="T744" s="20">
        <v>19209</v>
      </c>
      <c r="U744" s="20">
        <v>20727</v>
      </c>
      <c r="V744" s="20">
        <v>5012</v>
      </c>
      <c r="W744" s="20">
        <v>10944.23728813559</v>
      </c>
      <c r="Y744" s="19">
        <v>0.25469999999999998</v>
      </c>
      <c r="Z744" s="19">
        <v>0.61840000000000006</v>
      </c>
      <c r="AB744" s="18">
        <v>705</v>
      </c>
    </row>
    <row r="745" spans="1:28" ht="15.75" customHeight="1" x14ac:dyDescent="0.2">
      <c r="A745" s="36" t="str">
        <f>HYPERLINK("https://dacc.nmsu.edu/", "New Mexico State University-Dona Ana")</f>
        <v>New Mexico State University-Dona Ana</v>
      </c>
      <c r="B745" s="18" t="s">
        <v>49</v>
      </c>
      <c r="C745" s="18" t="s">
        <v>234</v>
      </c>
      <c r="D745" s="18" t="s">
        <v>1005</v>
      </c>
      <c r="E745" s="18" t="s">
        <v>36</v>
      </c>
      <c r="F745" s="18" t="s">
        <v>36</v>
      </c>
      <c r="J745" s="19"/>
      <c r="K745" s="19">
        <v>0.15</v>
      </c>
      <c r="L745" s="19">
        <v>0.296712109</v>
      </c>
      <c r="M745" s="19">
        <v>0.14710000000000001</v>
      </c>
      <c r="N745" s="19">
        <v>7.1400000000000005E-2</v>
      </c>
      <c r="O745" s="19">
        <v>0.15</v>
      </c>
      <c r="P745" s="19">
        <v>0</v>
      </c>
      <c r="Q745" s="19">
        <v>4.1901292E-2</v>
      </c>
      <c r="R745" s="20">
        <v>19560</v>
      </c>
      <c r="S745" s="21" t="str">
        <f>HYPERLINK("https://fa.nmsu.edu/true-cost-calculator", "$13907")</f>
        <v>$13907</v>
      </c>
      <c r="T745" s="20">
        <v>16426</v>
      </c>
      <c r="U745" s="20">
        <v>18812</v>
      </c>
      <c r="V745" s="20">
        <v>5012</v>
      </c>
      <c r="W745" s="20">
        <v>8895</v>
      </c>
      <c r="Y745" s="19">
        <v>0.47549999999999998</v>
      </c>
      <c r="Z745" s="19">
        <v>0.85230000000000006</v>
      </c>
      <c r="AB745" s="18">
        <v>5600</v>
      </c>
    </row>
    <row r="746" spans="1:28" ht="15.75" customHeight="1" x14ac:dyDescent="0.2">
      <c r="A746" s="36" t="str">
        <f>HYPERLINK("https://grants.nmsu.edu/", "New Mexico State University-Grants")</f>
        <v>New Mexico State University-Grants</v>
      </c>
      <c r="B746" s="18" t="s">
        <v>49</v>
      </c>
      <c r="C746" s="18" t="s">
        <v>234</v>
      </c>
      <c r="D746" s="18" t="s">
        <v>1568</v>
      </c>
      <c r="E746" s="18" t="s">
        <v>36</v>
      </c>
      <c r="F746" s="18" t="s">
        <v>36</v>
      </c>
      <c r="J746" s="19"/>
      <c r="K746" s="19">
        <v>0.23330000000000001</v>
      </c>
      <c r="L746" s="19">
        <v>0.296712109</v>
      </c>
      <c r="M746" s="19">
        <v>0.5</v>
      </c>
      <c r="N746" s="19" t="s">
        <v>36</v>
      </c>
      <c r="O746" s="19">
        <v>0.13789999999999999</v>
      </c>
      <c r="P746" s="19">
        <v>0.5</v>
      </c>
      <c r="Q746" s="19">
        <v>4.1901292E-2</v>
      </c>
      <c r="R746" s="20">
        <v>16660</v>
      </c>
      <c r="S746" s="21" t="str">
        <f>HYPERLINK("https://fa.nmsu.edu/true-cost-calculator", "$10619")</f>
        <v>$10619</v>
      </c>
      <c r="T746" s="20">
        <v>11540</v>
      </c>
      <c r="U746" s="20" t="s">
        <v>36</v>
      </c>
      <c r="V746" s="20">
        <v>5012</v>
      </c>
      <c r="W746" s="20">
        <v>5607.7000000000007</v>
      </c>
      <c r="Y746" s="19">
        <v>0.34110000000000001</v>
      </c>
      <c r="Z746" s="19">
        <v>0.82640000000000002</v>
      </c>
      <c r="AB746" s="18">
        <v>288</v>
      </c>
    </row>
    <row r="747" spans="1:28" ht="15.75" customHeight="1" x14ac:dyDescent="0.2">
      <c r="A747" s="36" t="str">
        <f>HYPERLINK("https://www.nr.edu", "New River Community College")</f>
        <v>New River Community College</v>
      </c>
      <c r="B747" s="18" t="s">
        <v>49</v>
      </c>
      <c r="C747" s="18" t="s">
        <v>83</v>
      </c>
      <c r="D747" s="18" t="s">
        <v>972</v>
      </c>
      <c r="E747" s="18" t="s">
        <v>36</v>
      </c>
      <c r="F747" s="18" t="s">
        <v>36</v>
      </c>
      <c r="J747" s="19"/>
      <c r="K747" s="19">
        <v>0.2984</v>
      </c>
      <c r="L747" s="19">
        <v>0.23209549099999999</v>
      </c>
      <c r="M747" s="19">
        <v>0.315</v>
      </c>
      <c r="N747" s="19">
        <v>0.17860000000000001</v>
      </c>
      <c r="O747" s="19">
        <v>0.375</v>
      </c>
      <c r="P747" s="19">
        <v>0</v>
      </c>
      <c r="Q747" s="19">
        <v>0.100515464</v>
      </c>
      <c r="R747" s="20">
        <v>21533</v>
      </c>
      <c r="S747" s="21" t="str">
        <f>HYPERLINK("https://www.vawizard.org/wizard/npc", "$15386")</f>
        <v>$15386</v>
      </c>
      <c r="T747" s="20">
        <v>17186</v>
      </c>
      <c r="U747" s="20">
        <v>20507</v>
      </c>
      <c r="V747" s="20">
        <v>6420</v>
      </c>
      <c r="W747" s="20">
        <v>8966.6825396825407</v>
      </c>
      <c r="Y747" s="19">
        <v>0.27539999999999998</v>
      </c>
      <c r="Z747" s="19">
        <v>0.16900000000000001</v>
      </c>
      <c r="AB747" s="18">
        <v>2444</v>
      </c>
    </row>
    <row r="748" spans="1:28" ht="15.75" customHeight="1" x14ac:dyDescent="0.2">
      <c r="A748" s="36" t="str">
        <f>HYPERLINK("https://www.newriver.edu", "New River Community and Technical College")</f>
        <v>New River Community and Technical College</v>
      </c>
      <c r="B748" s="18" t="s">
        <v>49</v>
      </c>
      <c r="C748" s="18" t="s">
        <v>574</v>
      </c>
      <c r="D748" s="18" t="s">
        <v>1569</v>
      </c>
      <c r="E748" s="18" t="s">
        <v>36</v>
      </c>
      <c r="F748" s="18" t="s">
        <v>36</v>
      </c>
      <c r="J748" s="19"/>
      <c r="K748" s="19">
        <v>0.17660000000000001</v>
      </c>
      <c r="L748" s="19">
        <v>5.2738337000000003E-2</v>
      </c>
      <c r="M748" s="19">
        <v>0.17979999999999999</v>
      </c>
      <c r="N748" s="19">
        <v>0.1429</v>
      </c>
      <c r="O748" s="19">
        <v>0</v>
      </c>
      <c r="P748" s="19">
        <v>0</v>
      </c>
      <c r="Q748" s="19">
        <v>6.2547099000000009E-2</v>
      </c>
      <c r="R748" s="20">
        <v>12884</v>
      </c>
      <c r="S748" s="21" t="str">
        <f>HYPERLINK("https://www.newriver.edu/wp-content/uploads/2017/11/npcalc.htm", "$10019")</f>
        <v>$10019</v>
      </c>
      <c r="T748" s="20">
        <v>9968</v>
      </c>
      <c r="U748" s="20">
        <v>12328</v>
      </c>
      <c r="V748" s="20">
        <v>3850</v>
      </c>
      <c r="W748" s="20">
        <v>6169.7937219730939</v>
      </c>
      <c r="Y748" s="19">
        <v>0.56610000000000005</v>
      </c>
      <c r="Z748" s="19">
        <v>0.1124000000000001</v>
      </c>
      <c r="AB748" s="18">
        <v>961</v>
      </c>
    </row>
    <row r="749" spans="1:28" ht="15.75" customHeight="1" x14ac:dyDescent="0.2">
      <c r="A749" s="36" t="str">
        <f>HYPERLINK("https://www.nycollege.edu", "New York College of Health Professions")</f>
        <v>New York College of Health Professions</v>
      </c>
      <c r="B749" s="18" t="s">
        <v>32</v>
      </c>
      <c r="C749" s="18" t="s">
        <v>38</v>
      </c>
      <c r="D749" s="18" t="s">
        <v>1570</v>
      </c>
      <c r="E749" s="18" t="s">
        <v>36</v>
      </c>
      <c r="F749" s="18" t="s">
        <v>36</v>
      </c>
      <c r="J749" s="19"/>
      <c r="K749" s="19">
        <v>0.4355</v>
      </c>
      <c r="L749" s="19">
        <v>0.29113924099999999</v>
      </c>
      <c r="M749" s="19">
        <v>0.56669999999999998</v>
      </c>
      <c r="N749" s="19">
        <v>0.1</v>
      </c>
      <c r="O749" s="19">
        <v>0.5</v>
      </c>
      <c r="P749" s="19">
        <v>0.5</v>
      </c>
      <c r="Q749" s="19" t="s">
        <v>36</v>
      </c>
      <c r="R749" s="20">
        <v>30196</v>
      </c>
      <c r="S749" s="21" t="str">
        <f>HYPERLINK("https://www.nycollege.edu", "$20477")</f>
        <v>$20477</v>
      </c>
      <c r="T749" s="20" t="s">
        <v>36</v>
      </c>
      <c r="U749" s="20">
        <v>26378</v>
      </c>
      <c r="V749" s="20">
        <v>3970</v>
      </c>
      <c r="W749" s="20">
        <v>16507</v>
      </c>
      <c r="Y749" s="19">
        <v>0.62890000000000001</v>
      </c>
      <c r="Z749" s="19">
        <v>0.66049999999999998</v>
      </c>
      <c r="AB749" s="18">
        <v>380</v>
      </c>
    </row>
    <row r="750" spans="1:28" ht="15.75" customHeight="1" x14ac:dyDescent="0.2">
      <c r="A750" s="36" t="str">
        <f>HYPERLINK("https://www.nycda.edu", "New York Conservatory for Dramatic Arts")</f>
        <v>New York Conservatory for Dramatic Arts</v>
      </c>
      <c r="B750" s="18" t="s">
        <v>368</v>
      </c>
      <c r="C750" s="18" t="s">
        <v>38</v>
      </c>
      <c r="D750" s="18" t="s">
        <v>39</v>
      </c>
      <c r="E750" s="18" t="s">
        <v>36</v>
      </c>
      <c r="F750" s="18" t="s">
        <v>90</v>
      </c>
      <c r="J750" s="19"/>
      <c r="K750" s="19">
        <v>0.75860000000000005</v>
      </c>
      <c r="L750" s="19">
        <v>0.48214285699999998</v>
      </c>
      <c r="M750" s="19">
        <v>0.79169999999999996</v>
      </c>
      <c r="N750" s="19">
        <v>0.66669999999999996</v>
      </c>
      <c r="O750" s="19">
        <v>0.63639999999999997</v>
      </c>
      <c r="P750" s="19">
        <v>1</v>
      </c>
      <c r="Q750" s="19" t="s">
        <v>36</v>
      </c>
      <c r="R750" s="20">
        <v>36167</v>
      </c>
      <c r="S750" s="21" t="str">
        <f>HYPERLINK("https://npc.collegeboard.org/student/app/sft/", "$33366")</f>
        <v>$33366</v>
      </c>
      <c r="T750" s="20">
        <v>37908</v>
      </c>
      <c r="U750" s="20">
        <v>39640</v>
      </c>
      <c r="V750" s="20">
        <v>2925</v>
      </c>
      <c r="W750" s="20">
        <v>30441</v>
      </c>
      <c r="Y750" s="19">
        <v>0.39179999999999998</v>
      </c>
      <c r="Z750" s="19">
        <v>0.59489999999999998</v>
      </c>
      <c r="AB750" s="18">
        <v>237</v>
      </c>
    </row>
    <row r="751" spans="1:28" ht="15.75" customHeight="1" x14ac:dyDescent="0.2">
      <c r="A751" s="36" t="str">
        <f>HYPERLINK("https://www.niagaracc.suny.edu", "SUNY Niagara County Community College")</f>
        <v>SUNY Niagara County Community College</v>
      </c>
      <c r="B751" s="18" t="s">
        <v>49</v>
      </c>
      <c r="C751" s="18" t="s">
        <v>38</v>
      </c>
      <c r="D751" s="18" t="s">
        <v>1571</v>
      </c>
      <c r="E751" s="18" t="s">
        <v>36</v>
      </c>
      <c r="F751" s="18" t="s">
        <v>36</v>
      </c>
      <c r="G751" s="18" t="s">
        <v>51</v>
      </c>
      <c r="I751" s="18" t="s">
        <v>1572</v>
      </c>
      <c r="J751" s="19"/>
      <c r="K751" s="19">
        <v>0.29899999999999999</v>
      </c>
      <c r="L751" s="19">
        <v>0.26011560700000003</v>
      </c>
      <c r="M751" s="19">
        <v>0.33500000000000002</v>
      </c>
      <c r="N751" s="19">
        <v>0.14449999999999999</v>
      </c>
      <c r="O751" s="19">
        <v>0.21429999999999999</v>
      </c>
      <c r="P751" s="19">
        <v>0</v>
      </c>
      <c r="Q751" s="19">
        <v>6.1609388000000001E-2</v>
      </c>
      <c r="R751" s="20">
        <v>18946</v>
      </c>
      <c r="S751" s="21" t="str">
        <f>HYPERLINK("https://www.suny.edu/howmuch/netpricecalculator.xhtml?id=59", "$4046")</f>
        <v>$4046</v>
      </c>
      <c r="T751" s="20">
        <v>8605</v>
      </c>
      <c r="U751" s="20">
        <v>10445</v>
      </c>
      <c r="V751" s="20">
        <v>3050</v>
      </c>
      <c r="W751" s="20">
        <v>996</v>
      </c>
      <c r="Y751" s="19">
        <v>0.38379999999999997</v>
      </c>
      <c r="Z751" s="19">
        <v>0.245</v>
      </c>
      <c r="AB751" s="18">
        <v>4073</v>
      </c>
    </row>
    <row r="752" spans="1:28" ht="15.75" customHeight="1" x14ac:dyDescent="0.2">
      <c r="A752" s="36" t="str">
        <f>HYPERLINK("https://www.nightingale.edu", "Nightingale College")</f>
        <v>Nightingale College</v>
      </c>
      <c r="B752" s="18" t="s">
        <v>368</v>
      </c>
      <c r="C752" s="18" t="s">
        <v>199</v>
      </c>
      <c r="D752" s="18" t="s">
        <v>525</v>
      </c>
      <c r="E752" s="18" t="s">
        <v>36</v>
      </c>
      <c r="F752" s="18" t="s">
        <v>36</v>
      </c>
      <c r="J752" s="19"/>
      <c r="K752" s="19">
        <v>0.75</v>
      </c>
      <c r="L752" s="19" t="s">
        <v>36</v>
      </c>
      <c r="M752" s="19">
        <v>0.75</v>
      </c>
      <c r="N752" s="19" t="s">
        <v>36</v>
      </c>
      <c r="O752" s="19" t="s">
        <v>36</v>
      </c>
      <c r="P752" s="19" t="s">
        <v>36</v>
      </c>
      <c r="Q752" s="19" t="s">
        <v>36</v>
      </c>
      <c r="R752" s="20" t="s">
        <v>36</v>
      </c>
      <c r="S752" s="21" t="str">
        <f>HYPERLINK("https://www.nightingale.edu/net-price-calculator", "$35059")</f>
        <v>$35059</v>
      </c>
      <c r="T752" s="20">
        <v>36480</v>
      </c>
      <c r="U752" s="20">
        <v>38412</v>
      </c>
      <c r="V752" s="20" t="s">
        <v>36</v>
      </c>
      <c r="W752" s="20" t="s">
        <v>36</v>
      </c>
      <c r="Y752" s="19">
        <v>0.49009999999999998</v>
      </c>
      <c r="Z752" s="19">
        <v>0.20860000000000001</v>
      </c>
      <c r="AB752" s="18">
        <v>326</v>
      </c>
    </row>
    <row r="753" spans="1:28" ht="15.75" customHeight="1" x14ac:dyDescent="0.2">
      <c r="A753" s="36" t="str">
        <f>HYPERLINK("https://www.norcocollege.edu/Pages/index.aspx", "Norco College")</f>
        <v>Norco College</v>
      </c>
      <c r="B753" s="18" t="s">
        <v>49</v>
      </c>
      <c r="C753" s="18" t="s">
        <v>68</v>
      </c>
      <c r="D753" s="18" t="s">
        <v>1573</v>
      </c>
      <c r="E753" s="18" t="s">
        <v>36</v>
      </c>
      <c r="F753" s="18" t="s">
        <v>36</v>
      </c>
      <c r="J753" s="19"/>
      <c r="K753" s="19">
        <v>0.24299999999999999</v>
      </c>
      <c r="L753" s="19" t="s">
        <v>36</v>
      </c>
      <c r="M753" s="19">
        <v>0.27639999999999998</v>
      </c>
      <c r="N753" s="19">
        <v>0.17860000000000001</v>
      </c>
      <c r="O753" s="19">
        <v>0.23050000000000001</v>
      </c>
      <c r="P753" s="19">
        <v>0.41670000000000001</v>
      </c>
      <c r="Q753" s="19" t="s">
        <v>36</v>
      </c>
      <c r="R753" s="20">
        <v>31220</v>
      </c>
      <c r="S753" s="21" t="str">
        <f>HYPERLINK("https://misweb.cccco.edu/npc/963/npcalc.htm", "$25045")</f>
        <v>$25045</v>
      </c>
      <c r="T753" s="20">
        <v>27800</v>
      </c>
      <c r="U753" s="20" t="s">
        <v>36</v>
      </c>
      <c r="V753" s="20">
        <v>6094</v>
      </c>
      <c r="W753" s="20">
        <v>18951.389261744971</v>
      </c>
      <c r="Y753" s="19">
        <v>0.2268</v>
      </c>
      <c r="Z753" s="19">
        <v>0.75960000000000005</v>
      </c>
      <c r="AB753" s="18">
        <v>8647</v>
      </c>
    </row>
    <row r="754" spans="1:28" ht="15.75" customHeight="1" x14ac:dyDescent="0.2">
      <c r="A754" s="36" t="str">
        <f>HYPERLINK("https://www.normandale.edu", "Normandale Community College")</f>
        <v>Normandale Community College</v>
      </c>
      <c r="B754" s="18" t="s">
        <v>49</v>
      </c>
      <c r="C754" s="18" t="s">
        <v>72</v>
      </c>
      <c r="D754" s="18" t="s">
        <v>225</v>
      </c>
      <c r="E754" s="18" t="s">
        <v>36</v>
      </c>
      <c r="F754" s="18" t="s">
        <v>36</v>
      </c>
      <c r="J754" s="19"/>
      <c r="K754" s="19">
        <v>0.2626</v>
      </c>
      <c r="L754" s="19">
        <v>0.16738995700000001</v>
      </c>
      <c r="M754" s="19">
        <v>0.31950000000000001</v>
      </c>
      <c r="N754" s="19">
        <v>0.14169999999999999</v>
      </c>
      <c r="O754" s="19">
        <v>0.1263</v>
      </c>
      <c r="P754" s="19">
        <v>0.33329999999999999</v>
      </c>
      <c r="Q754" s="19">
        <v>0.15293383299999999</v>
      </c>
      <c r="R754" s="20">
        <v>21972</v>
      </c>
      <c r="S754" s="21" t="str">
        <f>HYPERLINK("https://www.minnstate.edu/admissions/calculator/normandale.html", "$16380")</f>
        <v>$16380</v>
      </c>
      <c r="T754" s="20">
        <v>18205</v>
      </c>
      <c r="U754" s="20">
        <v>20662</v>
      </c>
      <c r="V754" s="20">
        <v>8136</v>
      </c>
      <c r="W754" s="20">
        <v>8244.0468227424753</v>
      </c>
      <c r="Y754" s="19">
        <v>0.28720000000000001</v>
      </c>
      <c r="Z754" s="19">
        <v>0.46160000000000001</v>
      </c>
      <c r="AB754" s="18">
        <v>7222</v>
      </c>
    </row>
    <row r="755" spans="1:28" ht="15.75" customHeight="1" x14ac:dyDescent="0.2">
      <c r="A755" s="36" t="str">
        <f>HYPERLINK("https://www.ncmich.edu", "North Central Michigan College")</f>
        <v>North Central Michigan College</v>
      </c>
      <c r="B755" s="18" t="s">
        <v>49</v>
      </c>
      <c r="C755" s="18" t="s">
        <v>226</v>
      </c>
      <c r="D755" s="18" t="s">
        <v>1574</v>
      </c>
      <c r="E755" s="18" t="s">
        <v>36</v>
      </c>
      <c r="F755" s="18" t="s">
        <v>36</v>
      </c>
      <c r="J755" s="19"/>
      <c r="K755" s="19">
        <v>0.1762</v>
      </c>
      <c r="L755" s="19">
        <v>0.26036484300000001</v>
      </c>
      <c r="M755" s="19">
        <v>0.2054</v>
      </c>
      <c r="N755" s="19">
        <v>0</v>
      </c>
      <c r="O755" s="19">
        <v>8.3299999999999999E-2</v>
      </c>
      <c r="P755" s="19">
        <v>0.5</v>
      </c>
      <c r="Q755" s="19">
        <v>5.4209919000000002E-2</v>
      </c>
      <c r="R755" s="20">
        <v>16702</v>
      </c>
      <c r="S755" s="21" t="str">
        <f>HYPERLINK("https://www.ncmich.edu", "$10183")</f>
        <v>$10183</v>
      </c>
      <c r="T755" s="20">
        <v>12533</v>
      </c>
      <c r="U755" s="20">
        <v>14874</v>
      </c>
      <c r="V755" s="20">
        <v>2520</v>
      </c>
      <c r="W755" s="20">
        <v>7663.3666666666668</v>
      </c>
      <c r="Y755" s="19">
        <v>0.34720000000000001</v>
      </c>
      <c r="Z755" s="19">
        <v>0.16919999999999999</v>
      </c>
      <c r="AB755" s="18">
        <v>1578</v>
      </c>
    </row>
    <row r="756" spans="1:28" ht="15.75" customHeight="1" x14ac:dyDescent="0.2">
      <c r="A756" s="36" t="str">
        <f>HYPERLINK("https://www.ncmissouri.edu", "North Central Missouri College")</f>
        <v>North Central Missouri College</v>
      </c>
      <c r="B756" s="18" t="s">
        <v>49</v>
      </c>
      <c r="C756" s="18" t="s">
        <v>164</v>
      </c>
      <c r="D756" s="18" t="s">
        <v>1245</v>
      </c>
      <c r="E756" s="18" t="s">
        <v>36</v>
      </c>
      <c r="F756" s="18" t="s">
        <v>36</v>
      </c>
      <c r="J756" s="19"/>
      <c r="K756" s="19">
        <v>0.41389999999999999</v>
      </c>
      <c r="L756" s="19">
        <v>0.26479750800000001</v>
      </c>
      <c r="M756" s="19">
        <v>0.42570000000000002</v>
      </c>
      <c r="N756" s="19">
        <v>0.22220000000000001</v>
      </c>
      <c r="O756" s="19">
        <v>0.2</v>
      </c>
      <c r="P756" s="19" t="s">
        <v>36</v>
      </c>
      <c r="Q756" s="19">
        <v>7.1090047000000003E-2</v>
      </c>
      <c r="R756" s="20">
        <v>17088</v>
      </c>
      <c r="S756" s="21" t="str">
        <f>HYPERLINK("https://www.ncmissouri.edu/financialaid/netpricecalculator", "$11226")</f>
        <v>$11226</v>
      </c>
      <c r="T756" s="20">
        <v>12984</v>
      </c>
      <c r="U756" s="20">
        <v>14467</v>
      </c>
      <c r="V756" s="20">
        <v>4942</v>
      </c>
      <c r="W756" s="20">
        <v>6284.7637795275587</v>
      </c>
      <c r="Y756" s="19">
        <v>0.34770000000000001</v>
      </c>
      <c r="Z756" s="19">
        <v>0.12549999999999989</v>
      </c>
      <c r="AB756" s="18">
        <v>1171</v>
      </c>
    </row>
    <row r="757" spans="1:28" ht="15.75" customHeight="1" x14ac:dyDescent="0.2">
      <c r="A757" s="36" t="str">
        <f>HYPERLINK("https://www.ncstatecollege.edu", "North Central State College")</f>
        <v>North Central State College</v>
      </c>
      <c r="B757" s="18" t="s">
        <v>49</v>
      </c>
      <c r="C757" s="18" t="s">
        <v>75</v>
      </c>
      <c r="D757" s="18" t="s">
        <v>777</v>
      </c>
      <c r="E757" s="18" t="s">
        <v>36</v>
      </c>
      <c r="F757" s="18" t="s">
        <v>36</v>
      </c>
      <c r="J757" s="19"/>
      <c r="K757" s="19">
        <v>0.19089999999999999</v>
      </c>
      <c r="L757" s="19">
        <v>0.152698048</v>
      </c>
      <c r="M757" s="19">
        <v>0.2077</v>
      </c>
      <c r="N757" s="19">
        <v>0</v>
      </c>
      <c r="O757" s="19">
        <v>0</v>
      </c>
      <c r="P757" s="19" t="s">
        <v>36</v>
      </c>
      <c r="Q757" s="19">
        <v>4.7921071000000003E-2</v>
      </c>
      <c r="R757" s="20">
        <v>15875</v>
      </c>
      <c r="S757" s="21" t="str">
        <f>HYPERLINK("https://www.ncstatecollege.edu/cms/financial-aid/cost/net-price-calculator", "$10898")</f>
        <v>$10898</v>
      </c>
      <c r="T757" s="20">
        <v>12969</v>
      </c>
      <c r="U757" s="20">
        <v>14320</v>
      </c>
      <c r="V757" s="20">
        <v>3792</v>
      </c>
      <c r="W757" s="20">
        <v>7106.6339285714284</v>
      </c>
      <c r="Y757" s="19">
        <v>0.28760000000000002</v>
      </c>
      <c r="Z757" s="19">
        <v>0.14570000000000011</v>
      </c>
      <c r="AB757" s="18">
        <v>1798</v>
      </c>
    </row>
    <row r="758" spans="1:28" ht="15.75" customHeight="1" x14ac:dyDescent="0.2">
      <c r="A758" s="36" t="str">
        <f>HYPERLINK("https://www.nctc.edu", "North Central Texas College")</f>
        <v>North Central Texas College</v>
      </c>
      <c r="B758" s="18" t="s">
        <v>49</v>
      </c>
      <c r="C758" s="18" t="s">
        <v>146</v>
      </c>
      <c r="D758" s="18" t="s">
        <v>277</v>
      </c>
      <c r="E758" s="18" t="s">
        <v>36</v>
      </c>
      <c r="F758" s="18" t="s">
        <v>36</v>
      </c>
      <c r="J758" s="19"/>
      <c r="K758" s="19">
        <v>0.14510000000000001</v>
      </c>
      <c r="L758" s="19">
        <v>9.7560975999999994E-2</v>
      </c>
      <c r="M758" s="19">
        <v>0.14860000000000001</v>
      </c>
      <c r="N758" s="19">
        <v>9.5899999999999999E-2</v>
      </c>
      <c r="O758" s="19">
        <v>0.16020000000000001</v>
      </c>
      <c r="P758" s="19">
        <v>0.1071</v>
      </c>
      <c r="Q758" s="19">
        <v>0.15006412999999999</v>
      </c>
      <c r="R758" s="20">
        <v>14756</v>
      </c>
      <c r="S758" s="21" t="str">
        <f>HYPERLINK("https://www.collegeforalltexans.com/apps/CollegeMoney/", "$9405")</f>
        <v>$9405</v>
      </c>
      <c r="T758" s="20">
        <v>11579</v>
      </c>
      <c r="U758" s="20">
        <v>14267</v>
      </c>
      <c r="V758" s="20">
        <v>4786</v>
      </c>
      <c r="W758" s="20">
        <v>4619.8428571428558</v>
      </c>
      <c r="Y758" s="19">
        <v>0.26640000000000003</v>
      </c>
      <c r="Z758" s="19">
        <v>0.41339999999999999</v>
      </c>
      <c r="AB758" s="18">
        <v>9980</v>
      </c>
    </row>
    <row r="759" spans="1:28" ht="15.75" customHeight="1" x14ac:dyDescent="0.2">
      <c r="A759" s="36" t="str">
        <f>HYPERLINK("https://www.nccc.edu", "SUNY North Country Community College")</f>
        <v>SUNY North Country Community College</v>
      </c>
      <c r="B759" s="18" t="s">
        <v>49</v>
      </c>
      <c r="C759" s="18" t="s">
        <v>38</v>
      </c>
      <c r="D759" s="18" t="s">
        <v>1575</v>
      </c>
      <c r="E759" s="18" t="s">
        <v>36</v>
      </c>
      <c r="F759" s="18" t="s">
        <v>36</v>
      </c>
      <c r="J759" s="19"/>
      <c r="K759" s="19">
        <v>0.34670000000000001</v>
      </c>
      <c r="L759" s="19">
        <v>0.20731707299999999</v>
      </c>
      <c r="M759" s="19">
        <v>0.38790000000000002</v>
      </c>
      <c r="N759" s="19">
        <v>0.28570000000000001</v>
      </c>
      <c r="O759" s="19" t="s">
        <v>36</v>
      </c>
      <c r="P759" s="19">
        <v>0.4</v>
      </c>
      <c r="Q759" s="19">
        <v>5.6360709000000002E-2</v>
      </c>
      <c r="R759" s="20">
        <v>19264</v>
      </c>
      <c r="S759" s="21" t="str">
        <f>HYPERLINK("https://www.suny.edu/smarttrack/net-price-calculator/", "$8375")</f>
        <v>$8375</v>
      </c>
      <c r="T759" s="20">
        <v>13006</v>
      </c>
      <c r="U759" s="20">
        <v>14814</v>
      </c>
      <c r="V759" s="20">
        <v>3700</v>
      </c>
      <c r="W759" s="20">
        <v>4675</v>
      </c>
      <c r="Y759" s="19">
        <v>0.27960000000000002</v>
      </c>
      <c r="Z759" s="19">
        <v>0.36180000000000001</v>
      </c>
      <c r="AB759" s="18">
        <v>995</v>
      </c>
    </row>
    <row r="760" spans="1:28" ht="15.75" customHeight="1" x14ac:dyDescent="0.2">
      <c r="A760" s="36" t="str">
        <f>HYPERLINK("https://www.ndscs.edu", "North Dakota State College of Science")</f>
        <v>North Dakota State College of Science</v>
      </c>
      <c r="B760" s="18" t="s">
        <v>49</v>
      </c>
      <c r="C760" s="18" t="s">
        <v>730</v>
      </c>
      <c r="D760" s="18" t="s">
        <v>1576</v>
      </c>
      <c r="E760" s="18" t="s">
        <v>36</v>
      </c>
      <c r="F760" s="18" t="s">
        <v>36</v>
      </c>
      <c r="J760" s="19"/>
      <c r="K760" s="19">
        <v>0.50660000000000005</v>
      </c>
      <c r="L760" s="19">
        <v>0.28919860600000002</v>
      </c>
      <c r="M760" s="19">
        <v>0.57169999999999999</v>
      </c>
      <c r="N760" s="19">
        <v>0.16669999999999999</v>
      </c>
      <c r="O760" s="19">
        <v>0.2</v>
      </c>
      <c r="P760" s="19">
        <v>0</v>
      </c>
      <c r="Q760" s="19">
        <v>4.7619047999999997E-2</v>
      </c>
      <c r="R760" s="20">
        <v>22430</v>
      </c>
      <c r="S760" s="21" t="str">
        <f>HYPERLINK("https://www.ndscs.edu/paying-for-college/financial-aid/net-price-calculator/", "$15722")</f>
        <v>$15722</v>
      </c>
      <c r="T760" s="20">
        <v>18771</v>
      </c>
      <c r="U760" s="20">
        <v>21017</v>
      </c>
      <c r="V760" s="20">
        <v>4402</v>
      </c>
      <c r="W760" s="20">
        <v>11320.176470588231</v>
      </c>
      <c r="Y760" s="19">
        <v>0.24610000000000001</v>
      </c>
      <c r="Z760" s="19">
        <v>0.2044</v>
      </c>
      <c r="AB760" s="18">
        <v>2109</v>
      </c>
    </row>
    <row r="761" spans="1:28" ht="15.75" customHeight="1" x14ac:dyDescent="0.2">
      <c r="A761" s="36" t="str">
        <f>HYPERLINK("https://www.nfcc.edu", "North Florida Community College")</f>
        <v>North Florida Community College</v>
      </c>
      <c r="B761" s="18" t="s">
        <v>49</v>
      </c>
      <c r="C761" s="18" t="s">
        <v>162</v>
      </c>
      <c r="D761" s="18" t="s">
        <v>295</v>
      </c>
      <c r="E761" s="18" t="s">
        <v>36</v>
      </c>
      <c r="F761" s="18" t="s">
        <v>36</v>
      </c>
      <c r="J761" s="19"/>
      <c r="K761" s="19">
        <v>0.41670000000000001</v>
      </c>
      <c r="L761" s="19" t="s">
        <v>36</v>
      </c>
      <c r="M761" s="19">
        <v>0.48</v>
      </c>
      <c r="N761" s="19">
        <v>0.18920000000000001</v>
      </c>
      <c r="O761" s="19">
        <v>0.4375</v>
      </c>
      <c r="P761" s="19">
        <v>1</v>
      </c>
      <c r="Q761" s="19">
        <v>0.113744076</v>
      </c>
      <c r="R761" s="20">
        <v>21100</v>
      </c>
      <c r="S761" s="21" t="str">
        <f>HYPERLINK("https://www.nfcc.edu/getting-started/NetPriceCalculator/npcalc.htm", "$15110")</f>
        <v>$15110</v>
      </c>
      <c r="T761" s="20">
        <v>16476</v>
      </c>
      <c r="U761" s="20">
        <v>18050</v>
      </c>
      <c r="V761" s="20">
        <v>4300</v>
      </c>
      <c r="W761" s="20">
        <v>10810.36</v>
      </c>
      <c r="Y761" s="19">
        <v>0.43880000000000002</v>
      </c>
      <c r="Z761" s="19">
        <v>0.34539999999999998</v>
      </c>
      <c r="AB761" s="18">
        <v>915</v>
      </c>
    </row>
    <row r="762" spans="1:28" ht="15.75" customHeight="1" x14ac:dyDescent="0.2">
      <c r="A762" s="36" t="str">
        <f>HYPERLINK("https://www.nhcc.edu", "North Hennepin Community College")</f>
        <v>North Hennepin Community College</v>
      </c>
      <c r="B762" s="18" t="s">
        <v>49</v>
      </c>
      <c r="C762" s="18" t="s">
        <v>72</v>
      </c>
      <c r="D762" s="18" t="s">
        <v>1577</v>
      </c>
      <c r="E762" s="18" t="s">
        <v>36</v>
      </c>
      <c r="F762" s="18" t="s">
        <v>36</v>
      </c>
      <c r="J762" s="19"/>
      <c r="K762" s="19">
        <v>0.191</v>
      </c>
      <c r="L762" s="19">
        <v>0.18597997099999999</v>
      </c>
      <c r="M762" s="19">
        <v>0.22650000000000001</v>
      </c>
      <c r="N762" s="19">
        <v>7.0599999999999996E-2</v>
      </c>
      <c r="O762" s="19">
        <v>0.19350000000000001</v>
      </c>
      <c r="P762" s="19">
        <v>0.23680000000000001</v>
      </c>
      <c r="Q762" s="19">
        <v>9.1863516999999992E-2</v>
      </c>
      <c r="R762" s="20">
        <v>19484</v>
      </c>
      <c r="S762" s="21" t="str">
        <f>HYPERLINK("https://www.nhcc.edu/about-nhcc/policies-procedures-disclosures/disclosures/net-price-calculator", "$14238")</f>
        <v>$14238</v>
      </c>
      <c r="T762" s="20">
        <v>16039</v>
      </c>
      <c r="U762" s="20">
        <v>18901</v>
      </c>
      <c r="V762" s="20">
        <v>7060</v>
      </c>
      <c r="W762" s="20">
        <v>7178.9718309859163</v>
      </c>
      <c r="Y762" s="19">
        <v>0.37380000000000002</v>
      </c>
      <c r="Z762" s="19">
        <v>0.5726</v>
      </c>
      <c r="AB762" s="18">
        <v>5124</v>
      </c>
    </row>
    <row r="763" spans="1:28" ht="15.75" customHeight="1" x14ac:dyDescent="0.2">
      <c r="A763" s="36" t="str">
        <f>HYPERLINK("https://www.nic.edu/", "North Idaho College")</f>
        <v>North Idaho College</v>
      </c>
      <c r="B763" s="18" t="s">
        <v>49</v>
      </c>
      <c r="C763" s="18" t="s">
        <v>486</v>
      </c>
      <c r="D763" s="18" t="s">
        <v>1578</v>
      </c>
      <c r="E763" s="18" t="s">
        <v>36</v>
      </c>
      <c r="F763" s="18" t="s">
        <v>36</v>
      </c>
      <c r="J763" s="19"/>
      <c r="K763" s="19">
        <v>0.23119999999999999</v>
      </c>
      <c r="L763" s="19">
        <v>9.0759075999999994E-2</v>
      </c>
      <c r="M763" s="19">
        <v>0.2485</v>
      </c>
      <c r="N763" s="19">
        <v>0.21429999999999999</v>
      </c>
      <c r="O763" s="19">
        <v>0.19570000000000001</v>
      </c>
      <c r="P763" s="19">
        <v>0</v>
      </c>
      <c r="Q763" s="19">
        <v>0.106153846</v>
      </c>
      <c r="R763" s="20">
        <v>20212</v>
      </c>
      <c r="S763" s="21" t="str">
        <f>HYPERLINK("https://www.nic.edu/financialaid/npcalc.htm", "$14839")</f>
        <v>$14839</v>
      </c>
      <c r="T763" s="20">
        <v>16943</v>
      </c>
      <c r="U763" s="20">
        <v>19468</v>
      </c>
      <c r="V763" s="20">
        <v>3966</v>
      </c>
      <c r="W763" s="20">
        <v>10873.846153846151</v>
      </c>
      <c r="Y763" s="19">
        <v>0.34339999999999998</v>
      </c>
      <c r="Z763" s="19">
        <v>0.2024</v>
      </c>
      <c r="AB763" s="18">
        <v>3794</v>
      </c>
    </row>
    <row r="764" spans="1:28" ht="15.75" customHeight="1" x14ac:dyDescent="0.2">
      <c r="A764" s="36" t="str">
        <f>HYPERLINK("https://www.niacc.edu", "North Iowa Area Community College")</f>
        <v>North Iowa Area Community College</v>
      </c>
      <c r="B764" s="18" t="s">
        <v>49</v>
      </c>
      <c r="C764" s="18" t="s">
        <v>211</v>
      </c>
      <c r="D764" s="18" t="s">
        <v>1579</v>
      </c>
      <c r="E764" s="18" t="s">
        <v>36</v>
      </c>
      <c r="F764" s="18" t="s">
        <v>36</v>
      </c>
      <c r="J764" s="19"/>
      <c r="K764" s="19">
        <v>0.46779999999999999</v>
      </c>
      <c r="L764" s="19">
        <v>0.26508226699999998</v>
      </c>
      <c r="M764" s="19">
        <v>0.48970000000000002</v>
      </c>
      <c r="N764" s="19">
        <v>0.2727</v>
      </c>
      <c r="O764" s="19">
        <v>0.37930000000000003</v>
      </c>
      <c r="P764" s="19">
        <v>0.4</v>
      </c>
      <c r="Q764" s="19">
        <v>7.3436082999999999E-2</v>
      </c>
      <c r="R764" s="20">
        <v>17863</v>
      </c>
      <c r="S764" s="21" t="str">
        <f>HYPERLINK("https://www.niacc.edu/admissions/finance-your-education/financial-aid/calculator/", "$12419")</f>
        <v>$12419</v>
      </c>
      <c r="T764" s="20">
        <v>14833</v>
      </c>
      <c r="U764" s="20">
        <v>16621</v>
      </c>
      <c r="V764" s="20">
        <v>3514</v>
      </c>
      <c r="W764" s="20">
        <v>8905.6511627906984</v>
      </c>
      <c r="Y764" s="19">
        <v>0.25969999999999999</v>
      </c>
      <c r="Z764" s="19">
        <v>0.19739999999999999</v>
      </c>
      <c r="AB764" s="18">
        <v>1682</v>
      </c>
    </row>
    <row r="765" spans="1:28" ht="15.75" customHeight="1" x14ac:dyDescent="0.2">
      <c r="A765" s="36" t="str">
        <f>HYPERLINK("https://www.northlakecollege.edu", "North Lake College")</f>
        <v>North Lake College</v>
      </c>
      <c r="B765" s="18" t="s">
        <v>49</v>
      </c>
      <c r="C765" s="18" t="s">
        <v>146</v>
      </c>
      <c r="D765" s="18" t="s">
        <v>505</v>
      </c>
      <c r="E765" s="18" t="s">
        <v>36</v>
      </c>
      <c r="F765" s="18" t="s">
        <v>36</v>
      </c>
      <c r="J765" s="19"/>
      <c r="K765" s="19">
        <v>0.14230000000000001</v>
      </c>
      <c r="L765" s="19" t="s">
        <v>36</v>
      </c>
      <c r="M765" s="19">
        <v>0.14560000000000001</v>
      </c>
      <c r="N765" s="19">
        <v>0.14849999999999999</v>
      </c>
      <c r="O765" s="19">
        <v>0.13159999999999999</v>
      </c>
      <c r="P765" s="19">
        <v>0.193</v>
      </c>
      <c r="Q765" s="19">
        <v>0.16813048899999999</v>
      </c>
      <c r="R765" s="20">
        <v>20621</v>
      </c>
      <c r="S765" s="21" t="str">
        <f>HYPERLINK("https://www.northlakecollege.edu/pc/cost/tuition/pages/tuitioncalc.aspx", "$15149")</f>
        <v>$15149</v>
      </c>
      <c r="T765" s="20">
        <v>17157</v>
      </c>
      <c r="U765" s="20">
        <v>19597</v>
      </c>
      <c r="V765" s="20">
        <v>5456</v>
      </c>
      <c r="W765" s="20">
        <v>9693.9451219512193</v>
      </c>
      <c r="Y765" s="19">
        <v>0.25</v>
      </c>
      <c r="Z765" s="19">
        <v>0.8276</v>
      </c>
      <c r="AB765" s="18">
        <v>8351</v>
      </c>
    </row>
    <row r="766" spans="1:28" ht="15.75" customHeight="1" x14ac:dyDescent="0.2">
      <c r="A766" s="36" t="str">
        <f>HYPERLINK("https://www.northshore.edu", "North Shore Community College")</f>
        <v>North Shore Community College</v>
      </c>
      <c r="B766" s="18" t="s">
        <v>49</v>
      </c>
      <c r="C766" s="18" t="s">
        <v>33</v>
      </c>
      <c r="D766" s="18" t="s">
        <v>1580</v>
      </c>
      <c r="E766" s="18" t="s">
        <v>36</v>
      </c>
      <c r="F766" s="18" t="s">
        <v>36</v>
      </c>
      <c r="J766" s="19"/>
      <c r="K766" s="19">
        <v>0.18179999999999999</v>
      </c>
      <c r="L766" s="19">
        <v>0.18175438599999999</v>
      </c>
      <c r="M766" s="19">
        <v>0.20280000000000001</v>
      </c>
      <c r="N766" s="19">
        <v>0.15090000000000001</v>
      </c>
      <c r="O766" s="19">
        <v>0.13639999999999999</v>
      </c>
      <c r="P766" s="19">
        <v>0.28000000000000003</v>
      </c>
      <c r="Q766" s="19">
        <v>7.6237182000000001E-2</v>
      </c>
      <c r="R766" s="20">
        <v>26412</v>
      </c>
      <c r="S766" s="21" t="str">
        <f>HYPERLINK("https://www.northshore.edu/admissions/netPrice/", "$21049")</f>
        <v>$21049</v>
      </c>
      <c r="T766" s="20">
        <v>23300</v>
      </c>
      <c r="U766" s="20">
        <v>25646</v>
      </c>
      <c r="V766" s="20">
        <v>3900</v>
      </c>
      <c r="W766" s="20">
        <v>17149.551724137931</v>
      </c>
      <c r="Y766" s="19">
        <v>0.40749999999999997</v>
      </c>
      <c r="Z766" s="19">
        <v>0.43819999999999998</v>
      </c>
      <c r="AB766" s="18">
        <v>5514</v>
      </c>
    </row>
    <row r="767" spans="1:28" ht="15.75" customHeight="1" x14ac:dyDescent="0.2">
      <c r="A767" s="36" t="str">
        <f>HYPERLINK("https://www.nwacc.edu", "NorthWest Arkansas Community College")</f>
        <v>NorthWest Arkansas Community College</v>
      </c>
      <c r="B767" s="18" t="s">
        <v>49</v>
      </c>
      <c r="C767" s="18" t="s">
        <v>371</v>
      </c>
      <c r="D767" s="18" t="s">
        <v>1581</v>
      </c>
      <c r="E767" s="18" t="s">
        <v>36</v>
      </c>
      <c r="F767" s="18" t="s">
        <v>36</v>
      </c>
      <c r="J767" s="19"/>
      <c r="K767" s="19">
        <v>0.1996</v>
      </c>
      <c r="L767" s="19">
        <v>0.139839767</v>
      </c>
      <c r="M767" s="19">
        <v>0.19189999999999999</v>
      </c>
      <c r="N767" s="19">
        <v>5.8799999999999998E-2</v>
      </c>
      <c r="O767" s="19">
        <v>0.25130000000000002</v>
      </c>
      <c r="P767" s="19">
        <v>0.13789999999999999</v>
      </c>
      <c r="Q767" s="19">
        <v>0.125380932</v>
      </c>
      <c r="R767" s="20">
        <v>20392</v>
      </c>
      <c r="S767" s="21" t="str">
        <f>HYPERLINK("https://content.nwacc.edu/netprice/npcalc.htm", "$14593")</f>
        <v>$14593</v>
      </c>
      <c r="T767" s="20">
        <v>17200</v>
      </c>
      <c r="U767" s="20">
        <v>19565</v>
      </c>
      <c r="V767" s="20">
        <v>4449</v>
      </c>
      <c r="W767" s="20">
        <v>10144.4</v>
      </c>
      <c r="Y767" s="19">
        <v>0.28720000000000001</v>
      </c>
      <c r="Z767" s="19">
        <v>0.34860000000000002</v>
      </c>
      <c r="AB767" s="18">
        <v>6053</v>
      </c>
    </row>
    <row r="768" spans="1:28" ht="15.75" customHeight="1" x14ac:dyDescent="0.2">
      <c r="A768" s="36" t="str">
        <f>HYPERLINK("https://www.northampton.edu", "Northampton County Area Community College")</f>
        <v>Northampton County Area Community College</v>
      </c>
      <c r="B768" s="18" t="s">
        <v>49</v>
      </c>
      <c r="C768" s="18" t="s">
        <v>65</v>
      </c>
      <c r="D768" s="18" t="s">
        <v>130</v>
      </c>
      <c r="E768" s="18" t="s">
        <v>36</v>
      </c>
      <c r="F768" s="18" t="s">
        <v>36</v>
      </c>
      <c r="J768" s="19"/>
      <c r="K768" s="19">
        <v>0.1832</v>
      </c>
      <c r="L768" s="19">
        <v>0.209399167</v>
      </c>
      <c r="M768" s="19">
        <v>0.23530000000000001</v>
      </c>
      <c r="N768" s="19">
        <v>9.0899999999999995E-2</v>
      </c>
      <c r="O768" s="19">
        <v>0.14130000000000001</v>
      </c>
      <c r="P768" s="19">
        <v>0.27589999999999998</v>
      </c>
      <c r="Q768" s="19">
        <v>8.3602324000000006E-2</v>
      </c>
      <c r="R768" s="20">
        <v>28744</v>
      </c>
      <c r="S768" s="21" t="str">
        <f>HYPERLINK("https://www.northampton.edu/about/consumer-rights/net-price-calculator.htm", "$22059")</f>
        <v>$22059</v>
      </c>
      <c r="T768" s="20">
        <v>25492</v>
      </c>
      <c r="U768" s="20">
        <v>27993</v>
      </c>
      <c r="V768" s="20">
        <v>6300</v>
      </c>
      <c r="W768" s="20">
        <v>15759.53023255814</v>
      </c>
      <c r="Y768" s="19">
        <v>0.41539999999999999</v>
      </c>
      <c r="Z768" s="19">
        <v>0.44119999999999998</v>
      </c>
      <c r="AB768" s="18">
        <v>9203</v>
      </c>
    </row>
    <row r="769" spans="1:28" ht="15.75" customHeight="1" x14ac:dyDescent="0.2">
      <c r="A769" s="36" t="str">
        <f>HYPERLINK("https://www.northeast.edu", "Northeast Community College")</f>
        <v>Northeast Community College</v>
      </c>
      <c r="B769" s="18" t="s">
        <v>49</v>
      </c>
      <c r="C769" s="18" t="s">
        <v>341</v>
      </c>
      <c r="D769" s="18" t="s">
        <v>800</v>
      </c>
      <c r="E769" s="18" t="s">
        <v>36</v>
      </c>
      <c r="F769" s="18" t="s">
        <v>36</v>
      </c>
      <c r="J769" s="19"/>
      <c r="K769" s="19">
        <v>0.55159999999999998</v>
      </c>
      <c r="L769" s="19">
        <v>0.37076648799999989</v>
      </c>
      <c r="M769" s="19">
        <v>0.58640000000000003</v>
      </c>
      <c r="N769" s="19">
        <v>0.18179999999999999</v>
      </c>
      <c r="O769" s="19">
        <v>0.44440000000000002</v>
      </c>
      <c r="P769" s="19">
        <v>1</v>
      </c>
      <c r="Q769" s="19">
        <v>5.0832602999999997E-2</v>
      </c>
      <c r="R769" s="20">
        <v>15716</v>
      </c>
      <c r="S769" s="21" t="str">
        <f>HYPERLINK("https://www.northeast.edu/costs/calculator", "$9905")</f>
        <v>$9905</v>
      </c>
      <c r="T769" s="20">
        <v>12591</v>
      </c>
      <c r="U769" s="20">
        <v>14755</v>
      </c>
      <c r="V769" s="20">
        <v>3006</v>
      </c>
      <c r="W769" s="20">
        <v>6899.4661354581676</v>
      </c>
      <c r="Y769" s="19">
        <v>0.22639999999999999</v>
      </c>
      <c r="Z769" s="19">
        <v>0.24579999999999999</v>
      </c>
      <c r="AB769" s="18">
        <v>2693</v>
      </c>
    </row>
    <row r="770" spans="1:28" ht="15.75" customHeight="1" x14ac:dyDescent="0.2">
      <c r="A770" s="36" t="str">
        <f>HYPERLINK("https://www.nicc.edu", "Northeast Iowa Community College")</f>
        <v>Northeast Iowa Community College</v>
      </c>
      <c r="B770" s="18" t="s">
        <v>49</v>
      </c>
      <c r="C770" s="18" t="s">
        <v>211</v>
      </c>
      <c r="D770" s="18" t="s">
        <v>1582</v>
      </c>
      <c r="E770" s="18" t="s">
        <v>36</v>
      </c>
      <c r="F770" s="18" t="s">
        <v>36</v>
      </c>
      <c r="J770" s="19"/>
      <c r="K770" s="19">
        <v>0.44009999999999999</v>
      </c>
      <c r="L770" s="19">
        <v>0.22880371699999999</v>
      </c>
      <c r="M770" s="19">
        <v>0.45579999999999998</v>
      </c>
      <c r="N770" s="19">
        <v>0</v>
      </c>
      <c r="O770" s="19">
        <v>0.25</v>
      </c>
      <c r="P770" s="19">
        <v>0.5</v>
      </c>
      <c r="Q770" s="19">
        <v>5.552166E-2</v>
      </c>
      <c r="R770" s="20">
        <v>18479</v>
      </c>
      <c r="S770" s="21" t="str">
        <f>HYPERLINK("https://web.nicc.edu/Marketing/NetPriceCalculator/npcalc.htm", "$12425")</f>
        <v>$12425</v>
      </c>
      <c r="T770" s="20">
        <v>15476</v>
      </c>
      <c r="U770" s="20">
        <v>17713</v>
      </c>
      <c r="V770" s="20">
        <v>6009</v>
      </c>
      <c r="W770" s="20">
        <v>6416.6076923076926</v>
      </c>
      <c r="Y770" s="19">
        <v>0.2437</v>
      </c>
      <c r="Z770" s="19">
        <v>0.1348</v>
      </c>
      <c r="AB770" s="18">
        <v>2210</v>
      </c>
    </row>
    <row r="771" spans="1:28" ht="15.75" customHeight="1" x14ac:dyDescent="0.2">
      <c r="A771" s="36" t="str">
        <f>HYPERLINK("https://www.nemcc.edu", "Northeast Mississippi Community College")</f>
        <v>Northeast Mississippi Community College</v>
      </c>
      <c r="B771" s="18" t="s">
        <v>49</v>
      </c>
      <c r="C771" s="18" t="s">
        <v>59</v>
      </c>
      <c r="D771" s="18" t="s">
        <v>1583</v>
      </c>
      <c r="E771" s="18" t="s">
        <v>36</v>
      </c>
      <c r="F771" s="18" t="s">
        <v>36</v>
      </c>
      <c r="J771" s="19"/>
      <c r="K771" s="19">
        <v>0.34050000000000002</v>
      </c>
      <c r="L771" s="19">
        <v>0.20210728</v>
      </c>
      <c r="M771" s="19">
        <v>0.36149999999999999</v>
      </c>
      <c r="N771" s="19">
        <v>0.28449999999999998</v>
      </c>
      <c r="O771" s="19">
        <v>0.43330000000000002</v>
      </c>
      <c r="P771" s="19">
        <v>0.5</v>
      </c>
      <c r="Q771" s="19">
        <v>6.1643835999999987E-2</v>
      </c>
      <c r="R771" s="20">
        <v>15132</v>
      </c>
      <c r="S771" s="21" t="str">
        <f>HYPERLINK("https://www.nemcc.edu/about/student-consumer-info/", "$9298")</f>
        <v>$9298</v>
      </c>
      <c r="T771" s="20">
        <v>11328</v>
      </c>
      <c r="U771" s="20">
        <v>11374</v>
      </c>
      <c r="V771" s="20">
        <v>4710</v>
      </c>
      <c r="W771" s="20">
        <v>4588.2663316582912</v>
      </c>
      <c r="Y771" s="19">
        <v>0.53480000000000005</v>
      </c>
      <c r="Z771" s="19">
        <v>0.23699999999999999</v>
      </c>
      <c r="AB771" s="18">
        <v>2975</v>
      </c>
    </row>
    <row r="772" spans="1:28" ht="15.75" customHeight="1" x14ac:dyDescent="0.2">
      <c r="A772" s="36" t="str">
        <f>HYPERLINK("https://www.northeaststate.edu/", "Northeast State Community College")</f>
        <v>Northeast State Community College</v>
      </c>
      <c r="B772" s="18" t="s">
        <v>49</v>
      </c>
      <c r="C772" s="18" t="s">
        <v>174</v>
      </c>
      <c r="D772" s="18" t="s">
        <v>1584</v>
      </c>
      <c r="E772" s="18" t="s">
        <v>36</v>
      </c>
      <c r="F772" s="18" t="s">
        <v>36</v>
      </c>
      <c r="J772" s="19"/>
      <c r="K772" s="19">
        <v>0.23860000000000001</v>
      </c>
      <c r="L772" s="19">
        <v>0.16151866200000001</v>
      </c>
      <c r="M772" s="19">
        <v>0.2462</v>
      </c>
      <c r="N772" s="19">
        <v>0</v>
      </c>
      <c r="O772" s="19">
        <v>0.2069</v>
      </c>
      <c r="P772" s="19">
        <v>0.57140000000000002</v>
      </c>
      <c r="Q772" s="19">
        <v>6.9933184999999995E-2</v>
      </c>
      <c r="R772" s="20">
        <v>29911</v>
      </c>
      <c r="S772" s="21" t="str">
        <f>HYPERLINK("https://apps.northeaststate.edu/netpricecalc/", "$23312")</f>
        <v>$23312</v>
      </c>
      <c r="T772" s="20">
        <v>25341</v>
      </c>
      <c r="U772" s="20">
        <v>25662</v>
      </c>
      <c r="V772" s="20">
        <v>5523</v>
      </c>
      <c r="W772" s="20">
        <v>17789.127388535031</v>
      </c>
      <c r="Y772" s="19">
        <v>0.41460000000000002</v>
      </c>
      <c r="Z772" s="19">
        <v>0.10929999999999999</v>
      </c>
      <c r="AB772" s="18">
        <v>5114</v>
      </c>
    </row>
    <row r="773" spans="1:28" ht="15.75" customHeight="1" x14ac:dyDescent="0.2">
      <c r="A773" s="36" t="str">
        <f>HYPERLINK("https://www.ntcc.edu", "Northeast Texas Community College")</f>
        <v>Northeast Texas Community College</v>
      </c>
      <c r="B773" s="18" t="s">
        <v>49</v>
      </c>
      <c r="C773" s="18" t="s">
        <v>146</v>
      </c>
      <c r="D773" s="18" t="s">
        <v>639</v>
      </c>
      <c r="E773" s="18" t="s">
        <v>36</v>
      </c>
      <c r="F773" s="18" t="s">
        <v>36</v>
      </c>
      <c r="J773" s="19"/>
      <c r="K773" s="19">
        <v>0.22309999999999999</v>
      </c>
      <c r="L773" s="19">
        <v>0.201977401</v>
      </c>
      <c r="M773" s="19">
        <v>0.21029999999999999</v>
      </c>
      <c r="N773" s="19">
        <v>0.125</v>
      </c>
      <c r="O773" s="19">
        <v>0.29270000000000002</v>
      </c>
      <c r="P773" s="19">
        <v>0</v>
      </c>
      <c r="Q773" s="19">
        <v>8.2259662999999997E-2</v>
      </c>
      <c r="R773" s="20">
        <v>20570</v>
      </c>
      <c r="S773" s="21" t="str">
        <f>HYPERLINK("https://www.collegeforalltexans.com/apps/CollegeMoney/", "$14870")</f>
        <v>$14870</v>
      </c>
      <c r="T773" s="20">
        <v>17493</v>
      </c>
      <c r="U773" s="20">
        <v>18651</v>
      </c>
      <c r="V773" s="20">
        <v>7201</v>
      </c>
      <c r="W773" s="20">
        <v>7669.1221374045799</v>
      </c>
      <c r="Y773" s="19">
        <v>0.44519999999999998</v>
      </c>
      <c r="Z773" s="19">
        <v>0.48670000000000002</v>
      </c>
      <c r="AB773" s="18">
        <v>2137</v>
      </c>
    </row>
    <row r="774" spans="1:28" ht="15.75" customHeight="1" x14ac:dyDescent="0.2">
      <c r="A774" s="36" t="str">
        <f>HYPERLINK("https://www.neo.edu", "Northeastern Oklahoma A&amp;M College")</f>
        <v>Northeastern Oklahoma A&amp;M College</v>
      </c>
      <c r="B774" s="18" t="s">
        <v>49</v>
      </c>
      <c r="C774" s="18" t="s">
        <v>290</v>
      </c>
      <c r="D774" s="18" t="s">
        <v>359</v>
      </c>
      <c r="E774" s="18" t="s">
        <v>36</v>
      </c>
      <c r="F774" s="18" t="s">
        <v>36</v>
      </c>
      <c r="J774" s="19"/>
      <c r="K774" s="19">
        <v>0.223</v>
      </c>
      <c r="L774" s="19">
        <v>0.17907801400000001</v>
      </c>
      <c r="M774" s="19">
        <v>0.27679999999999999</v>
      </c>
      <c r="N774" s="19">
        <v>6.0600000000000001E-2</v>
      </c>
      <c r="O774" s="19">
        <v>0.21049999999999999</v>
      </c>
      <c r="P774" s="19">
        <v>0.66669999999999996</v>
      </c>
      <c r="Q774" s="19">
        <v>0.111583422</v>
      </c>
      <c r="R774" s="20">
        <v>21488</v>
      </c>
      <c r="S774" s="21" t="str">
        <f>HYPERLINK("https://www.neo.edu/NetPrice/npcalc.htm", "$15207")</f>
        <v>$15207</v>
      </c>
      <c r="T774" s="20">
        <v>18355</v>
      </c>
      <c r="U774" s="20">
        <v>18985</v>
      </c>
      <c r="V774" s="20">
        <v>5130</v>
      </c>
      <c r="W774" s="20">
        <v>10077.62171052632</v>
      </c>
      <c r="Y774" s="19">
        <v>0.63070000000000004</v>
      </c>
      <c r="Z774" s="19">
        <v>0.5</v>
      </c>
      <c r="AB774" s="18">
        <v>1812</v>
      </c>
    </row>
    <row r="775" spans="1:28" ht="15.75" customHeight="1" x14ac:dyDescent="0.2">
      <c r="A775" s="36" t="str">
        <f>HYPERLINK("https://www.necc.mass.edu/", "Northern Essex Community College")</f>
        <v>Northern Essex Community College</v>
      </c>
      <c r="B775" s="18" t="s">
        <v>49</v>
      </c>
      <c r="C775" s="18" t="s">
        <v>33</v>
      </c>
      <c r="D775" s="18" t="s">
        <v>1585</v>
      </c>
      <c r="E775" s="18" t="s">
        <v>36</v>
      </c>
      <c r="F775" s="18" t="s">
        <v>36</v>
      </c>
      <c r="J775" s="19"/>
      <c r="K775" s="19">
        <v>0.1759</v>
      </c>
      <c r="L775" s="19">
        <v>0.19866567800000001</v>
      </c>
      <c r="M775" s="19">
        <v>0.23680000000000001</v>
      </c>
      <c r="N775" s="19">
        <v>0.13639999999999999</v>
      </c>
      <c r="O775" s="19">
        <v>0.1096</v>
      </c>
      <c r="P775" s="19">
        <v>7.1400000000000005E-2</v>
      </c>
      <c r="Q775" s="19">
        <v>7.3277967999999999E-2</v>
      </c>
      <c r="R775" s="20">
        <v>25638</v>
      </c>
      <c r="S775" s="21" t="str">
        <f>HYPERLINK("https://www.necc.mass.edu/afford/tuition-costs/estimating-costs/net-price-calculator/", "$20563")</f>
        <v>$20563</v>
      </c>
      <c r="T775" s="20">
        <v>22017</v>
      </c>
      <c r="U775" s="20">
        <v>24813</v>
      </c>
      <c r="V775" s="20">
        <v>5034</v>
      </c>
      <c r="W775" s="20">
        <v>15529.78260869565</v>
      </c>
      <c r="Y775" s="19">
        <v>0.54600000000000004</v>
      </c>
      <c r="Z775" s="19">
        <v>0.54489999999999994</v>
      </c>
      <c r="AB775" s="18">
        <v>5133</v>
      </c>
    </row>
    <row r="776" spans="1:28" ht="15.75" customHeight="1" x14ac:dyDescent="0.2">
      <c r="A776" s="36" t="str">
        <f>HYPERLINK("https://www.nmcc.edu", "Northern Maine Community College")</f>
        <v>Northern Maine Community College</v>
      </c>
      <c r="B776" s="18" t="s">
        <v>49</v>
      </c>
      <c r="C776" s="18" t="s">
        <v>43</v>
      </c>
      <c r="D776" s="18" t="s">
        <v>896</v>
      </c>
      <c r="E776" s="18" t="s">
        <v>36</v>
      </c>
      <c r="F776" s="18" t="s">
        <v>36</v>
      </c>
      <c r="J776" s="19"/>
      <c r="K776" s="19">
        <v>0.44529999999999997</v>
      </c>
      <c r="L776" s="19">
        <v>0.411149826</v>
      </c>
      <c r="M776" s="19">
        <v>0.46089999999999998</v>
      </c>
      <c r="N776" s="19">
        <v>0.2</v>
      </c>
      <c r="O776" s="19">
        <v>0.2</v>
      </c>
      <c r="P776" s="19" t="s">
        <v>36</v>
      </c>
      <c r="Q776" s="19" t="s">
        <v>36</v>
      </c>
      <c r="R776" s="20">
        <v>20499</v>
      </c>
      <c r="S776" s="21" t="str">
        <f>HYPERLINK("https://www2.nmcc.edu/npc/", "$13612")</f>
        <v>$13612</v>
      </c>
      <c r="T776" s="20">
        <v>17515</v>
      </c>
      <c r="U776" s="20">
        <v>20170</v>
      </c>
      <c r="V776" s="20">
        <v>6240</v>
      </c>
      <c r="W776" s="20">
        <v>7372.507462686568</v>
      </c>
      <c r="Y776" s="19">
        <v>0.49769999999999998</v>
      </c>
      <c r="Z776" s="19">
        <v>0.1135</v>
      </c>
      <c r="AB776" s="18">
        <v>608</v>
      </c>
    </row>
    <row r="777" spans="1:28" ht="15.75" customHeight="1" x14ac:dyDescent="0.2">
      <c r="A777" s="36" t="str">
        <f>HYPERLINK("https://www.marianas.edu/", "Northern Marianas College")</f>
        <v>Northern Marianas College</v>
      </c>
      <c r="B777" s="18" t="s">
        <v>49</v>
      </c>
      <c r="C777" s="18" t="s">
        <v>1586</v>
      </c>
      <c r="D777" s="18" t="s">
        <v>1587</v>
      </c>
      <c r="E777" s="18" t="s">
        <v>36</v>
      </c>
      <c r="F777" s="18" t="s">
        <v>36</v>
      </c>
      <c r="J777" s="19"/>
      <c r="K777" s="19">
        <v>0.1527</v>
      </c>
      <c r="L777" s="19">
        <v>0.108391608</v>
      </c>
      <c r="M777" s="19" t="s">
        <v>36</v>
      </c>
      <c r="N777" s="19">
        <v>0</v>
      </c>
      <c r="O777" s="19">
        <v>0</v>
      </c>
      <c r="P777" s="19">
        <v>0.20649999999999999</v>
      </c>
      <c r="Q777" s="19">
        <v>3.8759689999999999E-2</v>
      </c>
      <c r="R777" s="20">
        <v>15120</v>
      </c>
      <c r="S777" s="21" t="str">
        <f>HYPERLINK("https://www.marianas.edu/FinCal_2018/npcalc.htm", "$10063")</f>
        <v>$10063</v>
      </c>
      <c r="T777" s="20">
        <v>11680</v>
      </c>
      <c r="U777" s="20">
        <v>12946</v>
      </c>
      <c r="V777" s="20">
        <v>4400</v>
      </c>
      <c r="W777" s="20">
        <v>5663.4020618556697</v>
      </c>
      <c r="Y777" s="19">
        <v>0.75139999999999996</v>
      </c>
      <c r="Z777" s="19">
        <v>0.98799999999999999</v>
      </c>
      <c r="AB777" s="18">
        <v>1169</v>
      </c>
    </row>
    <row r="778" spans="1:28" ht="15.75" customHeight="1" x14ac:dyDescent="0.2">
      <c r="A778" s="36" t="str">
        <f>HYPERLINK("https://nnmc.edu", "Northern New Mexico College")</f>
        <v>Northern New Mexico College</v>
      </c>
      <c r="B778" s="18" t="s">
        <v>49</v>
      </c>
      <c r="C778" s="18" t="s">
        <v>234</v>
      </c>
      <c r="D778" s="18" t="s">
        <v>1588</v>
      </c>
      <c r="E778" s="18" t="s">
        <v>36</v>
      </c>
      <c r="F778" s="18" t="s">
        <v>36</v>
      </c>
      <c r="J778" s="19"/>
      <c r="K778" s="19">
        <v>0.23</v>
      </c>
      <c r="L778" s="19">
        <v>0.16181229799999999</v>
      </c>
      <c r="M778" s="19">
        <v>0.33329999999999999</v>
      </c>
      <c r="N778" s="19">
        <v>0</v>
      </c>
      <c r="O778" s="19">
        <v>0.2135</v>
      </c>
      <c r="P778" s="19" t="s">
        <v>36</v>
      </c>
      <c r="Q778" s="19">
        <v>3.9702233000000003E-2</v>
      </c>
      <c r="R778" s="20">
        <v>26625</v>
      </c>
      <c r="S778" s="21" t="str">
        <f>HYPERLINK("https://nnmc.edu/wp-content/uploads/2016/09/NetPriceCalculator16/npcalc.htm", "$21534")</f>
        <v>$21534</v>
      </c>
      <c r="T778" s="20">
        <v>23405</v>
      </c>
      <c r="U778" s="20">
        <v>26625</v>
      </c>
      <c r="V778" s="20">
        <v>4500</v>
      </c>
      <c r="W778" s="20">
        <v>17034.7</v>
      </c>
      <c r="Y778" s="19">
        <v>0.70879999999999999</v>
      </c>
      <c r="Z778" s="19">
        <v>0.91459999999999997</v>
      </c>
      <c r="AB778" s="18">
        <v>878</v>
      </c>
    </row>
    <row r="779" spans="1:28" ht="15.75" customHeight="1" x14ac:dyDescent="0.2">
      <c r="A779" s="36" t="str">
        <f>HYPERLINK("https://www.noc.edu", "Northern Oklahoma College")</f>
        <v>Northern Oklahoma College</v>
      </c>
      <c r="B779" s="18" t="s">
        <v>49</v>
      </c>
      <c r="C779" s="18" t="s">
        <v>290</v>
      </c>
      <c r="D779" s="18" t="s">
        <v>1589</v>
      </c>
      <c r="E779" s="18" t="s">
        <v>36</v>
      </c>
      <c r="F779" s="18" t="s">
        <v>36</v>
      </c>
      <c r="J779" s="19"/>
      <c r="K779" s="19">
        <v>0.29310000000000003</v>
      </c>
      <c r="L779" s="19">
        <v>0.23110151200000001</v>
      </c>
      <c r="M779" s="19">
        <v>0.31359999999999999</v>
      </c>
      <c r="N779" s="19">
        <v>0.16</v>
      </c>
      <c r="O779" s="19">
        <v>0.45650000000000002</v>
      </c>
      <c r="P779" s="19">
        <v>0.6</v>
      </c>
      <c r="Q779" s="19">
        <v>9.6469104999999999E-2</v>
      </c>
      <c r="R779" s="20">
        <v>20065</v>
      </c>
      <c r="S779" s="21" t="str">
        <f>HYPERLINK("https://www.noc.edu/future-students", "$14161")</f>
        <v>$14161</v>
      </c>
      <c r="T779" s="20">
        <v>16576</v>
      </c>
      <c r="U779" s="20">
        <v>18794</v>
      </c>
      <c r="V779" s="20">
        <v>3400</v>
      </c>
      <c r="W779" s="20">
        <v>10761.972222222221</v>
      </c>
      <c r="Y779" s="19">
        <v>0.24</v>
      </c>
      <c r="Z779" s="19">
        <v>0.36049999999999999</v>
      </c>
      <c r="AB779" s="18">
        <v>2752</v>
      </c>
    </row>
    <row r="780" spans="1:28" ht="15.75" customHeight="1" x14ac:dyDescent="0.2">
      <c r="A780" s="36" t="str">
        <f>HYPERLINK("https://www.nvcc.edu", "Northern Virginia Community College")</f>
        <v>Northern Virginia Community College</v>
      </c>
      <c r="B780" s="18" t="s">
        <v>49</v>
      </c>
      <c r="C780" s="18" t="s">
        <v>83</v>
      </c>
      <c r="D780" s="18" t="s">
        <v>1590</v>
      </c>
      <c r="E780" s="18" t="s">
        <v>36</v>
      </c>
      <c r="F780" s="18" t="s">
        <v>36</v>
      </c>
      <c r="J780" s="19"/>
      <c r="K780" s="19">
        <v>0.25040000000000001</v>
      </c>
      <c r="L780" s="19">
        <v>0.21493047100000001</v>
      </c>
      <c r="M780" s="19">
        <v>0.2833</v>
      </c>
      <c r="N780" s="19">
        <v>0.1381</v>
      </c>
      <c r="O780" s="19">
        <v>0.23719999999999999</v>
      </c>
      <c r="P780" s="19">
        <v>0.32240000000000002</v>
      </c>
      <c r="Q780" s="19">
        <v>0.11512505000000001</v>
      </c>
      <c r="R780" s="20">
        <v>27275</v>
      </c>
      <c r="S780" s="21" t="str">
        <f>HYPERLINK("https://www.vawizard.org/vccs/FinAid.action", "$21400")</f>
        <v>$21400</v>
      </c>
      <c r="T780" s="20">
        <v>23649</v>
      </c>
      <c r="U780" s="20">
        <v>26576</v>
      </c>
      <c r="V780" s="20">
        <v>8366</v>
      </c>
      <c r="W780" s="20">
        <v>13034.975121687399</v>
      </c>
      <c r="Y780" s="19">
        <v>0.2412</v>
      </c>
      <c r="Z780" s="19">
        <v>0.67349999999999999</v>
      </c>
      <c r="AB780" s="18">
        <v>40119</v>
      </c>
    </row>
    <row r="781" spans="1:28" ht="15.75" customHeight="1" x14ac:dyDescent="0.2">
      <c r="A781" s="36" t="str">
        <f>HYPERLINK("https://www.sheridan.edu", "Sheridan College")</f>
        <v>Sheridan College</v>
      </c>
      <c r="B781" s="18" t="s">
        <v>49</v>
      </c>
      <c r="C781" s="18" t="s">
        <v>1086</v>
      </c>
      <c r="D781" s="18" t="s">
        <v>1591</v>
      </c>
      <c r="E781" s="18" t="s">
        <v>36</v>
      </c>
      <c r="F781" s="18" t="s">
        <v>36</v>
      </c>
      <c r="J781" s="19"/>
      <c r="K781" s="19">
        <v>0.45369999999999999</v>
      </c>
      <c r="L781" s="19">
        <v>0.239884393</v>
      </c>
      <c r="M781" s="19">
        <v>0.46510000000000001</v>
      </c>
      <c r="N781" s="19">
        <v>0.16669999999999999</v>
      </c>
      <c r="O781" s="19">
        <v>0.4839</v>
      </c>
      <c r="P781" s="19">
        <v>0.5</v>
      </c>
      <c r="Q781" s="19">
        <v>6.9243156E-2</v>
      </c>
      <c r="R781" s="20">
        <v>18358</v>
      </c>
      <c r="S781" s="21" t="str">
        <f>HYPERLINK("https://sheridan.studentaidcalculator.com/survey.aspx", "$13552")</f>
        <v>$13552</v>
      </c>
      <c r="T781" s="20">
        <v>16768</v>
      </c>
      <c r="U781" s="20">
        <v>18252</v>
      </c>
      <c r="V781" s="20">
        <v>3472</v>
      </c>
      <c r="W781" s="20">
        <v>10080.780000000001</v>
      </c>
      <c r="Y781" s="19">
        <v>0.16900000000000001</v>
      </c>
      <c r="Z781" s="19">
        <v>0.16089999999999999</v>
      </c>
      <c r="AB781" s="18">
        <v>2076</v>
      </c>
    </row>
    <row r="782" spans="1:28" ht="15.75" customHeight="1" x14ac:dyDescent="0.2">
      <c r="A782" s="36" t="str">
        <f>HYPERLINK("https://www.nwc.edu", "Northwest College")</f>
        <v>Northwest College</v>
      </c>
      <c r="B782" s="18" t="s">
        <v>49</v>
      </c>
      <c r="C782" s="18" t="s">
        <v>1086</v>
      </c>
      <c r="D782" s="18" t="s">
        <v>1592</v>
      </c>
      <c r="E782" s="18" t="s">
        <v>36</v>
      </c>
      <c r="F782" s="18" t="s">
        <v>36</v>
      </c>
      <c r="J782" s="19"/>
      <c r="K782" s="19">
        <v>0.38519999999999999</v>
      </c>
      <c r="L782" s="19">
        <v>0.142335766</v>
      </c>
      <c r="M782" s="19">
        <v>0.39660000000000001</v>
      </c>
      <c r="N782" s="19" t="s">
        <v>36</v>
      </c>
      <c r="O782" s="19">
        <v>0.25640000000000002</v>
      </c>
      <c r="P782" s="19">
        <v>0</v>
      </c>
      <c r="Q782" s="19">
        <v>0.103896104</v>
      </c>
      <c r="R782" s="20">
        <v>17814</v>
      </c>
      <c r="S782" s="21" t="str">
        <f>HYPERLINK("https://www.nwc.edu/calculator", "$10297")</f>
        <v>$10297</v>
      </c>
      <c r="T782" s="20">
        <v>12356</v>
      </c>
      <c r="U782" s="20">
        <v>14793</v>
      </c>
      <c r="V782" s="20">
        <v>4076</v>
      </c>
      <c r="W782" s="20">
        <v>6221.8666666666668</v>
      </c>
      <c r="Y782" s="19">
        <v>0.25659999999999999</v>
      </c>
      <c r="Z782" s="19">
        <v>0.1762</v>
      </c>
      <c r="AB782" s="18">
        <v>1169</v>
      </c>
    </row>
    <row r="783" spans="1:28" ht="15.75" customHeight="1" x14ac:dyDescent="0.2">
      <c r="A783" s="36" t="str">
        <f>HYPERLINK("https://www.nwfsc.edu/", "Northwest Florida State College")</f>
        <v>Northwest Florida State College</v>
      </c>
      <c r="B783" s="18" t="s">
        <v>49</v>
      </c>
      <c r="C783" s="18" t="s">
        <v>162</v>
      </c>
      <c r="D783" s="18" t="s">
        <v>1593</v>
      </c>
      <c r="E783" s="18" t="s">
        <v>36</v>
      </c>
      <c r="F783" s="18" t="s">
        <v>36</v>
      </c>
      <c r="J783" s="19"/>
      <c r="K783" s="19">
        <v>0.38969999999999999</v>
      </c>
      <c r="L783" s="19">
        <v>0.25423728800000001</v>
      </c>
      <c r="M783" s="19">
        <v>0.39639999999999997</v>
      </c>
      <c r="N783" s="19">
        <v>0.2321</v>
      </c>
      <c r="O783" s="19">
        <v>0.31369999999999998</v>
      </c>
      <c r="P783" s="19">
        <v>0.5</v>
      </c>
      <c r="Q783" s="19">
        <v>6.8712474999999995E-2</v>
      </c>
      <c r="R783" s="20">
        <v>26696</v>
      </c>
      <c r="S783" s="21" t="str">
        <f>HYPERLINK("https://www.nwfsc.edu/students/financialaid/net-price-calculator/", "$20749")</f>
        <v>$20749</v>
      </c>
      <c r="T783" s="20">
        <v>23840</v>
      </c>
      <c r="U783" s="20">
        <v>25984</v>
      </c>
      <c r="V783" s="20">
        <v>5826</v>
      </c>
      <c r="W783" s="20">
        <v>14923</v>
      </c>
      <c r="Y783" s="19">
        <v>0.26379999999999998</v>
      </c>
      <c r="Z783" s="19">
        <v>0.33520000000000011</v>
      </c>
      <c r="AB783" s="18">
        <v>4075</v>
      </c>
    </row>
    <row r="784" spans="1:28" ht="15.75" customHeight="1" x14ac:dyDescent="0.2">
      <c r="A784" s="36" t="str">
        <f>HYPERLINK("https://www.nwic.edu", "Northwest Indian College")</f>
        <v>Northwest Indian College</v>
      </c>
      <c r="B784" s="18" t="s">
        <v>49</v>
      </c>
      <c r="C784" s="18" t="s">
        <v>184</v>
      </c>
      <c r="D784" s="18" t="s">
        <v>538</v>
      </c>
      <c r="E784" s="18" t="s">
        <v>36</v>
      </c>
      <c r="F784" s="18" t="s">
        <v>36</v>
      </c>
      <c r="J784" s="19"/>
      <c r="K784" s="19">
        <v>9.9000000000000005E-2</v>
      </c>
      <c r="L784" s="19">
        <v>0.15300546500000001</v>
      </c>
      <c r="M784" s="19">
        <v>0</v>
      </c>
      <c r="N784" s="19">
        <v>0.5</v>
      </c>
      <c r="O784" s="19" t="s">
        <v>36</v>
      </c>
      <c r="P784" s="19" t="s">
        <v>36</v>
      </c>
      <c r="Q784" s="19" t="s">
        <v>36</v>
      </c>
      <c r="R784" s="20">
        <v>13989</v>
      </c>
      <c r="S784" s="21" t="str">
        <f>HYPERLINK("https://www.nwic.edu/net-price-calculator/", "$7473")</f>
        <v>$7473</v>
      </c>
      <c r="T784" s="20">
        <v>7420</v>
      </c>
      <c r="U784" s="20" t="s">
        <v>36</v>
      </c>
      <c r="V784" s="20">
        <v>4602</v>
      </c>
      <c r="W784" s="20">
        <v>2871.5128205128199</v>
      </c>
      <c r="Y784" s="19">
        <v>0.57340000000000002</v>
      </c>
      <c r="Z784" s="19">
        <v>0.97540000000000004</v>
      </c>
      <c r="AB784" s="18">
        <v>488</v>
      </c>
    </row>
    <row r="785" spans="1:28" ht="15.75" customHeight="1" x14ac:dyDescent="0.2">
      <c r="A785" s="36" t="str">
        <f>HYPERLINK("https://www.nwicc.edu", "Northwest Iowa Community College")</f>
        <v>Northwest Iowa Community College</v>
      </c>
      <c r="B785" s="18" t="s">
        <v>49</v>
      </c>
      <c r="C785" s="18" t="s">
        <v>211</v>
      </c>
      <c r="D785" s="18" t="s">
        <v>1594</v>
      </c>
      <c r="E785" s="18" t="s">
        <v>36</v>
      </c>
      <c r="F785" s="18" t="s">
        <v>36</v>
      </c>
      <c r="J785" s="19"/>
      <c r="K785" s="19">
        <v>0.6502</v>
      </c>
      <c r="L785" s="19">
        <v>0.36746988000000003</v>
      </c>
      <c r="M785" s="19">
        <v>0.66180000000000005</v>
      </c>
      <c r="N785" s="19">
        <v>0</v>
      </c>
      <c r="O785" s="19">
        <v>0.4</v>
      </c>
      <c r="P785" s="19">
        <v>0.5</v>
      </c>
      <c r="Q785" s="19">
        <v>3.5087719000000003E-2</v>
      </c>
      <c r="R785" s="20">
        <v>18092</v>
      </c>
      <c r="S785" s="21" t="str">
        <f>HYPERLINK("https://files.nwicc.edu/files/portal/netpricecalculator/npcalc.htm", "$10669")</f>
        <v>$10669</v>
      </c>
      <c r="T785" s="20">
        <v>13833</v>
      </c>
      <c r="U785" s="20">
        <v>16535</v>
      </c>
      <c r="V785" s="20">
        <v>5842</v>
      </c>
      <c r="W785" s="20">
        <v>4827</v>
      </c>
      <c r="Y785" s="19">
        <v>0.18740000000000001</v>
      </c>
      <c r="Z785" s="19">
        <v>0.19220000000000001</v>
      </c>
      <c r="AB785" s="18">
        <v>765</v>
      </c>
    </row>
    <row r="786" spans="1:28" ht="15.75" customHeight="1" x14ac:dyDescent="0.2">
      <c r="A786" s="36" t="str">
        <f>HYPERLINK("https://www.northwestms.edu", "Northwest Mississippi Community College")</f>
        <v>Northwest Mississippi Community College</v>
      </c>
      <c r="B786" s="18" t="s">
        <v>49</v>
      </c>
      <c r="C786" s="18" t="s">
        <v>59</v>
      </c>
      <c r="D786" s="18" t="s">
        <v>1595</v>
      </c>
      <c r="E786" s="18" t="s">
        <v>36</v>
      </c>
      <c r="F786" s="18" t="s">
        <v>36</v>
      </c>
      <c r="J786" s="19"/>
      <c r="K786" s="19">
        <v>0.25069999999999998</v>
      </c>
      <c r="L786" s="19">
        <v>0.194570136</v>
      </c>
      <c r="M786" s="19">
        <v>0.27950000000000003</v>
      </c>
      <c r="N786" s="19">
        <v>0.1986</v>
      </c>
      <c r="O786" s="19">
        <v>0.3871</v>
      </c>
      <c r="P786" s="19">
        <v>0.4667</v>
      </c>
      <c r="Q786" s="19">
        <v>8.6015038000000002E-2</v>
      </c>
      <c r="R786" s="20">
        <v>11700</v>
      </c>
      <c r="S786" s="21" t="str">
        <f>HYPERLINK("https://www.northwestms.edu/index.php/?page_id=475", "$6140")</f>
        <v>$6140</v>
      </c>
      <c r="T786" s="20">
        <v>8318</v>
      </c>
      <c r="U786" s="20">
        <v>10546</v>
      </c>
      <c r="V786" s="20">
        <v>2900</v>
      </c>
      <c r="W786" s="20">
        <v>3240.9123867069479</v>
      </c>
      <c r="Y786" s="19">
        <v>0.4728</v>
      </c>
      <c r="Z786" s="19">
        <v>0.38729999999999998</v>
      </c>
      <c r="AB786" s="18">
        <v>6522</v>
      </c>
    </row>
    <row r="787" spans="1:28" ht="15.75" customHeight="1" x14ac:dyDescent="0.2">
      <c r="A787" s="36" t="str">
        <f>HYPERLINK("https://www.nwswb.edu", "Northwest School of Wooden Boat Building")</f>
        <v>Northwest School of Wooden Boat Building</v>
      </c>
      <c r="B787" s="18" t="s">
        <v>32</v>
      </c>
      <c r="C787" s="18" t="s">
        <v>184</v>
      </c>
      <c r="D787" s="18" t="s">
        <v>1596</v>
      </c>
      <c r="E787" s="18" t="s">
        <v>36</v>
      </c>
      <c r="F787" s="18" t="s">
        <v>36</v>
      </c>
      <c r="J787" s="19"/>
      <c r="K787" s="19">
        <v>0.93330000000000002</v>
      </c>
      <c r="L787" s="19" t="s">
        <v>36</v>
      </c>
      <c r="M787" s="19">
        <v>0.88890000000000002</v>
      </c>
      <c r="N787" s="19" t="s">
        <v>36</v>
      </c>
      <c r="O787" s="19">
        <v>1</v>
      </c>
      <c r="P787" s="19">
        <v>1</v>
      </c>
      <c r="Q787" s="19" t="s">
        <v>36</v>
      </c>
      <c r="R787" s="20">
        <v>28382</v>
      </c>
      <c r="S787" s="21" t="str">
        <f>HYPERLINK("https://www.nwswb.edu", "$22497")</f>
        <v>$22497</v>
      </c>
      <c r="T787" s="20">
        <v>28366</v>
      </c>
      <c r="U787" s="20" t="s">
        <v>36</v>
      </c>
      <c r="V787" s="20">
        <v>4572</v>
      </c>
      <c r="W787" s="20">
        <v>17925</v>
      </c>
      <c r="Y787" s="19">
        <v>0.28210000000000002</v>
      </c>
      <c r="Z787" s="19">
        <v>0</v>
      </c>
      <c r="AB787" s="18">
        <v>48</v>
      </c>
    </row>
    <row r="788" spans="1:28" ht="15.75" customHeight="1" x14ac:dyDescent="0.2">
      <c r="A788" s="36" t="str">
        <f>HYPERLINK("https://northweststate.edu", "Northwest State Community College")</f>
        <v>Northwest State Community College</v>
      </c>
      <c r="B788" s="18" t="s">
        <v>49</v>
      </c>
      <c r="C788" s="18" t="s">
        <v>75</v>
      </c>
      <c r="D788" s="18" t="s">
        <v>1597</v>
      </c>
      <c r="E788" s="18" t="s">
        <v>36</v>
      </c>
      <c r="F788" s="18" t="s">
        <v>36</v>
      </c>
      <c r="J788" s="19"/>
      <c r="K788" s="19">
        <v>0.2727</v>
      </c>
      <c r="L788" s="19">
        <v>0.15616797900000001</v>
      </c>
      <c r="M788" s="19">
        <v>0.29580000000000001</v>
      </c>
      <c r="N788" s="19">
        <v>0</v>
      </c>
      <c r="O788" s="19">
        <v>0.2</v>
      </c>
      <c r="P788" s="19" t="s">
        <v>36</v>
      </c>
      <c r="Q788" s="19">
        <v>5.2550232000000002E-2</v>
      </c>
      <c r="R788" s="20">
        <v>19210</v>
      </c>
      <c r="S788" s="21" t="str">
        <f>HYPERLINK("https://northweststate.edu/net-price-calculator", "$14904")</f>
        <v>$14904</v>
      </c>
      <c r="T788" s="20">
        <v>17094</v>
      </c>
      <c r="U788" s="20">
        <v>19077</v>
      </c>
      <c r="V788" s="20">
        <v>5390</v>
      </c>
      <c r="W788" s="20">
        <v>9514.2631578947367</v>
      </c>
      <c r="Y788" s="19">
        <v>0.27979999999999999</v>
      </c>
      <c r="Z788" s="19">
        <v>0.19359999999999999</v>
      </c>
      <c r="AB788" s="18">
        <v>1250</v>
      </c>
    </row>
    <row r="789" spans="1:28" ht="15.75" customHeight="1" x14ac:dyDescent="0.2">
      <c r="A789" s="36" t="str">
        <f>HYPERLINK("https://alamo.edu/nvc/", "Northwest Vista College")</f>
        <v>Northwest Vista College</v>
      </c>
      <c r="B789" s="18" t="s">
        <v>49</v>
      </c>
      <c r="C789" s="18" t="s">
        <v>146</v>
      </c>
      <c r="D789" s="18" t="s">
        <v>268</v>
      </c>
      <c r="E789" s="18" t="s">
        <v>36</v>
      </c>
      <c r="F789" s="18" t="s">
        <v>36</v>
      </c>
      <c r="J789" s="19"/>
      <c r="K789" s="19">
        <v>0.2944</v>
      </c>
      <c r="L789" s="19">
        <v>0.121719285</v>
      </c>
      <c r="M789" s="19">
        <v>0.29609999999999997</v>
      </c>
      <c r="N789" s="19">
        <v>0.17649999999999999</v>
      </c>
      <c r="O789" s="19">
        <v>0.29670000000000002</v>
      </c>
      <c r="P789" s="19">
        <v>0.43330000000000002</v>
      </c>
      <c r="Q789" s="19">
        <v>0.150272515</v>
      </c>
      <c r="R789" s="20">
        <v>27492</v>
      </c>
      <c r="S789" s="21" t="str">
        <f>HYPERLINK("https://www.collegeforalltexans.com/apps/CollegeMoney/index.php", "$21641")</f>
        <v>$21641</v>
      </c>
      <c r="T789" s="20">
        <v>23985</v>
      </c>
      <c r="U789" s="20">
        <v>26001</v>
      </c>
      <c r="V789" s="20">
        <v>5180</v>
      </c>
      <c r="W789" s="20">
        <v>16461.347517730501</v>
      </c>
      <c r="Y789" s="19">
        <v>0.25109999999999999</v>
      </c>
      <c r="Z789" s="19">
        <v>0.7833</v>
      </c>
      <c r="AB789" s="18">
        <v>12734</v>
      </c>
    </row>
    <row r="790" spans="1:28" ht="15.75" customHeight="1" x14ac:dyDescent="0.2">
      <c r="A790" s="36" t="str">
        <f>HYPERLINK("https://www.nwscc.edu", "Northwest-Shoals Community College")</f>
        <v>Northwest-Shoals Community College</v>
      </c>
      <c r="B790" s="18" t="s">
        <v>49</v>
      </c>
      <c r="C790" s="18" t="s">
        <v>300</v>
      </c>
      <c r="D790" s="18" t="s">
        <v>1598</v>
      </c>
      <c r="E790" s="18" t="s">
        <v>36</v>
      </c>
      <c r="F790" s="18" t="s">
        <v>36</v>
      </c>
      <c r="J790" s="19"/>
      <c r="K790" s="19">
        <v>0.15770000000000001</v>
      </c>
      <c r="L790" s="19">
        <v>7.5576036999999999E-2</v>
      </c>
      <c r="M790" s="19">
        <v>0.1661</v>
      </c>
      <c r="N790" s="19">
        <v>0.1096</v>
      </c>
      <c r="O790" s="19">
        <v>0.2</v>
      </c>
      <c r="P790" s="19">
        <v>0</v>
      </c>
      <c r="Q790" s="19">
        <v>6.8987342000000007E-2</v>
      </c>
      <c r="R790" s="20">
        <v>20456</v>
      </c>
      <c r="S790" s="21" t="str">
        <f>HYPERLINK("https://www.nwscc.edu/about-nw-scc/college-departments/student-services/financial-aid/future-students-financial-aid-calculator", "$14511")</f>
        <v>$14511</v>
      </c>
      <c r="T790" s="20">
        <v>17204</v>
      </c>
      <c r="U790" s="20">
        <v>19406</v>
      </c>
      <c r="V790" s="20">
        <v>7035</v>
      </c>
      <c r="W790" s="20">
        <v>7476.2394366197186</v>
      </c>
      <c r="Y790" s="19">
        <v>0.4622</v>
      </c>
      <c r="Z790" s="19">
        <v>0.20680000000000001</v>
      </c>
      <c r="AB790" s="18">
        <v>2698</v>
      </c>
    </row>
    <row r="791" spans="1:28" ht="15.75" customHeight="1" x14ac:dyDescent="0.2">
      <c r="A791" s="36" t="str">
        <f>HYPERLINK("https://www.NC.edu", "Northwestern College-Southwestern Campus")</f>
        <v>Northwestern College-Southwestern Campus</v>
      </c>
      <c r="B791" s="18" t="s">
        <v>368</v>
      </c>
      <c r="C791" s="18" t="s">
        <v>137</v>
      </c>
      <c r="D791" s="18" t="s">
        <v>1599</v>
      </c>
      <c r="E791" s="18" t="s">
        <v>36</v>
      </c>
      <c r="F791" s="18" t="s">
        <v>90</v>
      </c>
      <c r="J791" s="19"/>
      <c r="K791" s="19">
        <v>0.2041</v>
      </c>
      <c r="L791" s="19">
        <v>0.210877863</v>
      </c>
      <c r="M791" s="19">
        <v>0</v>
      </c>
      <c r="N791" s="19">
        <v>0.22220000000000001</v>
      </c>
      <c r="O791" s="19">
        <v>0.26669999999999999</v>
      </c>
      <c r="P791" s="19" t="s">
        <v>36</v>
      </c>
      <c r="Q791" s="19">
        <v>2.5473071E-2</v>
      </c>
      <c r="R791" s="20">
        <v>30283</v>
      </c>
      <c r="S791" s="21" t="str">
        <f>HYPERLINK("https://nc.edu/making-college-affordable/net-price-calculator/", "$26277")</f>
        <v>$26277</v>
      </c>
      <c r="T791" s="20">
        <v>24987</v>
      </c>
      <c r="U791" s="20">
        <v>21870</v>
      </c>
      <c r="V791" s="20">
        <v>4708</v>
      </c>
      <c r="W791" s="20">
        <v>21569</v>
      </c>
      <c r="Y791" s="19">
        <v>0.73970000000000002</v>
      </c>
      <c r="Z791" s="19">
        <v>0.83230000000000004</v>
      </c>
      <c r="AB791" s="18">
        <v>650</v>
      </c>
    </row>
    <row r="792" spans="1:28" ht="15.75" customHeight="1" x14ac:dyDescent="0.2">
      <c r="A792" s="36" t="str">
        <f>HYPERLINK("https://www.nwcc.commnet.edu", "Northwestern Connecticut Community College")</f>
        <v>Northwestern Connecticut Community College</v>
      </c>
      <c r="B792" s="18" t="s">
        <v>49</v>
      </c>
      <c r="C792" s="18" t="s">
        <v>94</v>
      </c>
      <c r="D792" s="18" t="s">
        <v>1600</v>
      </c>
      <c r="E792" s="18" t="s">
        <v>36</v>
      </c>
      <c r="F792" s="18" t="s">
        <v>36</v>
      </c>
      <c r="J792" s="19"/>
      <c r="K792" s="19">
        <v>0.2303</v>
      </c>
      <c r="L792" s="19">
        <v>0.15111111099999999</v>
      </c>
      <c r="M792" s="19">
        <v>0.21279999999999999</v>
      </c>
      <c r="N792" s="19">
        <v>0.25</v>
      </c>
      <c r="O792" s="19">
        <v>0.21740000000000001</v>
      </c>
      <c r="P792" s="19">
        <v>0.33329999999999999</v>
      </c>
      <c r="Q792" s="19">
        <v>6.9069068999999997E-2</v>
      </c>
      <c r="R792" s="20">
        <v>25960</v>
      </c>
      <c r="S792" s="21" t="str">
        <f>HYPERLINK("https://www.nwcc.edu/financial-aid/calculator/", "$20381")</f>
        <v>$20381</v>
      </c>
      <c r="T792" s="20">
        <v>23701</v>
      </c>
      <c r="U792" s="20">
        <v>23462</v>
      </c>
      <c r="V792" s="20">
        <v>4718</v>
      </c>
      <c r="W792" s="20">
        <v>15663.703125</v>
      </c>
      <c r="Y792" s="19">
        <v>0.31509999999999999</v>
      </c>
      <c r="Z792" s="19">
        <v>0.17760000000000001</v>
      </c>
      <c r="AB792" s="18">
        <v>1002</v>
      </c>
    </row>
    <row r="793" spans="1:28" ht="15.75" customHeight="1" x14ac:dyDescent="0.2">
      <c r="A793" s="36" t="str">
        <f>HYPERLINK("https://www.nmc.edu/", "Northwestern Michigan College")</f>
        <v>Northwestern Michigan College</v>
      </c>
      <c r="B793" s="18" t="s">
        <v>49</v>
      </c>
      <c r="C793" s="18" t="s">
        <v>226</v>
      </c>
      <c r="D793" s="18" t="s">
        <v>711</v>
      </c>
      <c r="E793" s="18" t="s">
        <v>36</v>
      </c>
      <c r="F793" s="18" t="s">
        <v>36</v>
      </c>
      <c r="J793" s="19"/>
      <c r="K793" s="19">
        <v>0.1991</v>
      </c>
      <c r="L793" s="19">
        <v>0.14616193499999999</v>
      </c>
      <c r="M793" s="19">
        <v>0.2142</v>
      </c>
      <c r="N793" s="19">
        <v>0.1111</v>
      </c>
      <c r="O793" s="19">
        <v>6.6699999999999995E-2</v>
      </c>
      <c r="P793" s="19">
        <v>0</v>
      </c>
      <c r="Q793" s="19">
        <v>9.2739475000000002E-2</v>
      </c>
      <c r="R793" s="20">
        <v>24154</v>
      </c>
      <c r="S793" s="21" t="str">
        <f>HYPERLINK("https://www.nmc.edu/financial-aid/net-price-calculator/index.html", "$17963")</f>
        <v>$17963</v>
      </c>
      <c r="T793" s="20">
        <v>20002</v>
      </c>
      <c r="U793" s="20">
        <v>22916</v>
      </c>
      <c r="V793" s="20">
        <v>5254</v>
      </c>
      <c r="W793" s="20">
        <v>12709.9625</v>
      </c>
      <c r="Y793" s="19">
        <v>0.31680000000000003</v>
      </c>
      <c r="Z793" s="19">
        <v>0.16420000000000001</v>
      </c>
      <c r="AB793" s="18">
        <v>3515</v>
      </c>
    </row>
    <row r="794" spans="1:28" ht="15.75" customHeight="1" x14ac:dyDescent="0.2">
      <c r="A794" s="36" t="str">
        <f>HYPERLINK("https://norwalk.edu", "Norwalk Community College")</f>
        <v>Norwalk Community College</v>
      </c>
      <c r="B794" s="18" t="s">
        <v>49</v>
      </c>
      <c r="C794" s="18" t="s">
        <v>94</v>
      </c>
      <c r="D794" s="18" t="s">
        <v>1116</v>
      </c>
      <c r="E794" s="18" t="s">
        <v>36</v>
      </c>
      <c r="F794" s="18" t="s">
        <v>36</v>
      </c>
      <c r="J794" s="19"/>
      <c r="K794" s="19">
        <v>9.7199999999999995E-2</v>
      </c>
      <c r="L794" s="19">
        <v>0.175257732</v>
      </c>
      <c r="M794" s="19">
        <v>0.18129999999999999</v>
      </c>
      <c r="N794" s="19">
        <v>3.1399999999999997E-2</v>
      </c>
      <c r="O794" s="19">
        <v>8.6300000000000002E-2</v>
      </c>
      <c r="P794" s="19">
        <v>4.1700000000000001E-2</v>
      </c>
      <c r="Q794" s="19">
        <v>8.7445886999999986E-2</v>
      </c>
      <c r="R794" s="20">
        <v>28243</v>
      </c>
      <c r="S794" s="21" t="str">
        <f>HYPERLINK("https://www.commnet.edu/finaid/netprice/d_npcalc.htm", "$22716")</f>
        <v>$22716</v>
      </c>
      <c r="T794" s="20">
        <v>23355</v>
      </c>
      <c r="U794" s="20">
        <v>25806</v>
      </c>
      <c r="V794" s="20">
        <v>6600</v>
      </c>
      <c r="W794" s="20">
        <v>16116.794520547939</v>
      </c>
      <c r="Y794" s="19">
        <v>0.36880000000000002</v>
      </c>
      <c r="Z794" s="19">
        <v>0.69950000000000001</v>
      </c>
      <c r="AB794" s="18">
        <v>4719</v>
      </c>
    </row>
    <row r="795" spans="1:28" ht="15.75" customHeight="1" x14ac:dyDescent="0.2">
      <c r="A795" s="36" t="str">
        <f>HYPERLINK("https://www.nhsc.edu", "Nueta Hidatsa Sahnish College")</f>
        <v>Nueta Hidatsa Sahnish College</v>
      </c>
      <c r="B795" s="18" t="s">
        <v>49</v>
      </c>
      <c r="C795" s="18" t="s">
        <v>730</v>
      </c>
      <c r="D795" s="18" t="s">
        <v>1601</v>
      </c>
      <c r="E795" s="18" t="s">
        <v>36</v>
      </c>
      <c r="F795" s="18" t="s">
        <v>36</v>
      </c>
      <c r="J795" s="19"/>
      <c r="K795" s="19">
        <v>9.5200000000000007E-2</v>
      </c>
      <c r="L795" s="19" t="s">
        <v>36</v>
      </c>
      <c r="M795" s="19">
        <v>0</v>
      </c>
      <c r="N795" s="19" t="s">
        <v>36</v>
      </c>
      <c r="O795" s="19" t="s">
        <v>36</v>
      </c>
      <c r="P795" s="19" t="s">
        <v>36</v>
      </c>
      <c r="Q795" s="19" t="s">
        <v>36</v>
      </c>
      <c r="R795" s="20">
        <v>21010</v>
      </c>
      <c r="S795" s="21" t="str">
        <f>HYPERLINK("https://www.nhsc.edu", "$15596")</f>
        <v>$15596</v>
      </c>
      <c r="T795" s="20">
        <v>19152</v>
      </c>
      <c r="U795" s="20">
        <v>14945</v>
      </c>
      <c r="V795" s="20">
        <v>6700</v>
      </c>
      <c r="W795" s="20">
        <v>8896.6153846153848</v>
      </c>
      <c r="Y795" s="19">
        <v>0.40670000000000001</v>
      </c>
      <c r="Z795" s="19">
        <v>0.94550000000000001</v>
      </c>
      <c r="AB795" s="18">
        <v>202</v>
      </c>
    </row>
    <row r="796" spans="1:28" ht="15.75" customHeight="1" x14ac:dyDescent="0.2">
      <c r="A796" s="36" t="str">
        <f>HYPERLINK("https://www.oaklandcc.edu", "Oakland Community College")</f>
        <v>Oakland Community College</v>
      </c>
      <c r="B796" s="18" t="s">
        <v>49</v>
      </c>
      <c r="C796" s="18" t="s">
        <v>226</v>
      </c>
      <c r="D796" s="18" t="s">
        <v>1602</v>
      </c>
      <c r="E796" s="18" t="s">
        <v>36</v>
      </c>
      <c r="F796" s="18" t="s">
        <v>36</v>
      </c>
      <c r="J796" s="19"/>
      <c r="K796" s="19">
        <v>0.11459999999999999</v>
      </c>
      <c r="L796" s="19">
        <v>8.2606549000000001E-2</v>
      </c>
      <c r="M796" s="19">
        <v>0.13439999999999999</v>
      </c>
      <c r="N796" s="19">
        <v>5.7799999999999997E-2</v>
      </c>
      <c r="O796" s="19">
        <v>0.1143</v>
      </c>
      <c r="P796" s="19">
        <v>0.2414</v>
      </c>
      <c r="Q796" s="19">
        <v>7.7159037E-2</v>
      </c>
      <c r="R796" s="20">
        <v>14666</v>
      </c>
      <c r="S796" s="21" t="str">
        <f>HYPERLINK("https://www.oaklandcc.edu/finaid/default.aspx", "$9247")</f>
        <v>$9247</v>
      </c>
      <c r="T796" s="20">
        <v>11965</v>
      </c>
      <c r="U796" s="20">
        <v>14274</v>
      </c>
      <c r="V796" s="20">
        <v>3390</v>
      </c>
      <c r="W796" s="20">
        <v>5857.5615763546812</v>
      </c>
      <c r="Y796" s="19">
        <v>0.22900000000000001</v>
      </c>
      <c r="Z796" s="19">
        <v>0.36839999999999989</v>
      </c>
      <c r="AB796" s="18">
        <v>9866</v>
      </c>
    </row>
    <row r="797" spans="1:28" ht="15.75" customHeight="1" x14ac:dyDescent="0.2">
      <c r="A797" s="36" t="str">
        <f>HYPERLINK("https://www.oakton.edu", "Oakton Community College")</f>
        <v>Oakton Community College</v>
      </c>
      <c r="B797" s="18" t="s">
        <v>49</v>
      </c>
      <c r="C797" s="18" t="s">
        <v>137</v>
      </c>
      <c r="D797" s="18" t="s">
        <v>1603</v>
      </c>
      <c r="E797" s="18" t="s">
        <v>36</v>
      </c>
      <c r="F797" s="18" t="s">
        <v>36</v>
      </c>
      <c r="J797" s="19"/>
      <c r="K797" s="19">
        <v>0.21679999999999999</v>
      </c>
      <c r="L797" s="19">
        <v>0.115485564</v>
      </c>
      <c r="M797" s="19">
        <v>0.25</v>
      </c>
      <c r="N797" s="19">
        <v>0.1111</v>
      </c>
      <c r="O797" s="19">
        <v>0.1842</v>
      </c>
      <c r="P797" s="19">
        <v>0.1933</v>
      </c>
      <c r="Q797" s="19">
        <v>0.182645631</v>
      </c>
      <c r="R797" s="20">
        <v>25630</v>
      </c>
      <c r="S797" s="21" t="str">
        <f>HYPERLINK("https://npc.collegeboard.org/student/app/oakton", "$20924")</f>
        <v>$20924</v>
      </c>
      <c r="T797" s="20">
        <v>22623</v>
      </c>
      <c r="U797" s="20">
        <v>25085</v>
      </c>
      <c r="V797" s="20">
        <v>5149</v>
      </c>
      <c r="W797" s="20">
        <v>15775.69281045752</v>
      </c>
      <c r="Y797" s="19">
        <v>0.18060000000000001</v>
      </c>
      <c r="Z797" s="19">
        <v>0.52780000000000005</v>
      </c>
      <c r="AB797" s="18">
        <v>8308</v>
      </c>
    </row>
    <row r="798" spans="1:28" ht="15.75" customHeight="1" x14ac:dyDescent="0.2">
      <c r="A798" s="36" t="str">
        <f>HYPERLINK("https://www.ocean.edu/", "Ocean County College")</f>
        <v>Ocean County College</v>
      </c>
      <c r="B798" s="18" t="s">
        <v>49</v>
      </c>
      <c r="C798" s="18" t="s">
        <v>141</v>
      </c>
      <c r="D798" s="18" t="s">
        <v>1604</v>
      </c>
      <c r="E798" s="18" t="s">
        <v>36</v>
      </c>
      <c r="F798" s="18" t="s">
        <v>36</v>
      </c>
      <c r="J798" s="19"/>
      <c r="K798" s="19">
        <v>0.34649999999999997</v>
      </c>
      <c r="L798" s="19">
        <v>0.175195143</v>
      </c>
      <c r="M798" s="19">
        <v>0.37719999999999998</v>
      </c>
      <c r="N798" s="19">
        <v>0.1091</v>
      </c>
      <c r="O798" s="19">
        <v>0.26529999999999998</v>
      </c>
      <c r="P798" s="19">
        <v>0.32</v>
      </c>
      <c r="Q798" s="19">
        <v>0.115238497</v>
      </c>
      <c r="R798" s="20">
        <v>35021</v>
      </c>
      <c r="S798" s="21" t="str">
        <f>HYPERLINK("https://media.ocean.edu/files/OCC_VIDEO/upload/Web/npcalc.htm", "$28952")</f>
        <v>$28952</v>
      </c>
      <c r="T798" s="20">
        <v>31921</v>
      </c>
      <c r="U798" s="20">
        <v>34246</v>
      </c>
      <c r="V798" s="20">
        <v>6790</v>
      </c>
      <c r="W798" s="20">
        <v>22162.275641025641</v>
      </c>
      <c r="Y798" s="19">
        <v>0.28570000000000001</v>
      </c>
      <c r="Z798" s="19">
        <v>0.29980000000000001</v>
      </c>
      <c r="AB798" s="18">
        <v>7141</v>
      </c>
    </row>
    <row r="799" spans="1:28" ht="15.75" customHeight="1" x14ac:dyDescent="0.2">
      <c r="A799" s="36" t="str">
        <f>HYPERLINK("https://www.odessa.edu", "Odessa College")</f>
        <v>Odessa College</v>
      </c>
      <c r="B799" s="18" t="s">
        <v>49</v>
      </c>
      <c r="C799" s="18" t="s">
        <v>146</v>
      </c>
      <c r="D799" s="18" t="s">
        <v>1237</v>
      </c>
      <c r="E799" s="18" t="s">
        <v>36</v>
      </c>
      <c r="F799" s="18" t="s">
        <v>36</v>
      </c>
      <c r="J799" s="19"/>
      <c r="K799" s="19">
        <v>0.25480000000000003</v>
      </c>
      <c r="L799" s="19">
        <v>0.11145833300000001</v>
      </c>
      <c r="M799" s="19">
        <v>0.2</v>
      </c>
      <c r="N799" s="19">
        <v>0</v>
      </c>
      <c r="O799" s="19">
        <v>0.27329999999999999</v>
      </c>
      <c r="P799" s="19">
        <v>0.4</v>
      </c>
      <c r="Q799" s="19">
        <v>7.0244672999999994E-2</v>
      </c>
      <c r="R799" s="20">
        <v>13239</v>
      </c>
      <c r="S799" s="21" t="str">
        <f>HYPERLINK("https://www.odessa.edu/future-students/Financial-Aid/Calculating-Cost/NetPriceCalculator2/npcalc.htm", "$7762")</f>
        <v>$7762</v>
      </c>
      <c r="T799" s="20">
        <v>9946</v>
      </c>
      <c r="U799" s="20">
        <v>10964</v>
      </c>
      <c r="V799" s="20">
        <v>3597</v>
      </c>
      <c r="W799" s="20">
        <v>4165.7829457364342</v>
      </c>
      <c r="Y799" s="19">
        <v>0.248</v>
      </c>
      <c r="Z799" s="19">
        <v>0.74350000000000005</v>
      </c>
      <c r="AB799" s="18">
        <v>4835</v>
      </c>
    </row>
    <row r="800" spans="1:28" ht="15.75" customHeight="1" x14ac:dyDescent="0.2">
      <c r="A800" s="36" t="str">
        <f>HYPERLINK("https://www.olc.edu", "Oglala Lakota College")</f>
        <v>Oglala Lakota College</v>
      </c>
      <c r="B800" s="18" t="s">
        <v>49</v>
      </c>
      <c r="C800" s="18" t="s">
        <v>302</v>
      </c>
      <c r="D800" s="18" t="s">
        <v>1605</v>
      </c>
      <c r="E800" s="18" t="s">
        <v>36</v>
      </c>
      <c r="F800" s="18" t="s">
        <v>36</v>
      </c>
      <c r="J800" s="19"/>
      <c r="K800" s="19">
        <v>7.0199999999999999E-2</v>
      </c>
      <c r="L800" s="19" t="s">
        <v>36</v>
      </c>
      <c r="M800" s="19">
        <v>0</v>
      </c>
      <c r="N800" s="19" t="s">
        <v>36</v>
      </c>
      <c r="O800" s="19">
        <v>0</v>
      </c>
      <c r="P800" s="19" t="s">
        <v>36</v>
      </c>
      <c r="Q800" s="19">
        <v>1.9342359999999999E-2</v>
      </c>
      <c r="R800" s="20">
        <v>12034</v>
      </c>
      <c r="S800" s="21" t="str">
        <f>HYPERLINK("https://warehouse.olc.edu/local_links/financial_aid/npc/npcalc.htm", "$7913")</f>
        <v>$7913</v>
      </c>
      <c r="T800" s="20">
        <v>10285</v>
      </c>
      <c r="U800" s="20" t="s">
        <v>36</v>
      </c>
      <c r="V800" s="20">
        <v>3050</v>
      </c>
      <c r="W800" s="20">
        <v>4863.5185185185182</v>
      </c>
      <c r="Y800" s="19">
        <v>0.59430000000000005</v>
      </c>
      <c r="Z800" s="19">
        <v>0.97660000000000002</v>
      </c>
      <c r="AB800" s="18">
        <v>1152</v>
      </c>
    </row>
    <row r="801" spans="1:28" ht="15.75" customHeight="1" x14ac:dyDescent="0.2">
      <c r="A801" s="36" t="str">
        <f>HYPERLINK("https://www.OhioBusinessCollege.Edu", "Ohio Business College-Sandusky")</f>
        <v>Ohio Business College-Sandusky</v>
      </c>
      <c r="B801" s="18" t="s">
        <v>368</v>
      </c>
      <c r="C801" s="18" t="s">
        <v>75</v>
      </c>
      <c r="D801" s="18" t="s">
        <v>1606</v>
      </c>
      <c r="E801" s="18" t="s">
        <v>36</v>
      </c>
      <c r="F801" s="18" t="s">
        <v>36</v>
      </c>
      <c r="J801" s="19"/>
      <c r="K801" s="19">
        <v>0.46150000000000002</v>
      </c>
      <c r="L801" s="19">
        <v>0.44426494399999999</v>
      </c>
      <c r="M801" s="19">
        <v>0.52629999999999999</v>
      </c>
      <c r="N801" s="19">
        <v>0.2</v>
      </c>
      <c r="O801" s="19">
        <v>0.5</v>
      </c>
      <c r="P801" s="19" t="s">
        <v>36</v>
      </c>
      <c r="Q801" s="19" t="s">
        <v>36</v>
      </c>
      <c r="R801" s="20">
        <v>28998</v>
      </c>
      <c r="S801" s="21" t="str">
        <f>HYPERLINK("https://www.ohiobusinesscollege.edu/net-price-calculator", "$15128")</f>
        <v>$15128</v>
      </c>
      <c r="T801" s="20">
        <v>9942</v>
      </c>
      <c r="U801" s="20">
        <v>18768</v>
      </c>
      <c r="V801" s="20">
        <v>10548</v>
      </c>
      <c r="W801" s="20">
        <v>4580</v>
      </c>
      <c r="Y801" s="19">
        <v>0.85250000000000004</v>
      </c>
      <c r="Z801" s="19">
        <v>0.3538</v>
      </c>
      <c r="AB801" s="18">
        <v>212</v>
      </c>
    </row>
    <row r="802" spans="1:28" ht="15.75" customHeight="1" x14ac:dyDescent="0.2">
      <c r="A802" s="36" t="str">
        <f>HYPERLINK("https://ati.osu.edu/", "Ohio State University Agricultural Technical Institute")</f>
        <v>Ohio State University Agricultural Technical Institute</v>
      </c>
      <c r="B802" s="18" t="s">
        <v>49</v>
      </c>
      <c r="C802" s="18" t="s">
        <v>75</v>
      </c>
      <c r="D802" s="18" t="s">
        <v>488</v>
      </c>
      <c r="E802" s="18" t="s">
        <v>36</v>
      </c>
      <c r="F802" s="18" t="s">
        <v>36</v>
      </c>
      <c r="J802" s="19"/>
      <c r="K802" s="19">
        <v>0.40689999999999998</v>
      </c>
      <c r="L802" s="19">
        <v>0.45382585800000003</v>
      </c>
      <c r="M802" s="19">
        <v>0.42659999999999998</v>
      </c>
      <c r="N802" s="19">
        <v>0</v>
      </c>
      <c r="O802" s="19">
        <v>0.2</v>
      </c>
      <c r="P802" s="19" t="s">
        <v>36</v>
      </c>
      <c r="Q802" s="19">
        <v>6.6698982000000004E-2</v>
      </c>
      <c r="R802" s="20">
        <v>41469</v>
      </c>
      <c r="S802" s="21" t="str">
        <f>HYPERLINK("https://sfa.osu.edu/incoming-freshmen/about-aid/net-price-calculator", "$34977")</f>
        <v>$34977</v>
      </c>
      <c r="T802" s="20">
        <v>38271</v>
      </c>
      <c r="U802" s="20">
        <v>39938</v>
      </c>
      <c r="V802" s="20">
        <v>5947</v>
      </c>
      <c r="W802" s="20">
        <v>29030.109375</v>
      </c>
      <c r="Y802" s="19">
        <v>0.30890000000000001</v>
      </c>
      <c r="Z802" s="19">
        <v>7.1400000000000019E-2</v>
      </c>
      <c r="AB802" s="18">
        <v>672</v>
      </c>
    </row>
    <row r="803" spans="1:28" ht="15.75" customHeight="1" x14ac:dyDescent="0.2">
      <c r="A803" s="36" t="str">
        <f>HYPERLINK("https://lima.osu.edu/", "Ohio State University-Lima Campus")</f>
        <v>Ohio State University-Lima Campus</v>
      </c>
      <c r="B803" s="18" t="s">
        <v>49</v>
      </c>
      <c r="C803" s="18" t="s">
        <v>75</v>
      </c>
      <c r="D803" s="18" t="s">
        <v>1442</v>
      </c>
      <c r="E803" s="18" t="s">
        <v>36</v>
      </c>
      <c r="F803" s="18" t="s">
        <v>36</v>
      </c>
      <c r="J803" s="19"/>
      <c r="K803" s="19">
        <v>0.38390000000000002</v>
      </c>
      <c r="L803" s="19">
        <v>0.45382585800000003</v>
      </c>
      <c r="M803" s="19">
        <v>0.40720000000000001</v>
      </c>
      <c r="N803" s="19">
        <v>0.17649999999999999</v>
      </c>
      <c r="O803" s="19">
        <v>6.6699999999999995E-2</v>
      </c>
      <c r="P803" s="19">
        <v>0.28570000000000001</v>
      </c>
      <c r="Q803" s="19">
        <v>6.6698982000000004E-2</v>
      </c>
      <c r="R803" s="20">
        <v>41406</v>
      </c>
      <c r="S803" s="21" t="str">
        <f>HYPERLINK("https://sfa.osu.edu/incoming-freshmen/about-aid/net-price-calculator", "$35082")</f>
        <v>$35082</v>
      </c>
      <c r="T803" s="20">
        <v>38225</v>
      </c>
      <c r="U803" s="20">
        <v>40119</v>
      </c>
      <c r="V803" s="20">
        <v>5947</v>
      </c>
      <c r="W803" s="20">
        <v>29135.555555555551</v>
      </c>
      <c r="Y803" s="19">
        <v>0.34470000000000001</v>
      </c>
      <c r="Z803" s="19">
        <v>0.16830000000000001</v>
      </c>
      <c r="AB803" s="18">
        <v>927</v>
      </c>
    </row>
    <row r="804" spans="1:28" ht="15.75" customHeight="1" x14ac:dyDescent="0.2">
      <c r="A804" s="36" t="str">
        <f>HYPERLINK("https://mansfield.osu.edu/", "Ohio State University-Mansfield Campus")</f>
        <v>Ohio State University-Mansfield Campus</v>
      </c>
      <c r="B804" s="18" t="s">
        <v>49</v>
      </c>
      <c r="C804" s="18" t="s">
        <v>75</v>
      </c>
      <c r="D804" s="18" t="s">
        <v>777</v>
      </c>
      <c r="E804" s="18" t="s">
        <v>36</v>
      </c>
      <c r="F804" s="18" t="s">
        <v>36</v>
      </c>
      <c r="J804" s="19"/>
      <c r="K804" s="19">
        <v>0.47760000000000002</v>
      </c>
      <c r="L804" s="19">
        <v>0.45382585800000003</v>
      </c>
      <c r="M804" s="19">
        <v>0.49519999999999997</v>
      </c>
      <c r="N804" s="19">
        <v>0.2571</v>
      </c>
      <c r="O804" s="19">
        <v>0.41670000000000001</v>
      </c>
      <c r="P804" s="19">
        <v>0.875</v>
      </c>
      <c r="Q804" s="19">
        <v>6.6698982000000004E-2</v>
      </c>
      <c r="R804" s="20">
        <v>41406</v>
      </c>
      <c r="S804" s="21" t="str">
        <f>HYPERLINK("https://sfa.osu.edu/incoming-freshmen/about-aid/net-price-calculator", "$34378")</f>
        <v>$34378</v>
      </c>
      <c r="T804" s="20">
        <v>38019</v>
      </c>
      <c r="U804" s="20">
        <v>39956</v>
      </c>
      <c r="V804" s="20">
        <v>5947</v>
      </c>
      <c r="W804" s="20">
        <v>28431.083333333339</v>
      </c>
      <c r="Y804" s="19">
        <v>0.4194</v>
      </c>
      <c r="Z804" s="19">
        <v>0.22450000000000001</v>
      </c>
      <c r="AB804" s="18">
        <v>962</v>
      </c>
    </row>
    <row r="805" spans="1:28" ht="15.75" customHeight="1" x14ac:dyDescent="0.2">
      <c r="A805" s="36" t="str">
        <f>HYPERLINK("https://osumarion.osu.edu/", "Ohio State University-Marion Campus")</f>
        <v>Ohio State University-Marion Campus</v>
      </c>
      <c r="B805" s="18" t="s">
        <v>49</v>
      </c>
      <c r="C805" s="18" t="s">
        <v>75</v>
      </c>
      <c r="D805" s="18" t="s">
        <v>841</v>
      </c>
      <c r="E805" s="18" t="s">
        <v>36</v>
      </c>
      <c r="F805" s="18" t="s">
        <v>36</v>
      </c>
      <c r="J805" s="19"/>
      <c r="K805" s="19">
        <v>0.42780000000000001</v>
      </c>
      <c r="L805" s="19">
        <v>0.45382585800000003</v>
      </c>
      <c r="M805" s="19">
        <v>0.43190000000000001</v>
      </c>
      <c r="N805" s="19">
        <v>0.30769999999999997</v>
      </c>
      <c r="O805" s="19">
        <v>0.33329999999999999</v>
      </c>
      <c r="P805" s="19">
        <v>0.72729999999999995</v>
      </c>
      <c r="Q805" s="19">
        <v>6.6698982000000004E-2</v>
      </c>
      <c r="R805" s="20">
        <v>41406</v>
      </c>
      <c r="S805" s="21" t="str">
        <f>HYPERLINK("https://sfa.osu.edu/incoming-freshmen/about-aid/net-price-calculator", "$34128")</f>
        <v>$34128</v>
      </c>
      <c r="T805" s="20">
        <v>37306</v>
      </c>
      <c r="U805" s="20">
        <v>39328</v>
      </c>
      <c r="V805" s="20">
        <v>5947</v>
      </c>
      <c r="W805" s="20">
        <v>28181.530973451328</v>
      </c>
      <c r="Y805" s="19">
        <v>0.371</v>
      </c>
      <c r="Z805" s="19">
        <v>0.18870000000000001</v>
      </c>
      <c r="AB805" s="18">
        <v>1097</v>
      </c>
    </row>
    <row r="806" spans="1:28" ht="15.75" customHeight="1" x14ac:dyDescent="0.2">
      <c r="A806" s="36" t="str">
        <f>HYPERLINK("https://newark.osu.edu/", "Ohio State University-Newark Campus")</f>
        <v>Ohio State University-Newark Campus</v>
      </c>
      <c r="B806" s="18" t="s">
        <v>49</v>
      </c>
      <c r="C806" s="18" t="s">
        <v>75</v>
      </c>
      <c r="D806" s="18" t="s">
        <v>425</v>
      </c>
      <c r="E806" s="18" t="s">
        <v>36</v>
      </c>
      <c r="F806" s="18" t="s">
        <v>36</v>
      </c>
      <c r="J806" s="19"/>
      <c r="K806" s="19">
        <v>0.38119999999999998</v>
      </c>
      <c r="L806" s="19">
        <v>0.45382585800000003</v>
      </c>
      <c r="M806" s="19">
        <v>0.42349999999999999</v>
      </c>
      <c r="N806" s="19">
        <v>0.2</v>
      </c>
      <c r="O806" s="19">
        <v>0.41670000000000001</v>
      </c>
      <c r="P806" s="19">
        <v>0.52629999999999999</v>
      </c>
      <c r="Q806" s="19">
        <v>6.6698982000000004E-2</v>
      </c>
      <c r="R806" s="20">
        <v>41406</v>
      </c>
      <c r="S806" s="21" t="str">
        <f>HYPERLINK("https://sfa.osu.edu/incoming-freshmen/about-aid/net-price-calculator", "$34911")</f>
        <v>$34911</v>
      </c>
      <c r="T806" s="20">
        <v>37534</v>
      </c>
      <c r="U806" s="20">
        <v>39734</v>
      </c>
      <c r="V806" s="20">
        <v>5947</v>
      </c>
      <c r="W806" s="20">
        <v>28964.64925373135</v>
      </c>
      <c r="Y806" s="19">
        <v>0.3826</v>
      </c>
      <c r="Z806" s="19">
        <v>0.30819999999999997</v>
      </c>
      <c r="AB806" s="18">
        <v>2518</v>
      </c>
    </row>
    <row r="807" spans="1:28" ht="15.75" customHeight="1" x14ac:dyDescent="0.2">
      <c r="A807" s="36" t="str">
        <f>HYPERLINK("https://www.ohio.edu/chillicothe/", "Ohio University-Chillicothe Campus")</f>
        <v>Ohio University-Chillicothe Campus</v>
      </c>
      <c r="B807" s="18" t="s">
        <v>49</v>
      </c>
      <c r="C807" s="18" t="s">
        <v>75</v>
      </c>
      <c r="D807" s="18" t="s">
        <v>1607</v>
      </c>
      <c r="E807" s="18" t="s">
        <v>36</v>
      </c>
      <c r="F807" s="18" t="s">
        <v>36</v>
      </c>
      <c r="J807" s="19"/>
      <c r="K807" s="19">
        <v>0.23019999999999999</v>
      </c>
      <c r="L807" s="19">
        <v>0.25959723099999998</v>
      </c>
      <c r="M807" s="19">
        <v>0.24510000000000001</v>
      </c>
      <c r="N807" s="19">
        <v>0</v>
      </c>
      <c r="O807" s="19">
        <v>0</v>
      </c>
      <c r="P807" s="19" t="s">
        <v>36</v>
      </c>
      <c r="Q807" s="19">
        <v>6.7300916000000002E-2</v>
      </c>
      <c r="R807" s="20">
        <v>20550</v>
      </c>
      <c r="S807" s="21" t="str">
        <f>HYPERLINK("https://www.ohio.edu/financialaid/regionalcalculator/", "$15551")</f>
        <v>$15551</v>
      </c>
      <c r="T807" s="20">
        <v>18126</v>
      </c>
      <c r="U807" s="20">
        <v>19792</v>
      </c>
      <c r="V807" s="20">
        <v>5074</v>
      </c>
      <c r="W807" s="20">
        <v>10477.74590163934</v>
      </c>
      <c r="Y807" s="19">
        <v>0.60709999999999997</v>
      </c>
      <c r="Z807" s="19">
        <v>0.12939999999999999</v>
      </c>
      <c r="AB807" s="18">
        <v>1530</v>
      </c>
    </row>
    <row r="808" spans="1:28" ht="15.75" customHeight="1" x14ac:dyDescent="0.2">
      <c r="A808" s="36" t="str">
        <f>HYPERLINK("https://www.eastern.ohiou.edu", "Ohio University-Eastern Campus")</f>
        <v>Ohio University-Eastern Campus</v>
      </c>
      <c r="B808" s="18" t="s">
        <v>49</v>
      </c>
      <c r="C808" s="18" t="s">
        <v>75</v>
      </c>
      <c r="D808" s="18" t="s">
        <v>1608</v>
      </c>
      <c r="E808" s="18" t="s">
        <v>36</v>
      </c>
      <c r="F808" s="18" t="s">
        <v>36</v>
      </c>
      <c r="J808" s="19"/>
      <c r="K808" s="19">
        <v>0.4052</v>
      </c>
      <c r="L808" s="19">
        <v>0.25959723099999998</v>
      </c>
      <c r="M808" s="19">
        <v>0.40860000000000002</v>
      </c>
      <c r="N808" s="19">
        <v>0</v>
      </c>
      <c r="O808" s="19">
        <v>0</v>
      </c>
      <c r="P808" s="19">
        <v>0</v>
      </c>
      <c r="Q808" s="19">
        <v>6.7300916000000002E-2</v>
      </c>
      <c r="R808" s="20">
        <v>17672</v>
      </c>
      <c r="S808" s="21" t="str">
        <f>HYPERLINK("https://www.ohio.edu/financialaid/regionalcalculator/", "$11912")</f>
        <v>$11912</v>
      </c>
      <c r="T808" s="20">
        <v>13692</v>
      </c>
      <c r="U808" s="20">
        <v>15452</v>
      </c>
      <c r="V808" s="20">
        <v>5074</v>
      </c>
      <c r="W808" s="20">
        <v>6838.2432432432433</v>
      </c>
      <c r="Y808" s="19">
        <v>0.41270000000000001</v>
      </c>
      <c r="Z808" s="19">
        <v>0.1017</v>
      </c>
      <c r="AB808" s="18">
        <v>472</v>
      </c>
    </row>
    <row r="809" spans="1:28" ht="15.75" customHeight="1" x14ac:dyDescent="0.2">
      <c r="A809" s="36" t="str">
        <f>HYPERLINK("https://www.lancaster.ohiou.edu", "Ohio University-Lancaster Campus")</f>
        <v>Ohio University-Lancaster Campus</v>
      </c>
      <c r="B809" s="18" t="s">
        <v>49</v>
      </c>
      <c r="C809" s="18" t="s">
        <v>75</v>
      </c>
      <c r="D809" s="18" t="s">
        <v>112</v>
      </c>
      <c r="E809" s="18" t="s">
        <v>36</v>
      </c>
      <c r="F809" s="18" t="s">
        <v>36</v>
      </c>
      <c r="J809" s="19"/>
      <c r="K809" s="19">
        <v>0.2661</v>
      </c>
      <c r="L809" s="19">
        <v>0.25959723099999998</v>
      </c>
      <c r="M809" s="19">
        <v>0.27489999999999998</v>
      </c>
      <c r="N809" s="19">
        <v>0.17649999999999999</v>
      </c>
      <c r="O809" s="19">
        <v>0</v>
      </c>
      <c r="P809" s="19">
        <v>0.5</v>
      </c>
      <c r="Q809" s="19">
        <v>6.7300916000000002E-2</v>
      </c>
      <c r="R809" s="20">
        <v>20550</v>
      </c>
      <c r="S809" s="21" t="str">
        <f>HYPERLINK("https://www.ohio.edu/financialaid/regionalcalculator/", "$15355")</f>
        <v>$15355</v>
      </c>
      <c r="T809" s="20">
        <v>17069</v>
      </c>
      <c r="U809" s="20">
        <v>20203</v>
      </c>
      <c r="V809" s="20">
        <v>5074</v>
      </c>
      <c r="W809" s="20">
        <v>10281.944</v>
      </c>
      <c r="Y809" s="19">
        <v>0.4768</v>
      </c>
      <c r="Z809" s="19">
        <v>0.13639999999999999</v>
      </c>
      <c r="AB809" s="18">
        <v>1422</v>
      </c>
    </row>
    <row r="810" spans="1:28" ht="15.75" customHeight="1" x14ac:dyDescent="0.2">
      <c r="A810" s="36" t="str">
        <f>HYPERLINK("https://www.southern.ohiou.edu/", "Ohio University-Southern Campus")</f>
        <v>Ohio University-Southern Campus</v>
      </c>
      <c r="B810" s="18" t="s">
        <v>49</v>
      </c>
      <c r="C810" s="18" t="s">
        <v>75</v>
      </c>
      <c r="D810" s="18" t="s">
        <v>1609</v>
      </c>
      <c r="E810" s="18" t="s">
        <v>36</v>
      </c>
      <c r="F810" s="18" t="s">
        <v>36</v>
      </c>
      <c r="J810" s="19"/>
      <c r="K810" s="19">
        <v>0.2077</v>
      </c>
      <c r="L810" s="19">
        <v>0.25959723099999998</v>
      </c>
      <c r="M810" s="19">
        <v>0.21129999999999999</v>
      </c>
      <c r="N810" s="19">
        <v>0</v>
      </c>
      <c r="O810" s="19">
        <v>1</v>
      </c>
      <c r="P810" s="19">
        <v>0</v>
      </c>
      <c r="Q810" s="19">
        <v>6.7300916000000002E-2</v>
      </c>
      <c r="R810" s="20">
        <v>17672</v>
      </c>
      <c r="S810" s="21" t="str">
        <f>HYPERLINK("https://www.ohio.edu/financialaid/regionalcalculator/", "$12832")</f>
        <v>$12832</v>
      </c>
      <c r="T810" s="20">
        <v>15481</v>
      </c>
      <c r="U810" s="20">
        <v>16860</v>
      </c>
      <c r="V810" s="20">
        <v>5074</v>
      </c>
      <c r="W810" s="20">
        <v>7758</v>
      </c>
      <c r="Y810" s="19">
        <v>0.6472</v>
      </c>
      <c r="Z810" s="19">
        <v>9.0899999999999981E-2</v>
      </c>
      <c r="AB810" s="18">
        <v>1199</v>
      </c>
    </row>
    <row r="811" spans="1:28" ht="15.75" customHeight="1" x14ac:dyDescent="0.2">
      <c r="A811" s="36" t="str">
        <f>HYPERLINK("https://www.zanesville.ohiou.edu/", "Ohio University-Zanesville Campus")</f>
        <v>Ohio University-Zanesville Campus</v>
      </c>
      <c r="B811" s="18" t="s">
        <v>49</v>
      </c>
      <c r="C811" s="18" t="s">
        <v>75</v>
      </c>
      <c r="D811" s="18" t="s">
        <v>1610</v>
      </c>
      <c r="E811" s="18" t="s">
        <v>36</v>
      </c>
      <c r="F811" s="18" t="s">
        <v>36</v>
      </c>
      <c r="J811" s="19"/>
      <c r="K811" s="19">
        <v>0.28410000000000002</v>
      </c>
      <c r="L811" s="19">
        <v>0.25959723099999998</v>
      </c>
      <c r="M811" s="19">
        <v>0.25659999999999999</v>
      </c>
      <c r="N811" s="19">
        <v>0</v>
      </c>
      <c r="O811" s="19">
        <v>1</v>
      </c>
      <c r="P811" s="19">
        <v>1</v>
      </c>
      <c r="Q811" s="19">
        <v>6.7300916000000002E-2</v>
      </c>
      <c r="R811" s="20">
        <v>20550</v>
      </c>
      <c r="S811" s="21" t="str">
        <f>HYPERLINK("https://www.ohio.edu/financialaid/regionalcalculator/", "$15683")</f>
        <v>$15683</v>
      </c>
      <c r="T811" s="20">
        <v>17428</v>
      </c>
      <c r="U811" s="20">
        <v>19302</v>
      </c>
      <c r="V811" s="20">
        <v>5074</v>
      </c>
      <c r="W811" s="20">
        <v>10609.33333333333</v>
      </c>
      <c r="Y811" s="19">
        <v>0.55979999999999996</v>
      </c>
      <c r="Z811" s="19">
        <v>0.11</v>
      </c>
      <c r="AB811" s="18">
        <v>1064</v>
      </c>
    </row>
    <row r="812" spans="1:28" ht="15.75" customHeight="1" x14ac:dyDescent="0.2">
      <c r="A812" s="36" t="str">
        <f>HYPERLINK("https://ovct.edu", "Ohio Valley College of Technology")</f>
        <v>Ohio Valley College of Technology</v>
      </c>
      <c r="B812" s="18" t="s">
        <v>368</v>
      </c>
      <c r="C812" s="18" t="s">
        <v>75</v>
      </c>
      <c r="D812" s="18" t="s">
        <v>1453</v>
      </c>
      <c r="E812" s="18" t="s">
        <v>36</v>
      </c>
      <c r="F812" s="18" t="s">
        <v>36</v>
      </c>
      <c r="J812" s="19"/>
      <c r="K812" s="19">
        <v>0.56669999999999998</v>
      </c>
      <c r="L812" s="19">
        <v>0.413793103</v>
      </c>
      <c r="M812" s="19">
        <v>0.55169999999999997</v>
      </c>
      <c r="N812" s="19" t="s">
        <v>36</v>
      </c>
      <c r="O812" s="19" t="s">
        <v>36</v>
      </c>
      <c r="P812" s="19" t="s">
        <v>36</v>
      </c>
      <c r="Q812" s="19" t="s">
        <v>36</v>
      </c>
      <c r="R812" s="20">
        <v>22921</v>
      </c>
      <c r="S812" s="21" t="str">
        <f>HYPERLINK("https://ovct.edu", "$11694")</f>
        <v>$11694</v>
      </c>
      <c r="T812" s="20">
        <v>12759</v>
      </c>
      <c r="U812" s="20">
        <v>16489</v>
      </c>
      <c r="V812" s="20">
        <v>3931</v>
      </c>
      <c r="W812" s="20">
        <v>7763</v>
      </c>
      <c r="Y812" s="19">
        <v>0.72060000000000002</v>
      </c>
      <c r="Z812" s="19">
        <v>3.7000000000000033E-2</v>
      </c>
      <c r="AB812" s="18">
        <v>162</v>
      </c>
    </row>
    <row r="813" spans="1:28" ht="15.75" customHeight="1" x14ac:dyDescent="0.2">
      <c r="A813" s="36" t="str">
        <f>HYPERLINK("https://www.ohlone.edu", "Ohlone College")</f>
        <v>Ohlone College</v>
      </c>
      <c r="B813" s="18" t="s">
        <v>49</v>
      </c>
      <c r="C813" s="18" t="s">
        <v>68</v>
      </c>
      <c r="D813" s="18" t="s">
        <v>966</v>
      </c>
      <c r="E813" s="18" t="s">
        <v>36</v>
      </c>
      <c r="F813" s="18" t="s">
        <v>36</v>
      </c>
      <c r="J813" s="19"/>
      <c r="K813" s="19">
        <v>0.41420000000000001</v>
      </c>
      <c r="L813" s="19" t="s">
        <v>36</v>
      </c>
      <c r="M813" s="19">
        <v>0.4</v>
      </c>
      <c r="N813" s="19">
        <v>0.28570000000000001</v>
      </c>
      <c r="O813" s="19">
        <v>0.30170000000000002</v>
      </c>
      <c r="P813" s="19">
        <v>0.50349999999999995</v>
      </c>
      <c r="Q813" s="19">
        <v>0.19088016999999999</v>
      </c>
      <c r="R813" s="20">
        <v>25970</v>
      </c>
      <c r="S813" s="21" t="str">
        <f>HYPERLINK("https://misweb.cccco.edu/npc/431/npcalc.htm", "$18793")</f>
        <v>$18793</v>
      </c>
      <c r="T813" s="20">
        <v>21190</v>
      </c>
      <c r="U813" s="20">
        <v>23662</v>
      </c>
      <c r="V813" s="20">
        <v>6496</v>
      </c>
      <c r="W813" s="20">
        <v>12297.976878612721</v>
      </c>
      <c r="Y813" s="19">
        <v>0.14449999999999999</v>
      </c>
      <c r="Z813" s="19">
        <v>0.82810000000000006</v>
      </c>
      <c r="AB813" s="18">
        <v>8026</v>
      </c>
    </row>
    <row r="814" spans="1:28" ht="15.75" customHeight="1" x14ac:dyDescent="0.2">
      <c r="A814" s="36" t="str">
        <f>HYPERLINK("https://ohrhameir.com", "Ohr Hameir Theological Seminary")</f>
        <v>Ohr Hameir Theological Seminary</v>
      </c>
      <c r="B814" s="18" t="s">
        <v>32</v>
      </c>
      <c r="C814" s="18" t="s">
        <v>38</v>
      </c>
      <c r="D814" s="18" t="s">
        <v>1611</v>
      </c>
      <c r="E814" s="18" t="s">
        <v>36</v>
      </c>
      <c r="F814" s="18" t="s">
        <v>45</v>
      </c>
      <c r="J814" s="19"/>
      <c r="K814" s="19">
        <v>0.125</v>
      </c>
      <c r="L814" s="19" t="s">
        <v>36</v>
      </c>
      <c r="M814" s="19">
        <v>0.125</v>
      </c>
      <c r="N814" s="19" t="s">
        <v>36</v>
      </c>
      <c r="O814" s="19" t="s">
        <v>36</v>
      </c>
      <c r="P814" s="19" t="s">
        <v>36</v>
      </c>
      <c r="Q814" s="19" t="s">
        <v>36</v>
      </c>
      <c r="R814" s="20">
        <v>20850</v>
      </c>
      <c r="S814" s="21" t="str">
        <f>HYPERLINK("https://sites.google.com/site/ohrhameirtheologicalseminary", "$11750")</f>
        <v>$11750</v>
      </c>
      <c r="T814" s="20" t="s">
        <v>36</v>
      </c>
      <c r="U814" s="20" t="s">
        <v>36</v>
      </c>
      <c r="V814" s="20">
        <v>4000</v>
      </c>
      <c r="W814" s="20">
        <v>7750</v>
      </c>
      <c r="Y814" s="19">
        <v>0.51690000000000003</v>
      </c>
      <c r="Z814" s="19">
        <v>6.9300000000000028E-2</v>
      </c>
      <c r="AB814" s="18">
        <v>101</v>
      </c>
    </row>
    <row r="815" spans="1:28" ht="15.75" customHeight="1" x14ac:dyDescent="0.2">
      <c r="A815" s="36" t="str">
        <f>HYPERLINK("https://www.occc.edu", "Oklahoma City Community College")</f>
        <v>Oklahoma City Community College</v>
      </c>
      <c r="B815" s="18" t="s">
        <v>49</v>
      </c>
      <c r="C815" s="18" t="s">
        <v>290</v>
      </c>
      <c r="D815" s="18" t="s">
        <v>438</v>
      </c>
      <c r="E815" s="18" t="s">
        <v>36</v>
      </c>
      <c r="F815" s="18" t="s">
        <v>36</v>
      </c>
      <c r="J815" s="19"/>
      <c r="K815" s="19">
        <v>8.7400000000000005E-2</v>
      </c>
      <c r="L815" s="19">
        <v>0.12579320599999999</v>
      </c>
      <c r="M815" s="19">
        <v>0.115</v>
      </c>
      <c r="N815" s="19">
        <v>4.2900000000000001E-2</v>
      </c>
      <c r="O815" s="19">
        <v>5.6300000000000003E-2</v>
      </c>
      <c r="P815" s="19">
        <v>0.1429</v>
      </c>
      <c r="Q815" s="19">
        <v>9.6845736999999987E-2</v>
      </c>
      <c r="R815" s="20">
        <v>22990</v>
      </c>
      <c r="S815" s="21" t="str">
        <f>HYPERLINK("https://www.occc.edu/financialaid/net-price-calculator.html", "$17008")</f>
        <v>$17008</v>
      </c>
      <c r="T815" s="20">
        <v>20413</v>
      </c>
      <c r="U815" s="20">
        <v>22012</v>
      </c>
      <c r="V815" s="20">
        <v>5290</v>
      </c>
      <c r="W815" s="20">
        <v>11718.31789473684</v>
      </c>
      <c r="Y815" s="19">
        <v>0.39319999999999999</v>
      </c>
      <c r="Z815" s="19">
        <v>0.48820000000000002</v>
      </c>
      <c r="AB815" s="18">
        <v>11203</v>
      </c>
    </row>
    <row r="816" spans="1:28" ht="15.75" customHeight="1" x14ac:dyDescent="0.2">
      <c r="A816" s="36" t="str">
        <f>HYPERLINK("https://www.osuit.edu/", "Oklahoma State University Institute of Technology")</f>
        <v>Oklahoma State University Institute of Technology</v>
      </c>
      <c r="B816" s="18" t="s">
        <v>49</v>
      </c>
      <c r="C816" s="18" t="s">
        <v>290</v>
      </c>
      <c r="D816" s="18" t="s">
        <v>1193</v>
      </c>
      <c r="E816" s="18" t="s">
        <v>36</v>
      </c>
      <c r="F816" s="18" t="s">
        <v>36</v>
      </c>
      <c r="J816" s="19"/>
      <c r="K816" s="19">
        <v>0.32219999999999999</v>
      </c>
      <c r="L816" s="19">
        <v>0.30599369100000001</v>
      </c>
      <c r="M816" s="19">
        <v>0.38279999999999997</v>
      </c>
      <c r="N816" s="19">
        <v>9.0899999999999995E-2</v>
      </c>
      <c r="O816" s="19">
        <v>0.4</v>
      </c>
      <c r="P816" s="19">
        <v>0.66669999999999996</v>
      </c>
      <c r="Q816" s="19">
        <v>3.2139578000000002E-2</v>
      </c>
      <c r="R816" s="20">
        <v>18942</v>
      </c>
      <c r="S816" s="21" t="str">
        <f>HYPERLINK("https://www.osuit.edu/academics/net_price/", "$12104")</f>
        <v>$12104</v>
      </c>
      <c r="T816" s="20">
        <v>15296</v>
      </c>
      <c r="U816" s="20">
        <v>17567</v>
      </c>
      <c r="V816" s="20">
        <v>2348</v>
      </c>
      <c r="W816" s="20">
        <v>9756.1801801801812</v>
      </c>
      <c r="Y816" s="19">
        <v>0.44819999999999999</v>
      </c>
      <c r="Z816" s="19">
        <v>0.69819999999999993</v>
      </c>
      <c r="AB816" s="18">
        <v>2210</v>
      </c>
    </row>
    <row r="817" spans="1:28" ht="15.75" customHeight="1" x14ac:dyDescent="0.2">
      <c r="A817" s="36" t="str">
        <f>HYPERLINK("https://www.osuokc.edu", "Oklahoma State University-Oklahoma City")</f>
        <v>Oklahoma State University-Oklahoma City</v>
      </c>
      <c r="B817" s="18" t="s">
        <v>49</v>
      </c>
      <c r="C817" s="18" t="s">
        <v>290</v>
      </c>
      <c r="D817" s="18" t="s">
        <v>438</v>
      </c>
      <c r="E817" s="18" t="s">
        <v>36</v>
      </c>
      <c r="F817" s="18" t="s">
        <v>36</v>
      </c>
      <c r="J817" s="19"/>
      <c r="K817" s="19">
        <v>6.6299999999999998E-2</v>
      </c>
      <c r="L817" s="19">
        <v>0.13073979599999999</v>
      </c>
      <c r="M817" s="19">
        <v>7.0199999999999999E-2</v>
      </c>
      <c r="N817" s="19">
        <v>1.11E-2</v>
      </c>
      <c r="O817" s="19">
        <v>9.6199999999999994E-2</v>
      </c>
      <c r="P817" s="19">
        <v>0.2</v>
      </c>
      <c r="Q817" s="19">
        <v>8.1438610999999994E-2</v>
      </c>
      <c r="R817" s="20">
        <v>21715</v>
      </c>
      <c r="S817" s="21" t="str">
        <f>HYPERLINK("https://www.osuokc.edu/NetPriceCalculator", "$15599")</f>
        <v>$15599</v>
      </c>
      <c r="T817" s="20">
        <v>17352</v>
      </c>
      <c r="U817" s="20">
        <v>21262</v>
      </c>
      <c r="V817" s="20">
        <v>5607</v>
      </c>
      <c r="W817" s="20">
        <v>9992.233716475097</v>
      </c>
      <c r="Y817" s="19">
        <v>0.3649</v>
      </c>
      <c r="Z817" s="19">
        <v>0.48130000000000001</v>
      </c>
      <c r="AB817" s="18">
        <v>5334</v>
      </c>
    </row>
    <row r="818" spans="1:28" ht="15.75" customHeight="1" x14ac:dyDescent="0.2">
      <c r="A818" s="36" t="str">
        <f>HYPERLINK("https://www.iecc.edu/occ", "Olney Central College")</f>
        <v>Olney Central College</v>
      </c>
      <c r="B818" s="18" t="s">
        <v>49</v>
      </c>
      <c r="C818" s="18" t="s">
        <v>137</v>
      </c>
      <c r="D818" s="18" t="s">
        <v>1612</v>
      </c>
      <c r="E818" s="18" t="s">
        <v>36</v>
      </c>
      <c r="F818" s="18" t="s">
        <v>36</v>
      </c>
      <c r="J818" s="19"/>
      <c r="K818" s="19">
        <v>0.58550000000000002</v>
      </c>
      <c r="L818" s="19">
        <v>0.33333333300000001</v>
      </c>
      <c r="M818" s="19">
        <v>0.60660000000000003</v>
      </c>
      <c r="N818" s="19">
        <v>0</v>
      </c>
      <c r="O818" s="19">
        <v>1</v>
      </c>
      <c r="P818" s="19" t="s">
        <v>36</v>
      </c>
      <c r="Q818" s="19">
        <v>4.6678636000000003E-2</v>
      </c>
      <c r="R818" s="20">
        <v>20755</v>
      </c>
      <c r="S818" s="21" t="str">
        <f>HYPERLINK("https://www.iecc.edu/files_user/FAID/netcalc/npcalc.htm", "$15937")</f>
        <v>$15937</v>
      </c>
      <c r="T818" s="20">
        <v>18449</v>
      </c>
      <c r="U818" s="20">
        <v>19751</v>
      </c>
      <c r="V818" s="20">
        <v>2900</v>
      </c>
      <c r="W818" s="20">
        <v>13037.321428571429</v>
      </c>
      <c r="Y818" s="19">
        <v>0.32890000000000003</v>
      </c>
      <c r="Z818" s="19">
        <v>8.0099999999999949E-2</v>
      </c>
      <c r="AB818" s="18">
        <v>724</v>
      </c>
    </row>
    <row r="819" spans="1:28" ht="15.75" customHeight="1" x14ac:dyDescent="0.2">
      <c r="A819" s="36" t="str">
        <f>HYPERLINK("https://www.olympic.edu", "Olympic College")</f>
        <v>Olympic College</v>
      </c>
      <c r="B819" s="18" t="s">
        <v>49</v>
      </c>
      <c r="C819" s="18" t="s">
        <v>184</v>
      </c>
      <c r="D819" s="18" t="s">
        <v>1613</v>
      </c>
      <c r="E819" s="18" t="s">
        <v>36</v>
      </c>
      <c r="F819" s="18" t="s">
        <v>36</v>
      </c>
      <c r="J819" s="19"/>
      <c r="K819" s="19">
        <v>0.2109</v>
      </c>
      <c r="L819" s="19">
        <v>0.23194303199999999</v>
      </c>
      <c r="M819" s="19">
        <v>0.22009999999999999</v>
      </c>
      <c r="N819" s="19">
        <v>0.1429</v>
      </c>
      <c r="O819" s="19">
        <v>0.1429</v>
      </c>
      <c r="P819" s="19">
        <v>0.28570000000000001</v>
      </c>
      <c r="Q819" s="19">
        <v>7.1942445999999993E-2</v>
      </c>
      <c r="R819" s="20">
        <v>18220</v>
      </c>
      <c r="S819" s="21" t="str">
        <f>HYPERLINK("https://www.olympic.edu/paying-college/financial-aid/financial-aid-faqs/net-price-calculator", "$11308")</f>
        <v>$11308</v>
      </c>
      <c r="T819" s="20">
        <v>14666</v>
      </c>
      <c r="U819" s="20">
        <v>16974</v>
      </c>
      <c r="V819" s="20">
        <v>4218</v>
      </c>
      <c r="W819" s="20">
        <v>7090.7657657657664</v>
      </c>
      <c r="Y819" s="19">
        <v>0.2301</v>
      </c>
      <c r="Z819" s="19">
        <v>0.36030000000000001</v>
      </c>
      <c r="AB819" s="18">
        <v>4627</v>
      </c>
    </row>
    <row r="820" spans="1:28" ht="15.75" customHeight="1" x14ac:dyDescent="0.2">
      <c r="A820" s="36" t="str">
        <f>HYPERLINK("https://www.sunyocc.edu", "SUNY Onondaga Community College")</f>
        <v>SUNY Onondaga Community College</v>
      </c>
      <c r="B820" s="18" t="s">
        <v>49</v>
      </c>
      <c r="C820" s="18" t="s">
        <v>38</v>
      </c>
      <c r="D820" s="18" t="s">
        <v>242</v>
      </c>
      <c r="E820" s="18" t="s">
        <v>36</v>
      </c>
      <c r="F820" s="18" t="s">
        <v>36</v>
      </c>
      <c r="G820" s="18" t="s">
        <v>51</v>
      </c>
      <c r="I820" s="18" t="s">
        <v>1614</v>
      </c>
      <c r="J820" s="19"/>
      <c r="K820" s="19">
        <v>0.2177</v>
      </c>
      <c r="L820" s="19">
        <v>6.2535858E-2</v>
      </c>
      <c r="M820" s="19">
        <v>0.27200000000000002</v>
      </c>
      <c r="N820" s="19">
        <v>7.8700000000000006E-2</v>
      </c>
      <c r="O820" s="19">
        <v>0.122</v>
      </c>
      <c r="P820" s="19">
        <v>0.26150000000000001</v>
      </c>
      <c r="Q820" s="19">
        <v>0.138681948</v>
      </c>
      <c r="R820" s="20">
        <v>16940</v>
      </c>
      <c r="S820" s="21" t="str">
        <f>HYPERLINK("https://admission.sunyocc.edu/paying.aspx?menu=788&amp;id=26384", "$6297")</f>
        <v>$6297</v>
      </c>
      <c r="T820" s="20">
        <v>10978</v>
      </c>
      <c r="U820" s="20">
        <v>13045</v>
      </c>
      <c r="V820" s="20">
        <v>3886</v>
      </c>
      <c r="W820" s="20">
        <v>2411</v>
      </c>
      <c r="Y820" s="19">
        <v>0.31119999999999998</v>
      </c>
      <c r="Z820" s="19">
        <v>0.39389999999999997</v>
      </c>
      <c r="AB820" s="18">
        <v>7055</v>
      </c>
    </row>
    <row r="821" spans="1:28" ht="15.75" customHeight="1" x14ac:dyDescent="0.2">
      <c r="A821" s="36" t="str">
        <f>HYPERLINK("https://www.sunyorange.edu/", "SUNY Orange County Community College")</f>
        <v>SUNY Orange County Community College</v>
      </c>
      <c r="B821" s="18" t="s">
        <v>49</v>
      </c>
      <c r="C821" s="18" t="s">
        <v>38</v>
      </c>
      <c r="D821" s="18" t="s">
        <v>183</v>
      </c>
      <c r="E821" s="18" t="s">
        <v>36</v>
      </c>
      <c r="F821" s="18" t="s">
        <v>36</v>
      </c>
      <c r="G821" s="18" t="s">
        <v>51</v>
      </c>
      <c r="I821" s="18" t="s">
        <v>424</v>
      </c>
      <c r="J821" s="19"/>
      <c r="K821" s="19">
        <v>0.2223</v>
      </c>
      <c r="L821" s="19">
        <v>0.19705093800000001</v>
      </c>
      <c r="M821" s="19">
        <v>0.26669999999999999</v>
      </c>
      <c r="N821" s="19">
        <v>9.4200000000000006E-2</v>
      </c>
      <c r="O821" s="19">
        <v>0.19239999999999999</v>
      </c>
      <c r="P821" s="19">
        <v>0.36359999999999998</v>
      </c>
      <c r="Q821" s="19">
        <v>7.4168797999999994E-2</v>
      </c>
      <c r="R821" s="20">
        <v>16714</v>
      </c>
      <c r="S821" s="21" t="str">
        <f>HYPERLINK("https://www.suny.edu/howmuch/netpricecalculator.xhtml?embed=n&amp;headerUrl=www.sunyorange.edu/images/master_header_2011-04-13.jpg&amp;id=62", "$2953")</f>
        <v>$2953</v>
      </c>
      <c r="T821" s="20">
        <v>7320</v>
      </c>
      <c r="U821" s="20">
        <v>9636</v>
      </c>
      <c r="V821" s="20">
        <v>5316</v>
      </c>
      <c r="W821" s="20">
        <v>-2363</v>
      </c>
      <c r="Y821" s="19">
        <v>0.27779999999999999</v>
      </c>
      <c r="Z821" s="19">
        <v>0.498</v>
      </c>
      <c r="AB821" s="18">
        <v>4900</v>
      </c>
    </row>
    <row r="822" spans="1:28" ht="15.75" customHeight="1" x14ac:dyDescent="0.2">
      <c r="A822" s="36" t="str">
        <f>HYPERLINK("https://www.owens.edu", "Owens Community College")</f>
        <v>Owens Community College</v>
      </c>
      <c r="B822" s="18" t="s">
        <v>49</v>
      </c>
      <c r="C822" s="18" t="s">
        <v>75</v>
      </c>
      <c r="D822" s="18" t="s">
        <v>1615</v>
      </c>
      <c r="E822" s="18" t="s">
        <v>36</v>
      </c>
      <c r="F822" s="18" t="s">
        <v>36</v>
      </c>
      <c r="J822" s="19"/>
      <c r="K822" s="19">
        <v>0.18479999999999999</v>
      </c>
      <c r="L822" s="19">
        <v>9.140488699999999E-2</v>
      </c>
      <c r="M822" s="19">
        <v>0.2266</v>
      </c>
      <c r="N822" s="19">
        <v>4.2000000000000003E-2</v>
      </c>
      <c r="O822" s="19">
        <v>7.2900000000000006E-2</v>
      </c>
      <c r="P822" s="19">
        <v>0.2727</v>
      </c>
      <c r="Q822" s="19">
        <v>6.3556850999999998E-2</v>
      </c>
      <c r="R822" s="20">
        <v>17178</v>
      </c>
      <c r="S822" s="21" t="str">
        <f>HYPERLINK("https://www.owens.edu/calculator/npcalc.htm", "$12798")</f>
        <v>$12798</v>
      </c>
      <c r="T822" s="20">
        <v>14987</v>
      </c>
      <c r="U822" s="20">
        <v>16471</v>
      </c>
      <c r="V822" s="20">
        <v>4002</v>
      </c>
      <c r="W822" s="20">
        <v>8796.3587786259541</v>
      </c>
      <c r="Y822" s="19">
        <v>0.3367</v>
      </c>
      <c r="Z822" s="19">
        <v>0.29730000000000001</v>
      </c>
      <c r="AB822" s="18">
        <v>6348</v>
      </c>
    </row>
    <row r="823" spans="1:28" ht="15.75" customHeight="1" x14ac:dyDescent="0.2">
      <c r="A823" s="36" t="str">
        <f>HYPERLINK("https://www.oxnardcollege.edu", "Oxnard College")</f>
        <v>Oxnard College</v>
      </c>
      <c r="B823" s="18" t="s">
        <v>49</v>
      </c>
      <c r="C823" s="18" t="s">
        <v>68</v>
      </c>
      <c r="D823" s="18" t="s">
        <v>1616</v>
      </c>
      <c r="E823" s="18" t="s">
        <v>36</v>
      </c>
      <c r="F823" s="18" t="s">
        <v>36</v>
      </c>
      <c r="J823" s="19"/>
      <c r="K823" s="19">
        <v>0.23830000000000001</v>
      </c>
      <c r="L823" s="19">
        <v>0.13584117000000001</v>
      </c>
      <c r="M823" s="19">
        <v>0.33329999999999999</v>
      </c>
      <c r="N823" s="19">
        <v>0</v>
      </c>
      <c r="O823" s="19">
        <v>0.22720000000000001</v>
      </c>
      <c r="P823" s="19">
        <v>0.39290000000000003</v>
      </c>
      <c r="Q823" s="19">
        <v>7.3841320000000002E-2</v>
      </c>
      <c r="R823" s="20">
        <v>25491</v>
      </c>
      <c r="S823" s="21" t="str">
        <f>HYPERLINK("https://www.oxnardcollege.edu/departments/student_services/financial_aid/index.shtml", "$17995")</f>
        <v>$17995</v>
      </c>
      <c r="T823" s="20">
        <v>20836</v>
      </c>
      <c r="U823" s="20">
        <v>23533</v>
      </c>
      <c r="V823" s="20">
        <v>5949</v>
      </c>
      <c r="W823" s="20">
        <v>12046.276450511939</v>
      </c>
      <c r="Y823" s="19">
        <v>0.31380000000000002</v>
      </c>
      <c r="Z823" s="19">
        <v>0.8528</v>
      </c>
      <c r="AB823" s="18">
        <v>6809</v>
      </c>
    </row>
    <row r="824" spans="1:28" ht="15.75" customHeight="1" x14ac:dyDescent="0.2">
      <c r="A824" s="36" t="str">
        <f>HYPERLINK("https://www.otc.edu", "Ozarks Technical Community College")</f>
        <v>Ozarks Technical Community College</v>
      </c>
      <c r="B824" s="18" t="s">
        <v>49</v>
      </c>
      <c r="C824" s="18" t="s">
        <v>164</v>
      </c>
      <c r="D824" s="18" t="s">
        <v>349</v>
      </c>
      <c r="E824" s="18" t="s">
        <v>36</v>
      </c>
      <c r="F824" s="18" t="s">
        <v>36</v>
      </c>
      <c r="J824" s="19"/>
      <c r="K824" s="19">
        <v>0.29499999999999998</v>
      </c>
      <c r="L824" s="19">
        <v>0.20410742500000001</v>
      </c>
      <c r="M824" s="19">
        <v>0.30199999999999999</v>
      </c>
      <c r="N824" s="19">
        <v>0.21790000000000001</v>
      </c>
      <c r="O824" s="19">
        <v>0.23530000000000001</v>
      </c>
      <c r="P824" s="19">
        <v>0.33329999999999999</v>
      </c>
      <c r="Q824" s="19">
        <v>7.2592592999999997E-2</v>
      </c>
      <c r="R824" s="20">
        <v>17201</v>
      </c>
      <c r="S824" s="21" t="str">
        <f>HYPERLINK("https://students.otc.edu/financialaid/netprice/", "$12787")</f>
        <v>$12787</v>
      </c>
      <c r="T824" s="20">
        <v>15560</v>
      </c>
      <c r="U824" s="20">
        <v>16876</v>
      </c>
      <c r="V824" s="20">
        <v>5920</v>
      </c>
      <c r="W824" s="20">
        <v>6867.0923076923063</v>
      </c>
      <c r="Y824" s="19">
        <v>0.48509999999999998</v>
      </c>
      <c r="Z824" s="19">
        <v>0.1731</v>
      </c>
      <c r="AB824" s="18">
        <v>10618</v>
      </c>
    </row>
    <row r="825" spans="1:28" ht="15.75" customHeight="1" x14ac:dyDescent="0.2">
      <c r="A825" s="36" t="str">
        <f>HYPERLINK("https://www.pacific-college.edu", "Pacific College")</f>
        <v>Pacific College</v>
      </c>
      <c r="B825" s="18" t="s">
        <v>368</v>
      </c>
      <c r="C825" s="18" t="s">
        <v>68</v>
      </c>
      <c r="D825" s="18" t="s">
        <v>531</v>
      </c>
      <c r="E825" s="18" t="s">
        <v>36</v>
      </c>
      <c r="F825" s="18" t="s">
        <v>36</v>
      </c>
      <c r="J825" s="19"/>
      <c r="K825" s="19">
        <v>0.78569999999999995</v>
      </c>
      <c r="L825" s="19" t="s">
        <v>36</v>
      </c>
      <c r="M825" s="19">
        <v>0.83330000000000004</v>
      </c>
      <c r="N825" s="19">
        <v>0.5</v>
      </c>
      <c r="O825" s="19">
        <v>0.76</v>
      </c>
      <c r="P825" s="19">
        <v>1</v>
      </c>
      <c r="Q825" s="19" t="s">
        <v>36</v>
      </c>
      <c r="R825" s="20" t="s">
        <v>36</v>
      </c>
      <c r="S825" s="21" t="str">
        <f>HYPERLINK("https://www.pacific-college.edu/financial-aid/net-price-calculator", "$15239")</f>
        <v>$15239</v>
      </c>
      <c r="T825" s="20">
        <v>17574</v>
      </c>
      <c r="U825" s="20" t="s">
        <v>36</v>
      </c>
      <c r="V825" s="20" t="s">
        <v>36</v>
      </c>
      <c r="W825" s="20" t="s">
        <v>36</v>
      </c>
      <c r="Y825" s="19">
        <v>0.63949999999999996</v>
      </c>
      <c r="Z825" s="19">
        <v>0.90859999999999996</v>
      </c>
      <c r="AB825" s="18">
        <v>350</v>
      </c>
    </row>
    <row r="826" spans="1:28" ht="15.75" customHeight="1" x14ac:dyDescent="0.2">
      <c r="A826" s="36" t="str">
        <f>HYPERLINK("https://www.pacificcollege.edu", "Pacific College of Oriental Medicine-New York")</f>
        <v>Pacific College of Oriental Medicine-New York</v>
      </c>
      <c r="B826" s="18" t="s">
        <v>368</v>
      </c>
      <c r="C826" s="18" t="s">
        <v>38</v>
      </c>
      <c r="D826" s="18" t="s">
        <v>39</v>
      </c>
      <c r="E826" s="18" t="s">
        <v>36</v>
      </c>
      <c r="F826" s="18" t="s">
        <v>36</v>
      </c>
      <c r="J826" s="19"/>
      <c r="K826" s="19">
        <v>0.375</v>
      </c>
      <c r="L826" s="19">
        <v>0.55244755200000006</v>
      </c>
      <c r="M826" s="19" t="s">
        <v>36</v>
      </c>
      <c r="N826" s="19">
        <v>1</v>
      </c>
      <c r="O826" s="19">
        <v>0.33329999999999999</v>
      </c>
      <c r="P826" s="19" t="s">
        <v>36</v>
      </c>
      <c r="Q826" s="19" t="s">
        <v>36</v>
      </c>
      <c r="R826" s="20">
        <v>19630</v>
      </c>
      <c r="S826" s="21" t="str">
        <f>HYPERLINK("https://www.pacificcollege.edu/pcom_static/netprice/ny/npcalc.htm", "$28924")</f>
        <v>$28924</v>
      </c>
      <c r="T826" s="20" t="s">
        <v>36</v>
      </c>
      <c r="U826" s="20" t="s">
        <v>36</v>
      </c>
      <c r="V826" s="20">
        <v>8038</v>
      </c>
      <c r="W826" s="20">
        <v>20886</v>
      </c>
      <c r="Y826" s="19">
        <v>0.2266</v>
      </c>
      <c r="Z826" s="19">
        <v>0.78510000000000002</v>
      </c>
      <c r="AB826" s="18">
        <v>121</v>
      </c>
    </row>
    <row r="827" spans="1:28" ht="15.75" customHeight="1" x14ac:dyDescent="0.2">
      <c r="A827" s="36" t="str">
        <f>HYPERLINK("https://www.PacificCollege.edu", "Pacific College of Oriental Medicine-San Diego")</f>
        <v>Pacific College of Oriental Medicine-San Diego</v>
      </c>
      <c r="B827" s="18" t="s">
        <v>368</v>
      </c>
      <c r="C827" s="18" t="s">
        <v>68</v>
      </c>
      <c r="D827" s="18" t="s">
        <v>288</v>
      </c>
      <c r="E827" s="18" t="s">
        <v>36</v>
      </c>
      <c r="F827" s="18" t="s">
        <v>36</v>
      </c>
      <c r="J827" s="19"/>
      <c r="K827" s="19">
        <v>0.33329999999999999</v>
      </c>
      <c r="L827" s="19">
        <v>0.55244755200000006</v>
      </c>
      <c r="M827" s="19">
        <v>0.75</v>
      </c>
      <c r="N827" s="19">
        <v>0</v>
      </c>
      <c r="O827" s="19">
        <v>0</v>
      </c>
      <c r="P827" s="19">
        <v>0</v>
      </c>
      <c r="Q827" s="19" t="s">
        <v>36</v>
      </c>
      <c r="R827" s="20">
        <v>27851</v>
      </c>
      <c r="S827" s="21" t="str">
        <f>HYPERLINK("https://www.pacificcollege.edu/pcom_static/netprice/sd/npcalc.htm", "$21992")</f>
        <v>$21992</v>
      </c>
      <c r="T827" s="20">
        <v>24421</v>
      </c>
      <c r="U827" s="20" t="s">
        <v>36</v>
      </c>
      <c r="V827" s="20">
        <v>6648</v>
      </c>
      <c r="W827" s="20">
        <v>15344</v>
      </c>
      <c r="Y827" s="19">
        <v>0.44619999999999999</v>
      </c>
      <c r="Z827" s="19">
        <v>0.66900000000000004</v>
      </c>
      <c r="AB827" s="18">
        <v>142</v>
      </c>
    </row>
    <row r="828" spans="1:28" ht="15.75" customHeight="1" x14ac:dyDescent="0.2">
      <c r="A828" s="36" t="str">
        <f>HYPERLINK("https://pcc.palau.edu/", "Palau Community College")</f>
        <v>Palau Community College</v>
      </c>
      <c r="B828" s="18" t="s">
        <v>49</v>
      </c>
      <c r="C828" s="18" t="s">
        <v>1617</v>
      </c>
      <c r="D828" s="18" t="s">
        <v>1618</v>
      </c>
      <c r="E828" s="18" t="s">
        <v>36</v>
      </c>
      <c r="F828" s="18" t="s">
        <v>36</v>
      </c>
      <c r="J828" s="19"/>
      <c r="K828" s="19">
        <v>0.20349999999999999</v>
      </c>
      <c r="L828" s="19" t="s">
        <v>36</v>
      </c>
      <c r="M828" s="19" t="s">
        <v>36</v>
      </c>
      <c r="N828" s="19" t="s">
        <v>36</v>
      </c>
      <c r="O828" s="19" t="s">
        <v>36</v>
      </c>
      <c r="P828" s="19" t="s">
        <v>36</v>
      </c>
      <c r="Q828" s="19" t="s">
        <v>36</v>
      </c>
      <c r="R828" s="20">
        <v>9391</v>
      </c>
      <c r="S828" s="21" t="str">
        <f>HYPERLINK("https://pcc.palau.edu/npcalc/npcalc.htm", "$4283")</f>
        <v>$4283</v>
      </c>
      <c r="T828" s="20">
        <v>5590</v>
      </c>
      <c r="U828" s="20">
        <v>7726</v>
      </c>
      <c r="V828" s="20">
        <v>2400</v>
      </c>
      <c r="W828" s="20">
        <v>1883.0826446280989</v>
      </c>
      <c r="Y828" s="19">
        <v>0.79220000000000002</v>
      </c>
      <c r="Z828" s="19">
        <v>1</v>
      </c>
      <c r="AB828" s="18">
        <v>530</v>
      </c>
    </row>
    <row r="829" spans="1:28" ht="15.75" customHeight="1" x14ac:dyDescent="0.2">
      <c r="A829" s="36" t="str">
        <f>HYPERLINK("https://www.palmbeachstate.edu/", "Palm Beach State College")</f>
        <v>Palm Beach State College</v>
      </c>
      <c r="B829" s="18" t="s">
        <v>49</v>
      </c>
      <c r="C829" s="18" t="s">
        <v>162</v>
      </c>
      <c r="D829" s="18" t="s">
        <v>1619</v>
      </c>
      <c r="E829" s="18" t="s">
        <v>36</v>
      </c>
      <c r="F829" s="18" t="s">
        <v>36</v>
      </c>
      <c r="J829" s="19"/>
      <c r="K829" s="19">
        <v>0.33300000000000002</v>
      </c>
      <c r="L829" s="19">
        <v>0.29721029999999998</v>
      </c>
      <c r="M829" s="19">
        <v>0.38669999999999999</v>
      </c>
      <c r="N829" s="19">
        <v>0.25290000000000001</v>
      </c>
      <c r="O829" s="19">
        <v>0.33069999999999999</v>
      </c>
      <c r="P829" s="19">
        <v>0.49440000000000001</v>
      </c>
      <c r="Q829" s="19">
        <v>8.5202469000000003E-2</v>
      </c>
      <c r="R829" s="20">
        <v>22532</v>
      </c>
      <c r="S829" s="21" t="str">
        <f>HYPERLINK("https://www.palmbeachstate.edu/financialaid/net-price-calculator.aspx", "$15970")</f>
        <v>$15970</v>
      </c>
      <c r="T829" s="20">
        <v>18706</v>
      </c>
      <c r="U829" s="20">
        <v>21558</v>
      </c>
      <c r="V829" s="20">
        <v>4800</v>
      </c>
      <c r="W829" s="20">
        <v>11170.21665089877</v>
      </c>
      <c r="Y829" s="19">
        <v>0.36609999999999998</v>
      </c>
      <c r="Z829" s="19">
        <v>0.6784</v>
      </c>
      <c r="AB829" s="18">
        <v>26335</v>
      </c>
    </row>
    <row r="830" spans="1:28" ht="15.75" customHeight="1" x14ac:dyDescent="0.2">
      <c r="A830" s="36" t="str">
        <f>HYPERLINK("https://alamo.edu/pac/", "Palo Alto College")</f>
        <v>Palo Alto College</v>
      </c>
      <c r="B830" s="18" t="s">
        <v>49</v>
      </c>
      <c r="C830" s="18" t="s">
        <v>146</v>
      </c>
      <c r="D830" s="18" t="s">
        <v>268</v>
      </c>
      <c r="E830" s="18" t="s">
        <v>36</v>
      </c>
      <c r="F830" s="18" t="s">
        <v>36</v>
      </c>
      <c r="J830" s="19"/>
      <c r="K830" s="19">
        <v>0.2555</v>
      </c>
      <c r="L830" s="19">
        <v>0.10500274900000001</v>
      </c>
      <c r="M830" s="19">
        <v>0.31509999999999999</v>
      </c>
      <c r="N830" s="19">
        <v>0</v>
      </c>
      <c r="O830" s="19">
        <v>0.25790000000000002</v>
      </c>
      <c r="P830" s="19" t="s">
        <v>36</v>
      </c>
      <c r="Q830" s="19">
        <v>8.9278435000000003E-2</v>
      </c>
      <c r="R830" s="20">
        <v>27402</v>
      </c>
      <c r="S830" s="21" t="str">
        <f>HYPERLINK("https://alamo.edu/district/business-office/tuition-and-fees/", "$21656")</f>
        <v>$21656</v>
      </c>
      <c r="T830" s="20">
        <v>22820</v>
      </c>
      <c r="U830" s="20">
        <v>25603</v>
      </c>
      <c r="V830" s="20">
        <v>5180</v>
      </c>
      <c r="W830" s="20">
        <v>16476.201793721972</v>
      </c>
      <c r="Y830" s="19">
        <v>0.3014</v>
      </c>
      <c r="Z830" s="19">
        <v>0.84660000000000002</v>
      </c>
      <c r="AB830" s="18">
        <v>6681</v>
      </c>
    </row>
    <row r="831" spans="1:28" ht="15.75" customHeight="1" x14ac:dyDescent="0.2">
      <c r="A831" s="36" t="str">
        <f>HYPERLINK("https://www.parisjc.edu/", "Paris Junior College")</f>
        <v>Paris Junior College</v>
      </c>
      <c r="B831" s="18" t="s">
        <v>49</v>
      </c>
      <c r="C831" s="18" t="s">
        <v>146</v>
      </c>
      <c r="D831" s="18" t="s">
        <v>1620</v>
      </c>
      <c r="E831" s="18" t="s">
        <v>36</v>
      </c>
      <c r="F831" s="18" t="s">
        <v>36</v>
      </c>
      <c r="J831" s="19"/>
      <c r="K831" s="19">
        <v>0.31790000000000002</v>
      </c>
      <c r="L831" s="19">
        <v>0.165150455</v>
      </c>
      <c r="M831" s="19">
        <v>0.34460000000000002</v>
      </c>
      <c r="N831" s="19">
        <v>0.20860000000000001</v>
      </c>
      <c r="O831" s="19">
        <v>0.38550000000000001</v>
      </c>
      <c r="P831" s="19">
        <v>0.1429</v>
      </c>
      <c r="Q831" s="19">
        <v>7.7365395000000003E-2</v>
      </c>
      <c r="R831" s="20">
        <v>16847</v>
      </c>
      <c r="S831" s="21" t="str">
        <f>HYPERLINK("https://www.collegeforalltexans.com/apps/CollegeMoney", "$10720")</f>
        <v>$10720</v>
      </c>
      <c r="T831" s="20">
        <v>12612</v>
      </c>
      <c r="U831" s="20">
        <v>13210</v>
      </c>
      <c r="V831" s="20">
        <v>6347</v>
      </c>
      <c r="W831" s="20">
        <v>4373.8256130790178</v>
      </c>
      <c r="Y831" s="19">
        <v>0.31809999999999999</v>
      </c>
      <c r="Z831" s="19">
        <v>0.36109999999999998</v>
      </c>
      <c r="AB831" s="18">
        <v>3235</v>
      </c>
    </row>
    <row r="832" spans="1:28" ht="15.75" customHeight="1" x14ac:dyDescent="0.2">
      <c r="A832" s="36" t="str">
        <f>HYPERLINK("https://www.parkland.edu/", "Parkland College")</f>
        <v>Parkland College</v>
      </c>
      <c r="B832" s="18" t="s">
        <v>49</v>
      </c>
      <c r="C832" s="18" t="s">
        <v>137</v>
      </c>
      <c r="D832" s="18" t="s">
        <v>279</v>
      </c>
      <c r="E832" s="18" t="s">
        <v>36</v>
      </c>
      <c r="F832" s="18" t="s">
        <v>36</v>
      </c>
      <c r="J832" s="19"/>
      <c r="K832" s="19">
        <v>0.28660000000000002</v>
      </c>
      <c r="L832" s="19">
        <v>0.115437159</v>
      </c>
      <c r="M832" s="19">
        <v>0.36030000000000001</v>
      </c>
      <c r="N832" s="19">
        <v>0.1</v>
      </c>
      <c r="O832" s="19">
        <v>0.15790000000000001</v>
      </c>
      <c r="P832" s="19">
        <v>0.5</v>
      </c>
      <c r="Q832" s="19">
        <v>0.13330598900000001</v>
      </c>
      <c r="R832" s="20">
        <v>25870</v>
      </c>
      <c r="S832" s="21" t="str">
        <f>HYPERLINK("https://web.parkland.edu/netpricecalculator/npcalc.htm", "$21833")</f>
        <v>$21833</v>
      </c>
      <c r="T832" s="20">
        <v>22548</v>
      </c>
      <c r="U832" s="20">
        <v>24856</v>
      </c>
      <c r="V832" s="20">
        <v>4500</v>
      </c>
      <c r="W832" s="20">
        <v>17333.5593220339</v>
      </c>
      <c r="Y832" s="19">
        <v>0.29770000000000002</v>
      </c>
      <c r="Z832" s="19">
        <v>0.41439999999999999</v>
      </c>
      <c r="AB832" s="18">
        <v>5647</v>
      </c>
    </row>
    <row r="833" spans="1:28" ht="15.75" customHeight="1" x14ac:dyDescent="0.2">
      <c r="A833" s="36" t="str">
        <f>HYPERLINK("https://pasadena.edu/", "Pasadena City College")</f>
        <v>Pasadena City College</v>
      </c>
      <c r="B833" s="18" t="s">
        <v>49</v>
      </c>
      <c r="C833" s="18" t="s">
        <v>68</v>
      </c>
      <c r="D833" s="18" t="s">
        <v>69</v>
      </c>
      <c r="E833" s="18" t="s">
        <v>36</v>
      </c>
      <c r="F833" s="18" t="s">
        <v>36</v>
      </c>
      <c r="J833" s="19"/>
      <c r="K833" s="19">
        <v>0.36199999999999999</v>
      </c>
      <c r="L833" s="19">
        <v>9.6657929000000004E-2</v>
      </c>
      <c r="M833" s="19">
        <v>0.34210000000000002</v>
      </c>
      <c r="N833" s="19">
        <v>0.13159999999999999</v>
      </c>
      <c r="O833" s="19">
        <v>0.23619999999999999</v>
      </c>
      <c r="P833" s="19">
        <v>0.55930000000000002</v>
      </c>
      <c r="Q833" s="19">
        <v>0.16277336000000001</v>
      </c>
      <c r="R833" s="20">
        <v>26390</v>
      </c>
      <c r="S833" s="21" t="str">
        <f>HYPERLINK("https://misweb.cccco.edu/npc/771/npcalc.htm", "$19103")</f>
        <v>$19103</v>
      </c>
      <c r="T833" s="20">
        <v>22159</v>
      </c>
      <c r="U833" s="20">
        <v>23280</v>
      </c>
      <c r="V833" s="20">
        <v>6093</v>
      </c>
      <c r="W833" s="20">
        <v>13010.629032258061</v>
      </c>
      <c r="Y833" s="19">
        <v>0.30249999999999999</v>
      </c>
      <c r="Z833" s="19">
        <v>0.85240000000000005</v>
      </c>
      <c r="AB833" s="18">
        <v>25202</v>
      </c>
    </row>
    <row r="834" spans="1:28" ht="15.75" customHeight="1" x14ac:dyDescent="0.2">
      <c r="A834" s="36" t="str">
        <f>HYPERLINK("https://www.phsc.edu", "Pasco-Hernando State College")</f>
        <v>Pasco-Hernando State College</v>
      </c>
      <c r="B834" s="18" t="s">
        <v>49</v>
      </c>
      <c r="C834" s="18" t="s">
        <v>162</v>
      </c>
      <c r="D834" s="18" t="s">
        <v>1621</v>
      </c>
      <c r="E834" s="18" t="s">
        <v>36</v>
      </c>
      <c r="F834" s="18" t="s">
        <v>36</v>
      </c>
      <c r="J834" s="19"/>
      <c r="K834" s="19">
        <v>0.3206</v>
      </c>
      <c r="L834" s="19">
        <v>0.22915696299999999</v>
      </c>
      <c r="M834" s="19">
        <v>0.31919999999999998</v>
      </c>
      <c r="N834" s="19">
        <v>0.27629999999999999</v>
      </c>
      <c r="O834" s="19">
        <v>0.30380000000000001</v>
      </c>
      <c r="P834" s="19">
        <v>0.46150000000000002</v>
      </c>
      <c r="Q834" s="19">
        <v>8.8860678999999998E-2</v>
      </c>
      <c r="R834" s="20">
        <v>23884</v>
      </c>
      <c r="S834" s="21" t="str">
        <f>HYPERLINK("https://cpnta.phsc.edu/csrs/hlp/NetPriceCalc/npcalc.htm", "$18555")</f>
        <v>$18555</v>
      </c>
      <c r="T834" s="20">
        <v>20687</v>
      </c>
      <c r="U834" s="20">
        <v>23228</v>
      </c>
      <c r="V834" s="20">
        <v>5482</v>
      </c>
      <c r="W834" s="20">
        <v>13073.163328197221</v>
      </c>
      <c r="Y834" s="19">
        <v>0.38840000000000002</v>
      </c>
      <c r="Z834" s="19">
        <v>0.37180000000000002</v>
      </c>
      <c r="AB834" s="18">
        <v>9336</v>
      </c>
    </row>
    <row r="835" spans="1:28" ht="15.75" customHeight="1" x14ac:dyDescent="0.2">
      <c r="A835" s="36" t="str">
        <f>HYPERLINK("https://www.pccc.edu", "Passaic County Community College")</f>
        <v>Passaic County Community College</v>
      </c>
      <c r="B835" s="18" t="s">
        <v>49</v>
      </c>
      <c r="C835" s="18" t="s">
        <v>141</v>
      </c>
      <c r="D835" s="18" t="s">
        <v>1622</v>
      </c>
      <c r="E835" s="18" t="s">
        <v>36</v>
      </c>
      <c r="F835" s="18" t="s">
        <v>36</v>
      </c>
      <c r="J835" s="19"/>
      <c r="K835" s="19">
        <v>0.1225</v>
      </c>
      <c r="L835" s="19">
        <v>9.4245581999999994E-2</v>
      </c>
      <c r="M835" s="19">
        <v>0.2366</v>
      </c>
      <c r="N835" s="19">
        <v>5.6099999999999997E-2</v>
      </c>
      <c r="O835" s="19">
        <v>9.8599999999999993E-2</v>
      </c>
      <c r="P835" s="19">
        <v>0.125</v>
      </c>
      <c r="Q835" s="19">
        <v>7.0727579999999998E-2</v>
      </c>
      <c r="R835" s="20">
        <v>25736</v>
      </c>
      <c r="S835" s="21" t="str">
        <f>HYPERLINK("https://www.pccc.edu/netprice/npcalc.htm", "$20124")</f>
        <v>$20124</v>
      </c>
      <c r="T835" s="20">
        <v>22433</v>
      </c>
      <c r="U835" s="20">
        <v>24790</v>
      </c>
      <c r="V835" s="20">
        <v>3626</v>
      </c>
      <c r="W835" s="20">
        <v>16498.953125</v>
      </c>
      <c r="Y835" s="19">
        <v>0.52200000000000002</v>
      </c>
      <c r="Z835" s="19">
        <v>0.81930000000000003</v>
      </c>
      <c r="AB835" s="18">
        <v>6617</v>
      </c>
    </row>
    <row r="836" spans="1:28" ht="15.75" customHeight="1" x14ac:dyDescent="0.2">
      <c r="A836" s="36" t="str">
        <f>HYPERLINK("https://www.prcc.edu", "Pearl River Community College")</f>
        <v>Pearl River Community College</v>
      </c>
      <c r="B836" s="18" t="s">
        <v>49</v>
      </c>
      <c r="C836" s="18" t="s">
        <v>59</v>
      </c>
      <c r="D836" s="18" t="s">
        <v>1623</v>
      </c>
      <c r="E836" s="18" t="s">
        <v>36</v>
      </c>
      <c r="F836" s="18" t="s">
        <v>36</v>
      </c>
      <c r="J836" s="19"/>
      <c r="K836" s="19">
        <v>0.2949</v>
      </c>
      <c r="L836" s="19">
        <v>0.21180327900000001</v>
      </c>
      <c r="M836" s="19">
        <v>0.31809999999999999</v>
      </c>
      <c r="N836" s="19">
        <v>0.25530000000000003</v>
      </c>
      <c r="O836" s="19">
        <v>0.31580000000000003</v>
      </c>
      <c r="P836" s="19">
        <v>1</v>
      </c>
      <c r="Q836" s="19">
        <v>5.2449282999999999E-2</v>
      </c>
      <c r="R836" s="20">
        <v>15948</v>
      </c>
      <c r="S836" s="21" t="str">
        <f>HYPERLINK("https://www.prcc.edu/npcalc/npcalc.htm", "$10992")</f>
        <v>$10992</v>
      </c>
      <c r="T836" s="20">
        <v>13371</v>
      </c>
      <c r="U836" s="20">
        <v>14358</v>
      </c>
      <c r="V836" s="20">
        <v>5150</v>
      </c>
      <c r="W836" s="20">
        <v>5842.7954545454559</v>
      </c>
      <c r="Y836" s="19">
        <v>0.48259999999999997</v>
      </c>
      <c r="Z836" s="19">
        <v>0.34900000000000009</v>
      </c>
      <c r="AB836" s="18">
        <v>3817</v>
      </c>
    </row>
    <row r="837" spans="1:28" ht="15.75" customHeight="1" x14ac:dyDescent="0.2">
      <c r="A837" s="36" t="str">
        <f>HYPERLINK("https://www.pstcc.edu/", "Pellissippi State Community College")</f>
        <v>Pellissippi State Community College</v>
      </c>
      <c r="B837" s="18" t="s">
        <v>49</v>
      </c>
      <c r="C837" s="18" t="s">
        <v>174</v>
      </c>
      <c r="D837" s="18" t="s">
        <v>492</v>
      </c>
      <c r="E837" s="18" t="s">
        <v>36</v>
      </c>
      <c r="F837" s="18" t="s">
        <v>36</v>
      </c>
      <c r="J837" s="19"/>
      <c r="K837" s="19">
        <v>0.27279999999999999</v>
      </c>
      <c r="L837" s="19">
        <v>0.198733561</v>
      </c>
      <c r="M837" s="19">
        <v>0.2923</v>
      </c>
      <c r="N837" s="19">
        <v>9.5500000000000002E-2</v>
      </c>
      <c r="O837" s="19">
        <v>0.3538</v>
      </c>
      <c r="P837" s="19">
        <v>0.3846</v>
      </c>
      <c r="Q837" s="19">
        <v>0.10195958400000001</v>
      </c>
      <c r="R837" s="20">
        <v>28156</v>
      </c>
      <c r="S837" s="21" t="str">
        <f>HYPERLINK("https://www.pstcc.edu/financial_aid/", "$21210")</f>
        <v>$21210</v>
      </c>
      <c r="T837" s="20">
        <v>23436</v>
      </c>
      <c r="U837" s="20">
        <v>24791</v>
      </c>
      <c r="V837" s="20">
        <v>5700</v>
      </c>
      <c r="W837" s="20">
        <v>15510.15437003405</v>
      </c>
      <c r="Y837" s="19">
        <v>0.30220000000000002</v>
      </c>
      <c r="Z837" s="19">
        <v>0.19359999999999999</v>
      </c>
      <c r="AB837" s="18">
        <v>8859</v>
      </c>
    </row>
    <row r="838" spans="1:28" ht="15.75" customHeight="1" x14ac:dyDescent="0.2">
      <c r="A838" s="36" t="str">
        <f>HYPERLINK("https://www.penncotech.edu/pennco-bristol.php", "Pennco Tech-Bristol")</f>
        <v>Pennco Tech-Bristol</v>
      </c>
      <c r="B838" s="18" t="s">
        <v>368</v>
      </c>
      <c r="C838" s="18" t="s">
        <v>65</v>
      </c>
      <c r="D838" s="18" t="s">
        <v>390</v>
      </c>
      <c r="E838" s="18" t="s">
        <v>36</v>
      </c>
      <c r="F838" s="18" t="s">
        <v>36</v>
      </c>
      <c r="J838" s="19"/>
      <c r="K838" s="19">
        <v>0.7609999999999999</v>
      </c>
      <c r="L838" s="19">
        <v>0.70987654299999992</v>
      </c>
      <c r="M838" s="19">
        <v>0.84209999999999996</v>
      </c>
      <c r="N838" s="19">
        <v>0.7</v>
      </c>
      <c r="O838" s="19">
        <v>0.63329999999999997</v>
      </c>
      <c r="P838" s="19">
        <v>0.6</v>
      </c>
      <c r="Q838" s="19" t="s">
        <v>36</v>
      </c>
      <c r="R838" s="20" t="s">
        <v>36</v>
      </c>
      <c r="S838" s="21" t="str">
        <f>HYPERLINK("https://www.penncotech.edu/npc/Bristol/npcalc.htm", "$18126")</f>
        <v>$18126</v>
      </c>
      <c r="T838" s="20">
        <v>20844</v>
      </c>
      <c r="U838" s="20" t="s">
        <v>36</v>
      </c>
      <c r="V838" s="20" t="s">
        <v>36</v>
      </c>
      <c r="W838" s="20" t="s">
        <v>36</v>
      </c>
      <c r="Y838" s="19">
        <v>0.65010000000000001</v>
      </c>
      <c r="Z838" s="19">
        <v>0.52700000000000002</v>
      </c>
      <c r="AB838" s="18">
        <v>315</v>
      </c>
    </row>
    <row r="839" spans="1:28" ht="15.75" customHeight="1" x14ac:dyDescent="0.2">
      <c r="A839" s="36" t="str">
        <f>HYPERLINK("https://www.pacollege.edu/", "Pennsylvania College of Health Sciences")</f>
        <v>Pennsylvania College of Health Sciences</v>
      </c>
      <c r="B839" s="18" t="s">
        <v>32</v>
      </c>
      <c r="C839" s="18" t="s">
        <v>65</v>
      </c>
      <c r="D839" s="18" t="s">
        <v>112</v>
      </c>
      <c r="E839" s="18" t="s">
        <v>36</v>
      </c>
      <c r="F839" s="18" t="s">
        <v>90</v>
      </c>
      <c r="J839" s="19"/>
      <c r="K839" s="19">
        <v>0.63639999999999997</v>
      </c>
      <c r="L839" s="19">
        <v>0.58426966299999994</v>
      </c>
      <c r="M839" s="19">
        <v>0.65429999999999999</v>
      </c>
      <c r="N839" s="19">
        <v>0.5</v>
      </c>
      <c r="O839" s="19">
        <v>0</v>
      </c>
      <c r="P839" s="19">
        <v>0.5</v>
      </c>
      <c r="Q839" s="19">
        <v>7.6470587999999992E-2</v>
      </c>
      <c r="R839" s="20">
        <v>45836</v>
      </c>
      <c r="S839" s="21" t="str">
        <f>HYPERLINK("https://www.pacollege.edu/net-price-calculator/", "$32755")</f>
        <v>$32755</v>
      </c>
      <c r="T839" s="20">
        <v>34866</v>
      </c>
      <c r="U839" s="20">
        <v>38269</v>
      </c>
      <c r="V839" s="20">
        <v>7658</v>
      </c>
      <c r="W839" s="20">
        <v>25097</v>
      </c>
      <c r="Y839" s="19">
        <v>0.30790000000000001</v>
      </c>
      <c r="Z839" s="19">
        <v>0.20100000000000001</v>
      </c>
      <c r="AB839" s="18">
        <v>1532</v>
      </c>
    </row>
    <row r="840" spans="1:28" ht="15.75" customHeight="1" x14ac:dyDescent="0.2">
      <c r="A840" s="36" t="str">
        <f>HYPERLINK("https://www.pct.edu", "Pennsylvania College of Technology")</f>
        <v>Pennsylvania College of Technology</v>
      </c>
      <c r="B840" s="18" t="s">
        <v>49</v>
      </c>
      <c r="C840" s="18" t="s">
        <v>65</v>
      </c>
      <c r="D840" s="18" t="s">
        <v>936</v>
      </c>
      <c r="E840" s="18" t="s">
        <v>36</v>
      </c>
      <c r="F840" s="18" t="s">
        <v>36</v>
      </c>
      <c r="J840" s="19"/>
      <c r="K840" s="19">
        <v>0.47470000000000001</v>
      </c>
      <c r="L840" s="19">
        <v>0.31731984800000002</v>
      </c>
      <c r="M840" s="19">
        <v>0.51359999999999995</v>
      </c>
      <c r="N840" s="19">
        <v>0.16089999999999999</v>
      </c>
      <c r="O840" s="19">
        <v>0.27029999999999998</v>
      </c>
      <c r="P840" s="19">
        <v>0.1111</v>
      </c>
      <c r="Q840" s="19">
        <v>4.5977011999999998E-2</v>
      </c>
      <c r="R840" s="20">
        <v>39054</v>
      </c>
      <c r="S840" s="21" t="str">
        <f>HYPERLINK("https://www.pct.edu/admissions/consumerinfo/NPC/", "$30270")</f>
        <v>$30270</v>
      </c>
      <c r="T840" s="20">
        <v>32765</v>
      </c>
      <c r="U840" s="20">
        <v>36373</v>
      </c>
      <c r="V840" s="20">
        <v>4434</v>
      </c>
      <c r="W840" s="20">
        <v>25836.21682847897</v>
      </c>
      <c r="Y840" s="19">
        <v>0.38059999999999999</v>
      </c>
      <c r="Z840" s="19">
        <v>0.1187</v>
      </c>
      <c r="AB840" s="18">
        <v>5419</v>
      </c>
    </row>
    <row r="841" spans="1:28" ht="15.75" customHeight="1" x14ac:dyDescent="0.2">
      <c r="A841" s="36" t="str">
        <f>HYPERLINK("https://www.pennhighlands.edu", "Pennsylvania Highlands Community College")</f>
        <v>Pennsylvania Highlands Community College</v>
      </c>
      <c r="B841" s="18" t="s">
        <v>49</v>
      </c>
      <c r="C841" s="18" t="s">
        <v>65</v>
      </c>
      <c r="D841" s="18" t="s">
        <v>907</v>
      </c>
      <c r="E841" s="18" t="s">
        <v>36</v>
      </c>
      <c r="F841" s="18" t="s">
        <v>36</v>
      </c>
      <c r="J841" s="19"/>
      <c r="K841" s="19">
        <v>0.2954</v>
      </c>
      <c r="L841" s="19">
        <v>0.20634920600000001</v>
      </c>
      <c r="M841" s="19">
        <v>0.31919999999999998</v>
      </c>
      <c r="N841" s="19">
        <v>0</v>
      </c>
      <c r="O841" s="19">
        <v>0</v>
      </c>
      <c r="P841" s="19">
        <v>0</v>
      </c>
      <c r="Q841" s="19">
        <v>0.108374384</v>
      </c>
      <c r="R841" s="20">
        <v>17060</v>
      </c>
      <c r="S841" s="21" t="str">
        <f>HYPERLINK("https://my.pennhighlands.edu/ICS/Net_Price_Calculator_2018-2019.jnz", "$11226")</f>
        <v>$11226</v>
      </c>
      <c r="T841" s="20">
        <v>13981</v>
      </c>
      <c r="U841" s="20">
        <v>16768</v>
      </c>
      <c r="V841" s="20">
        <v>3500</v>
      </c>
      <c r="W841" s="20">
        <v>7726.6120689655181</v>
      </c>
      <c r="Y841" s="19">
        <v>0.2218</v>
      </c>
      <c r="Z841" s="19">
        <v>0.1409999999999999</v>
      </c>
      <c r="AB841" s="18">
        <v>1014</v>
      </c>
    </row>
    <row r="842" spans="1:28" ht="15.75" customHeight="1" x14ac:dyDescent="0.2">
      <c r="A842" s="36" t="str">
        <f>HYPERLINK("https://www.piht.edu", "Pennsylvania Institute of Health and Technology")</f>
        <v>Pennsylvania Institute of Health and Technology</v>
      </c>
      <c r="B842" s="18" t="s">
        <v>368</v>
      </c>
      <c r="C842" s="18" t="s">
        <v>65</v>
      </c>
      <c r="D842" s="18" t="s">
        <v>1624</v>
      </c>
      <c r="E842" s="18" t="s">
        <v>36</v>
      </c>
      <c r="F842" s="18" t="s">
        <v>36</v>
      </c>
      <c r="J842" s="19"/>
      <c r="K842" s="19">
        <v>0.66669999999999996</v>
      </c>
      <c r="L842" s="19">
        <v>0.468468469</v>
      </c>
      <c r="M842" s="19">
        <v>0.66669999999999996</v>
      </c>
      <c r="N842" s="19">
        <v>0.66669999999999996</v>
      </c>
      <c r="O842" s="19" t="s">
        <v>36</v>
      </c>
      <c r="P842" s="19" t="s">
        <v>36</v>
      </c>
      <c r="Q842" s="19">
        <v>3.3557047E-2</v>
      </c>
      <c r="R842" s="20">
        <v>23400</v>
      </c>
      <c r="S842" s="21" t="str">
        <f>HYPERLINK("https://www.piht.edu", "$14575")</f>
        <v>$14575</v>
      </c>
      <c r="T842" s="20">
        <v>22272</v>
      </c>
      <c r="U842" s="20">
        <v>22272</v>
      </c>
      <c r="V842" s="20">
        <v>3945</v>
      </c>
      <c r="W842" s="20">
        <v>10630</v>
      </c>
      <c r="Y842" s="19">
        <v>0.82289999999999996</v>
      </c>
      <c r="Z842" s="19">
        <v>1.280000000000003E-2</v>
      </c>
      <c r="AB842" s="18">
        <v>78</v>
      </c>
    </row>
    <row r="843" spans="1:28" ht="15.75" customHeight="1" x14ac:dyDescent="0.2">
      <c r="A843" s="36" t="str">
        <f>HYPERLINK("https://www.pit.edu", "Pennsylvania Institute of Technology")</f>
        <v>Pennsylvania Institute of Technology</v>
      </c>
      <c r="B843" s="18" t="s">
        <v>32</v>
      </c>
      <c r="C843" s="18" t="s">
        <v>65</v>
      </c>
      <c r="D843" s="18" t="s">
        <v>1054</v>
      </c>
      <c r="E843" s="18" t="s">
        <v>36</v>
      </c>
      <c r="F843" s="18" t="s">
        <v>36</v>
      </c>
      <c r="J843" s="19"/>
      <c r="K843" s="19">
        <v>0.40229999999999999</v>
      </c>
      <c r="L843" s="19">
        <v>0.382228491</v>
      </c>
      <c r="M843" s="19">
        <v>0.36670000000000003</v>
      </c>
      <c r="N843" s="19">
        <v>0.37799999999999989</v>
      </c>
      <c r="O843" s="19">
        <v>0.4</v>
      </c>
      <c r="P843" s="19">
        <v>0.71430000000000005</v>
      </c>
      <c r="Q843" s="19">
        <v>3.2822757000000001E-2</v>
      </c>
      <c r="R843" s="20">
        <v>21030</v>
      </c>
      <c r="S843" s="21" t="str">
        <f>HYPERLINK("https://www.pit.edu/financial-aid/net-price-calculator/", "$21966")</f>
        <v>$21966</v>
      </c>
      <c r="T843" s="20">
        <v>24330</v>
      </c>
      <c r="U843" s="20">
        <v>24330</v>
      </c>
      <c r="V843" s="20">
        <v>1800</v>
      </c>
      <c r="W843" s="20">
        <v>20166</v>
      </c>
      <c r="Y843" s="19">
        <v>0.89019999999999999</v>
      </c>
      <c r="Z843" s="19">
        <v>0.84560000000000002</v>
      </c>
      <c r="AB843" s="18">
        <v>447</v>
      </c>
    </row>
    <row r="844" spans="1:28" ht="15.75" customHeight="1" x14ac:dyDescent="0.2">
      <c r="A844" s="36" t="str">
        <f>HYPERLINK("https://dubois.psu.edu/", "Pennsylvania State University-Penn State DuBois")</f>
        <v>Pennsylvania State University-Penn State DuBois</v>
      </c>
      <c r="B844" s="18" t="s">
        <v>49</v>
      </c>
      <c r="C844" s="18" t="s">
        <v>65</v>
      </c>
      <c r="D844" s="18" t="s">
        <v>1625</v>
      </c>
      <c r="E844" s="18">
        <v>1095</v>
      </c>
      <c r="F844" s="18" t="s">
        <v>35</v>
      </c>
      <c r="J844" s="19"/>
      <c r="K844" s="19">
        <v>0.50629999999999997</v>
      </c>
      <c r="L844" s="19">
        <v>0.485670194</v>
      </c>
      <c r="M844" s="19">
        <v>0.5232</v>
      </c>
      <c r="N844" s="19">
        <v>0.4</v>
      </c>
      <c r="O844" s="19">
        <v>0</v>
      </c>
      <c r="P844" s="19">
        <v>0</v>
      </c>
      <c r="Q844" s="19">
        <v>6.5854563000000005E-2</v>
      </c>
      <c r="R844" s="20">
        <v>39174</v>
      </c>
      <c r="S844" s="21" t="str">
        <f>HYPERLINK("https://tuition.psu.edu/CostEstimate.aspx", "$29543")</f>
        <v>$29543</v>
      </c>
      <c r="T844" s="20">
        <v>32174</v>
      </c>
      <c r="U844" s="20">
        <v>36924</v>
      </c>
      <c r="V844" s="20">
        <v>6628</v>
      </c>
      <c r="W844" s="20">
        <v>22915.4</v>
      </c>
      <c r="Y844" s="19">
        <v>0.36509999999999998</v>
      </c>
      <c r="Z844" s="19">
        <v>8.8500000000000023E-2</v>
      </c>
      <c r="AB844" s="18">
        <v>497</v>
      </c>
    </row>
    <row r="845" spans="1:28" ht="15.75" customHeight="1" x14ac:dyDescent="0.2">
      <c r="A845" s="36" t="str">
        <f>HYPERLINK("https://www.pensacolastate.edu", "Pensacola State College")</f>
        <v>Pensacola State College</v>
      </c>
      <c r="B845" s="18" t="s">
        <v>49</v>
      </c>
      <c r="C845" s="18" t="s">
        <v>162</v>
      </c>
      <c r="D845" s="18" t="s">
        <v>1241</v>
      </c>
      <c r="E845" s="18" t="s">
        <v>36</v>
      </c>
      <c r="F845" s="18" t="s">
        <v>36</v>
      </c>
      <c r="J845" s="19"/>
      <c r="K845" s="19">
        <v>0.30159999999999998</v>
      </c>
      <c r="L845" s="19">
        <v>0.27357563899999998</v>
      </c>
      <c r="M845" s="19">
        <v>0.35120000000000001</v>
      </c>
      <c r="N845" s="19">
        <v>0.125</v>
      </c>
      <c r="O845" s="19">
        <v>0.33329999999999999</v>
      </c>
      <c r="P845" s="19">
        <v>0.25</v>
      </c>
      <c r="Q845" s="19">
        <v>5.0501432999999998E-2</v>
      </c>
      <c r="R845" s="20">
        <v>21758</v>
      </c>
      <c r="S845" s="21" t="str">
        <f>HYPERLINK("https://www.pensacolastate.edu/financialAid/NetPriceCalc/npcalc.htm", "$16212")</f>
        <v>$16212</v>
      </c>
      <c r="T845" s="20">
        <v>18122</v>
      </c>
      <c r="U845" s="20">
        <v>20590</v>
      </c>
      <c r="V845" s="20">
        <v>4133</v>
      </c>
      <c r="W845" s="20">
        <v>12079.03430079156</v>
      </c>
      <c r="Y845" s="19">
        <v>0.34549999999999997</v>
      </c>
      <c r="Z845" s="19">
        <v>0.37</v>
      </c>
      <c r="AB845" s="18">
        <v>7717</v>
      </c>
    </row>
    <row r="846" spans="1:28" ht="15.75" customHeight="1" x14ac:dyDescent="0.2">
      <c r="A846" s="36" t="str">
        <f>HYPERLINK("https://www.pson.edu", "Phillips Beth Israel School of Nursing")</f>
        <v>Phillips Beth Israel School of Nursing</v>
      </c>
      <c r="B846" s="18" t="s">
        <v>32</v>
      </c>
      <c r="C846" s="18" t="s">
        <v>38</v>
      </c>
      <c r="D846" s="18" t="s">
        <v>39</v>
      </c>
      <c r="E846" s="18" t="s">
        <v>36</v>
      </c>
      <c r="F846" s="18" t="s">
        <v>90</v>
      </c>
      <c r="J846" s="19"/>
      <c r="K846" s="19" t="s">
        <v>36</v>
      </c>
      <c r="L846" s="19" t="s">
        <v>36</v>
      </c>
      <c r="M846" s="19" t="s">
        <v>36</v>
      </c>
      <c r="N846" s="19" t="s">
        <v>36</v>
      </c>
      <c r="O846" s="19" t="s">
        <v>36</v>
      </c>
      <c r="P846" s="19" t="s">
        <v>36</v>
      </c>
      <c r="Q846" s="19">
        <v>0.14457831300000001</v>
      </c>
      <c r="R846" s="20">
        <v>42850</v>
      </c>
      <c r="S846" s="21" t="str">
        <f>HYPERLINK("https://nces.ed.gov/ipeds/netpricecalculator/", "Not reported")</f>
        <v>Not reported</v>
      </c>
      <c r="T846" s="20" t="s">
        <v>36</v>
      </c>
      <c r="U846" s="20" t="s">
        <v>36</v>
      </c>
      <c r="V846" s="20">
        <v>8150</v>
      </c>
      <c r="W846" s="20" t="s">
        <v>36</v>
      </c>
      <c r="Y846" s="19">
        <v>0.2079</v>
      </c>
      <c r="Z846" s="19">
        <v>0.62919999999999998</v>
      </c>
      <c r="AB846" s="18">
        <v>178</v>
      </c>
    </row>
    <row r="847" spans="1:28" ht="15.75" customHeight="1" x14ac:dyDescent="0.2">
      <c r="A847" s="36" t="str">
        <f>HYPERLINK("https://www.phoenixcollege.edu", "Phoenix College")</f>
        <v>Phoenix College</v>
      </c>
      <c r="B847" s="18" t="s">
        <v>49</v>
      </c>
      <c r="C847" s="18" t="s">
        <v>354</v>
      </c>
      <c r="D847" s="18" t="s">
        <v>369</v>
      </c>
      <c r="E847" s="18" t="s">
        <v>36</v>
      </c>
      <c r="F847" s="18" t="s">
        <v>36</v>
      </c>
      <c r="J847" s="19"/>
      <c r="K847" s="19">
        <v>0.1792</v>
      </c>
      <c r="L847" s="19">
        <v>3.0542986000000001E-2</v>
      </c>
      <c r="M847" s="19">
        <v>0.2165</v>
      </c>
      <c r="N847" s="19">
        <v>0.1</v>
      </c>
      <c r="O847" s="19">
        <v>0.18540000000000001</v>
      </c>
      <c r="P847" s="19">
        <v>0</v>
      </c>
      <c r="Q847" s="19">
        <v>0.12713734099999999</v>
      </c>
      <c r="R847" s="20">
        <v>21565</v>
      </c>
      <c r="S847" s="21" t="str">
        <f>HYPERLINK("https://www2.maricopa.edu/about-us/quick-facts/tuition-fees/net-price-calculators/colleges/phoenix", "$16580")</f>
        <v>$16580</v>
      </c>
      <c r="T847" s="20">
        <v>18557</v>
      </c>
      <c r="U847" s="20">
        <v>21185</v>
      </c>
      <c r="V847" s="20">
        <v>7907</v>
      </c>
      <c r="W847" s="20">
        <v>8673.9411764705874</v>
      </c>
      <c r="Y847" s="19">
        <v>0.38629999999999998</v>
      </c>
      <c r="Z847" s="19">
        <v>0.78790000000000004</v>
      </c>
      <c r="AB847" s="18">
        <v>9147</v>
      </c>
    </row>
    <row r="848" spans="1:28" ht="15.75" customHeight="1" x14ac:dyDescent="0.2">
      <c r="A848" s="36" t="str">
        <f>HYPERLINK("https://www.ptc.edu", "Piedmont Technical College")</f>
        <v>Piedmont Technical College</v>
      </c>
      <c r="B848" s="18" t="s">
        <v>49</v>
      </c>
      <c r="C848" s="18" t="s">
        <v>208</v>
      </c>
      <c r="D848" s="18" t="s">
        <v>893</v>
      </c>
      <c r="E848" s="18" t="s">
        <v>36</v>
      </c>
      <c r="F848" s="18" t="s">
        <v>36</v>
      </c>
      <c r="J848" s="19"/>
      <c r="K848" s="19">
        <v>0.18659999999999999</v>
      </c>
      <c r="L848" s="19">
        <v>0.16368455900000001</v>
      </c>
      <c r="M848" s="19">
        <v>0.2437</v>
      </c>
      <c r="N848" s="19">
        <v>8.2400000000000001E-2</v>
      </c>
      <c r="O848" s="19">
        <v>0.17860000000000001</v>
      </c>
      <c r="P848" s="19">
        <v>0</v>
      </c>
      <c r="Q848" s="19">
        <v>4.8279159000000002E-2</v>
      </c>
      <c r="R848" s="20">
        <v>26069</v>
      </c>
      <c r="S848" s="21" t="str">
        <f>HYPERLINK("https://www.ptc.edu/cost-financial-aid/tuition-fees/net-price-calculator", "$18643")</f>
        <v>$18643</v>
      </c>
      <c r="T848" s="20">
        <v>21500</v>
      </c>
      <c r="U848" s="20">
        <v>21616</v>
      </c>
      <c r="V848" s="20">
        <v>7761</v>
      </c>
      <c r="W848" s="20">
        <v>10882.400684931499</v>
      </c>
      <c r="Y848" s="19">
        <v>0.55679999999999996</v>
      </c>
      <c r="Z848" s="19">
        <v>0.44130000000000003</v>
      </c>
      <c r="AB848" s="18">
        <v>3868</v>
      </c>
    </row>
    <row r="849" spans="1:28" ht="15.75" customHeight="1" x14ac:dyDescent="0.2">
      <c r="A849" s="36" t="str">
        <f>HYPERLINK("https://www.pierce.ctc.edu", "Pierce College-Fort Steilacoom")</f>
        <v>Pierce College-Fort Steilacoom</v>
      </c>
      <c r="B849" s="18" t="s">
        <v>49</v>
      </c>
      <c r="C849" s="18" t="s">
        <v>184</v>
      </c>
      <c r="D849" s="18" t="s">
        <v>338</v>
      </c>
      <c r="E849" s="18" t="s">
        <v>36</v>
      </c>
      <c r="F849" s="18" t="s">
        <v>36</v>
      </c>
      <c r="J849" s="19"/>
      <c r="K849" s="19">
        <v>0.23749999999999999</v>
      </c>
      <c r="L849" s="19">
        <v>0.15172855299999999</v>
      </c>
      <c r="M849" s="19">
        <v>0.2394</v>
      </c>
      <c r="N849" s="19">
        <v>0.1628</v>
      </c>
      <c r="O849" s="19">
        <v>0.2</v>
      </c>
      <c r="P849" s="19">
        <v>0.5</v>
      </c>
      <c r="Q849" s="19">
        <v>0.121787268</v>
      </c>
      <c r="R849" s="20">
        <v>17952</v>
      </c>
      <c r="S849" s="21" t="str">
        <f>HYPERLINK("https://www.pierce.ctc.edu/tuition-fees", "$11511")</f>
        <v>$11511</v>
      </c>
      <c r="T849" s="20">
        <v>14496</v>
      </c>
      <c r="U849" s="20">
        <v>17002</v>
      </c>
      <c r="V849" s="20">
        <v>4065</v>
      </c>
      <c r="W849" s="20">
        <v>7446.7391304347839</v>
      </c>
      <c r="Y849" s="19">
        <v>0.35449999999999998</v>
      </c>
      <c r="Z849" s="19">
        <v>0.53560000000000008</v>
      </c>
      <c r="AB849" s="18">
        <v>4938</v>
      </c>
    </row>
    <row r="850" spans="1:28" ht="15.75" customHeight="1" x14ac:dyDescent="0.2">
      <c r="A850" s="36" t="str">
        <f>HYPERLINK("https://www.pierce.ctc.edu", "Pierce College-Puyallup")</f>
        <v>Pierce College-Puyallup</v>
      </c>
      <c r="B850" s="18" t="s">
        <v>49</v>
      </c>
      <c r="C850" s="18" t="s">
        <v>184</v>
      </c>
      <c r="D850" s="18" t="s">
        <v>338</v>
      </c>
      <c r="E850" s="18" t="s">
        <v>36</v>
      </c>
      <c r="F850" s="18" t="s">
        <v>36</v>
      </c>
      <c r="J850" s="19"/>
      <c r="K850" s="19">
        <v>0.3029</v>
      </c>
      <c r="L850" s="19">
        <v>0.15172855299999999</v>
      </c>
      <c r="M850" s="19">
        <v>0.32279999999999998</v>
      </c>
      <c r="N850" s="19">
        <v>0.25</v>
      </c>
      <c r="O850" s="19">
        <v>0.33329999999999999</v>
      </c>
      <c r="P850" s="19">
        <v>0.5</v>
      </c>
      <c r="Q850" s="19">
        <v>0.121787268</v>
      </c>
      <c r="R850" s="20">
        <v>18000</v>
      </c>
      <c r="S850" s="21" t="str">
        <f>HYPERLINK("https://www.pierce.ctc.edu/financial-aid-cost", "$11574")</f>
        <v>$11574</v>
      </c>
      <c r="T850" s="20">
        <v>13827</v>
      </c>
      <c r="U850" s="20">
        <v>17359</v>
      </c>
      <c r="V850" s="20">
        <v>4065</v>
      </c>
      <c r="W850" s="20">
        <v>7509.6046511627901</v>
      </c>
      <c r="Y850" s="19">
        <v>0.2296</v>
      </c>
      <c r="Z850" s="19">
        <v>0.44779999999999998</v>
      </c>
      <c r="AB850" s="18">
        <v>3810</v>
      </c>
    </row>
    <row r="851" spans="1:28" ht="15.75" customHeight="1" x14ac:dyDescent="0.2">
      <c r="A851" s="36" t="str">
        <f>HYPERLINK("https://www.pierpont.edu/", "Pierpont Community and Technical College")</f>
        <v>Pierpont Community and Technical College</v>
      </c>
      <c r="B851" s="18" t="s">
        <v>49</v>
      </c>
      <c r="C851" s="18" t="s">
        <v>574</v>
      </c>
      <c r="D851" s="18" t="s">
        <v>734</v>
      </c>
      <c r="E851" s="18" t="s">
        <v>36</v>
      </c>
      <c r="F851" s="18" t="s">
        <v>36</v>
      </c>
      <c r="J851" s="19"/>
      <c r="K851" s="19">
        <v>0.24529999999999999</v>
      </c>
      <c r="L851" s="19">
        <v>0.15797317399999999</v>
      </c>
      <c r="M851" s="19">
        <v>0.27360000000000001</v>
      </c>
      <c r="N851" s="19">
        <v>8.1100000000000005E-2</v>
      </c>
      <c r="O851" s="19">
        <v>0.1111</v>
      </c>
      <c r="P851" s="19" t="s">
        <v>36</v>
      </c>
      <c r="Q851" s="19">
        <v>0.10635294100000001</v>
      </c>
      <c r="R851" s="20">
        <v>24664</v>
      </c>
      <c r="S851" s="21" t="str">
        <f>HYPERLINK("https://pierpont.studentaidcalculator.com/survey.aspx", "$18171")</f>
        <v>$18171</v>
      </c>
      <c r="T851" s="20">
        <v>20981</v>
      </c>
      <c r="U851" s="20">
        <v>24148</v>
      </c>
      <c r="V851" s="20">
        <v>3000</v>
      </c>
      <c r="W851" s="20">
        <v>15171.502538071059</v>
      </c>
      <c r="Y851" s="19">
        <v>0.3901</v>
      </c>
      <c r="Z851" s="19">
        <v>0.1181</v>
      </c>
      <c r="AB851" s="18">
        <v>1228</v>
      </c>
    </row>
    <row r="852" spans="1:28" ht="15.75" customHeight="1" x14ac:dyDescent="0.2">
      <c r="A852" s="36" t="str">
        <f>HYPERLINK("https://www.pci.edu", "Pittsburgh Career Institute")</f>
        <v>Pittsburgh Career Institute</v>
      </c>
      <c r="B852" s="18" t="s">
        <v>368</v>
      </c>
      <c r="C852" s="18" t="s">
        <v>65</v>
      </c>
      <c r="D852" s="18" t="s">
        <v>74</v>
      </c>
      <c r="E852" s="18" t="s">
        <v>36</v>
      </c>
      <c r="F852" s="18" t="s">
        <v>36</v>
      </c>
      <c r="J852" s="19"/>
      <c r="K852" s="19">
        <v>0.38779999999999998</v>
      </c>
      <c r="L852" s="19">
        <v>0.51666666700000008</v>
      </c>
      <c r="M852" s="19">
        <v>0.63160000000000005</v>
      </c>
      <c r="N852" s="19">
        <v>0.28570000000000001</v>
      </c>
      <c r="O852" s="19" t="s">
        <v>36</v>
      </c>
      <c r="P852" s="19" t="s">
        <v>36</v>
      </c>
      <c r="Q852" s="19" t="s">
        <v>36</v>
      </c>
      <c r="R852" s="20">
        <v>37121</v>
      </c>
      <c r="S852" s="21" t="str">
        <f>HYPERLINK("https://pci.edu/net-price-calculator/", "$27553")</f>
        <v>$27553</v>
      </c>
      <c r="T852" s="20">
        <v>29517</v>
      </c>
      <c r="U852" s="20">
        <v>32855</v>
      </c>
      <c r="V852" s="20">
        <v>5254</v>
      </c>
      <c r="W852" s="20">
        <v>22299</v>
      </c>
      <c r="Y852" s="19">
        <v>0.22520000000000001</v>
      </c>
      <c r="Z852" s="19">
        <v>0.51780000000000004</v>
      </c>
      <c r="AB852" s="18">
        <v>197</v>
      </c>
    </row>
    <row r="853" spans="1:28" ht="15.75" customHeight="1" x14ac:dyDescent="0.2">
      <c r="A853" s="36" t="str">
        <f>HYPERLINK("https://www.pims.edu", "Pittsburgh Institute of Mortuary Science Inc")</f>
        <v>Pittsburgh Institute of Mortuary Science Inc</v>
      </c>
      <c r="B853" s="18" t="s">
        <v>32</v>
      </c>
      <c r="C853" s="18" t="s">
        <v>65</v>
      </c>
      <c r="D853" s="18" t="s">
        <v>74</v>
      </c>
      <c r="E853" s="18" t="s">
        <v>36</v>
      </c>
      <c r="F853" s="18" t="s">
        <v>45</v>
      </c>
      <c r="J853" s="19"/>
      <c r="K853" s="19">
        <v>0.83330000000000004</v>
      </c>
      <c r="L853" s="19" t="s">
        <v>36</v>
      </c>
      <c r="M853" s="19">
        <v>0.87370000000000003</v>
      </c>
      <c r="N853" s="19">
        <v>0.5</v>
      </c>
      <c r="O853" s="19">
        <v>0.5</v>
      </c>
      <c r="P853" s="19">
        <v>1</v>
      </c>
      <c r="Q853" s="19" t="s">
        <v>36</v>
      </c>
      <c r="R853" s="20" t="s">
        <v>36</v>
      </c>
      <c r="S853" s="21" t="str">
        <f>HYPERLINK("https://pims.edu/npcalc.htm", "Not reported")</f>
        <v>Not reported</v>
      </c>
      <c r="T853" s="20" t="s">
        <v>36</v>
      </c>
      <c r="U853" s="20" t="s">
        <v>36</v>
      </c>
      <c r="V853" s="20" t="s">
        <v>36</v>
      </c>
      <c r="W853" s="20" t="s">
        <v>36</v>
      </c>
      <c r="Y853" s="19">
        <v>0.2019</v>
      </c>
      <c r="Z853" s="19">
        <v>9.0899999999999981E-2</v>
      </c>
      <c r="AB853" s="18">
        <v>209</v>
      </c>
    </row>
    <row r="854" spans="1:28" ht="15.75" customHeight="1" x14ac:dyDescent="0.2">
      <c r="A854" s="36" t="str">
        <f>HYPERLINK("https://www.ptcollege.edu", "Pittsburgh Technical Institute")</f>
        <v>Pittsburgh Technical Institute</v>
      </c>
      <c r="B854" s="18" t="s">
        <v>32</v>
      </c>
      <c r="C854" s="18" t="s">
        <v>65</v>
      </c>
      <c r="D854" s="18" t="s">
        <v>1626</v>
      </c>
      <c r="E854" s="18" t="s">
        <v>36</v>
      </c>
      <c r="F854" s="18" t="s">
        <v>36</v>
      </c>
      <c r="J854" s="19"/>
      <c r="K854" s="19">
        <v>0.54049999999999998</v>
      </c>
      <c r="L854" s="19">
        <v>0.50903614500000005</v>
      </c>
      <c r="M854" s="19">
        <v>0.54779999999999995</v>
      </c>
      <c r="N854" s="19">
        <v>0.42620000000000002</v>
      </c>
      <c r="O854" s="19">
        <v>0.30769999999999997</v>
      </c>
      <c r="P854" s="19">
        <v>0.5</v>
      </c>
      <c r="Q854" s="19">
        <v>1.0835913000000001E-2</v>
      </c>
      <c r="R854" s="20">
        <v>33609</v>
      </c>
      <c r="S854" s="21" t="str">
        <f>HYPERLINK("https://npc.collegeboard.org/student/app/pti", "$24053")</f>
        <v>$24053</v>
      </c>
      <c r="T854" s="20">
        <v>24986</v>
      </c>
      <c r="U854" s="20">
        <v>27697</v>
      </c>
      <c r="V854" s="20">
        <v>7342</v>
      </c>
      <c r="W854" s="20">
        <v>16711</v>
      </c>
      <c r="Y854" s="19">
        <v>0.59899999999999998</v>
      </c>
      <c r="Z854" s="19">
        <v>0.34250000000000003</v>
      </c>
      <c r="AB854" s="18">
        <v>1828</v>
      </c>
    </row>
    <row r="855" spans="1:28" ht="15.75" customHeight="1" x14ac:dyDescent="0.2">
      <c r="A855" s="36" t="str">
        <f>HYPERLINK("https://www.plattcolleges.edu", "Platt College-Tulsa")</f>
        <v>Platt College-Tulsa</v>
      </c>
      <c r="B855" s="18" t="s">
        <v>368</v>
      </c>
      <c r="C855" s="18" t="s">
        <v>290</v>
      </c>
      <c r="D855" s="18" t="s">
        <v>291</v>
      </c>
      <c r="E855" s="18" t="s">
        <v>36</v>
      </c>
      <c r="F855" s="18" t="s">
        <v>36</v>
      </c>
      <c r="J855" s="19"/>
      <c r="K855" s="19">
        <v>0.50980000000000003</v>
      </c>
      <c r="L855" s="19">
        <v>0.51139410200000002</v>
      </c>
      <c r="M855" s="19">
        <v>0.59089999999999998</v>
      </c>
      <c r="N855" s="19">
        <v>0.3448</v>
      </c>
      <c r="O855" s="19">
        <v>0.85709999999999997</v>
      </c>
      <c r="P855" s="19">
        <v>0.5</v>
      </c>
      <c r="Q855" s="19">
        <v>2.0119629999999999E-2</v>
      </c>
      <c r="R855" s="20" t="s">
        <v>36</v>
      </c>
      <c r="S855" s="21" t="str">
        <f>HYPERLINK("https://plattcolleges.edu/npc/Tulsa/npcalc.htm", "$25840")</f>
        <v>$25840</v>
      </c>
      <c r="T855" s="20">
        <v>28920</v>
      </c>
      <c r="U855" s="20">
        <v>25747</v>
      </c>
      <c r="V855" s="20" t="s">
        <v>36</v>
      </c>
      <c r="W855" s="20" t="s">
        <v>36</v>
      </c>
      <c r="Y855" s="19">
        <v>0.78790000000000004</v>
      </c>
      <c r="Z855" s="19">
        <v>0.5927</v>
      </c>
      <c r="AB855" s="18">
        <v>329</v>
      </c>
    </row>
    <row r="856" spans="1:28" ht="15.75" customHeight="1" x14ac:dyDescent="0.2">
      <c r="A856" s="36" t="str">
        <f>HYPERLINK("https://www.berks.edu", "Berks Technical Institute")</f>
        <v>Berks Technical Institute</v>
      </c>
      <c r="B856" s="18" t="s">
        <v>368</v>
      </c>
      <c r="C856" s="18" t="s">
        <v>65</v>
      </c>
      <c r="D856" s="18" t="s">
        <v>1627</v>
      </c>
      <c r="E856" s="18" t="s">
        <v>36</v>
      </c>
      <c r="F856" s="18" t="s">
        <v>36</v>
      </c>
      <c r="J856" s="19"/>
      <c r="K856" s="19">
        <v>0.38080000000000003</v>
      </c>
      <c r="L856" s="19">
        <v>0.37114845899999999</v>
      </c>
      <c r="M856" s="19">
        <v>0.48359999999999997</v>
      </c>
      <c r="N856" s="19">
        <v>0.1429</v>
      </c>
      <c r="O856" s="19">
        <v>0.25440000000000002</v>
      </c>
      <c r="P856" s="19">
        <v>1</v>
      </c>
      <c r="Q856" s="19">
        <v>1.9628099E-2</v>
      </c>
      <c r="R856" s="20">
        <v>29284</v>
      </c>
      <c r="S856" s="21" t="str">
        <f>HYPERLINK("https://disclosure.berks.edu/npc/npcalc-wyomissing.htm", "$15786")</f>
        <v>$15786</v>
      </c>
      <c r="T856" s="20">
        <v>21476</v>
      </c>
      <c r="U856" s="20">
        <v>21476</v>
      </c>
      <c r="V856" s="20">
        <v>9239</v>
      </c>
      <c r="W856" s="20">
        <v>6547</v>
      </c>
      <c r="Y856" s="19">
        <v>0.66930000000000001</v>
      </c>
      <c r="Z856" s="19">
        <v>0.67270000000000008</v>
      </c>
      <c r="AB856" s="18">
        <v>724</v>
      </c>
    </row>
    <row r="857" spans="1:28" ht="15.75" customHeight="1" x14ac:dyDescent="0.2">
      <c r="A857" s="36" t="str">
        <f>HYPERLINK("https://www.plattcollege.edu", "Platt College-Los Angeles")</f>
        <v>Platt College-Los Angeles</v>
      </c>
      <c r="B857" s="18" t="s">
        <v>368</v>
      </c>
      <c r="C857" s="18" t="s">
        <v>68</v>
      </c>
      <c r="D857" s="18" t="s">
        <v>1628</v>
      </c>
      <c r="E857" s="18" t="s">
        <v>36</v>
      </c>
      <c r="F857" s="18" t="s">
        <v>36</v>
      </c>
      <c r="J857" s="19"/>
      <c r="K857" s="19">
        <v>0.60670000000000002</v>
      </c>
      <c r="L857" s="19">
        <v>0.68632707799999992</v>
      </c>
      <c r="M857" s="19">
        <v>0.55559999999999998</v>
      </c>
      <c r="N857" s="19">
        <v>0.33329999999999999</v>
      </c>
      <c r="O857" s="19">
        <v>0.61780000000000002</v>
      </c>
      <c r="P857" s="19">
        <v>0.76919999999999999</v>
      </c>
      <c r="Q857" s="19" t="s">
        <v>36</v>
      </c>
      <c r="R857" s="20">
        <v>28503</v>
      </c>
      <c r="S857" s="21" t="str">
        <f>HYPERLINK("https://plattcollege.edu/calculator-alhambra/", "$25266")</f>
        <v>$25266</v>
      </c>
      <c r="T857" s="20">
        <v>26400</v>
      </c>
      <c r="U857" s="20">
        <v>30725</v>
      </c>
      <c r="V857" s="20">
        <v>4370</v>
      </c>
      <c r="W857" s="20">
        <v>20896</v>
      </c>
      <c r="Y857" s="19">
        <v>0.59430000000000005</v>
      </c>
      <c r="Z857" s="19">
        <v>0.84499999999999997</v>
      </c>
      <c r="AB857" s="18">
        <v>587</v>
      </c>
    </row>
    <row r="858" spans="1:28" ht="15.75" customHeight="1" x14ac:dyDescent="0.2">
      <c r="A858" s="36" t="str">
        <f>HYPERLINK("https://www.mccann.edu", "McCann School of Business &amp; Technology")</f>
        <v>McCann School of Business &amp; Technology</v>
      </c>
      <c r="B858" s="18" t="s">
        <v>368</v>
      </c>
      <c r="C858" s="18" t="s">
        <v>65</v>
      </c>
      <c r="D858" s="18" t="s">
        <v>67</v>
      </c>
      <c r="E858" s="18" t="s">
        <v>36</v>
      </c>
      <c r="F858" s="18" t="s">
        <v>36</v>
      </c>
      <c r="J858" s="19"/>
      <c r="K858" s="19">
        <v>0.68630000000000002</v>
      </c>
      <c r="L858" s="19" t="s">
        <v>36</v>
      </c>
      <c r="M858" s="19">
        <v>0.70209999999999995</v>
      </c>
      <c r="N858" s="19" t="s">
        <v>36</v>
      </c>
      <c r="O858" s="19">
        <v>1</v>
      </c>
      <c r="P858" s="19" t="s">
        <v>36</v>
      </c>
      <c r="Q858" s="19" t="s">
        <v>36</v>
      </c>
      <c r="R858" s="20">
        <v>27715</v>
      </c>
      <c r="S858" s="21" t="str">
        <f>HYPERLINK("https://disclosure.mccann.edu/npc/npcalc-lewisburg.htm", "$18357")</f>
        <v>$18357</v>
      </c>
      <c r="T858" s="20" t="s">
        <v>36</v>
      </c>
      <c r="U858" s="20" t="s">
        <v>36</v>
      </c>
      <c r="V858" s="20">
        <v>7584</v>
      </c>
      <c r="W858" s="20">
        <v>10773</v>
      </c>
      <c r="Y858" s="19">
        <v>0.74039999999999995</v>
      </c>
      <c r="Z858" s="19">
        <v>0.19620000000000001</v>
      </c>
      <c r="AB858" s="18">
        <v>265</v>
      </c>
    </row>
    <row r="859" spans="1:28" ht="15.75" customHeight="1" x14ac:dyDescent="0.2">
      <c r="A859" s="36" t="str">
        <f>HYPERLINK("https://www.mccann.edu", "Career Technical College-Monroe")</f>
        <v>Career Technical College-Monroe</v>
      </c>
      <c r="B859" s="18" t="s">
        <v>368</v>
      </c>
      <c r="C859" s="18" t="s">
        <v>158</v>
      </c>
      <c r="D859" s="18" t="s">
        <v>1282</v>
      </c>
      <c r="E859" s="18" t="s">
        <v>36</v>
      </c>
      <c r="F859" s="18" t="s">
        <v>36</v>
      </c>
      <c r="J859" s="19"/>
      <c r="K859" s="19">
        <v>0.31090000000000001</v>
      </c>
      <c r="L859" s="19">
        <v>0.37114845899999999</v>
      </c>
      <c r="M859" s="19">
        <v>0.40629999999999999</v>
      </c>
      <c r="N859" s="19">
        <v>0.28050000000000003</v>
      </c>
      <c r="O859" s="19" t="s">
        <v>36</v>
      </c>
      <c r="P859" s="19" t="s">
        <v>36</v>
      </c>
      <c r="Q859" s="19">
        <v>1.9628099E-2</v>
      </c>
      <c r="R859" s="20">
        <v>27622</v>
      </c>
      <c r="S859" s="21" t="str">
        <f>HYPERLINK("https://disclosure.mccann.edu/npc/npcalc-monroe.htm", "$19680")</f>
        <v>$19680</v>
      </c>
      <c r="T859" s="20" t="s">
        <v>36</v>
      </c>
      <c r="U859" s="20" t="s">
        <v>36</v>
      </c>
      <c r="V859" s="20">
        <v>7709</v>
      </c>
      <c r="W859" s="20">
        <v>11971</v>
      </c>
      <c r="Y859" s="19">
        <v>0.89780000000000004</v>
      </c>
      <c r="Z859" s="19">
        <v>0.83250000000000002</v>
      </c>
      <c r="AB859" s="18">
        <v>591</v>
      </c>
    </row>
    <row r="860" spans="1:28" ht="15.75" customHeight="1" x14ac:dyDescent="0.2">
      <c r="A860" s="36" t="str">
        <f>HYPERLINK("https://www.miller-motte.edu", "Miller-Motte Technical College-Columbus")</f>
        <v>Miller-Motte Technical College-Columbus</v>
      </c>
      <c r="B860" s="18" t="s">
        <v>368</v>
      </c>
      <c r="C860" s="18" t="s">
        <v>107</v>
      </c>
      <c r="D860" s="18" t="s">
        <v>237</v>
      </c>
      <c r="E860" s="18" t="s">
        <v>36</v>
      </c>
      <c r="F860" s="18" t="s">
        <v>36</v>
      </c>
      <c r="J860" s="19"/>
      <c r="K860" s="19">
        <v>0.27850000000000003</v>
      </c>
      <c r="L860" s="19">
        <v>0.36091661400000002</v>
      </c>
      <c r="M860" s="19">
        <v>0.25</v>
      </c>
      <c r="N860" s="19">
        <v>0.27689999999999998</v>
      </c>
      <c r="O860" s="19">
        <v>0</v>
      </c>
      <c r="P860" s="19" t="s">
        <v>36</v>
      </c>
      <c r="Q860" s="19">
        <v>2.1602612E-2</v>
      </c>
      <c r="R860" s="20">
        <v>27349</v>
      </c>
      <c r="S860" s="21" t="str">
        <f>HYPERLINK("https://disclosure.miller-motte.edu/npc/npcalc-columbusga.htm", "$20181")</f>
        <v>$20181</v>
      </c>
      <c r="T860" s="20" t="s">
        <v>36</v>
      </c>
      <c r="U860" s="20" t="s">
        <v>36</v>
      </c>
      <c r="V860" s="20" t="s">
        <v>36</v>
      </c>
      <c r="W860" s="20" t="s">
        <v>36</v>
      </c>
      <c r="Y860" s="19">
        <v>0.96499999999999997</v>
      </c>
      <c r="Z860" s="19">
        <v>0.93230000000000002</v>
      </c>
      <c r="AB860" s="18">
        <v>635</v>
      </c>
    </row>
    <row r="861" spans="1:28" ht="15.75" customHeight="1" x14ac:dyDescent="0.2">
      <c r="A861" s="36" t="str">
        <f>HYPERLINK("https://www.miller-motte.edu", "Miller-Motte Technical College-Macon")</f>
        <v>Miller-Motte Technical College-Macon</v>
      </c>
      <c r="B861" s="18" t="s">
        <v>368</v>
      </c>
      <c r="C861" s="18" t="s">
        <v>107</v>
      </c>
      <c r="D861" s="18" t="s">
        <v>415</v>
      </c>
      <c r="E861" s="18" t="s">
        <v>36</v>
      </c>
      <c r="F861" s="18" t="s">
        <v>36</v>
      </c>
      <c r="J861" s="19"/>
      <c r="K861" s="19">
        <v>0.2576</v>
      </c>
      <c r="L861" s="19">
        <v>0.28839830900000002</v>
      </c>
      <c r="M861" s="19">
        <v>0.44440000000000002</v>
      </c>
      <c r="N861" s="19">
        <v>0.23080000000000001</v>
      </c>
      <c r="O861" s="19">
        <v>0.33329999999999999</v>
      </c>
      <c r="P861" s="19" t="s">
        <v>36</v>
      </c>
      <c r="Q861" s="19">
        <v>2.2719448999999999E-2</v>
      </c>
      <c r="R861" s="20">
        <v>28429</v>
      </c>
      <c r="S861" s="21" t="str">
        <f>HYPERLINK("https://disclosure.miller-motte.edu/npc/npcalc-macon.htm", "$20859")</f>
        <v>$20859</v>
      </c>
      <c r="T861" s="20" t="s">
        <v>36</v>
      </c>
      <c r="U861" s="20" t="s">
        <v>36</v>
      </c>
      <c r="V861" s="20">
        <v>7584</v>
      </c>
      <c r="W861" s="20">
        <v>13275</v>
      </c>
      <c r="Y861" s="19">
        <v>0.9768</v>
      </c>
      <c r="Z861" s="19">
        <v>0.87050000000000005</v>
      </c>
      <c r="AB861" s="18">
        <v>386</v>
      </c>
    </row>
    <row r="862" spans="1:28" ht="15.75" customHeight="1" x14ac:dyDescent="0.2">
      <c r="A862" s="36" t="str">
        <f>HYPERLINK("https://www.miller-motte.edu", "Miller-Motte College-Wilmington")</f>
        <v>Miller-Motte College-Wilmington</v>
      </c>
      <c r="B862" s="18" t="s">
        <v>368</v>
      </c>
      <c r="C862" s="18" t="s">
        <v>103</v>
      </c>
      <c r="D862" s="18" t="s">
        <v>517</v>
      </c>
      <c r="E862" s="18" t="s">
        <v>36</v>
      </c>
      <c r="F862" s="18" t="s">
        <v>36</v>
      </c>
      <c r="J862" s="19"/>
      <c r="K862" s="19">
        <v>0.35959999999999998</v>
      </c>
      <c r="L862" s="19">
        <v>0.36091661400000002</v>
      </c>
      <c r="M862" s="19">
        <v>0.45040000000000002</v>
      </c>
      <c r="N862" s="19">
        <v>0.20780000000000001</v>
      </c>
      <c r="O862" s="19">
        <v>0</v>
      </c>
      <c r="P862" s="19">
        <v>0.5</v>
      </c>
      <c r="Q862" s="19">
        <v>2.1602612E-2</v>
      </c>
      <c r="R862" s="20">
        <v>28374</v>
      </c>
      <c r="S862" s="21" t="str">
        <f>HYPERLINK("https://disclosure.miller-motte.edu/npc/npcalc-wilmington.htm", "$23104")</f>
        <v>$23104</v>
      </c>
      <c r="T862" s="20" t="s">
        <v>36</v>
      </c>
      <c r="U862" s="20" t="s">
        <v>36</v>
      </c>
      <c r="V862" s="20">
        <v>8484</v>
      </c>
      <c r="W862" s="20">
        <v>14620</v>
      </c>
      <c r="Y862" s="19">
        <v>0.81740000000000002</v>
      </c>
      <c r="Z862" s="19">
        <v>0.70979999999999999</v>
      </c>
      <c r="AB862" s="18">
        <v>1678</v>
      </c>
    </row>
    <row r="863" spans="1:28" ht="15.75" customHeight="1" x14ac:dyDescent="0.2">
      <c r="A863" s="36" t="str">
        <f>HYPERLINK("https://www.plattcolleges.edu", "Platt College-North OKC")</f>
        <v>Platt College-North OKC</v>
      </c>
      <c r="B863" s="18" t="s">
        <v>368</v>
      </c>
      <c r="C863" s="18" t="s">
        <v>290</v>
      </c>
      <c r="D863" s="18" t="s">
        <v>438</v>
      </c>
      <c r="E863" s="18" t="s">
        <v>36</v>
      </c>
      <c r="F863" s="18" t="s">
        <v>36</v>
      </c>
      <c r="J863" s="19"/>
      <c r="K863" s="19">
        <v>0.68969999999999998</v>
      </c>
      <c r="L863" s="19">
        <v>0.51139410200000002</v>
      </c>
      <c r="M863" s="19">
        <v>0.69230000000000003</v>
      </c>
      <c r="N863" s="19">
        <v>0.375</v>
      </c>
      <c r="O863" s="19">
        <v>1</v>
      </c>
      <c r="P863" s="19">
        <v>1</v>
      </c>
      <c r="Q863" s="19">
        <v>2.0119629999999999E-2</v>
      </c>
      <c r="R863" s="20" t="s">
        <v>36</v>
      </c>
      <c r="S863" s="21" t="str">
        <f>HYPERLINK("https://plattcolleges.edu/npc/North/npcalc.htm", "$22708")</f>
        <v>$22708</v>
      </c>
      <c r="T863" s="20">
        <v>27358</v>
      </c>
      <c r="U863" s="20" t="s">
        <v>36</v>
      </c>
      <c r="V863" s="20" t="s">
        <v>36</v>
      </c>
      <c r="W863" s="20" t="s">
        <v>36</v>
      </c>
      <c r="Y863" s="19">
        <v>0.66969999999999996</v>
      </c>
      <c r="Z863" s="19">
        <v>0.5897</v>
      </c>
      <c r="AB863" s="18">
        <v>234</v>
      </c>
    </row>
    <row r="864" spans="1:28" ht="15.75" customHeight="1" x14ac:dyDescent="0.2">
      <c r="A864" s="36" t="str">
        <f>HYPERLINK("https://www.plattcollege.edu", "Platt College-Ontario")</f>
        <v>Platt College-Ontario</v>
      </c>
      <c r="B864" s="18" t="s">
        <v>368</v>
      </c>
      <c r="C864" s="18" t="s">
        <v>68</v>
      </c>
      <c r="D864" s="18" t="s">
        <v>1629</v>
      </c>
      <c r="E864" s="18" t="s">
        <v>36</v>
      </c>
      <c r="F864" s="18" t="s">
        <v>36</v>
      </c>
      <c r="J864" s="19"/>
      <c r="K864" s="19">
        <v>0.56899999999999995</v>
      </c>
      <c r="L864" s="19">
        <v>0.68632707799999992</v>
      </c>
      <c r="M864" s="19">
        <v>0.52939999999999998</v>
      </c>
      <c r="N864" s="19">
        <v>0.52380000000000004</v>
      </c>
      <c r="O864" s="19">
        <v>0.58179999999999998</v>
      </c>
      <c r="P864" s="19">
        <v>0.66669999999999996</v>
      </c>
      <c r="Q864" s="19" t="s">
        <v>36</v>
      </c>
      <c r="R864" s="20">
        <v>28503</v>
      </c>
      <c r="S864" s="21" t="str">
        <f>HYPERLINK("https://www.plattcollege.edu/calculator-ontario/", "$23724")</f>
        <v>$23724</v>
      </c>
      <c r="T864" s="20">
        <v>26824</v>
      </c>
      <c r="U864" s="20">
        <v>27972</v>
      </c>
      <c r="V864" s="20">
        <v>4370</v>
      </c>
      <c r="W864" s="20">
        <v>19354</v>
      </c>
      <c r="Y864" s="19">
        <v>0.75</v>
      </c>
      <c r="Z864" s="19">
        <v>0.82540000000000002</v>
      </c>
      <c r="AB864" s="18">
        <v>527</v>
      </c>
    </row>
    <row r="865" spans="1:28" ht="15.75" customHeight="1" x14ac:dyDescent="0.2">
      <c r="A865" s="36" t="str">
        <f>HYPERLINK("https://www.plattcollege.edu", "Platt College-Riverside")</f>
        <v>Platt College-Riverside</v>
      </c>
      <c r="B865" s="18" t="s">
        <v>368</v>
      </c>
      <c r="C865" s="18" t="s">
        <v>68</v>
      </c>
      <c r="D865" s="18" t="s">
        <v>392</v>
      </c>
      <c r="E865" s="18" t="s">
        <v>36</v>
      </c>
      <c r="F865" s="18" t="s">
        <v>36</v>
      </c>
      <c r="J865" s="19"/>
      <c r="K865" s="19" t="s">
        <v>36</v>
      </c>
      <c r="L865" s="19">
        <v>0.68632707799999992</v>
      </c>
      <c r="M865" s="19" t="s">
        <v>36</v>
      </c>
      <c r="N865" s="19" t="s">
        <v>36</v>
      </c>
      <c r="O865" s="19" t="s">
        <v>36</v>
      </c>
      <c r="P865" s="19" t="s">
        <v>36</v>
      </c>
      <c r="Q865" s="19" t="s">
        <v>36</v>
      </c>
      <c r="R865" s="20">
        <v>28503</v>
      </c>
      <c r="S865" s="21" t="str">
        <f>HYPERLINK("https://www.plattcollege.edu/financial-aid/calculator-riverside/", "$24396")</f>
        <v>$24396</v>
      </c>
      <c r="T865" s="20">
        <v>24720</v>
      </c>
      <c r="U865" s="20">
        <v>29995</v>
      </c>
      <c r="V865" s="20">
        <v>4370</v>
      </c>
      <c r="W865" s="20">
        <v>20026</v>
      </c>
      <c r="Y865" s="19">
        <v>0.79649999999999999</v>
      </c>
      <c r="Z865" s="19">
        <v>0.8034</v>
      </c>
      <c r="AB865" s="18">
        <v>524</v>
      </c>
    </row>
    <row r="866" spans="1:28" ht="15.75" customHeight="1" x14ac:dyDescent="0.2">
      <c r="A866" s="36" t="str">
        <f>HYPERLINK("https://www.platt.edu", "Platt College-San Diego")</f>
        <v>Platt College-San Diego</v>
      </c>
      <c r="B866" s="18" t="s">
        <v>368</v>
      </c>
      <c r="C866" s="18" t="s">
        <v>68</v>
      </c>
      <c r="D866" s="18" t="s">
        <v>288</v>
      </c>
      <c r="E866" s="18" t="s">
        <v>36</v>
      </c>
      <c r="F866" s="18" t="s">
        <v>36</v>
      </c>
      <c r="J866" s="19"/>
      <c r="K866" s="19">
        <v>0.82979999999999998</v>
      </c>
      <c r="L866" s="19">
        <v>0.7</v>
      </c>
      <c r="M866" s="19">
        <v>0.8125</v>
      </c>
      <c r="N866" s="19">
        <v>0.83330000000000004</v>
      </c>
      <c r="O866" s="19">
        <v>0.72729999999999995</v>
      </c>
      <c r="P866" s="19">
        <v>1</v>
      </c>
      <c r="Q866" s="19" t="s">
        <v>36</v>
      </c>
      <c r="R866" s="20">
        <v>37078</v>
      </c>
      <c r="S866" s="21" t="str">
        <f>HYPERLINK("https://www.platt.edu", "$37641")</f>
        <v>$37641</v>
      </c>
      <c r="T866" s="20">
        <v>39251</v>
      </c>
      <c r="U866" s="20">
        <v>42089</v>
      </c>
      <c r="V866" s="20">
        <v>6550</v>
      </c>
      <c r="W866" s="20">
        <v>31091</v>
      </c>
      <c r="Y866" s="19">
        <v>0.54949999999999999</v>
      </c>
      <c r="Z866" s="19">
        <v>0.58430000000000004</v>
      </c>
      <c r="AB866" s="18">
        <v>178</v>
      </c>
    </row>
    <row r="867" spans="1:28" ht="15.75" customHeight="1" x14ac:dyDescent="0.2">
      <c r="A867" s="36" t="str">
        <f>HYPERLINK("https://WWW.PLAZACOLLEGE.EDU", "Plaza College")</f>
        <v>Plaza College</v>
      </c>
      <c r="B867" s="18" t="s">
        <v>368</v>
      </c>
      <c r="C867" s="18" t="s">
        <v>38</v>
      </c>
      <c r="D867" s="18" t="s">
        <v>1630</v>
      </c>
      <c r="E867" s="18" t="s">
        <v>36</v>
      </c>
      <c r="F867" s="18" t="s">
        <v>45</v>
      </c>
      <c r="J867" s="19"/>
      <c r="K867" s="19">
        <v>0.62860000000000005</v>
      </c>
      <c r="L867" s="19">
        <v>0.29562043799999999</v>
      </c>
      <c r="M867" s="19">
        <v>0.70909999999999995</v>
      </c>
      <c r="N867" s="19">
        <v>0.57499999999999996</v>
      </c>
      <c r="O867" s="19">
        <v>0.6623</v>
      </c>
      <c r="P867" s="19">
        <v>0.55169999999999997</v>
      </c>
      <c r="Q867" s="19" t="s">
        <v>36</v>
      </c>
      <c r="R867" s="20">
        <v>16400</v>
      </c>
      <c r="S867" s="21" t="str">
        <f>HYPERLINK("https://www.plazacollege.edu/admissions/financial-aid/net-price-calculator/", "$12732")</f>
        <v>$12732</v>
      </c>
      <c r="T867" s="20">
        <v>17349</v>
      </c>
      <c r="U867" s="20" t="s">
        <v>36</v>
      </c>
      <c r="V867" s="20">
        <v>3950</v>
      </c>
      <c r="W867" s="20">
        <v>8782</v>
      </c>
      <c r="Y867" s="19">
        <v>0.84970000000000001</v>
      </c>
      <c r="Z867" s="19">
        <v>0.8841</v>
      </c>
      <c r="AB867" s="18">
        <v>811</v>
      </c>
    </row>
    <row r="868" spans="1:28" ht="15.75" customHeight="1" x14ac:dyDescent="0.2">
      <c r="A868" s="36" t="str">
        <f>HYPERLINK("https://www.polk.edu", "Polk State College")</f>
        <v>Polk State College</v>
      </c>
      <c r="B868" s="18" t="s">
        <v>49</v>
      </c>
      <c r="C868" s="18" t="s">
        <v>162</v>
      </c>
      <c r="D868" s="18" t="s">
        <v>1631</v>
      </c>
      <c r="E868" s="18" t="s">
        <v>36</v>
      </c>
      <c r="F868" s="18" t="s">
        <v>36</v>
      </c>
      <c r="J868" s="19"/>
      <c r="K868" s="19">
        <v>0.27510000000000001</v>
      </c>
      <c r="L868" s="19">
        <v>0.230381166</v>
      </c>
      <c r="M868" s="19">
        <v>0.32490000000000002</v>
      </c>
      <c r="N868" s="19">
        <v>0.13969999999999999</v>
      </c>
      <c r="O868" s="19">
        <v>0.26319999999999999</v>
      </c>
      <c r="P868" s="19">
        <v>0.52</v>
      </c>
      <c r="Q868" s="19">
        <v>7.9890880999999997E-2</v>
      </c>
      <c r="R868" s="20">
        <v>26307</v>
      </c>
      <c r="S868" s="21" t="str">
        <f>HYPERLINK("https://www.polk.edu/admission-aid/financial-aid/net-price-calculator/", "$21371")</f>
        <v>$21371</v>
      </c>
      <c r="T868" s="20">
        <v>23314</v>
      </c>
      <c r="U868" s="20">
        <v>24643</v>
      </c>
      <c r="V868" s="20">
        <v>5696</v>
      </c>
      <c r="W868" s="20">
        <v>15675.20779220779</v>
      </c>
      <c r="Y868" s="19">
        <v>0.35360000000000003</v>
      </c>
      <c r="Z868" s="19">
        <v>0.49120000000000003</v>
      </c>
      <c r="AB868" s="18">
        <v>8388</v>
      </c>
    </row>
    <row r="869" spans="1:28" ht="15.75" customHeight="1" x14ac:dyDescent="0.2">
      <c r="A869" s="36" t="str">
        <f>HYPERLINK("https://www.crouse.org/nursing", "Pomeroy College of Nursing at Crouse Hospital")</f>
        <v>Pomeroy College of Nursing at Crouse Hospital</v>
      </c>
      <c r="B869" s="18" t="s">
        <v>32</v>
      </c>
      <c r="C869" s="18" t="s">
        <v>38</v>
      </c>
      <c r="D869" s="18" t="s">
        <v>242</v>
      </c>
      <c r="E869" s="18" t="s">
        <v>36</v>
      </c>
      <c r="F869" s="18" t="s">
        <v>90</v>
      </c>
      <c r="J869" s="19"/>
      <c r="K869" s="19">
        <v>0.77780000000000005</v>
      </c>
      <c r="L869" s="19" t="s">
        <v>36</v>
      </c>
      <c r="M869" s="19">
        <v>0.75</v>
      </c>
      <c r="N869" s="19" t="s">
        <v>36</v>
      </c>
      <c r="O869" s="19">
        <v>1</v>
      </c>
      <c r="P869" s="19" t="s">
        <v>36</v>
      </c>
      <c r="Q869" s="19" t="s">
        <v>36</v>
      </c>
      <c r="R869" s="20">
        <v>23894</v>
      </c>
      <c r="S869" s="21" t="str">
        <f>HYPERLINK("https://www.crouse.org/nursing/aid/financial-aid-programs/", "$17909")</f>
        <v>$17909</v>
      </c>
      <c r="T869" s="20">
        <v>19999</v>
      </c>
      <c r="U869" s="20">
        <v>19356</v>
      </c>
      <c r="V869" s="20">
        <v>5749</v>
      </c>
      <c r="W869" s="20">
        <v>12160</v>
      </c>
      <c r="Y869" s="19">
        <v>0.33040000000000003</v>
      </c>
      <c r="Z869" s="19">
        <v>0.22259999999999999</v>
      </c>
      <c r="AB869" s="18">
        <v>265</v>
      </c>
    </row>
    <row r="870" spans="1:28" ht="15.75" customHeight="1" x14ac:dyDescent="0.2">
      <c r="A870" s="36" t="str">
        <f>HYPERLINK("https://www.portervillecollege.edu", "Porterville College")</f>
        <v>Porterville College</v>
      </c>
      <c r="B870" s="18" t="s">
        <v>49</v>
      </c>
      <c r="C870" s="18" t="s">
        <v>68</v>
      </c>
      <c r="D870" s="18" t="s">
        <v>1632</v>
      </c>
      <c r="E870" s="18" t="s">
        <v>36</v>
      </c>
      <c r="F870" s="18" t="s">
        <v>36</v>
      </c>
      <c r="J870" s="19"/>
      <c r="K870" s="19">
        <v>0.28060000000000002</v>
      </c>
      <c r="L870" s="19">
        <v>5.7734204999999997E-2</v>
      </c>
      <c r="M870" s="19">
        <v>0.33800000000000002</v>
      </c>
      <c r="N870" s="19">
        <v>0</v>
      </c>
      <c r="O870" s="19">
        <v>0.26479999999999998</v>
      </c>
      <c r="P870" s="19">
        <v>0.45450000000000002</v>
      </c>
      <c r="Q870" s="19">
        <v>7.2649572999999995E-2</v>
      </c>
      <c r="R870" s="20">
        <v>26646</v>
      </c>
      <c r="S870" s="21" t="str">
        <f>HYPERLINK("https://misweb.cccco.edu/npc/523/npcalc.htm", "$19772")</f>
        <v>$19772</v>
      </c>
      <c r="T870" s="20">
        <v>23202</v>
      </c>
      <c r="U870" s="20">
        <v>25122</v>
      </c>
      <c r="V870" s="20">
        <v>6095</v>
      </c>
      <c r="W870" s="20">
        <v>13677</v>
      </c>
      <c r="Y870" s="19">
        <v>0.46560000000000001</v>
      </c>
      <c r="Z870" s="19">
        <v>0.83410000000000006</v>
      </c>
      <c r="AB870" s="18">
        <v>3304</v>
      </c>
    </row>
    <row r="871" spans="1:28" ht="15.75" customHeight="1" x14ac:dyDescent="0.2">
      <c r="A871" s="36" t="str">
        <f>HYPERLINK("https://www.pcc.edu", "Portland Community College")</f>
        <v>Portland Community College</v>
      </c>
      <c r="B871" s="18" t="s">
        <v>49</v>
      </c>
      <c r="C871" s="18" t="s">
        <v>143</v>
      </c>
      <c r="D871" s="18" t="s">
        <v>144</v>
      </c>
      <c r="E871" s="18" t="s">
        <v>36</v>
      </c>
      <c r="F871" s="18" t="s">
        <v>36</v>
      </c>
      <c r="J871" s="19"/>
      <c r="K871" s="19">
        <v>0.14779999999999999</v>
      </c>
      <c r="L871" s="19">
        <v>0.102447117</v>
      </c>
      <c r="M871" s="19">
        <v>0.16569999999999999</v>
      </c>
      <c r="N871" s="19">
        <v>6.9000000000000006E-2</v>
      </c>
      <c r="O871" s="19">
        <v>0.1613</v>
      </c>
      <c r="P871" s="19">
        <v>0.18179999999999999</v>
      </c>
      <c r="Q871" s="19">
        <v>0.122027475</v>
      </c>
      <c r="R871" s="20">
        <v>25769</v>
      </c>
      <c r="S871" s="21" t="str">
        <f>HYPERLINK("https://www.pcc.edu/enroll/paying-for-college/financial-aid/net-price-calculator/", "$19153")</f>
        <v>$19153</v>
      </c>
      <c r="T871" s="20">
        <v>21930</v>
      </c>
      <c r="U871" s="20">
        <v>24196</v>
      </c>
      <c r="V871" s="20">
        <v>5142</v>
      </c>
      <c r="W871" s="20">
        <v>14011.09379727685</v>
      </c>
      <c r="Y871" s="19">
        <v>0.3589</v>
      </c>
      <c r="Z871" s="19">
        <v>0.43480000000000002</v>
      </c>
      <c r="AB871" s="18">
        <v>25658</v>
      </c>
    </row>
    <row r="872" spans="1:28" ht="15.75" customHeight="1" x14ac:dyDescent="0.2">
      <c r="A872" s="36" t="str">
        <f>HYPERLINK("https://www.potomacstatecollege.edu", "Potomac State College of West Virginia University")</f>
        <v>Potomac State College of West Virginia University</v>
      </c>
      <c r="B872" s="18" t="s">
        <v>49</v>
      </c>
      <c r="C872" s="18" t="s">
        <v>574</v>
      </c>
      <c r="D872" s="18" t="s">
        <v>1633</v>
      </c>
      <c r="E872" s="18" t="s">
        <v>36</v>
      </c>
      <c r="F872" s="18" t="s">
        <v>36</v>
      </c>
      <c r="J872" s="19"/>
      <c r="K872" s="19">
        <v>0.27550000000000002</v>
      </c>
      <c r="L872" s="19">
        <v>0.37653631300000001</v>
      </c>
      <c r="M872" s="19">
        <v>0.32440000000000002</v>
      </c>
      <c r="N872" s="19">
        <v>0.1138</v>
      </c>
      <c r="O872" s="19">
        <v>0.25</v>
      </c>
      <c r="P872" s="19">
        <v>0.5</v>
      </c>
      <c r="Q872" s="19">
        <v>8.9468303000000013E-2</v>
      </c>
      <c r="R872" s="20">
        <v>22448</v>
      </c>
      <c r="S872" s="21" t="str">
        <f>HYPERLINK("https://potomacstatecollege.edu/admissions/financing_your_education/calculator.html", "$15433")</f>
        <v>$15433</v>
      </c>
      <c r="T872" s="20">
        <v>18506</v>
      </c>
      <c r="U872" s="20">
        <v>20906</v>
      </c>
      <c r="V872" s="20">
        <v>3520</v>
      </c>
      <c r="W872" s="20">
        <v>11913.36492890995</v>
      </c>
      <c r="Y872" s="19">
        <v>0.45040000000000002</v>
      </c>
      <c r="Z872" s="19">
        <v>0.2321</v>
      </c>
      <c r="AB872" s="18">
        <v>1198</v>
      </c>
    </row>
    <row r="873" spans="1:28" ht="15.75" customHeight="1" x14ac:dyDescent="0.2">
      <c r="A873" s="36" t="str">
        <f>HYPERLINK("https://www.pgcc.edu", "Prince George's Community College")</f>
        <v>Prince George's Community College</v>
      </c>
      <c r="B873" s="18" t="s">
        <v>49</v>
      </c>
      <c r="C873" s="18" t="s">
        <v>124</v>
      </c>
      <c r="D873" s="18" t="s">
        <v>1634</v>
      </c>
      <c r="E873" s="18" t="s">
        <v>36</v>
      </c>
      <c r="F873" s="18" t="s">
        <v>36</v>
      </c>
      <c r="J873" s="19"/>
      <c r="K873" s="19">
        <v>8.6499999999999994E-2</v>
      </c>
      <c r="L873" s="19">
        <v>5.4187192000000002E-2</v>
      </c>
      <c r="M873" s="19">
        <v>0.1875</v>
      </c>
      <c r="N873" s="19">
        <v>5.4899999999999997E-2</v>
      </c>
      <c r="O873" s="19">
        <v>0.10290000000000001</v>
      </c>
      <c r="P873" s="19">
        <v>0.20930000000000001</v>
      </c>
      <c r="Q873" s="19">
        <v>0.10839583799999999</v>
      </c>
      <c r="R873" s="20">
        <v>21098</v>
      </c>
      <c r="S873" s="21" t="str">
        <f>HYPERLINK("https://www.pgcc.edu/Paying_for_College/Tuition_and_Costs/Financial_Aid_Net_Price_Calculator.aspx", "$15942")</f>
        <v>$15942</v>
      </c>
      <c r="T873" s="20">
        <v>18200</v>
      </c>
      <c r="U873" s="20">
        <v>20427</v>
      </c>
      <c r="V873" s="20">
        <v>5000</v>
      </c>
      <c r="W873" s="20">
        <v>10942.432000000001</v>
      </c>
      <c r="Y873" s="19">
        <v>0.3594</v>
      </c>
      <c r="Z873" s="19">
        <v>0.96279999999999999</v>
      </c>
      <c r="AB873" s="18">
        <v>10743</v>
      </c>
    </row>
    <row r="874" spans="1:28" ht="15.75" customHeight="1" x14ac:dyDescent="0.2">
      <c r="A874" s="36" t="str">
        <f>HYPERLINK("https://www.golfcollege.edu", "Professional Golfers Career College")</f>
        <v>Professional Golfers Career College</v>
      </c>
      <c r="B874" s="18" t="s">
        <v>368</v>
      </c>
      <c r="C874" s="18" t="s">
        <v>68</v>
      </c>
      <c r="D874" s="18" t="s">
        <v>1635</v>
      </c>
      <c r="E874" s="18" t="s">
        <v>36</v>
      </c>
      <c r="F874" s="18" t="s">
        <v>36</v>
      </c>
      <c r="J874" s="19"/>
      <c r="K874" s="19">
        <v>0.43659999999999999</v>
      </c>
      <c r="L874" s="19">
        <v>0.7241379309999999</v>
      </c>
      <c r="M874" s="19">
        <v>0.47270000000000001</v>
      </c>
      <c r="N874" s="19">
        <v>0.66669999999999996</v>
      </c>
      <c r="O874" s="19">
        <v>0</v>
      </c>
      <c r="P874" s="19">
        <v>0.33329999999999999</v>
      </c>
      <c r="Q874" s="19" t="s">
        <v>36</v>
      </c>
      <c r="R874" s="20">
        <v>32100</v>
      </c>
      <c r="S874" s="21" t="str">
        <f>HYPERLINK("https://www.golfcollege.edu/index.php/academics/consumer-info", "$27555")</f>
        <v>$27555</v>
      </c>
      <c r="T874" s="20" t="s">
        <v>36</v>
      </c>
      <c r="U874" s="20" t="s">
        <v>36</v>
      </c>
      <c r="V874" s="20">
        <v>5500</v>
      </c>
      <c r="W874" s="20">
        <v>22055</v>
      </c>
      <c r="Y874" s="19">
        <v>0.1462</v>
      </c>
      <c r="Z874" s="19">
        <v>0.3590000000000001</v>
      </c>
      <c r="AB874" s="18">
        <v>78</v>
      </c>
    </row>
    <row r="875" spans="1:28" ht="15.75" customHeight="1" x14ac:dyDescent="0.2">
      <c r="A875" s="36" t="str">
        <f>HYPERLINK("https://www.prohands.edu", "Professional Hands Institute")</f>
        <v>Professional Hands Institute</v>
      </c>
      <c r="B875" s="18" t="s">
        <v>368</v>
      </c>
      <c r="C875" s="18" t="s">
        <v>162</v>
      </c>
      <c r="D875" s="18" t="s">
        <v>359</v>
      </c>
      <c r="E875" s="18" t="s">
        <v>36</v>
      </c>
      <c r="F875" s="18" t="s">
        <v>36</v>
      </c>
      <c r="J875" s="19"/>
      <c r="K875" s="19">
        <v>0.68089999999999995</v>
      </c>
      <c r="L875" s="19">
        <v>0.94226804099999995</v>
      </c>
      <c r="M875" s="19" t="s">
        <v>36</v>
      </c>
      <c r="N875" s="19" t="s">
        <v>36</v>
      </c>
      <c r="O875" s="19">
        <v>0.68089999999999995</v>
      </c>
      <c r="P875" s="19" t="s">
        <v>36</v>
      </c>
      <c r="Q875" s="19" t="s">
        <v>36</v>
      </c>
      <c r="R875" s="20" t="s">
        <v>36</v>
      </c>
      <c r="S875" s="21" t="str">
        <f>HYPERLINK("https://www.prohands.edu", "$20008")</f>
        <v>$20008</v>
      </c>
      <c r="T875" s="20" t="s">
        <v>36</v>
      </c>
      <c r="U875" s="20" t="s">
        <v>36</v>
      </c>
      <c r="V875" s="20" t="s">
        <v>36</v>
      </c>
      <c r="W875" s="20" t="s">
        <v>36</v>
      </c>
      <c r="Y875" s="19">
        <v>0.28720000000000001</v>
      </c>
      <c r="Z875" s="19">
        <v>1</v>
      </c>
      <c r="AB875" s="18">
        <v>105</v>
      </c>
    </row>
    <row r="876" spans="1:28" ht="15.75" customHeight="1" x14ac:dyDescent="0.2">
      <c r="A876" s="36" t="str">
        <f>HYPERLINK("https://www.purdueglobal.edu/campus-locations/cedar-falls-iowa/", "Kaplan University-Cedar Falls Campus")</f>
        <v>Kaplan University-Cedar Falls Campus</v>
      </c>
      <c r="B876" s="18" t="s">
        <v>368</v>
      </c>
      <c r="C876" s="18" t="s">
        <v>211</v>
      </c>
      <c r="D876" s="18" t="s">
        <v>1320</v>
      </c>
      <c r="E876" s="18" t="s">
        <v>36</v>
      </c>
      <c r="F876" s="18" t="s">
        <v>36</v>
      </c>
      <c r="J876" s="19"/>
      <c r="K876" s="19">
        <v>0.35709999999999997</v>
      </c>
      <c r="L876" s="19">
        <v>0.19588919599999999</v>
      </c>
      <c r="M876" s="19">
        <v>0.3846</v>
      </c>
      <c r="N876" s="19">
        <v>0</v>
      </c>
      <c r="O876" s="19" t="s">
        <v>36</v>
      </c>
      <c r="P876" s="19" t="s">
        <v>36</v>
      </c>
      <c r="Q876" s="19">
        <v>3.5615826000000003E-2</v>
      </c>
      <c r="R876" s="20">
        <v>23502</v>
      </c>
      <c r="S876" s="21" t="str">
        <f>HYPERLINK("https://www.purdueglobal.edu/tuition-financial-aid/tuition-reduction/net-price-calculator/", "Not reported")</f>
        <v>Not reported</v>
      </c>
      <c r="T876" s="20" t="s">
        <v>36</v>
      </c>
      <c r="U876" s="20" t="s">
        <v>36</v>
      </c>
      <c r="V876" s="20" t="s">
        <v>36</v>
      </c>
      <c r="W876" s="20" t="s">
        <v>36</v>
      </c>
      <c r="Y876" s="19">
        <v>0.66120000000000001</v>
      </c>
      <c r="Z876" s="19">
        <v>0.2336</v>
      </c>
      <c r="AB876" s="18">
        <v>214</v>
      </c>
    </row>
    <row r="877" spans="1:28" ht="15.75" customHeight="1" x14ac:dyDescent="0.2">
      <c r="A877" s="36" t="str">
        <f>HYPERLINK("https://www.purdueglobal.edu/campus-locations/cedar-rapids-iowa/", "Kaplan University-Cedar Rapids Campus")</f>
        <v>Kaplan University-Cedar Rapids Campus</v>
      </c>
      <c r="B877" s="18" t="s">
        <v>368</v>
      </c>
      <c r="C877" s="18" t="s">
        <v>211</v>
      </c>
      <c r="D877" s="18" t="s">
        <v>333</v>
      </c>
      <c r="E877" s="18" t="s">
        <v>36</v>
      </c>
      <c r="F877" s="18" t="s">
        <v>36</v>
      </c>
      <c r="J877" s="19"/>
      <c r="K877" s="19">
        <v>0.33329999999999999</v>
      </c>
      <c r="L877" s="19">
        <v>0.19588919599999999</v>
      </c>
      <c r="M877" s="19">
        <v>0.4</v>
      </c>
      <c r="N877" s="19">
        <v>0</v>
      </c>
      <c r="O877" s="19" t="s">
        <v>36</v>
      </c>
      <c r="P877" s="19" t="s">
        <v>36</v>
      </c>
      <c r="Q877" s="19">
        <v>3.5615826000000003E-2</v>
      </c>
      <c r="R877" s="20">
        <v>23502</v>
      </c>
      <c r="S877" s="21" t="str">
        <f>HYPERLINK("https://www.purdueglobal.edu/tuition-financial-aid/tuition-reduction/net-price-calculator/", "$17081")</f>
        <v>$17081</v>
      </c>
      <c r="T877" s="20" t="s">
        <v>36</v>
      </c>
      <c r="U877" s="20" t="s">
        <v>36</v>
      </c>
      <c r="V877" s="20">
        <v>3190</v>
      </c>
      <c r="W877" s="20">
        <v>13891</v>
      </c>
      <c r="Y877" s="19">
        <v>0.6492</v>
      </c>
      <c r="Z877" s="19">
        <v>0.30700000000000011</v>
      </c>
      <c r="AB877" s="18">
        <v>417</v>
      </c>
    </row>
    <row r="878" spans="1:28" ht="15.75" customHeight="1" x14ac:dyDescent="0.2">
      <c r="A878" s="36" t="str">
        <f>HYPERLINK("https://www.purdueglobal.edu/campus-locations/des-moines-iowa/", "Kaplan University-Des Moines Campus")</f>
        <v>Kaplan University-Des Moines Campus</v>
      </c>
      <c r="B878" s="18" t="s">
        <v>368</v>
      </c>
      <c r="C878" s="18" t="s">
        <v>211</v>
      </c>
      <c r="D878" s="18" t="s">
        <v>1636</v>
      </c>
      <c r="E878" s="18" t="s">
        <v>36</v>
      </c>
      <c r="F878" s="18" t="s">
        <v>36</v>
      </c>
      <c r="J878" s="19"/>
      <c r="K878" s="19">
        <v>0.42499999999999999</v>
      </c>
      <c r="L878" s="19">
        <v>0.19588919599999999</v>
      </c>
      <c r="M878" s="19">
        <v>0.37840000000000001</v>
      </c>
      <c r="N878" s="19" t="s">
        <v>36</v>
      </c>
      <c r="O878" s="19">
        <v>1</v>
      </c>
      <c r="P878" s="19" t="s">
        <v>36</v>
      </c>
      <c r="Q878" s="19">
        <v>3.5615826000000003E-2</v>
      </c>
      <c r="R878" s="20">
        <v>23502</v>
      </c>
      <c r="S878" s="21" t="str">
        <f>HYPERLINK("https://www.purdueglobal.edu/tuition-financial-aid/tuition-reduction/net-price-calculator/", "$21848")</f>
        <v>$21848</v>
      </c>
      <c r="T878" s="20" t="s">
        <v>36</v>
      </c>
      <c r="U878" s="20" t="s">
        <v>36</v>
      </c>
      <c r="V878" s="20">
        <v>3190</v>
      </c>
      <c r="W878" s="20">
        <v>18658</v>
      </c>
      <c r="Y878" s="19">
        <v>0.55000000000000004</v>
      </c>
      <c r="Z878" s="19">
        <v>0.47030000000000011</v>
      </c>
      <c r="AB878" s="18">
        <v>657</v>
      </c>
    </row>
    <row r="879" spans="1:28" ht="15.75" customHeight="1" x14ac:dyDescent="0.2">
      <c r="A879" s="36" t="str">
        <f>HYPERLINK("https://www.purdueglobal.edu/campus-locations/mason-city-iowa/", "Kaplan University-Mason City Campus")</f>
        <v>Kaplan University-Mason City Campus</v>
      </c>
      <c r="B879" s="18" t="s">
        <v>368</v>
      </c>
      <c r="C879" s="18" t="s">
        <v>211</v>
      </c>
      <c r="D879" s="18" t="s">
        <v>1579</v>
      </c>
      <c r="E879" s="18" t="s">
        <v>36</v>
      </c>
      <c r="F879" s="18" t="s">
        <v>36</v>
      </c>
      <c r="J879" s="19"/>
      <c r="K879" s="19">
        <v>0.2727</v>
      </c>
      <c r="L879" s="19">
        <v>0.19588919599999999</v>
      </c>
      <c r="M879" s="19">
        <v>0.3</v>
      </c>
      <c r="N879" s="19" t="s">
        <v>36</v>
      </c>
      <c r="O879" s="19">
        <v>0</v>
      </c>
      <c r="P879" s="19" t="s">
        <v>36</v>
      </c>
      <c r="Q879" s="19">
        <v>3.5615826000000003E-2</v>
      </c>
      <c r="R879" s="20">
        <v>23502</v>
      </c>
      <c r="S879" s="21" t="str">
        <f>HYPERLINK("https://www.purdueglobal.edu/tuition-financial-aid/tuition-reduction/net-price-calculator/", "Not reported")</f>
        <v>Not reported</v>
      </c>
      <c r="T879" s="20" t="s">
        <v>36</v>
      </c>
      <c r="U879" s="20" t="s">
        <v>36</v>
      </c>
      <c r="V879" s="20">
        <v>3190</v>
      </c>
      <c r="W879" s="20" t="s">
        <v>36</v>
      </c>
      <c r="Y879" s="19">
        <v>0.68510000000000004</v>
      </c>
      <c r="Z879" s="19">
        <v>0.44359999999999999</v>
      </c>
      <c r="AB879" s="18">
        <v>133</v>
      </c>
    </row>
    <row r="880" spans="1:28" ht="15.75" customHeight="1" x14ac:dyDescent="0.2">
      <c r="A880" s="36" t="str">
        <f>HYPERLINK("https://www.quincycollege.edu", "Quincy College")</f>
        <v>Quincy College</v>
      </c>
      <c r="B880" s="18" t="s">
        <v>49</v>
      </c>
      <c r="C880" s="18" t="s">
        <v>33</v>
      </c>
      <c r="D880" s="18" t="s">
        <v>716</v>
      </c>
      <c r="E880" s="18" t="s">
        <v>36</v>
      </c>
      <c r="F880" s="18" t="s">
        <v>36</v>
      </c>
      <c r="J880" s="19"/>
      <c r="K880" s="19">
        <v>0.125</v>
      </c>
      <c r="L880" s="19">
        <v>0.21044992700000001</v>
      </c>
      <c r="M880" s="19">
        <v>0.1145</v>
      </c>
      <c r="N880" s="19">
        <v>7.2499999999999995E-2</v>
      </c>
      <c r="O880" s="19">
        <v>0</v>
      </c>
      <c r="P880" s="19">
        <v>9.7600000000000006E-2</v>
      </c>
      <c r="Q880" s="19">
        <v>0.101437025</v>
      </c>
      <c r="R880" s="20">
        <v>26806</v>
      </c>
      <c r="S880" s="21" t="str">
        <f>HYPERLINK("https://www.quincycollege.edu/netprice/npcalc.htm", "$22473")</f>
        <v>$22473</v>
      </c>
      <c r="T880" s="20">
        <v>24415</v>
      </c>
      <c r="U880" s="20">
        <v>26125</v>
      </c>
      <c r="V880" s="20">
        <v>5500</v>
      </c>
      <c r="W880" s="20">
        <v>16973.325806451609</v>
      </c>
      <c r="Y880" s="19">
        <v>0.42199999999999999</v>
      </c>
      <c r="Z880" s="19">
        <v>0.60660000000000003</v>
      </c>
      <c r="AB880" s="18">
        <v>4634</v>
      </c>
    </row>
    <row r="881" spans="1:28" ht="15.75" customHeight="1" x14ac:dyDescent="0.2">
      <c r="A881" s="36" t="str">
        <f>HYPERLINK("https://qvcc.edu", "Quinebaug Valley Community College")</f>
        <v>Quinebaug Valley Community College</v>
      </c>
      <c r="B881" s="18" t="s">
        <v>49</v>
      </c>
      <c r="C881" s="18" t="s">
        <v>94</v>
      </c>
      <c r="D881" s="18" t="s">
        <v>1637</v>
      </c>
      <c r="E881" s="18" t="s">
        <v>36</v>
      </c>
      <c r="F881" s="18" t="s">
        <v>36</v>
      </c>
      <c r="J881" s="19"/>
      <c r="K881" s="19">
        <v>0.2208</v>
      </c>
      <c r="L881" s="19">
        <v>0.10653753000000001</v>
      </c>
      <c r="M881" s="19">
        <v>0.247</v>
      </c>
      <c r="N881" s="19">
        <v>8.3299999999999999E-2</v>
      </c>
      <c r="O881" s="19">
        <v>0.1163</v>
      </c>
      <c r="P881" s="19">
        <v>0.2</v>
      </c>
      <c r="Q881" s="19">
        <v>3.6906854000000003E-2</v>
      </c>
      <c r="R881" s="20">
        <v>26352</v>
      </c>
      <c r="S881" s="21" t="str">
        <f>HYPERLINK("https://bor.ct.edu/finaid/netprice/l_npcalc.htm", "$20799")</f>
        <v>$20799</v>
      </c>
      <c r="T881" s="20">
        <v>21300</v>
      </c>
      <c r="U881" s="20" t="s">
        <v>36</v>
      </c>
      <c r="V881" s="20">
        <v>4730</v>
      </c>
      <c r="W881" s="20">
        <v>16069.13541666667</v>
      </c>
      <c r="Y881" s="19">
        <v>0.4824</v>
      </c>
      <c r="Z881" s="19">
        <v>0.26840000000000003</v>
      </c>
      <c r="AB881" s="18">
        <v>1401</v>
      </c>
    </row>
    <row r="882" spans="1:28" ht="15.75" customHeight="1" x14ac:dyDescent="0.2">
      <c r="A882" s="36" t="str">
        <f>HYPERLINK("https://www.qcc.edu", "Quinsigamond Community College")</f>
        <v>Quinsigamond Community College</v>
      </c>
      <c r="B882" s="18" t="s">
        <v>49</v>
      </c>
      <c r="C882" s="18" t="s">
        <v>33</v>
      </c>
      <c r="D882" s="18" t="s">
        <v>86</v>
      </c>
      <c r="E882" s="18" t="s">
        <v>36</v>
      </c>
      <c r="F882" s="18" t="s">
        <v>36</v>
      </c>
      <c r="J882" s="19"/>
      <c r="K882" s="19">
        <v>0.19139999999999999</v>
      </c>
      <c r="L882" s="19">
        <v>0.21484888299999999</v>
      </c>
      <c r="M882" s="19">
        <v>0.20250000000000001</v>
      </c>
      <c r="N882" s="19">
        <v>0.22620000000000001</v>
      </c>
      <c r="O882" s="19">
        <v>0.13070000000000001</v>
      </c>
      <c r="P882" s="19">
        <v>0.27450000000000002</v>
      </c>
      <c r="Q882" s="19">
        <v>7.0929804999999999E-2</v>
      </c>
      <c r="R882" s="20">
        <v>22984</v>
      </c>
      <c r="S882" s="21" t="str">
        <f>HYPERLINK("https://www.qcc.edu/federal-net-price-calculator", "$17513")</f>
        <v>$17513</v>
      </c>
      <c r="T882" s="20">
        <v>20397</v>
      </c>
      <c r="U882" s="20">
        <v>22158</v>
      </c>
      <c r="V882" s="20">
        <v>3648</v>
      </c>
      <c r="W882" s="20">
        <v>13865.831658291459</v>
      </c>
      <c r="Y882" s="19">
        <v>0.4335</v>
      </c>
      <c r="Z882" s="19">
        <v>0.45490000000000003</v>
      </c>
      <c r="AB882" s="18">
        <v>6584</v>
      </c>
    </row>
    <row r="883" spans="1:28" ht="15.75" customHeight="1" x14ac:dyDescent="0.2">
      <c r="A883" s="36" t="str">
        <f>HYPERLINK("https://rabbinicalcollegebethshraga.com", "Rabbinical College Beth Shraga")</f>
        <v>Rabbinical College Beth Shraga</v>
      </c>
      <c r="B883" s="18" t="s">
        <v>32</v>
      </c>
      <c r="C883" s="18" t="s">
        <v>38</v>
      </c>
      <c r="D883" s="18" t="s">
        <v>1638</v>
      </c>
      <c r="E883" s="18" t="s">
        <v>36</v>
      </c>
      <c r="F883" s="18" t="s">
        <v>45</v>
      </c>
      <c r="J883" s="19"/>
      <c r="K883" s="19">
        <v>4.5499999999999999E-2</v>
      </c>
      <c r="L883" s="19" t="s">
        <v>36</v>
      </c>
      <c r="M883" s="19">
        <v>4.5499999999999999E-2</v>
      </c>
      <c r="N883" s="19" t="s">
        <v>36</v>
      </c>
      <c r="O883" s="19" t="s">
        <v>36</v>
      </c>
      <c r="P883" s="19" t="s">
        <v>36</v>
      </c>
      <c r="Q883" s="19" t="s">
        <v>36</v>
      </c>
      <c r="R883" s="20">
        <v>22650</v>
      </c>
      <c r="S883" s="21" t="str">
        <f>HYPERLINK("https://sites.google.com/site/rabbinicalcollegebethshraga/", "$9872")</f>
        <v>$9872</v>
      </c>
      <c r="T883" s="20">
        <v>11375</v>
      </c>
      <c r="U883" s="20">
        <v>7795</v>
      </c>
      <c r="V883" s="20">
        <v>4000</v>
      </c>
      <c r="W883" s="20">
        <v>5872</v>
      </c>
      <c r="Y883" s="19">
        <v>0.35420000000000001</v>
      </c>
      <c r="Z883" s="19">
        <v>0</v>
      </c>
      <c r="AB883" s="18">
        <v>39</v>
      </c>
    </row>
    <row r="884" spans="1:28" ht="15.75" customHeight="1" x14ac:dyDescent="0.2">
      <c r="A884" s="36" t="str">
        <f>HYPERLINK("https://rabbinicalcollegelongisland.com", "Rabbinical College of Long Island")</f>
        <v>Rabbinical College of Long Island</v>
      </c>
      <c r="B884" s="18" t="s">
        <v>32</v>
      </c>
      <c r="C884" s="18" t="s">
        <v>38</v>
      </c>
      <c r="D884" s="18" t="s">
        <v>608</v>
      </c>
      <c r="E884" s="18" t="s">
        <v>36</v>
      </c>
      <c r="F884" s="18" t="s">
        <v>45</v>
      </c>
      <c r="J884" s="19"/>
      <c r="K884" s="19" t="s">
        <v>36</v>
      </c>
      <c r="L884" s="19" t="s">
        <v>36</v>
      </c>
      <c r="M884" s="19" t="s">
        <v>36</v>
      </c>
      <c r="N884" s="19" t="s">
        <v>36</v>
      </c>
      <c r="O884" s="19" t="s">
        <v>36</v>
      </c>
      <c r="P884" s="19" t="s">
        <v>36</v>
      </c>
      <c r="Q884" s="19" t="s">
        <v>36</v>
      </c>
      <c r="R884" s="20">
        <v>17700</v>
      </c>
      <c r="S884" s="21" t="str">
        <f>HYPERLINK("https://sites.google.com/site/rabbinicalcollegeoflongisland/", "$9998")</f>
        <v>$9998</v>
      </c>
      <c r="T884" s="20">
        <v>10205</v>
      </c>
      <c r="U884" s="20">
        <v>5687</v>
      </c>
      <c r="V884" s="20">
        <v>4000</v>
      </c>
      <c r="W884" s="20">
        <v>5998</v>
      </c>
      <c r="Y884" s="19">
        <v>0.3286</v>
      </c>
      <c r="Z884" s="19">
        <v>7.0000000000000062E-3</v>
      </c>
      <c r="AB884" s="18">
        <v>143</v>
      </c>
    </row>
    <row r="885" spans="1:28" ht="15.75" customHeight="1" x14ac:dyDescent="0.2">
      <c r="A885" s="36" t="str">
        <f>HYPERLINK("https://www.rainyriver.edu", "Rainy River Community College")</f>
        <v>Rainy River Community College</v>
      </c>
      <c r="B885" s="18" t="s">
        <v>49</v>
      </c>
      <c r="C885" s="18" t="s">
        <v>72</v>
      </c>
      <c r="D885" s="18" t="s">
        <v>1639</v>
      </c>
      <c r="E885" s="18" t="s">
        <v>36</v>
      </c>
      <c r="F885" s="18" t="s">
        <v>36</v>
      </c>
      <c r="J885" s="19"/>
      <c r="K885" s="19">
        <v>0.32429999999999998</v>
      </c>
      <c r="L885" s="19" t="s">
        <v>36</v>
      </c>
      <c r="M885" s="19">
        <v>0.42859999999999998</v>
      </c>
      <c r="N885" s="19">
        <v>0.33329999999999999</v>
      </c>
      <c r="O885" s="19">
        <v>0</v>
      </c>
      <c r="P885" s="19">
        <v>0</v>
      </c>
      <c r="Q885" s="19" t="s">
        <v>36</v>
      </c>
      <c r="R885" s="20">
        <v>16107</v>
      </c>
      <c r="S885" s="21" t="str">
        <f>HYPERLINK("https://www.minnstate.edu/admissions/calculator/rainyriver.html", "$9443")</f>
        <v>$9443</v>
      </c>
      <c r="T885" s="20">
        <v>12326</v>
      </c>
      <c r="U885" s="20">
        <v>14958</v>
      </c>
      <c r="V885" s="20">
        <v>4400</v>
      </c>
      <c r="W885" s="20">
        <v>5043</v>
      </c>
      <c r="Y885" s="19">
        <v>0.37269999999999998</v>
      </c>
      <c r="Z885" s="19">
        <v>0.46020000000000011</v>
      </c>
      <c r="AB885" s="18">
        <v>176</v>
      </c>
    </row>
    <row r="886" spans="1:28" ht="15.75" customHeight="1" x14ac:dyDescent="0.2">
      <c r="A886" s="36" t="str">
        <f>HYPERLINK("https://www.randolph.edu", "Randolph Community College")</f>
        <v>Randolph Community College</v>
      </c>
      <c r="B886" s="18" t="s">
        <v>49</v>
      </c>
      <c r="C886" s="18" t="s">
        <v>103</v>
      </c>
      <c r="D886" s="18" t="s">
        <v>1640</v>
      </c>
      <c r="E886" s="18" t="s">
        <v>36</v>
      </c>
      <c r="F886" s="18" t="s">
        <v>36</v>
      </c>
      <c r="J886" s="19"/>
      <c r="K886" s="19">
        <v>0.3049</v>
      </c>
      <c r="L886" s="19" t="s">
        <v>36</v>
      </c>
      <c r="M886" s="19">
        <v>0.3095</v>
      </c>
      <c r="N886" s="19">
        <v>0.16669999999999999</v>
      </c>
      <c r="O886" s="19">
        <v>0.23330000000000001</v>
      </c>
      <c r="P886" s="19">
        <v>1</v>
      </c>
      <c r="Q886" s="19">
        <v>5.2631578999999998E-2</v>
      </c>
      <c r="R886" s="20">
        <v>23007</v>
      </c>
      <c r="S886" s="21" t="str">
        <f>HYPERLINK("https://www.randolph.edu/financial-aid/costs-and-paying-your-bill.html", "$17530")</f>
        <v>$17530</v>
      </c>
      <c r="T886" s="20">
        <v>17858</v>
      </c>
      <c r="U886" s="20" t="s">
        <v>36</v>
      </c>
      <c r="V886" s="20">
        <v>8122</v>
      </c>
      <c r="W886" s="20">
        <v>9408.7142857142862</v>
      </c>
      <c r="Y886" s="19">
        <v>0.4143</v>
      </c>
      <c r="Z886" s="19">
        <v>0.32550000000000001</v>
      </c>
      <c r="AB886" s="18">
        <v>1754</v>
      </c>
    </row>
    <row r="887" spans="1:28" ht="15.75" customHeight="1" x14ac:dyDescent="0.2">
      <c r="A887" s="36" t="str">
        <f>HYPERLINK("https://www.rangercollege.edu", "Ranger College")</f>
        <v>Ranger College</v>
      </c>
      <c r="B887" s="18" t="s">
        <v>49</v>
      </c>
      <c r="C887" s="18" t="s">
        <v>146</v>
      </c>
      <c r="D887" s="18" t="s">
        <v>1641</v>
      </c>
      <c r="E887" s="18" t="s">
        <v>36</v>
      </c>
      <c r="F887" s="18" t="s">
        <v>36</v>
      </c>
      <c r="J887" s="19"/>
      <c r="K887" s="19">
        <v>0.29899999999999999</v>
      </c>
      <c r="L887" s="19">
        <v>0.14009661800000001</v>
      </c>
      <c r="M887" s="19">
        <v>0.33019999999999999</v>
      </c>
      <c r="N887" s="19">
        <v>8.1600000000000006E-2</v>
      </c>
      <c r="O887" s="19">
        <v>0.42109999999999997</v>
      </c>
      <c r="P887" s="19" t="s">
        <v>36</v>
      </c>
      <c r="Q887" s="19">
        <v>0.12261580399999999</v>
      </c>
      <c r="R887" s="20">
        <v>14641</v>
      </c>
      <c r="S887" s="21" t="str">
        <f>HYPERLINK("https://www.rangercollege.edu", "$8352")</f>
        <v>$8352</v>
      </c>
      <c r="T887" s="20">
        <v>9655</v>
      </c>
      <c r="U887" s="20">
        <v>8665</v>
      </c>
      <c r="V887" s="20">
        <v>4645</v>
      </c>
      <c r="W887" s="20">
        <v>3707.4609375</v>
      </c>
      <c r="Y887" s="19">
        <v>0.2666</v>
      </c>
      <c r="Z887" s="19">
        <v>0.31730000000000003</v>
      </c>
      <c r="AB887" s="18">
        <v>2291</v>
      </c>
    </row>
    <row r="888" spans="1:28" ht="15.75" customHeight="1" x14ac:dyDescent="0.2">
      <c r="A888" s="36" t="str">
        <f>HYPERLINK("https://www.ranken.edu", "Ranken Technical College")</f>
        <v>Ranken Technical College</v>
      </c>
      <c r="B888" s="18" t="s">
        <v>32</v>
      </c>
      <c r="C888" s="18" t="s">
        <v>164</v>
      </c>
      <c r="D888" s="18" t="s">
        <v>179</v>
      </c>
      <c r="E888" s="18" t="s">
        <v>36</v>
      </c>
      <c r="F888" s="18" t="s">
        <v>36</v>
      </c>
      <c r="J888" s="19"/>
      <c r="K888" s="19">
        <v>0.55730000000000002</v>
      </c>
      <c r="L888" s="19">
        <v>0.46997929599999999</v>
      </c>
      <c r="M888" s="19">
        <v>0.64480000000000004</v>
      </c>
      <c r="N888" s="19">
        <v>0.32769999999999999</v>
      </c>
      <c r="O888" s="19">
        <v>0.33329999999999999</v>
      </c>
      <c r="P888" s="19">
        <v>0.8</v>
      </c>
      <c r="Q888" s="19" t="s">
        <v>36</v>
      </c>
      <c r="R888" s="20">
        <v>25239</v>
      </c>
      <c r="S888" s="21" t="str">
        <f>HYPERLINK("https://ranken.edu/calculator/npcalc.htm", "$13505")</f>
        <v>$13505</v>
      </c>
      <c r="T888" s="20">
        <v>14889</v>
      </c>
      <c r="U888" s="20">
        <v>17835</v>
      </c>
      <c r="V888" s="20">
        <v>5582</v>
      </c>
      <c r="W888" s="20">
        <v>7923</v>
      </c>
      <c r="Y888" s="19">
        <v>0.5857</v>
      </c>
      <c r="Z888" s="19">
        <v>0.36499999999999999</v>
      </c>
      <c r="AB888" s="18">
        <v>1644</v>
      </c>
    </row>
    <row r="889" spans="1:28" ht="15.75" customHeight="1" x14ac:dyDescent="0.2">
      <c r="A889" s="36" t="str">
        <f>HYPERLINK("https://www.raritanval.edu", "Raritan Valley Community College")</f>
        <v>Raritan Valley Community College</v>
      </c>
      <c r="B889" s="18" t="s">
        <v>49</v>
      </c>
      <c r="C889" s="18" t="s">
        <v>141</v>
      </c>
      <c r="D889" s="18" t="s">
        <v>1642</v>
      </c>
      <c r="E889" s="18" t="s">
        <v>36</v>
      </c>
      <c r="F889" s="18" t="s">
        <v>36</v>
      </c>
      <c r="J889" s="19"/>
      <c r="K889" s="19">
        <v>0.25800000000000001</v>
      </c>
      <c r="L889" s="19">
        <v>0.17535545</v>
      </c>
      <c r="M889" s="19">
        <v>0.32179999999999997</v>
      </c>
      <c r="N889" s="19">
        <v>0.122</v>
      </c>
      <c r="O889" s="19">
        <v>0.17829999999999999</v>
      </c>
      <c r="P889" s="19">
        <v>0.21820000000000001</v>
      </c>
      <c r="Q889" s="19">
        <v>0.119195046</v>
      </c>
      <c r="R889" s="20">
        <v>19301</v>
      </c>
      <c r="S889" s="21" t="str">
        <f>HYPERLINK("https://www.raritanval.edu/net-price-calculator", "$13378")</f>
        <v>$13378</v>
      </c>
      <c r="T889" s="20">
        <v>16449</v>
      </c>
      <c r="U889" s="20">
        <v>19029</v>
      </c>
      <c r="V889" s="20">
        <v>4925</v>
      </c>
      <c r="W889" s="20">
        <v>8453.2118055555547</v>
      </c>
      <c r="Y889" s="19">
        <v>0.22739999999999999</v>
      </c>
      <c r="Z889" s="19">
        <v>0.51849999999999996</v>
      </c>
      <c r="AB889" s="18">
        <v>6856</v>
      </c>
    </row>
    <row r="890" spans="1:28" ht="15.75" customHeight="1" x14ac:dyDescent="0.2">
      <c r="A890" s="36" t="str">
        <f>HYPERLINK("https://rasmussen.edu", "Rasmussen College-Illinois")</f>
        <v>Rasmussen College-Illinois</v>
      </c>
      <c r="B890" s="18" t="s">
        <v>368</v>
      </c>
      <c r="C890" s="18" t="s">
        <v>137</v>
      </c>
      <c r="D890" s="18" t="s">
        <v>1088</v>
      </c>
      <c r="E890" s="18" t="s">
        <v>36</v>
      </c>
      <c r="F890" s="18" t="s">
        <v>36</v>
      </c>
      <c r="J890" s="19"/>
      <c r="K890" s="19">
        <v>0.30359999999999998</v>
      </c>
      <c r="L890" s="19">
        <v>0.25473970899999998</v>
      </c>
      <c r="M890" s="19">
        <v>0.32</v>
      </c>
      <c r="N890" s="19">
        <v>0.18179999999999999</v>
      </c>
      <c r="O890" s="19">
        <v>0.4118</v>
      </c>
      <c r="P890" s="19" t="s">
        <v>36</v>
      </c>
      <c r="Q890" s="19">
        <v>3.3513207000000003E-2</v>
      </c>
      <c r="R890" s="20">
        <v>23877</v>
      </c>
      <c r="S890" s="21" t="str">
        <f>HYPERLINK("https://npc.collegeboard.org/student/app/rasmussen", "$17339")</f>
        <v>$17339</v>
      </c>
      <c r="T890" s="20">
        <v>20259</v>
      </c>
      <c r="U890" s="20">
        <v>21692</v>
      </c>
      <c r="V890" s="20">
        <v>4896</v>
      </c>
      <c r="W890" s="20">
        <v>12443</v>
      </c>
      <c r="Y890" s="19">
        <v>0.59709999999999996</v>
      </c>
      <c r="Z890" s="19">
        <v>0.60499999999999998</v>
      </c>
      <c r="AB890" s="18">
        <v>1671</v>
      </c>
    </row>
    <row r="891" spans="1:28" ht="15.75" customHeight="1" x14ac:dyDescent="0.2">
      <c r="A891" s="36" t="str">
        <f>HYPERLINK("https://rasmussen.edu", "Rasmussen College-Kansas")</f>
        <v>Rasmussen College-Kansas</v>
      </c>
      <c r="B891" s="18" t="s">
        <v>368</v>
      </c>
      <c r="C891" s="18" t="s">
        <v>307</v>
      </c>
      <c r="D891" s="18" t="s">
        <v>927</v>
      </c>
      <c r="E891" s="18" t="s">
        <v>36</v>
      </c>
      <c r="F891" s="18" t="s">
        <v>36</v>
      </c>
      <c r="J891" s="19"/>
      <c r="K891" s="19" t="s">
        <v>36</v>
      </c>
      <c r="L891" s="19">
        <v>0.25473970899999998</v>
      </c>
      <c r="M891" s="19" t="s">
        <v>36</v>
      </c>
      <c r="N891" s="19" t="s">
        <v>36</v>
      </c>
      <c r="O891" s="19" t="s">
        <v>36</v>
      </c>
      <c r="P891" s="19" t="s">
        <v>36</v>
      </c>
      <c r="Q891" s="19">
        <v>3.3513207000000003E-2</v>
      </c>
      <c r="R891" s="20">
        <v>23877</v>
      </c>
      <c r="S891" s="21" t="str">
        <f>HYPERLINK("https://npc.collegeboard.org/student/app/rasmussen", "$19713")</f>
        <v>$19713</v>
      </c>
      <c r="T891" s="20">
        <v>20028</v>
      </c>
      <c r="U891" s="20" t="s">
        <v>36</v>
      </c>
      <c r="V891" s="20">
        <v>4896</v>
      </c>
      <c r="W891" s="20">
        <v>14817</v>
      </c>
      <c r="Y891" s="19">
        <v>0.59289999999999998</v>
      </c>
      <c r="Z891" s="19">
        <v>0.39629999999999999</v>
      </c>
      <c r="AB891" s="18">
        <v>376</v>
      </c>
    </row>
    <row r="892" spans="1:28" ht="15.75" customHeight="1" x14ac:dyDescent="0.2">
      <c r="A892" s="36" t="str">
        <f>HYPERLINK("https://rasmussen.edu", "Rasmussen College-Minnesota")</f>
        <v>Rasmussen College-Minnesota</v>
      </c>
      <c r="B892" s="18" t="s">
        <v>368</v>
      </c>
      <c r="C892" s="18" t="s">
        <v>72</v>
      </c>
      <c r="D892" s="18" t="s">
        <v>1643</v>
      </c>
      <c r="E892" s="18" t="s">
        <v>36</v>
      </c>
      <c r="F892" s="18" t="s">
        <v>36</v>
      </c>
      <c r="J892" s="19"/>
      <c r="K892" s="19">
        <v>0.34060000000000001</v>
      </c>
      <c r="L892" s="19">
        <v>0.25473970899999998</v>
      </c>
      <c r="M892" s="19">
        <v>0.36170000000000002</v>
      </c>
      <c r="N892" s="19">
        <v>0.1875</v>
      </c>
      <c r="O892" s="19">
        <v>0.4</v>
      </c>
      <c r="P892" s="19">
        <v>0.5</v>
      </c>
      <c r="Q892" s="19">
        <v>3.3513207000000003E-2</v>
      </c>
      <c r="R892" s="20">
        <v>23877</v>
      </c>
      <c r="S892" s="21" t="str">
        <f>HYPERLINK("https://npc.collegeboard.org/student/app/rasmussen", "$15482")</f>
        <v>$15482</v>
      </c>
      <c r="T892" s="20">
        <v>17105</v>
      </c>
      <c r="U892" s="20">
        <v>19153</v>
      </c>
      <c r="V892" s="20">
        <v>4896</v>
      </c>
      <c r="W892" s="20">
        <v>10586</v>
      </c>
      <c r="Y892" s="19">
        <v>0.42849999999999999</v>
      </c>
      <c r="Z892" s="19">
        <v>0.40899999999999997</v>
      </c>
      <c r="AB892" s="18">
        <v>3848</v>
      </c>
    </row>
    <row r="893" spans="1:28" ht="15.75" customHeight="1" x14ac:dyDescent="0.2">
      <c r="A893" s="36" t="str">
        <f>HYPERLINK("https://rasmussen.edu", "Rasmussen College-North Dakota")</f>
        <v>Rasmussen College-North Dakota</v>
      </c>
      <c r="B893" s="18" t="s">
        <v>368</v>
      </c>
      <c r="C893" s="18" t="s">
        <v>730</v>
      </c>
      <c r="D893" s="18" t="s">
        <v>1012</v>
      </c>
      <c r="E893" s="18" t="s">
        <v>36</v>
      </c>
      <c r="F893" s="18" t="s">
        <v>36</v>
      </c>
      <c r="J893" s="19"/>
      <c r="K893" s="19">
        <v>0.2727</v>
      </c>
      <c r="L893" s="19">
        <v>0.25473970899999998</v>
      </c>
      <c r="M893" s="19">
        <v>0.26319999999999999</v>
      </c>
      <c r="N893" s="19" t="s">
        <v>36</v>
      </c>
      <c r="O893" s="19">
        <v>1</v>
      </c>
      <c r="P893" s="19" t="s">
        <v>36</v>
      </c>
      <c r="Q893" s="19">
        <v>3.3513207000000003E-2</v>
      </c>
      <c r="R893" s="20">
        <v>23877</v>
      </c>
      <c r="S893" s="21" t="str">
        <f>HYPERLINK("https://npc.collegeboard.org/student/app/rasmussen", "$16165")</f>
        <v>$16165</v>
      </c>
      <c r="T893" s="20">
        <v>21578</v>
      </c>
      <c r="U893" s="20">
        <v>18043</v>
      </c>
      <c r="V893" s="20">
        <v>4896</v>
      </c>
      <c r="W893" s="20">
        <v>11269</v>
      </c>
      <c r="Y893" s="19">
        <v>0.49909999999999999</v>
      </c>
      <c r="Z893" s="19">
        <v>0.32190000000000002</v>
      </c>
      <c r="AB893" s="18">
        <v>525</v>
      </c>
    </row>
    <row r="894" spans="1:28" ht="15.75" customHeight="1" x14ac:dyDescent="0.2">
      <c r="A894" s="36" t="str">
        <f>HYPERLINK("https://rasmussen.edu", "Rasmussen College-Wisconsin")</f>
        <v>Rasmussen College-Wisconsin</v>
      </c>
      <c r="B894" s="18" t="s">
        <v>368</v>
      </c>
      <c r="C894" s="18" t="s">
        <v>196</v>
      </c>
      <c r="D894" s="18" t="s">
        <v>1353</v>
      </c>
      <c r="E894" s="18" t="s">
        <v>36</v>
      </c>
      <c r="F894" s="18" t="s">
        <v>36</v>
      </c>
      <c r="J894" s="19"/>
      <c r="K894" s="19">
        <v>0.36840000000000001</v>
      </c>
      <c r="L894" s="19">
        <v>0.25473970899999998</v>
      </c>
      <c r="M894" s="19">
        <v>0.3871</v>
      </c>
      <c r="N894" s="19">
        <v>0</v>
      </c>
      <c r="O894" s="19" t="s">
        <v>36</v>
      </c>
      <c r="P894" s="19" t="s">
        <v>36</v>
      </c>
      <c r="Q894" s="19">
        <v>3.3513207000000003E-2</v>
      </c>
      <c r="R894" s="20">
        <v>23877</v>
      </c>
      <c r="S894" s="21" t="str">
        <f>HYPERLINK("https://npc.collegeboard.org/student/app/rasmussen", "$17479")</f>
        <v>$17479</v>
      </c>
      <c r="T894" s="20">
        <v>17326</v>
      </c>
      <c r="U894" s="20">
        <v>20659</v>
      </c>
      <c r="V894" s="20">
        <v>4896</v>
      </c>
      <c r="W894" s="20">
        <v>12583</v>
      </c>
      <c r="Y894" s="19">
        <v>0.57040000000000002</v>
      </c>
      <c r="Z894" s="19">
        <v>0.2117</v>
      </c>
      <c r="AB894" s="18">
        <v>699</v>
      </c>
    </row>
    <row r="895" spans="1:28" ht="15.75" customHeight="1" x14ac:dyDescent="0.2">
      <c r="A895" s="36" t="str">
        <f>HYPERLINK("https://www.racc.edu", "Reading Area Community College")</f>
        <v>Reading Area Community College</v>
      </c>
      <c r="B895" s="18" t="s">
        <v>49</v>
      </c>
      <c r="C895" s="18" t="s">
        <v>65</v>
      </c>
      <c r="D895" s="18" t="s">
        <v>551</v>
      </c>
      <c r="E895" s="18" t="s">
        <v>36</v>
      </c>
      <c r="F895" s="18" t="s">
        <v>36</v>
      </c>
      <c r="J895" s="19"/>
      <c r="K895" s="19">
        <v>0.15279999999999999</v>
      </c>
      <c r="L895" s="19">
        <v>2.5720967000000001E-2</v>
      </c>
      <c r="M895" s="19">
        <v>0.192</v>
      </c>
      <c r="N895" s="19">
        <v>0.05</v>
      </c>
      <c r="O895" s="19">
        <v>9.0899999999999995E-2</v>
      </c>
      <c r="P895" s="19">
        <v>0.2</v>
      </c>
      <c r="Q895" s="19">
        <v>8.4951455999999995E-2</v>
      </c>
      <c r="R895" s="20">
        <v>27950</v>
      </c>
      <c r="S895" s="21" t="str">
        <f>HYPERLINK("https://www.racc.edu/sites/default/files/imported/HEA/NetPriceCalc/npcalc.htm", "$22089")</f>
        <v>$22089</v>
      </c>
      <c r="T895" s="20">
        <v>24634</v>
      </c>
      <c r="U895" s="20">
        <v>26943</v>
      </c>
      <c r="V895" s="20">
        <v>6800</v>
      </c>
      <c r="W895" s="20">
        <v>15289.36994219653</v>
      </c>
      <c r="Y895" s="19">
        <v>0.73499999999999999</v>
      </c>
      <c r="Z895" s="19">
        <v>0.56190000000000007</v>
      </c>
      <c r="AB895" s="18">
        <v>3506</v>
      </c>
    </row>
    <row r="896" spans="1:28" ht="15.75" customHeight="1" x14ac:dyDescent="0.2">
      <c r="A896" s="36" t="str">
        <f>HYPERLINK("https://www.redlandscc.edu", "Redlands Community College")</f>
        <v>Redlands Community College</v>
      </c>
      <c r="B896" s="18" t="s">
        <v>49</v>
      </c>
      <c r="C896" s="18" t="s">
        <v>290</v>
      </c>
      <c r="D896" s="18" t="s">
        <v>1644</v>
      </c>
      <c r="E896" s="18" t="s">
        <v>36</v>
      </c>
      <c r="F896" s="18" t="s">
        <v>36</v>
      </c>
      <c r="J896" s="19"/>
      <c r="K896" s="19">
        <v>0.29389999999999999</v>
      </c>
      <c r="L896" s="19">
        <v>0.165865385</v>
      </c>
      <c r="M896" s="19">
        <v>0.33510000000000001</v>
      </c>
      <c r="N896" s="19">
        <v>0.23530000000000001</v>
      </c>
      <c r="O896" s="19">
        <v>0.2</v>
      </c>
      <c r="P896" s="19">
        <v>0.5</v>
      </c>
      <c r="Q896" s="19">
        <v>9.0909090999999997E-2</v>
      </c>
      <c r="R896" s="20">
        <v>18581</v>
      </c>
      <c r="S896" s="21" t="str">
        <f>HYPERLINK("https://www.redlandscc.edu/content/np-calc", "$10760")</f>
        <v>$10760</v>
      </c>
      <c r="T896" s="20">
        <v>14354</v>
      </c>
      <c r="U896" s="20">
        <v>17016</v>
      </c>
      <c r="V896" s="20">
        <v>4500</v>
      </c>
      <c r="W896" s="20">
        <v>6260.0360360360364</v>
      </c>
      <c r="Y896" s="19">
        <v>0.16020000000000001</v>
      </c>
      <c r="Z896" s="19">
        <v>0.38990000000000002</v>
      </c>
      <c r="AB896" s="18">
        <v>1085</v>
      </c>
    </row>
    <row r="897" spans="1:28" ht="15.75" customHeight="1" x14ac:dyDescent="0.2">
      <c r="A897" s="36" t="str">
        <f>HYPERLINK("https://www.reedleycollege.edu", "Reedley College")</f>
        <v>Reedley College</v>
      </c>
      <c r="B897" s="18" t="s">
        <v>49</v>
      </c>
      <c r="C897" s="18" t="s">
        <v>68</v>
      </c>
      <c r="D897" s="18" t="s">
        <v>1645</v>
      </c>
      <c r="E897" s="18" t="s">
        <v>36</v>
      </c>
      <c r="F897" s="18" t="s">
        <v>36</v>
      </c>
      <c r="J897" s="19"/>
      <c r="K897" s="19">
        <v>0.24340000000000001</v>
      </c>
      <c r="L897" s="19">
        <v>9.0693256999999999E-2</v>
      </c>
      <c r="M897" s="19">
        <v>0.29320000000000002</v>
      </c>
      <c r="N897" s="19">
        <v>0.1525</v>
      </c>
      <c r="O897" s="19">
        <v>0.22170000000000001</v>
      </c>
      <c r="P897" s="19">
        <v>0.32940000000000003</v>
      </c>
      <c r="Q897" s="19">
        <v>0.119407895</v>
      </c>
      <c r="R897" s="20">
        <v>16856</v>
      </c>
      <c r="S897" s="21" t="str">
        <f>HYPERLINK("https://misweb.cccco.edu/npc/572/npcalc.htm", "$9379")</f>
        <v>$9379</v>
      </c>
      <c r="T897" s="20">
        <v>12213</v>
      </c>
      <c r="U897" s="20">
        <v>16192</v>
      </c>
      <c r="V897" s="20">
        <v>4494</v>
      </c>
      <c r="W897" s="20">
        <v>4885.9416058394163</v>
      </c>
      <c r="Y897" s="19">
        <v>0.33479999999999999</v>
      </c>
      <c r="Z897" s="19">
        <v>0.81909999999999994</v>
      </c>
      <c r="AB897" s="18">
        <v>8624</v>
      </c>
    </row>
    <row r="898" spans="1:28" ht="15.75" customHeight="1" x14ac:dyDescent="0.2">
      <c r="A898" s="36" t="str">
        <f>HYPERLINK("https://www.remingtoncollege.edu/baton-rouge-career-college", "Remington College-Baton Rouge Campus")</f>
        <v>Remington College-Baton Rouge Campus</v>
      </c>
      <c r="B898" s="18" t="s">
        <v>32</v>
      </c>
      <c r="C898" s="18" t="s">
        <v>158</v>
      </c>
      <c r="D898" s="18" t="s">
        <v>398</v>
      </c>
      <c r="E898" s="18" t="s">
        <v>36</v>
      </c>
      <c r="F898" s="18" t="s">
        <v>36</v>
      </c>
      <c r="J898" s="19"/>
      <c r="K898" s="19">
        <v>0.435</v>
      </c>
      <c r="L898" s="19">
        <v>0.51620195899999999</v>
      </c>
      <c r="M898" s="19">
        <v>0.57140000000000002</v>
      </c>
      <c r="N898" s="19">
        <v>0.41260000000000002</v>
      </c>
      <c r="O898" s="19">
        <v>0.33329999999999999</v>
      </c>
      <c r="P898" s="19" t="s">
        <v>36</v>
      </c>
      <c r="Q898" s="19">
        <v>0.10229055500000001</v>
      </c>
      <c r="R898" s="20">
        <v>29622</v>
      </c>
      <c r="S898" s="21" t="str">
        <f>HYPERLINK("https://calculator.remingtoncollege.edu/", "$20397")</f>
        <v>$20397</v>
      </c>
      <c r="T898" s="20">
        <v>24266</v>
      </c>
      <c r="U898" s="20" t="s">
        <v>36</v>
      </c>
      <c r="V898" s="20" t="s">
        <v>36</v>
      </c>
      <c r="W898" s="20" t="s">
        <v>36</v>
      </c>
      <c r="Y898" s="19">
        <v>0.75560000000000005</v>
      </c>
      <c r="Z898" s="19">
        <v>0.95</v>
      </c>
      <c r="AB898" s="18">
        <v>60</v>
      </c>
    </row>
    <row r="899" spans="1:28" ht="15.75" customHeight="1" x14ac:dyDescent="0.2">
      <c r="A899" s="36" t="str">
        <f>HYPERLINK("https://www.remingtoncollege.edu/honolulu-hawaii-colleges-career-schools", "Remington College-Honolulu Campus")</f>
        <v>Remington College-Honolulu Campus</v>
      </c>
      <c r="B899" s="18" t="s">
        <v>32</v>
      </c>
      <c r="C899" s="18" t="s">
        <v>313</v>
      </c>
      <c r="D899" s="18" t="s">
        <v>510</v>
      </c>
      <c r="E899" s="18" t="s">
        <v>36</v>
      </c>
      <c r="F899" s="18" t="s">
        <v>36</v>
      </c>
      <c r="J899" s="19"/>
      <c r="K899" s="19">
        <v>0.56299999999999994</v>
      </c>
      <c r="L899" s="19">
        <v>0.51620195899999999</v>
      </c>
      <c r="M899" s="19">
        <v>0.6552</v>
      </c>
      <c r="N899" s="19">
        <v>0.5333</v>
      </c>
      <c r="O899" s="19">
        <v>0.59089999999999998</v>
      </c>
      <c r="P899" s="19">
        <v>0.74</v>
      </c>
      <c r="Q899" s="19">
        <v>0.10229055500000001</v>
      </c>
      <c r="R899" s="20">
        <v>29424</v>
      </c>
      <c r="S899" s="21" t="str">
        <f>HYPERLINK("https://calculator.remingtoncollege.edu/", "$21990")</f>
        <v>$21990</v>
      </c>
      <c r="T899" s="20">
        <v>23658</v>
      </c>
      <c r="U899" s="20">
        <v>26227</v>
      </c>
      <c r="V899" s="20" t="s">
        <v>36</v>
      </c>
      <c r="W899" s="20" t="s">
        <v>36</v>
      </c>
      <c r="Y899" s="19">
        <v>0.74319999999999997</v>
      </c>
      <c r="Z899" s="19">
        <v>0.95820000000000005</v>
      </c>
      <c r="AB899" s="18">
        <v>287</v>
      </c>
    </row>
    <row r="900" spans="1:28" ht="15.75" customHeight="1" x14ac:dyDescent="0.2">
      <c r="A900" s="36" t="str">
        <f>HYPERLINK("https://www.remingtoncollege.edu/little-rock-arkansas-technical-colleges", "Remington College-Little Rock Campus")</f>
        <v>Remington College-Little Rock Campus</v>
      </c>
      <c r="B900" s="18" t="s">
        <v>32</v>
      </c>
      <c r="C900" s="18" t="s">
        <v>371</v>
      </c>
      <c r="D900" s="18" t="s">
        <v>810</v>
      </c>
      <c r="E900" s="18" t="s">
        <v>36</v>
      </c>
      <c r="F900" s="18" t="s">
        <v>36</v>
      </c>
      <c r="J900" s="19"/>
      <c r="K900" s="19">
        <v>0.37780000000000002</v>
      </c>
      <c r="L900" s="19">
        <v>0.51620195899999999</v>
      </c>
      <c r="M900" s="19">
        <v>0.42420000000000002</v>
      </c>
      <c r="N900" s="19">
        <v>0.28210000000000002</v>
      </c>
      <c r="O900" s="19">
        <v>0.75</v>
      </c>
      <c r="P900" s="19">
        <v>0.66669999999999996</v>
      </c>
      <c r="Q900" s="19">
        <v>0.10229055500000001</v>
      </c>
      <c r="R900" s="20">
        <v>29280</v>
      </c>
      <c r="S900" s="21" t="str">
        <f>HYPERLINK("https://calculator.remingtoncollege.edu/", "Not reported")</f>
        <v>Not reported</v>
      </c>
      <c r="T900" s="20" t="s">
        <v>36</v>
      </c>
      <c r="U900" s="20" t="s">
        <v>36</v>
      </c>
      <c r="V900" s="20" t="s">
        <v>36</v>
      </c>
      <c r="W900" s="20" t="s">
        <v>36</v>
      </c>
      <c r="Y900" s="19">
        <v>0.9</v>
      </c>
      <c r="Z900" s="19">
        <v>0.73530000000000006</v>
      </c>
      <c r="AB900" s="18">
        <v>34</v>
      </c>
    </row>
    <row r="901" spans="1:28" ht="15.75" customHeight="1" x14ac:dyDescent="0.2">
      <c r="A901" s="36" t="str">
        <f>HYPERLINK("https://www.rbc.edu", "Richard Bland College of the College of William and Mary")</f>
        <v>Richard Bland College of the College of William and Mary</v>
      </c>
      <c r="B901" s="18" t="s">
        <v>49</v>
      </c>
      <c r="C901" s="18" t="s">
        <v>83</v>
      </c>
      <c r="D901" s="18" t="s">
        <v>1646</v>
      </c>
      <c r="E901" s="18" t="s">
        <v>36</v>
      </c>
      <c r="F901" s="18" t="s">
        <v>90</v>
      </c>
      <c r="J901" s="19"/>
      <c r="K901" s="19">
        <v>0.28399999999999997</v>
      </c>
      <c r="L901" s="19">
        <v>0.21004566199999999</v>
      </c>
      <c r="M901" s="19">
        <v>0.40510000000000002</v>
      </c>
      <c r="N901" s="19">
        <v>0.2</v>
      </c>
      <c r="O901" s="19">
        <v>0.2727</v>
      </c>
      <c r="P901" s="19">
        <v>0.1429</v>
      </c>
      <c r="Q901" s="19">
        <v>9.6192385000000005E-2</v>
      </c>
      <c r="R901" s="20">
        <v>37150</v>
      </c>
      <c r="S901" s="21" t="str">
        <f>HYPERLINK("https://www.rbc.edu/admissions/costs-financial-aid/netpricecalculator-php/", "$31249")</f>
        <v>$31249</v>
      </c>
      <c r="T901" s="20">
        <v>34005</v>
      </c>
      <c r="U901" s="20">
        <v>35751</v>
      </c>
      <c r="V901" s="20">
        <v>3600</v>
      </c>
      <c r="W901" s="20">
        <v>27649.899082568809</v>
      </c>
      <c r="Y901" s="19">
        <v>0.21360000000000001</v>
      </c>
      <c r="Z901" s="19">
        <v>0.55780000000000007</v>
      </c>
      <c r="AB901" s="18">
        <v>882</v>
      </c>
    </row>
    <row r="902" spans="1:28" ht="15.75" customHeight="1" x14ac:dyDescent="0.2">
      <c r="A902" s="36" t="str">
        <f>HYPERLINK("https://www.richlandcollege.edu", "Richland College")</f>
        <v>Richland College</v>
      </c>
      <c r="B902" s="18" t="s">
        <v>49</v>
      </c>
      <c r="C902" s="18" t="s">
        <v>146</v>
      </c>
      <c r="D902" s="18" t="s">
        <v>152</v>
      </c>
      <c r="E902" s="18" t="s">
        <v>36</v>
      </c>
      <c r="F902" s="18" t="s">
        <v>36</v>
      </c>
      <c r="J902" s="19"/>
      <c r="K902" s="19">
        <v>0.14649999999999999</v>
      </c>
      <c r="L902" s="19" t="s">
        <v>36</v>
      </c>
      <c r="M902" s="19">
        <v>0.1211</v>
      </c>
      <c r="N902" s="19">
        <v>0.13039999999999999</v>
      </c>
      <c r="O902" s="19">
        <v>0.14119999999999999</v>
      </c>
      <c r="P902" s="19">
        <v>0.219</v>
      </c>
      <c r="Q902" s="19">
        <v>0.184366364</v>
      </c>
      <c r="R902" s="20">
        <v>20621</v>
      </c>
      <c r="S902" s="21" t="str">
        <f>HYPERLINK("https://www.richlandcollege.edu/pc/cost/tuition/pages/tuitioncalc.aspx", "$15343")</f>
        <v>$15343</v>
      </c>
      <c r="T902" s="20">
        <v>17350</v>
      </c>
      <c r="U902" s="20">
        <v>20379</v>
      </c>
      <c r="V902" s="20">
        <v>5456</v>
      </c>
      <c r="W902" s="20">
        <v>9887.3333333333321</v>
      </c>
      <c r="Y902" s="19">
        <v>0.2626</v>
      </c>
      <c r="Z902" s="19">
        <v>0.78679999999999994</v>
      </c>
      <c r="AB902" s="18">
        <v>13843</v>
      </c>
    </row>
    <row r="903" spans="1:28" ht="15.75" customHeight="1" x14ac:dyDescent="0.2">
      <c r="A903" s="36" t="str">
        <f>HYPERLINK("https://www.ridgewater.edu", "Ridgewater College")</f>
        <v>Ridgewater College</v>
      </c>
      <c r="B903" s="18" t="s">
        <v>49</v>
      </c>
      <c r="C903" s="18" t="s">
        <v>72</v>
      </c>
      <c r="D903" s="18" t="s">
        <v>1647</v>
      </c>
      <c r="E903" s="18" t="s">
        <v>36</v>
      </c>
      <c r="F903" s="18" t="s">
        <v>36</v>
      </c>
      <c r="J903" s="19"/>
      <c r="K903" s="19">
        <v>0.42699999999999999</v>
      </c>
      <c r="L903" s="19">
        <v>0.34472511099999997</v>
      </c>
      <c r="M903" s="19">
        <v>0.46310000000000001</v>
      </c>
      <c r="N903" s="19">
        <v>0.2414</v>
      </c>
      <c r="O903" s="19">
        <v>0.26319999999999999</v>
      </c>
      <c r="P903" s="19">
        <v>0.66669999999999996</v>
      </c>
      <c r="Q903" s="19">
        <v>7.0912671999999996E-2</v>
      </c>
      <c r="R903" s="20">
        <v>19179</v>
      </c>
      <c r="S903" s="21" t="str">
        <f>HYPERLINK("https://www.minnstate.edu/admissions/calculator/ridgewater.html", "$13197")</f>
        <v>$13197</v>
      </c>
      <c r="T903" s="20">
        <v>15562</v>
      </c>
      <c r="U903" s="20">
        <v>17581</v>
      </c>
      <c r="V903" s="20">
        <v>5700</v>
      </c>
      <c r="W903" s="20">
        <v>7497.78947368421</v>
      </c>
      <c r="Y903" s="19">
        <v>0.35749999999999998</v>
      </c>
      <c r="Z903" s="19">
        <v>0.19040000000000001</v>
      </c>
      <c r="AB903" s="18">
        <v>2678</v>
      </c>
    </row>
    <row r="904" spans="1:28" ht="15.75" customHeight="1" x14ac:dyDescent="0.2">
      <c r="A904" s="36" t="str">
        <f>HYPERLINK("https://www.riohondo.edu", "Rio Hondo College")</f>
        <v>Rio Hondo College</v>
      </c>
      <c r="B904" s="18" t="s">
        <v>49</v>
      </c>
      <c r="C904" s="18" t="s">
        <v>68</v>
      </c>
      <c r="D904" s="18" t="s">
        <v>1415</v>
      </c>
      <c r="E904" s="18" t="s">
        <v>36</v>
      </c>
      <c r="F904" s="18" t="s">
        <v>36</v>
      </c>
      <c r="J904" s="19"/>
      <c r="K904" s="19">
        <v>0.19670000000000001</v>
      </c>
      <c r="L904" s="19">
        <v>5.3105737E-2</v>
      </c>
      <c r="M904" s="19">
        <v>6.6699999999999995E-2</v>
      </c>
      <c r="N904" s="19">
        <v>0</v>
      </c>
      <c r="O904" s="19">
        <v>0.1641</v>
      </c>
      <c r="P904" s="19">
        <v>0.49149999999999999</v>
      </c>
      <c r="Q904" s="19">
        <v>9.0724441000000003E-2</v>
      </c>
      <c r="R904" s="20">
        <v>25360</v>
      </c>
      <c r="S904" s="21" t="str">
        <f>HYPERLINK("https://www.riohondo.edu/financial-aid/", "$18327")</f>
        <v>$18327</v>
      </c>
      <c r="T904" s="20">
        <v>21428</v>
      </c>
      <c r="U904" s="20">
        <v>22276</v>
      </c>
      <c r="V904" s="20">
        <v>6430</v>
      </c>
      <c r="W904" s="20">
        <v>11897.1965648855</v>
      </c>
      <c r="Y904" s="19">
        <v>0.2382</v>
      </c>
      <c r="Z904" s="19">
        <v>0.92759999999999998</v>
      </c>
      <c r="AB904" s="18">
        <v>17807</v>
      </c>
    </row>
    <row r="905" spans="1:28" ht="15.75" customHeight="1" x14ac:dyDescent="0.2">
      <c r="A905" s="36" t="str">
        <f>HYPERLINK("https://www.rivervalley.edu", "River Valley Community College")</f>
        <v>River Valley Community College</v>
      </c>
      <c r="B905" s="18" t="s">
        <v>49</v>
      </c>
      <c r="C905" s="18" t="s">
        <v>101</v>
      </c>
      <c r="D905" s="18" t="s">
        <v>77</v>
      </c>
      <c r="E905" s="18" t="s">
        <v>36</v>
      </c>
      <c r="F905" s="18" t="s">
        <v>36</v>
      </c>
      <c r="J905" s="19"/>
      <c r="K905" s="19">
        <v>0.2407</v>
      </c>
      <c r="L905" s="19">
        <v>0.375</v>
      </c>
      <c r="M905" s="19">
        <v>0.27660000000000001</v>
      </c>
      <c r="N905" s="19" t="s">
        <v>36</v>
      </c>
      <c r="O905" s="19">
        <v>0</v>
      </c>
      <c r="P905" s="19">
        <v>0</v>
      </c>
      <c r="Q905" s="19">
        <v>6.8452380999999993E-2</v>
      </c>
      <c r="R905" s="20">
        <v>37439</v>
      </c>
      <c r="S905" s="21" t="str">
        <f>HYPERLINK("https://www.rivervalley.edu/admissions/financial-aid", "$33325")</f>
        <v>$33325</v>
      </c>
      <c r="T905" s="20">
        <v>37439</v>
      </c>
      <c r="U905" s="20">
        <v>37439</v>
      </c>
      <c r="V905" s="20">
        <v>9718</v>
      </c>
      <c r="W905" s="20">
        <v>23607.111111111109</v>
      </c>
      <c r="Y905" s="19">
        <v>0.4123</v>
      </c>
      <c r="Z905" s="19">
        <v>0.16180000000000011</v>
      </c>
      <c r="AB905" s="18">
        <v>754</v>
      </c>
    </row>
    <row r="906" spans="1:28" ht="15.75" customHeight="1" x14ac:dyDescent="0.2">
      <c r="A906" s="36" t="str">
        <f>HYPERLINK("https://www.rcc.edu/riverside/", "Riverside City College")</f>
        <v>Riverside City College</v>
      </c>
      <c r="B906" s="18" t="s">
        <v>49</v>
      </c>
      <c r="C906" s="18" t="s">
        <v>68</v>
      </c>
      <c r="D906" s="18" t="s">
        <v>392</v>
      </c>
      <c r="E906" s="18" t="s">
        <v>36</v>
      </c>
      <c r="F906" s="18" t="s">
        <v>36</v>
      </c>
      <c r="J906" s="19"/>
      <c r="K906" s="19">
        <v>0.27900000000000003</v>
      </c>
      <c r="L906" s="19">
        <v>8.1691772999999995E-2</v>
      </c>
      <c r="M906" s="19">
        <v>0.33329999999999999</v>
      </c>
      <c r="N906" s="19">
        <v>0.1842</v>
      </c>
      <c r="O906" s="19">
        <v>0.2319</v>
      </c>
      <c r="P906" s="19">
        <v>0.48309999999999997</v>
      </c>
      <c r="Q906" s="19">
        <v>0.10658042700000001</v>
      </c>
      <c r="R906" s="20">
        <v>31220</v>
      </c>
      <c r="S906" s="21" t="str">
        <f>HYPERLINK("https://misweb.cccco.edu/npc/961/npcalc.htm", "$24624")</f>
        <v>$24624</v>
      </c>
      <c r="T906" s="20">
        <v>27129</v>
      </c>
      <c r="U906" s="20">
        <v>27537</v>
      </c>
      <c r="V906" s="20">
        <v>6094</v>
      </c>
      <c r="W906" s="20">
        <v>18530.404980340762</v>
      </c>
      <c r="Y906" s="19">
        <v>0.31009999999999999</v>
      </c>
      <c r="Z906" s="19">
        <v>0.79630000000000001</v>
      </c>
      <c r="AB906" s="18">
        <v>18234</v>
      </c>
    </row>
    <row r="907" spans="1:28" ht="15.75" customHeight="1" x14ac:dyDescent="0.2">
      <c r="A907" s="36" t="str">
        <f>HYPERLINK("https://www.roanestate.edu", "Roane State Community College")</f>
        <v>Roane State Community College</v>
      </c>
      <c r="B907" s="18" t="s">
        <v>49</v>
      </c>
      <c r="C907" s="18" t="s">
        <v>174</v>
      </c>
      <c r="D907" s="18" t="s">
        <v>1648</v>
      </c>
      <c r="E907" s="18" t="s">
        <v>36</v>
      </c>
      <c r="F907" s="18" t="s">
        <v>36</v>
      </c>
      <c r="J907" s="19"/>
      <c r="K907" s="19">
        <v>0.29849999999999999</v>
      </c>
      <c r="L907" s="19">
        <v>0.19150468000000001</v>
      </c>
      <c r="M907" s="19">
        <v>0.31090000000000001</v>
      </c>
      <c r="N907" s="19">
        <v>0.125</v>
      </c>
      <c r="O907" s="19">
        <v>0.21429999999999999</v>
      </c>
      <c r="P907" s="19">
        <v>0.16669999999999999</v>
      </c>
      <c r="Q907" s="19">
        <v>9.2050209000000008E-2</v>
      </c>
      <c r="R907" s="20">
        <v>26048</v>
      </c>
      <c r="S907" s="21" t="str">
        <f>HYPERLINK("https://www.roanestate.edu/fa/netPriceCalculator", "$19098")</f>
        <v>$19098</v>
      </c>
      <c r="T907" s="20">
        <v>21644</v>
      </c>
      <c r="U907" s="20">
        <v>22156</v>
      </c>
      <c r="V907" s="20">
        <v>4754</v>
      </c>
      <c r="W907" s="20">
        <v>14344.19087136929</v>
      </c>
      <c r="Y907" s="19">
        <v>0.39090000000000003</v>
      </c>
      <c r="Z907" s="19">
        <v>0.1067</v>
      </c>
      <c r="AB907" s="18">
        <v>4272</v>
      </c>
    </row>
    <row r="908" spans="1:28" ht="15.75" customHeight="1" x14ac:dyDescent="0.2">
      <c r="A908" s="36" t="str">
        <f>HYPERLINK("https://www.robeson.edu", "Robeson Community College")</f>
        <v>Robeson Community College</v>
      </c>
      <c r="B908" s="18" t="s">
        <v>49</v>
      </c>
      <c r="C908" s="18" t="s">
        <v>103</v>
      </c>
      <c r="D908" s="18" t="s">
        <v>1649</v>
      </c>
      <c r="E908" s="18" t="s">
        <v>36</v>
      </c>
      <c r="F908" s="18" t="s">
        <v>36</v>
      </c>
      <c r="J908" s="19"/>
      <c r="K908" s="19">
        <v>0.23080000000000001</v>
      </c>
      <c r="L908" s="19">
        <v>0.13777267500000001</v>
      </c>
      <c r="M908" s="19">
        <v>0.42420000000000002</v>
      </c>
      <c r="N908" s="19">
        <v>0.1389</v>
      </c>
      <c r="O908" s="19">
        <v>0.5</v>
      </c>
      <c r="P908" s="19">
        <v>1</v>
      </c>
      <c r="Q908" s="19">
        <v>3.0155642E-2</v>
      </c>
      <c r="R908" s="20">
        <v>24435</v>
      </c>
      <c r="S908" s="21" t="str">
        <f>HYPERLINK("https://robeson.edu/wp-content/uploads/NetPriceCalculator/npcalc.htm", "$20030")</f>
        <v>$20030</v>
      </c>
      <c r="T908" s="20">
        <v>23805</v>
      </c>
      <c r="U908" s="20">
        <v>23903</v>
      </c>
      <c r="V908" s="20">
        <v>7370</v>
      </c>
      <c r="W908" s="20">
        <v>12660.308333333331</v>
      </c>
      <c r="Y908" s="19">
        <v>0.29139999999999999</v>
      </c>
      <c r="Z908" s="19">
        <v>0.8024</v>
      </c>
      <c r="AB908" s="18">
        <v>1513</v>
      </c>
    </row>
    <row r="909" spans="1:28" ht="15.75" customHeight="1" x14ac:dyDescent="0.2">
      <c r="A909" s="36" t="str">
        <f>HYPERLINK("https://www.rctc.edu/", "Rochester Community and Technical College")</f>
        <v>Rochester Community and Technical College</v>
      </c>
      <c r="B909" s="18" t="s">
        <v>49</v>
      </c>
      <c r="C909" s="18" t="s">
        <v>72</v>
      </c>
      <c r="D909" s="18" t="s">
        <v>170</v>
      </c>
      <c r="E909" s="18" t="s">
        <v>36</v>
      </c>
      <c r="F909" s="18" t="s">
        <v>36</v>
      </c>
      <c r="J909" s="19"/>
      <c r="K909" s="19">
        <v>0.22459999999999999</v>
      </c>
      <c r="L909" s="19">
        <v>0.26694045199999999</v>
      </c>
      <c r="M909" s="19">
        <v>0.26029999999999998</v>
      </c>
      <c r="N909" s="19">
        <v>9.4E-2</v>
      </c>
      <c r="O909" s="19">
        <v>0.1429</v>
      </c>
      <c r="P909" s="19">
        <v>0.30430000000000001</v>
      </c>
      <c r="Q909" s="19">
        <v>8.1642751E-2</v>
      </c>
      <c r="R909" s="20">
        <v>22336</v>
      </c>
      <c r="S909" s="21" t="str">
        <f>HYPERLINK("https://www.minnstate.edu/admissions/calculator/rochester.html", "$16670")</f>
        <v>$16670</v>
      </c>
      <c r="T909" s="20">
        <v>18323</v>
      </c>
      <c r="U909" s="20">
        <v>21063</v>
      </c>
      <c r="V909" s="20">
        <v>9500</v>
      </c>
      <c r="W909" s="20">
        <v>7170.2895927601821</v>
      </c>
      <c r="Y909" s="19">
        <v>0.35170000000000001</v>
      </c>
      <c r="Z909" s="19">
        <v>0.30690000000000001</v>
      </c>
      <c r="AB909" s="18">
        <v>4204</v>
      </c>
    </row>
    <row r="910" spans="1:28" ht="15.75" customHeight="1" x14ac:dyDescent="0.2">
      <c r="A910" s="36" t="str">
        <f>HYPERLINK("https://www.rockvalleycollege.edu", "Rock Valley College")</f>
        <v>Rock Valley College</v>
      </c>
      <c r="B910" s="18" t="s">
        <v>49</v>
      </c>
      <c r="C910" s="18" t="s">
        <v>137</v>
      </c>
      <c r="D910" s="18" t="s">
        <v>1088</v>
      </c>
      <c r="E910" s="18" t="s">
        <v>36</v>
      </c>
      <c r="F910" s="18" t="s">
        <v>36</v>
      </c>
      <c r="J910" s="19"/>
      <c r="K910" s="19">
        <v>0.31059999999999999</v>
      </c>
      <c r="L910" s="19">
        <v>0.160910518</v>
      </c>
      <c r="M910" s="19">
        <v>0.33040000000000003</v>
      </c>
      <c r="N910" s="19">
        <v>0.11899999999999999</v>
      </c>
      <c r="O910" s="19">
        <v>0.32</v>
      </c>
      <c r="P910" s="19">
        <v>0.3125</v>
      </c>
      <c r="Q910" s="19">
        <v>9.9204243999999997E-2</v>
      </c>
      <c r="R910" s="20">
        <v>26866</v>
      </c>
      <c r="S910" s="21" t="str">
        <f>HYPERLINK("https://apps.rockvalleycollege.edu/assets/NetPriceCalc/npcalc.htm", "$21390")</f>
        <v>$21390</v>
      </c>
      <c r="T910" s="20">
        <v>23991</v>
      </c>
      <c r="U910" s="20">
        <v>25064</v>
      </c>
      <c r="V910" s="20">
        <v>4028</v>
      </c>
      <c r="W910" s="20">
        <v>17362.882352941171</v>
      </c>
      <c r="Y910" s="19">
        <v>0.28410000000000002</v>
      </c>
      <c r="Z910" s="19">
        <v>0.3629</v>
      </c>
      <c r="AB910" s="18">
        <v>5732</v>
      </c>
    </row>
    <row r="911" spans="1:28" ht="15.75" customHeight="1" x14ac:dyDescent="0.2">
      <c r="A911" s="36" t="str">
        <f>HYPERLINK("https://www.rockinghamcc.edu", "Rockingham Community College")</f>
        <v>Rockingham Community College</v>
      </c>
      <c r="B911" s="18" t="s">
        <v>49</v>
      </c>
      <c r="C911" s="18" t="s">
        <v>103</v>
      </c>
      <c r="D911" s="18" t="s">
        <v>1650</v>
      </c>
      <c r="E911" s="18" t="s">
        <v>36</v>
      </c>
      <c r="F911" s="18" t="s">
        <v>36</v>
      </c>
      <c r="J911" s="19"/>
      <c r="K911" s="19">
        <v>0.25430000000000003</v>
      </c>
      <c r="L911" s="19">
        <v>0.18229166699999999</v>
      </c>
      <c r="M911" s="19">
        <v>0.30819999999999997</v>
      </c>
      <c r="N911" s="19">
        <v>0.1429</v>
      </c>
      <c r="O911" s="19">
        <v>0.33329999999999999</v>
      </c>
      <c r="P911" s="19">
        <v>0</v>
      </c>
      <c r="Q911" s="19">
        <v>2.8205127999999999E-2</v>
      </c>
      <c r="R911" s="20">
        <v>20198</v>
      </c>
      <c r="S911" s="21" t="str">
        <f>HYPERLINK("https://www.rockinghamcc.edu/NetCal/npcalc.htm", "$14451")</f>
        <v>$14451</v>
      </c>
      <c r="T911" s="20">
        <v>16289</v>
      </c>
      <c r="U911" s="20">
        <v>16652</v>
      </c>
      <c r="V911" s="20">
        <v>6050</v>
      </c>
      <c r="W911" s="20">
        <v>8401.3333333333321</v>
      </c>
      <c r="Y911" s="19">
        <v>0.35980000000000001</v>
      </c>
      <c r="Z911" s="19">
        <v>0.31400000000000011</v>
      </c>
      <c r="AB911" s="18">
        <v>1465</v>
      </c>
    </row>
    <row r="912" spans="1:28" ht="15.75" customHeight="1" x14ac:dyDescent="0.2">
      <c r="A912" s="36" t="str">
        <f>HYPERLINK("https://www.sunyrockland.edu/", "SUNY Rockland Community College")</f>
        <v>SUNY Rockland Community College</v>
      </c>
      <c r="B912" s="18" t="s">
        <v>49</v>
      </c>
      <c r="C912" s="18" t="s">
        <v>38</v>
      </c>
      <c r="D912" s="18" t="s">
        <v>1651</v>
      </c>
      <c r="E912" s="18" t="s">
        <v>36</v>
      </c>
      <c r="F912" s="18" t="s">
        <v>36</v>
      </c>
      <c r="J912" s="19"/>
      <c r="K912" s="19">
        <v>0.2777</v>
      </c>
      <c r="L912" s="19">
        <v>0.188466948</v>
      </c>
      <c r="M912" s="19">
        <v>0.30830000000000002</v>
      </c>
      <c r="N912" s="19">
        <v>0.18690000000000001</v>
      </c>
      <c r="O912" s="19">
        <v>0.30349999999999999</v>
      </c>
      <c r="P912" s="19">
        <v>0.3286</v>
      </c>
      <c r="Q912" s="19">
        <v>0.14360119099999999</v>
      </c>
      <c r="R912" s="20">
        <v>19807</v>
      </c>
      <c r="S912" s="21" t="str">
        <f>HYPERLINK("https://www.sunyrockland.edu/admissions/financial-aid/suny-net-price-cost-calculator", "$7784")</f>
        <v>$7784</v>
      </c>
      <c r="T912" s="20">
        <v>11395</v>
      </c>
      <c r="U912" s="20">
        <v>13881</v>
      </c>
      <c r="V912" s="20">
        <v>4390</v>
      </c>
      <c r="W912" s="20">
        <v>3394</v>
      </c>
      <c r="Y912" s="19">
        <v>0.25940000000000002</v>
      </c>
      <c r="Z912" s="19">
        <v>0.63060000000000005</v>
      </c>
      <c r="AB912" s="18">
        <v>5595</v>
      </c>
    </row>
    <row r="913" spans="1:28" ht="15.75" customHeight="1" x14ac:dyDescent="0.2">
      <c r="A913" s="36" t="str">
        <f>HYPERLINK("https://www.rose.edu", "Rose State College")</f>
        <v>Rose State College</v>
      </c>
      <c r="B913" s="18" t="s">
        <v>49</v>
      </c>
      <c r="C913" s="18" t="s">
        <v>290</v>
      </c>
      <c r="D913" s="18" t="s">
        <v>1652</v>
      </c>
      <c r="E913" s="18" t="s">
        <v>36</v>
      </c>
      <c r="F913" s="18" t="s">
        <v>36</v>
      </c>
      <c r="J913" s="19"/>
      <c r="K913" s="19">
        <v>0.18759999999999999</v>
      </c>
      <c r="L913" s="19">
        <v>9.4784071999999997E-2</v>
      </c>
      <c r="M913" s="19">
        <v>0.23749999999999999</v>
      </c>
      <c r="N913" s="19">
        <v>9.7699999999999995E-2</v>
      </c>
      <c r="O913" s="19">
        <v>9.5200000000000007E-2</v>
      </c>
      <c r="P913" s="19">
        <v>0.18179999999999999</v>
      </c>
      <c r="Q913" s="19">
        <v>9.0737239999999997E-2</v>
      </c>
      <c r="R913" s="20">
        <v>26438</v>
      </c>
      <c r="S913" s="21" t="str">
        <f>HYPERLINK("https://www.rose.edu/content/admissions-aid/financial-aid-scholarships/net-price-calculator/", "$20715")</f>
        <v>$20715</v>
      </c>
      <c r="T913" s="20">
        <v>22773</v>
      </c>
      <c r="U913" s="20">
        <v>23952</v>
      </c>
      <c r="V913" s="20">
        <v>6364</v>
      </c>
      <c r="W913" s="20">
        <v>14351.004618937641</v>
      </c>
      <c r="Y913" s="19">
        <v>0.36109999999999998</v>
      </c>
      <c r="Z913" s="19">
        <v>0.47610000000000002</v>
      </c>
      <c r="AB913" s="18">
        <v>5982</v>
      </c>
    </row>
    <row r="914" spans="1:28" ht="15.75" customHeight="1" x14ac:dyDescent="0.2">
      <c r="A914" s="36" t="str">
        <f>HYPERLINK("https://www.rosedale.edu", "Rosedale Bible College")</f>
        <v>Rosedale Bible College</v>
      </c>
      <c r="B914" s="18" t="s">
        <v>32</v>
      </c>
      <c r="C914" s="18" t="s">
        <v>75</v>
      </c>
      <c r="D914" s="18" t="s">
        <v>1653</v>
      </c>
      <c r="E914" s="18" t="s">
        <v>36</v>
      </c>
      <c r="F914" s="18" t="s">
        <v>36</v>
      </c>
      <c r="J914" s="19"/>
      <c r="K914" s="19">
        <v>0.5</v>
      </c>
      <c r="L914" s="19" t="s">
        <v>36</v>
      </c>
      <c r="M914" s="19">
        <v>0.48280000000000001</v>
      </c>
      <c r="N914" s="19" t="s">
        <v>36</v>
      </c>
      <c r="O914" s="19" t="s">
        <v>36</v>
      </c>
      <c r="P914" s="19" t="s">
        <v>36</v>
      </c>
      <c r="Q914" s="19" t="s">
        <v>36</v>
      </c>
      <c r="R914" s="20">
        <v>20798</v>
      </c>
      <c r="S914" s="21" t="str">
        <f>HYPERLINK("https://www.rosedale.edu/financial-aid/net-price-calculator/", "$11867")</f>
        <v>$11867</v>
      </c>
      <c r="T914" s="20">
        <v>15383</v>
      </c>
      <c r="U914" s="20">
        <v>16805</v>
      </c>
      <c r="V914" s="20">
        <v>6392</v>
      </c>
      <c r="W914" s="20">
        <v>5475</v>
      </c>
      <c r="Y914" s="19">
        <v>0.47620000000000001</v>
      </c>
      <c r="Z914" s="19">
        <v>2.1299999999999989E-2</v>
      </c>
      <c r="AB914" s="18">
        <v>47</v>
      </c>
    </row>
    <row r="915" spans="1:28" ht="15.75" customHeight="1" x14ac:dyDescent="0.2">
      <c r="A915" s="36" t="str">
        <f>HYPERLINK("https://www.rosedaletech.org", "Rosedale Technical College")</f>
        <v>Rosedale Technical College</v>
      </c>
      <c r="B915" s="18" t="s">
        <v>32</v>
      </c>
      <c r="C915" s="18" t="s">
        <v>65</v>
      </c>
      <c r="D915" s="18" t="s">
        <v>74</v>
      </c>
      <c r="E915" s="18" t="s">
        <v>36</v>
      </c>
      <c r="F915" s="18" t="s">
        <v>36</v>
      </c>
      <c r="J915" s="19"/>
      <c r="K915" s="19">
        <v>0.72460000000000002</v>
      </c>
      <c r="L915" s="19">
        <v>0.49743589700000002</v>
      </c>
      <c r="M915" s="19">
        <v>0.75860000000000005</v>
      </c>
      <c r="N915" s="19">
        <v>0.5</v>
      </c>
      <c r="O915" s="19" t="s">
        <v>36</v>
      </c>
      <c r="P915" s="19">
        <v>1</v>
      </c>
      <c r="Q915" s="19" t="s">
        <v>36</v>
      </c>
      <c r="R915" s="20">
        <v>30230</v>
      </c>
      <c r="S915" s="21" t="str">
        <f>HYPERLINK("https://www.rosedaletech.org", "$11540")</f>
        <v>$11540</v>
      </c>
      <c r="T915" s="20">
        <v>14923</v>
      </c>
      <c r="U915" s="20">
        <v>18580</v>
      </c>
      <c r="V915" s="20">
        <v>8000</v>
      </c>
      <c r="W915" s="20">
        <v>3540</v>
      </c>
      <c r="Y915" s="19">
        <v>0.57430000000000003</v>
      </c>
      <c r="Z915" s="19">
        <v>0.1371</v>
      </c>
      <c r="AB915" s="18">
        <v>372</v>
      </c>
    </row>
    <row r="916" spans="1:28" ht="15.75" customHeight="1" x14ac:dyDescent="0.2">
      <c r="A916" s="36" t="str">
        <f>HYPERLINK("https://www.rcbc.edu", "Rowan College at Burlington County")</f>
        <v>Rowan College at Burlington County</v>
      </c>
      <c r="B916" s="18" t="s">
        <v>49</v>
      </c>
      <c r="C916" s="18" t="s">
        <v>141</v>
      </c>
      <c r="D916" s="18" t="s">
        <v>1654</v>
      </c>
      <c r="E916" s="18" t="s">
        <v>36</v>
      </c>
      <c r="F916" s="18" t="s">
        <v>36</v>
      </c>
      <c r="J916" s="19"/>
      <c r="K916" s="19">
        <v>0.23930000000000001</v>
      </c>
      <c r="L916" s="19">
        <v>0.159471366</v>
      </c>
      <c r="M916" s="19">
        <v>0.28050000000000003</v>
      </c>
      <c r="N916" s="19">
        <v>0.12870000000000001</v>
      </c>
      <c r="O916" s="19">
        <v>0.16669999999999999</v>
      </c>
      <c r="P916" s="19">
        <v>0.33329999999999999</v>
      </c>
      <c r="Q916" s="19">
        <v>0.11142587399999999</v>
      </c>
      <c r="R916" s="20">
        <v>21105</v>
      </c>
      <c r="S916" s="21" t="str">
        <f>HYPERLINK("https://staff.rcbc.edu/finaid/netprice2016/npcalc.htm", "$15350")</f>
        <v>$15350</v>
      </c>
      <c r="T916" s="20">
        <v>18130</v>
      </c>
      <c r="U916" s="20">
        <v>20344</v>
      </c>
      <c r="V916" s="20">
        <v>4710</v>
      </c>
      <c r="W916" s="20">
        <v>10640.623404255321</v>
      </c>
      <c r="Y916" s="19">
        <v>0.29659999999999997</v>
      </c>
      <c r="Z916" s="19">
        <v>0.45950000000000002</v>
      </c>
      <c r="AB916" s="18">
        <v>8176</v>
      </c>
    </row>
    <row r="917" spans="1:28" ht="15.75" customHeight="1" x14ac:dyDescent="0.2">
      <c r="A917" s="36" t="str">
        <f>HYPERLINK("https://www.rcgc.edu", "Rowan College at Gloucester County")</f>
        <v>Rowan College at Gloucester County</v>
      </c>
      <c r="B917" s="18" t="s">
        <v>49</v>
      </c>
      <c r="C917" s="18" t="s">
        <v>141</v>
      </c>
      <c r="D917" s="18" t="s">
        <v>1655</v>
      </c>
      <c r="E917" s="18" t="s">
        <v>36</v>
      </c>
      <c r="F917" s="18" t="s">
        <v>36</v>
      </c>
      <c r="J917" s="19"/>
      <c r="K917" s="19">
        <v>0.25390000000000001</v>
      </c>
      <c r="L917" s="19">
        <v>0.20905923300000001</v>
      </c>
      <c r="M917" s="19">
        <v>0.30159999999999998</v>
      </c>
      <c r="N917" s="19">
        <v>9.7600000000000006E-2</v>
      </c>
      <c r="O917" s="19">
        <v>0.1678</v>
      </c>
      <c r="P917" s="19">
        <v>0.2059</v>
      </c>
      <c r="Q917" s="19">
        <v>9.2948718000000013E-2</v>
      </c>
      <c r="R917" s="20">
        <v>23730</v>
      </c>
      <c r="S917" s="21" t="str">
        <f>HYPERLINK("https://npc.collegeboard.org/student/app/gccnj", "$19449")</f>
        <v>$19449</v>
      </c>
      <c r="T917" s="20">
        <v>21132</v>
      </c>
      <c r="U917" s="20">
        <v>23272</v>
      </c>
      <c r="V917" s="20">
        <v>4482</v>
      </c>
      <c r="W917" s="20">
        <v>14967.80937167199</v>
      </c>
      <c r="Y917" s="19">
        <v>0.30399999999999999</v>
      </c>
      <c r="Z917" s="19">
        <v>0.34300000000000003</v>
      </c>
      <c r="AB917" s="18">
        <v>6186</v>
      </c>
    </row>
    <row r="918" spans="1:28" ht="15.75" customHeight="1" x14ac:dyDescent="0.2">
      <c r="A918" s="36" t="str">
        <f>HYPERLINK("https://www.rccc.edu/", "Rowan-Cabarrus Community College")</f>
        <v>Rowan-Cabarrus Community College</v>
      </c>
      <c r="B918" s="18" t="s">
        <v>49</v>
      </c>
      <c r="C918" s="18" t="s">
        <v>103</v>
      </c>
      <c r="D918" s="18" t="s">
        <v>469</v>
      </c>
      <c r="E918" s="18" t="s">
        <v>36</v>
      </c>
      <c r="F918" s="18" t="s">
        <v>36</v>
      </c>
      <c r="J918" s="19"/>
      <c r="K918" s="19">
        <v>0.17630000000000001</v>
      </c>
      <c r="L918" s="19">
        <v>3.4942820999999999E-2</v>
      </c>
      <c r="M918" s="19">
        <v>0.193</v>
      </c>
      <c r="N918" s="19">
        <v>9.8900000000000002E-2</v>
      </c>
      <c r="O918" s="19">
        <v>0.19120000000000001</v>
      </c>
      <c r="P918" s="19">
        <v>0.5</v>
      </c>
      <c r="Q918" s="19">
        <v>7.5736324999999993E-2</v>
      </c>
      <c r="R918" s="20">
        <v>21670</v>
      </c>
      <c r="S918" s="21" t="str">
        <f>HYPERLINK("https://www.rccc.edu/financialaid/net-price-calculator/", "$16145")</f>
        <v>$16145</v>
      </c>
      <c r="T918" s="20">
        <v>16790</v>
      </c>
      <c r="U918" s="20">
        <v>17895</v>
      </c>
      <c r="V918" s="20">
        <v>4400</v>
      </c>
      <c r="W918" s="20">
        <v>11745.267267267271</v>
      </c>
      <c r="Y918" s="19">
        <v>0.63980000000000004</v>
      </c>
      <c r="Z918" s="19">
        <v>0.38890000000000002</v>
      </c>
      <c r="AB918" s="18">
        <v>4171</v>
      </c>
    </row>
    <row r="919" spans="1:28" ht="15.75" customHeight="1" x14ac:dyDescent="0.2">
      <c r="A919" s="36" t="str">
        <f>HYPERLINK("https://www.rcc.mass.edu", "Roxbury Community College")</f>
        <v>Roxbury Community College</v>
      </c>
      <c r="B919" s="18" t="s">
        <v>49</v>
      </c>
      <c r="C919" s="18" t="s">
        <v>33</v>
      </c>
      <c r="D919" s="18" t="s">
        <v>1656</v>
      </c>
      <c r="E919" s="18" t="s">
        <v>36</v>
      </c>
      <c r="F919" s="18" t="s">
        <v>36</v>
      </c>
      <c r="J919" s="19"/>
      <c r="K919" s="19">
        <v>6.25E-2</v>
      </c>
      <c r="L919" s="19">
        <v>0.12027027</v>
      </c>
      <c r="M919" s="19">
        <v>0</v>
      </c>
      <c r="N919" s="19">
        <v>7.46E-2</v>
      </c>
      <c r="O919" s="19">
        <v>0</v>
      </c>
      <c r="P919" s="19">
        <v>0</v>
      </c>
      <c r="Q919" s="19">
        <v>7.8091105999999993E-2</v>
      </c>
      <c r="R919" s="20">
        <v>24174</v>
      </c>
      <c r="S919" s="21" t="str">
        <f>HYPERLINK("https://www.rcc.mass.edu/netpricecalc/", "$18191")</f>
        <v>$18191</v>
      </c>
      <c r="T919" s="20">
        <v>21846</v>
      </c>
      <c r="U919" s="20" t="s">
        <v>36</v>
      </c>
      <c r="V919" s="20">
        <v>4446</v>
      </c>
      <c r="W919" s="20">
        <v>13745.63157894737</v>
      </c>
      <c r="Y919" s="19">
        <v>0.77449999999999997</v>
      </c>
      <c r="Z919" s="19">
        <v>0.9395</v>
      </c>
      <c r="AB919" s="18">
        <v>1834</v>
      </c>
    </row>
    <row r="920" spans="1:28" ht="15.75" customHeight="1" x14ac:dyDescent="0.2">
      <c r="A920" s="36" t="str">
        <f>HYPERLINK("https://sabercollege.edu", "SABER College")</f>
        <v>SABER College</v>
      </c>
      <c r="B920" s="18" t="s">
        <v>32</v>
      </c>
      <c r="C920" s="18" t="s">
        <v>162</v>
      </c>
      <c r="D920" s="18" t="s">
        <v>359</v>
      </c>
      <c r="E920" s="18" t="s">
        <v>36</v>
      </c>
      <c r="F920" s="18" t="s">
        <v>45</v>
      </c>
      <c r="J920" s="19"/>
      <c r="K920" s="19">
        <v>0.88680000000000003</v>
      </c>
      <c r="L920" s="19">
        <v>0.643939394</v>
      </c>
      <c r="M920" s="19" t="s">
        <v>36</v>
      </c>
      <c r="N920" s="19">
        <v>1</v>
      </c>
      <c r="O920" s="19">
        <v>0.88</v>
      </c>
      <c r="P920" s="19" t="s">
        <v>36</v>
      </c>
      <c r="Q920" s="19" t="s">
        <v>36</v>
      </c>
      <c r="R920" s="20" t="s">
        <v>36</v>
      </c>
      <c r="S920" s="21" t="str">
        <f>HYPERLINK("https://sabercollege.edu/sabcol_net_price_calc.htm", "$15781")</f>
        <v>$15781</v>
      </c>
      <c r="T920" s="20" t="s">
        <v>36</v>
      </c>
      <c r="U920" s="20" t="s">
        <v>36</v>
      </c>
      <c r="V920" s="20" t="s">
        <v>36</v>
      </c>
      <c r="W920" s="20" t="s">
        <v>36</v>
      </c>
      <c r="Y920" s="19">
        <v>0.8548</v>
      </c>
      <c r="Z920" s="19">
        <v>0.99709999999999999</v>
      </c>
      <c r="AB920" s="18">
        <v>342</v>
      </c>
    </row>
    <row r="921" spans="1:28" ht="15.75" customHeight="1" x14ac:dyDescent="0.2">
      <c r="A921" s="36" t="str">
        <f>HYPERLINK("https://www.usa.sae.edu", "SAE Institute of Technology-Atlanta")</f>
        <v>SAE Institute of Technology-Atlanta</v>
      </c>
      <c r="B921" s="18" t="s">
        <v>368</v>
      </c>
      <c r="C921" s="18" t="s">
        <v>107</v>
      </c>
      <c r="D921" s="18" t="s">
        <v>108</v>
      </c>
      <c r="E921" s="18" t="s">
        <v>36</v>
      </c>
      <c r="F921" s="18" t="s">
        <v>36</v>
      </c>
      <c r="J921" s="19"/>
      <c r="K921" s="19">
        <v>0.4239</v>
      </c>
      <c r="L921" s="19" t="s">
        <v>36</v>
      </c>
      <c r="M921" s="19">
        <v>0.81820000000000004</v>
      </c>
      <c r="N921" s="19">
        <v>0.38040000000000002</v>
      </c>
      <c r="O921" s="19">
        <v>0.5</v>
      </c>
      <c r="P921" s="19">
        <v>0.66669999999999996</v>
      </c>
      <c r="Q921" s="19" t="s">
        <v>36</v>
      </c>
      <c r="R921" s="20" t="s">
        <v>36</v>
      </c>
      <c r="S921" s="21" t="str">
        <f>HYPERLINK("https://usa.sae.edu/assets/Financial-Aid-Docs/Financial-Aid-Atlanta.pdf", "$21688")</f>
        <v>$21688</v>
      </c>
      <c r="T921" s="20">
        <v>22926</v>
      </c>
      <c r="U921" s="20">
        <v>23537</v>
      </c>
      <c r="V921" s="20" t="s">
        <v>36</v>
      </c>
      <c r="W921" s="20" t="s">
        <v>36</v>
      </c>
      <c r="Y921" s="19">
        <v>0.75629999999999997</v>
      </c>
      <c r="Z921" s="19">
        <v>0.96260000000000001</v>
      </c>
      <c r="AB921" s="18">
        <v>374</v>
      </c>
    </row>
    <row r="922" spans="1:28" ht="15.75" customHeight="1" x14ac:dyDescent="0.2">
      <c r="A922" s="36" t="str">
        <f>HYPERLINK("https://CHICAGO.SAE.EDU", "SAE Institute of Technology-Chicago")</f>
        <v>SAE Institute of Technology-Chicago</v>
      </c>
      <c r="B922" s="18" t="s">
        <v>368</v>
      </c>
      <c r="C922" s="18" t="s">
        <v>137</v>
      </c>
      <c r="D922" s="18" t="s">
        <v>161</v>
      </c>
      <c r="E922" s="18" t="s">
        <v>36</v>
      </c>
      <c r="F922" s="18" t="s">
        <v>36</v>
      </c>
      <c r="J922" s="19"/>
      <c r="K922" s="19">
        <v>0.4662</v>
      </c>
      <c r="L922" s="19">
        <v>0.68181818199999999</v>
      </c>
      <c r="M922" s="19">
        <v>0.625</v>
      </c>
      <c r="N922" s="19">
        <v>0.39129999999999998</v>
      </c>
      <c r="O922" s="19">
        <v>0.39129999999999998</v>
      </c>
      <c r="P922" s="19">
        <v>0.75</v>
      </c>
      <c r="Q922" s="19" t="s">
        <v>36</v>
      </c>
      <c r="R922" s="20" t="s">
        <v>36</v>
      </c>
      <c r="S922" s="21" t="str">
        <f>HYPERLINK("https://usa.sae.edu/assets/NPC/npc_sf.htm", "$24644")</f>
        <v>$24644</v>
      </c>
      <c r="T922" s="20">
        <v>26402</v>
      </c>
      <c r="U922" s="20">
        <v>27567</v>
      </c>
      <c r="V922" s="20" t="s">
        <v>36</v>
      </c>
      <c r="W922" s="20" t="s">
        <v>36</v>
      </c>
      <c r="Y922" s="19">
        <v>0.71840000000000004</v>
      </c>
      <c r="Z922" s="19">
        <v>0.79369999999999996</v>
      </c>
      <c r="AB922" s="18">
        <v>189</v>
      </c>
    </row>
    <row r="923" spans="1:28" ht="15.75" customHeight="1" x14ac:dyDescent="0.2">
      <c r="A923" s="36" t="str">
        <f>HYPERLINK("https://www.nashville.sae.edu", "SAE Institute of Technology-Nashville")</f>
        <v>SAE Institute of Technology-Nashville</v>
      </c>
      <c r="B923" s="18" t="s">
        <v>368</v>
      </c>
      <c r="C923" s="18" t="s">
        <v>174</v>
      </c>
      <c r="D923" s="18" t="s">
        <v>175</v>
      </c>
      <c r="E923" s="18" t="s">
        <v>36</v>
      </c>
      <c r="F923" s="18" t="s">
        <v>36</v>
      </c>
      <c r="J923" s="19"/>
      <c r="K923" s="19">
        <v>0.67689999999999995</v>
      </c>
      <c r="L923" s="19">
        <v>0.68181818199999999</v>
      </c>
      <c r="M923" s="19">
        <v>0.69700000000000006</v>
      </c>
      <c r="N923" s="19">
        <v>0.65380000000000005</v>
      </c>
      <c r="O923" s="19">
        <v>1</v>
      </c>
      <c r="P923" s="19" t="s">
        <v>36</v>
      </c>
      <c r="Q923" s="19" t="s">
        <v>36</v>
      </c>
      <c r="R923" s="20">
        <v>41636</v>
      </c>
      <c r="S923" s="21" t="str">
        <f>HYPERLINK("https://sae-usa.com/netpricecalculator/nash/npcalc.htm", "$37308")</f>
        <v>$37308</v>
      </c>
      <c r="T923" s="20">
        <v>39148</v>
      </c>
      <c r="U923" s="20">
        <v>41636</v>
      </c>
      <c r="V923" s="20">
        <v>6575</v>
      </c>
      <c r="W923" s="20">
        <v>30733</v>
      </c>
      <c r="Y923" s="19">
        <v>0.63919999999999999</v>
      </c>
      <c r="Z923" s="19">
        <v>0.625</v>
      </c>
      <c r="AB923" s="18">
        <v>192</v>
      </c>
    </row>
    <row r="924" spans="1:28" ht="15.75" customHeight="1" x14ac:dyDescent="0.2">
      <c r="A924" s="36" t="str">
        <f>HYPERLINK("https://WWW.SUNYBROOME.EDU", "SUNY Broome Community College")</f>
        <v>SUNY Broome Community College</v>
      </c>
      <c r="B924" s="18" t="s">
        <v>49</v>
      </c>
      <c r="C924" s="18" t="s">
        <v>38</v>
      </c>
      <c r="D924" s="18" t="s">
        <v>1657</v>
      </c>
      <c r="E924" s="18" t="s">
        <v>36</v>
      </c>
      <c r="F924" s="18" t="s">
        <v>36</v>
      </c>
      <c r="G924" s="18" t="s">
        <v>51</v>
      </c>
      <c r="H924" s="18" t="s">
        <v>459</v>
      </c>
      <c r="I924" s="18" t="s">
        <v>1658</v>
      </c>
      <c r="J924" s="19"/>
      <c r="K924" s="19">
        <v>0.26540000000000002</v>
      </c>
      <c r="L924" s="19">
        <v>0.247272727</v>
      </c>
      <c r="M924" s="19">
        <v>0.35639999999999999</v>
      </c>
      <c r="N924" s="19">
        <v>0.1132</v>
      </c>
      <c r="O924" s="19">
        <v>0.187</v>
      </c>
      <c r="P924" s="19">
        <v>0.125</v>
      </c>
      <c r="Q924" s="19">
        <v>7.8304238999999998E-2</v>
      </c>
      <c r="R924" s="20">
        <v>19963</v>
      </c>
      <c r="S924" s="21" t="str">
        <f>HYPERLINK("https://www.suny.edu/howmuch/", "$5098")</f>
        <v>$5098</v>
      </c>
      <c r="T924" s="20">
        <v>9858</v>
      </c>
      <c r="U924" s="20">
        <v>12121</v>
      </c>
      <c r="V924" s="20">
        <v>2904</v>
      </c>
      <c r="W924" s="20">
        <v>2194</v>
      </c>
      <c r="Y924" s="19">
        <v>0.50700000000000001</v>
      </c>
      <c r="Z924" s="19">
        <v>0.42580000000000001</v>
      </c>
      <c r="AB924" s="18">
        <v>5228</v>
      </c>
    </row>
    <row r="925" spans="1:28" ht="15.75" customHeight="1" x14ac:dyDescent="0.2">
      <c r="A925" s="36" t="str">
        <f>HYPERLINK("https://www.alfredstate.edu", "SUNY College of Technology at Alfred")</f>
        <v>SUNY College of Technology at Alfred</v>
      </c>
      <c r="B925" s="18" t="s">
        <v>49</v>
      </c>
      <c r="C925" s="18" t="s">
        <v>38</v>
      </c>
      <c r="D925" s="18" t="s">
        <v>292</v>
      </c>
      <c r="E925" s="18">
        <v>1049</v>
      </c>
      <c r="F925" s="18" t="s">
        <v>35</v>
      </c>
      <c r="G925" s="18" t="s">
        <v>51</v>
      </c>
      <c r="H925" s="18" t="s">
        <v>1659</v>
      </c>
      <c r="I925" s="18" t="s">
        <v>1324</v>
      </c>
      <c r="J925" s="19"/>
      <c r="K925" s="19">
        <v>0.52</v>
      </c>
      <c r="L925" s="19">
        <v>0.392578125</v>
      </c>
      <c r="M925" s="19">
        <v>0.57330000000000003</v>
      </c>
      <c r="N925" s="19">
        <v>0.28039999999999998</v>
      </c>
      <c r="O925" s="19">
        <v>0.33329999999999999</v>
      </c>
      <c r="P925" s="19">
        <v>0.33329999999999999</v>
      </c>
      <c r="Q925" s="19">
        <v>7.4125874000000008E-2</v>
      </c>
      <c r="R925" s="20">
        <v>24859</v>
      </c>
      <c r="S925" s="21" t="str">
        <f>HYPERLINK("https://www.alfredstate.edu/financial-aid/tuition/net-price-calculator", "$12715")</f>
        <v>$12715</v>
      </c>
      <c r="T925" s="20">
        <v>18290</v>
      </c>
      <c r="U925" s="20">
        <v>20695</v>
      </c>
      <c r="V925" s="20">
        <v>4282</v>
      </c>
      <c r="W925" s="20">
        <v>8433</v>
      </c>
      <c r="Y925" s="19">
        <v>0.52070000000000005</v>
      </c>
      <c r="Z925" s="19">
        <v>0.2772</v>
      </c>
      <c r="AB925" s="18">
        <v>3665</v>
      </c>
    </row>
    <row r="926" spans="1:28" ht="15.75" customHeight="1" x14ac:dyDescent="0.2">
      <c r="A926" s="36" t="str">
        <f>HYPERLINK("https://www.delhi.edu", "SUNY College of Technology at Delhi")</f>
        <v>SUNY College of Technology at Delhi</v>
      </c>
      <c r="B926" s="18" t="s">
        <v>49</v>
      </c>
      <c r="C926" s="18" t="s">
        <v>38</v>
      </c>
      <c r="D926" s="18" t="s">
        <v>1660</v>
      </c>
      <c r="E926" s="18" t="s">
        <v>36</v>
      </c>
      <c r="F926" s="18" t="s">
        <v>90</v>
      </c>
      <c r="G926" s="18" t="s">
        <v>51</v>
      </c>
      <c r="H926" s="18" t="s">
        <v>1661</v>
      </c>
      <c r="I926" s="18" t="s">
        <v>1662</v>
      </c>
      <c r="J926" s="19"/>
      <c r="K926" s="19">
        <v>0.44169999999999998</v>
      </c>
      <c r="L926" s="19">
        <v>0.37131630700000001</v>
      </c>
      <c r="M926" s="19">
        <v>0.49170000000000003</v>
      </c>
      <c r="N926" s="19">
        <v>0.31080000000000002</v>
      </c>
      <c r="O926" s="19">
        <v>0.37290000000000001</v>
      </c>
      <c r="P926" s="19">
        <v>0.55559999999999998</v>
      </c>
      <c r="Q926" s="19">
        <v>8.1545064E-2</v>
      </c>
      <c r="R926" s="20">
        <v>24210</v>
      </c>
      <c r="S926" s="21" t="str">
        <f>HYPERLINK("https://www.delhi.edu/admission/financial-aid/cost-calculator/index.php", "$12154")</f>
        <v>$12154</v>
      </c>
      <c r="T926" s="20">
        <v>18315</v>
      </c>
      <c r="U926" s="20">
        <v>21324</v>
      </c>
      <c r="V926" s="20">
        <v>4110</v>
      </c>
      <c r="W926" s="20">
        <v>8044</v>
      </c>
      <c r="Y926" s="19">
        <v>0.44500000000000001</v>
      </c>
      <c r="Z926" s="19">
        <v>0.39970000000000011</v>
      </c>
      <c r="AB926" s="18">
        <v>3435</v>
      </c>
    </row>
    <row r="927" spans="1:28" ht="15.75" customHeight="1" x14ac:dyDescent="0.2">
      <c r="A927" s="36" t="str">
        <f>HYPERLINK("https://www.morrisville.edu", "SUNY Morrisville State College")</f>
        <v>SUNY Morrisville State College</v>
      </c>
      <c r="B927" s="18" t="s">
        <v>49</v>
      </c>
      <c r="C927" s="18" t="s">
        <v>38</v>
      </c>
      <c r="D927" s="18" t="s">
        <v>1404</v>
      </c>
      <c r="E927" s="18">
        <v>1013</v>
      </c>
      <c r="F927" s="18" t="s">
        <v>35</v>
      </c>
      <c r="G927" s="18" t="s">
        <v>51</v>
      </c>
      <c r="H927" s="18" t="s">
        <v>1663</v>
      </c>
      <c r="I927" s="18" t="s">
        <v>1664</v>
      </c>
      <c r="J927" s="19"/>
      <c r="K927" s="19">
        <v>0.28120000000000001</v>
      </c>
      <c r="L927" s="19">
        <v>0.24590163900000001</v>
      </c>
      <c r="M927" s="19">
        <v>0.31690000000000002</v>
      </c>
      <c r="N927" s="19">
        <v>0.251</v>
      </c>
      <c r="O927" s="19">
        <v>0.2</v>
      </c>
      <c r="P927" s="19">
        <v>0.3846</v>
      </c>
      <c r="Q927" s="19">
        <v>7.2987722000000005E-2</v>
      </c>
      <c r="R927" s="20">
        <v>26818</v>
      </c>
      <c r="S927" s="21" t="str">
        <f>HYPERLINK("https://www.morrisville.edu/student-accounts/net-price-calculator", "$15427")</f>
        <v>$15427</v>
      </c>
      <c r="T927" s="20">
        <v>21112</v>
      </c>
      <c r="U927" s="20">
        <v>23240</v>
      </c>
      <c r="V927" s="20">
        <v>4511</v>
      </c>
      <c r="W927" s="20">
        <v>10916</v>
      </c>
      <c r="Y927" s="19">
        <v>0.54479999999999995</v>
      </c>
      <c r="Z927" s="19">
        <v>0.33250000000000002</v>
      </c>
      <c r="AB927" s="18">
        <v>2815</v>
      </c>
    </row>
    <row r="928" spans="1:28" ht="15.75" customHeight="1" x14ac:dyDescent="0.2">
      <c r="A928" s="36" t="str">
        <f>HYPERLINK("https://www.sunywcc.edu", "SUNY Westchester Community College")</f>
        <v>SUNY Westchester Community College</v>
      </c>
      <c r="B928" s="18" t="s">
        <v>49</v>
      </c>
      <c r="C928" s="18" t="s">
        <v>38</v>
      </c>
      <c r="D928" s="18" t="s">
        <v>1665</v>
      </c>
      <c r="E928" s="18" t="s">
        <v>36</v>
      </c>
      <c r="F928" s="18" t="s">
        <v>36</v>
      </c>
      <c r="G928" s="18" t="s">
        <v>51</v>
      </c>
      <c r="I928" s="18" t="s">
        <v>1666</v>
      </c>
      <c r="J928" s="19"/>
      <c r="K928" s="19">
        <v>0.1716</v>
      </c>
      <c r="L928" s="19">
        <v>7.7101449000000002E-2</v>
      </c>
      <c r="M928" s="19">
        <v>0.2198</v>
      </c>
      <c r="N928" s="19">
        <v>0.1197</v>
      </c>
      <c r="O928" s="19">
        <v>0.16600000000000001</v>
      </c>
      <c r="P928" s="19">
        <v>0.15709999999999999</v>
      </c>
      <c r="Q928" s="19">
        <v>0.12998040499999999</v>
      </c>
      <c r="R928" s="20">
        <v>19443</v>
      </c>
      <c r="S928" s="21" t="str">
        <f>HYPERLINK("https://www.suny.edu/howmuch/netpricecalculator.xhtml", "$5991")</f>
        <v>$5991</v>
      </c>
      <c r="T928" s="20">
        <v>9937</v>
      </c>
      <c r="U928" s="20">
        <v>12229</v>
      </c>
      <c r="V928" s="20">
        <v>5400</v>
      </c>
      <c r="W928" s="20">
        <v>591</v>
      </c>
      <c r="Y928" s="19">
        <v>0.36230000000000001</v>
      </c>
      <c r="Z928" s="19">
        <v>0.71340000000000003</v>
      </c>
      <c r="AB928" s="18">
        <v>11223</v>
      </c>
    </row>
    <row r="929" spans="1:28" ht="15.75" customHeight="1" x14ac:dyDescent="0.2">
      <c r="A929" s="36" t="str">
        <f>HYPERLINK("https://www.scc.losrios.edu/", "Sacramento City College")</f>
        <v>Sacramento City College</v>
      </c>
      <c r="B929" s="18" t="s">
        <v>49</v>
      </c>
      <c r="C929" s="18" t="s">
        <v>68</v>
      </c>
      <c r="D929" s="18" t="s">
        <v>609</v>
      </c>
      <c r="E929" s="18" t="s">
        <v>36</v>
      </c>
      <c r="F929" s="18" t="s">
        <v>36</v>
      </c>
      <c r="J929" s="19"/>
      <c r="K929" s="19">
        <v>0.2445</v>
      </c>
      <c r="L929" s="19">
        <v>4.5284587000000001E-2</v>
      </c>
      <c r="M929" s="19">
        <v>0.34129999999999999</v>
      </c>
      <c r="N929" s="19">
        <v>0.161</v>
      </c>
      <c r="O929" s="19">
        <v>0.1704</v>
      </c>
      <c r="P929" s="19">
        <v>0.31130000000000002</v>
      </c>
      <c r="Q929" s="19">
        <v>0.122432074</v>
      </c>
      <c r="R929" s="20">
        <v>27594</v>
      </c>
      <c r="S929" s="21" t="str">
        <f>HYPERLINK("https://wserver.scc.losrios.edu/netprice", "$21041")</f>
        <v>$21041</v>
      </c>
      <c r="T929" s="20">
        <v>22983</v>
      </c>
      <c r="U929" s="20">
        <v>23926</v>
      </c>
      <c r="V929" s="20">
        <v>6093</v>
      </c>
      <c r="W929" s="20">
        <v>14948.347248576851</v>
      </c>
      <c r="Y929" s="19">
        <v>0.2419</v>
      </c>
      <c r="Z929" s="19">
        <v>0.73570000000000002</v>
      </c>
      <c r="AB929" s="18">
        <v>19408</v>
      </c>
    </row>
    <row r="930" spans="1:28" ht="15.75" customHeight="1" x14ac:dyDescent="0.2">
      <c r="A930" s="36" t="str">
        <f>HYPERLINK("https://www.sagchip.edu", "Saginaw Chippewa Tribal College")</f>
        <v>Saginaw Chippewa Tribal College</v>
      </c>
      <c r="B930" s="18" t="s">
        <v>49</v>
      </c>
      <c r="C930" s="18" t="s">
        <v>226</v>
      </c>
      <c r="D930" s="18" t="s">
        <v>639</v>
      </c>
      <c r="E930" s="18" t="s">
        <v>36</v>
      </c>
      <c r="F930" s="18" t="s">
        <v>36</v>
      </c>
      <c r="J930" s="19"/>
      <c r="K930" s="19">
        <v>0.1875</v>
      </c>
      <c r="L930" s="19" t="s">
        <v>36</v>
      </c>
      <c r="M930" s="19">
        <v>0</v>
      </c>
      <c r="N930" s="19" t="s">
        <v>36</v>
      </c>
      <c r="O930" s="19" t="s">
        <v>36</v>
      </c>
      <c r="P930" s="19" t="s">
        <v>36</v>
      </c>
      <c r="Q930" s="19" t="s">
        <v>36</v>
      </c>
      <c r="R930" s="20">
        <v>12317</v>
      </c>
      <c r="S930" s="21" t="str">
        <f>HYPERLINK("https://www.sagchip.edu", "$7292")</f>
        <v>$7292</v>
      </c>
      <c r="T930" s="20">
        <v>7448</v>
      </c>
      <c r="U930" s="20" t="s">
        <v>36</v>
      </c>
      <c r="V930" s="20">
        <v>3900</v>
      </c>
      <c r="W930" s="20">
        <v>3392.375</v>
      </c>
      <c r="Y930" s="19">
        <v>0.50349999999999995</v>
      </c>
      <c r="Z930" s="19">
        <v>0.86470000000000002</v>
      </c>
      <c r="AB930" s="18">
        <v>133</v>
      </c>
    </row>
    <row r="931" spans="1:28" ht="15.75" customHeight="1" x14ac:dyDescent="0.2">
      <c r="A931" s="36" t="str">
        <f>HYPERLINK("https://www.staugustine.edu", "Saint Augustine College")</f>
        <v>Saint Augustine College</v>
      </c>
      <c r="B931" s="18" t="s">
        <v>32</v>
      </c>
      <c r="C931" s="18" t="s">
        <v>137</v>
      </c>
      <c r="D931" s="18" t="s">
        <v>161</v>
      </c>
      <c r="E931" s="18" t="s">
        <v>36</v>
      </c>
      <c r="F931" s="18" t="s">
        <v>36</v>
      </c>
      <c r="J931" s="19"/>
      <c r="K931" s="19">
        <v>0.39360000000000001</v>
      </c>
      <c r="L931" s="19">
        <v>0.169197397</v>
      </c>
      <c r="M931" s="19">
        <v>0</v>
      </c>
      <c r="N931" s="19">
        <v>0.4</v>
      </c>
      <c r="O931" s="19">
        <v>0.43940000000000001</v>
      </c>
      <c r="P931" s="19">
        <v>0.33329999999999999</v>
      </c>
      <c r="Q931" s="19">
        <v>2.1276595999999998E-2</v>
      </c>
      <c r="R931" s="20">
        <v>23900</v>
      </c>
      <c r="S931" s="21" t="str">
        <f>HYPERLINK("https://www.staugustine.edu/index.php?src=gendocs&amp;ref=Financial_Aid_Calculator&amp;category=SAC_English", "$7842")</f>
        <v>$7842</v>
      </c>
      <c r="T931" s="20">
        <v>8095</v>
      </c>
      <c r="U931" s="20" t="s">
        <v>36</v>
      </c>
      <c r="V931" s="20">
        <v>2200</v>
      </c>
      <c r="W931" s="20">
        <v>5642</v>
      </c>
      <c r="Y931" s="19">
        <v>0.74980000000000002</v>
      </c>
      <c r="Z931" s="19">
        <v>0.99350000000000005</v>
      </c>
      <c r="AB931" s="18">
        <v>1232</v>
      </c>
    </row>
    <row r="932" spans="1:28" ht="15.75" customHeight="1" x14ac:dyDescent="0.2">
      <c r="A932" s="36" t="str">
        <f>HYPERLINK("https://www.secon.edu", "Saint Elizabeth College of Nursing")</f>
        <v>Saint Elizabeth College of Nursing</v>
      </c>
      <c r="B932" s="18" t="s">
        <v>32</v>
      </c>
      <c r="C932" s="18" t="s">
        <v>38</v>
      </c>
      <c r="D932" s="18" t="s">
        <v>463</v>
      </c>
      <c r="E932" s="18" t="s">
        <v>36</v>
      </c>
      <c r="F932" s="18" t="s">
        <v>90</v>
      </c>
      <c r="J932" s="19"/>
      <c r="K932" s="19">
        <v>0.77780000000000005</v>
      </c>
      <c r="L932" s="19">
        <v>0.70833333300000001</v>
      </c>
      <c r="M932" s="19">
        <v>0.77780000000000005</v>
      </c>
      <c r="N932" s="19" t="s">
        <v>36</v>
      </c>
      <c r="O932" s="19" t="s">
        <v>36</v>
      </c>
      <c r="P932" s="19" t="s">
        <v>36</v>
      </c>
      <c r="Q932" s="19" t="s">
        <v>36</v>
      </c>
      <c r="R932" s="20">
        <v>25600</v>
      </c>
      <c r="S932" s="21" t="str">
        <f>HYPERLINK("https://www.secon.edu", "Not reported")</f>
        <v>Not reported</v>
      </c>
      <c r="T932" s="20" t="s">
        <v>36</v>
      </c>
      <c r="U932" s="20" t="s">
        <v>36</v>
      </c>
      <c r="V932" s="20">
        <v>4300</v>
      </c>
      <c r="W932" s="20" t="s">
        <v>36</v>
      </c>
      <c r="Y932" s="19">
        <v>0.4592</v>
      </c>
      <c r="Z932" s="19">
        <v>0.1188</v>
      </c>
      <c r="AB932" s="18">
        <v>202</v>
      </c>
    </row>
    <row r="933" spans="1:28" ht="15.75" customHeight="1" x14ac:dyDescent="0.2">
      <c r="A933" s="36" t="str">
        <f>HYPERLINK("https://www.sjrstate.edu", "Saint Johns River State College")</f>
        <v>Saint Johns River State College</v>
      </c>
      <c r="B933" s="18" t="s">
        <v>49</v>
      </c>
      <c r="C933" s="18" t="s">
        <v>162</v>
      </c>
      <c r="D933" s="18" t="s">
        <v>1667</v>
      </c>
      <c r="E933" s="18" t="s">
        <v>36</v>
      </c>
      <c r="F933" s="18" t="s">
        <v>36</v>
      </c>
      <c r="J933" s="19"/>
      <c r="K933" s="19">
        <v>0.34789999999999999</v>
      </c>
      <c r="L933" s="19">
        <v>0.182207015</v>
      </c>
      <c r="M933" s="19">
        <v>0.36749999999999999</v>
      </c>
      <c r="N933" s="19">
        <v>0.13250000000000001</v>
      </c>
      <c r="O933" s="19">
        <v>0.44290000000000002</v>
      </c>
      <c r="P933" s="19">
        <v>0.66669999999999996</v>
      </c>
      <c r="Q933" s="19">
        <v>0.11410118399999999</v>
      </c>
      <c r="R933" s="20">
        <v>24070</v>
      </c>
      <c r="S933" s="21" t="str">
        <f>HYPERLINK("https://www.sjrstate.edu/netprice.html", "$18575")</f>
        <v>$18575</v>
      </c>
      <c r="T933" s="20" t="s">
        <v>36</v>
      </c>
      <c r="U933" s="20" t="s">
        <v>36</v>
      </c>
      <c r="V933" s="20">
        <v>5455</v>
      </c>
      <c r="W933" s="20">
        <v>13120.90877192983</v>
      </c>
      <c r="Y933" s="19">
        <v>0.29880000000000001</v>
      </c>
      <c r="Z933" s="19">
        <v>0.31740000000000002</v>
      </c>
      <c r="AB933" s="18">
        <v>4777</v>
      </c>
    </row>
    <row r="934" spans="1:28" ht="15.75" customHeight="1" x14ac:dyDescent="0.2">
      <c r="A934" s="36" t="str">
        <f>HYPERLINK("https://www.stlcc.edu", "Saint Louis Community College")</f>
        <v>Saint Louis Community College</v>
      </c>
      <c r="B934" s="18" t="s">
        <v>49</v>
      </c>
      <c r="C934" s="18" t="s">
        <v>164</v>
      </c>
      <c r="D934" s="18" t="s">
        <v>1668</v>
      </c>
      <c r="E934" s="18" t="s">
        <v>36</v>
      </c>
      <c r="F934" s="18" t="s">
        <v>36</v>
      </c>
      <c r="J934" s="19"/>
      <c r="K934" s="19">
        <v>0.1236</v>
      </c>
      <c r="L934" s="19">
        <v>9.9786064000000008E-2</v>
      </c>
      <c r="M934" s="19">
        <v>0.18310000000000001</v>
      </c>
      <c r="N934" s="19">
        <v>3.39E-2</v>
      </c>
      <c r="O934" s="19">
        <v>8.2199999999999995E-2</v>
      </c>
      <c r="P934" s="19">
        <v>0.1724</v>
      </c>
      <c r="Q934" s="19">
        <v>0.109300431</v>
      </c>
      <c r="R934" s="20">
        <v>16435</v>
      </c>
      <c r="S934" s="21" t="str">
        <f>HYPERLINK("https://applications.stlcc.edu/netprice/npcalc.htm", "$11330")</f>
        <v>$11330</v>
      </c>
      <c r="T934" s="20">
        <v>13856</v>
      </c>
      <c r="U934" s="20">
        <v>14718</v>
      </c>
      <c r="V934" s="20">
        <v>4600</v>
      </c>
      <c r="W934" s="20">
        <v>6730.0472361809043</v>
      </c>
      <c r="Y934" s="19">
        <v>0.35339999999999999</v>
      </c>
      <c r="Z934" s="19">
        <v>0.48199999999999998</v>
      </c>
      <c r="AB934" s="18">
        <v>16785</v>
      </c>
    </row>
    <row r="935" spans="1:28" ht="15.75" customHeight="1" x14ac:dyDescent="0.2">
      <c r="A935" s="36" t="str">
        <f>HYPERLINK("https://www.salemcc.edu", "Salem Community College")</f>
        <v>Salem Community College</v>
      </c>
      <c r="B935" s="18" t="s">
        <v>49</v>
      </c>
      <c r="C935" s="18" t="s">
        <v>141</v>
      </c>
      <c r="D935" s="18" t="s">
        <v>1669</v>
      </c>
      <c r="E935" s="18" t="s">
        <v>36</v>
      </c>
      <c r="F935" s="18" t="s">
        <v>36</v>
      </c>
      <c r="J935" s="19"/>
      <c r="K935" s="19">
        <v>0.4229</v>
      </c>
      <c r="L935" s="19">
        <v>0.22304832699999999</v>
      </c>
      <c r="M935" s="19">
        <v>0.49109999999999998</v>
      </c>
      <c r="N935" s="19">
        <v>0.28129999999999999</v>
      </c>
      <c r="O935" s="19">
        <v>0.4375</v>
      </c>
      <c r="P935" s="19">
        <v>0.5</v>
      </c>
      <c r="Q935" s="19">
        <v>6.4220184E-2</v>
      </c>
      <c r="R935" s="20">
        <v>22450</v>
      </c>
      <c r="S935" s="21" t="str">
        <f>HYPERLINK("https://www.salemcc.edu/netpricecalculator/npcalc.htm", "$16928")</f>
        <v>$16928</v>
      </c>
      <c r="T935" s="20">
        <v>19444</v>
      </c>
      <c r="U935" s="20">
        <v>20368</v>
      </c>
      <c r="V935" s="20">
        <v>6000</v>
      </c>
      <c r="W935" s="20">
        <v>10928.074626865669</v>
      </c>
      <c r="Y935" s="19">
        <v>0.38929999999999998</v>
      </c>
      <c r="Z935" s="19">
        <v>0.44529999999999997</v>
      </c>
      <c r="AB935" s="18">
        <v>896</v>
      </c>
    </row>
    <row r="936" spans="1:28" ht="15.75" customHeight="1" x14ac:dyDescent="0.2">
      <c r="A936" s="36" t="str">
        <f>HYPERLINK("https://www.skc.edu", "Salish Kootenai College")</f>
        <v>Salish Kootenai College</v>
      </c>
      <c r="B936" s="18" t="s">
        <v>32</v>
      </c>
      <c r="C936" s="18" t="s">
        <v>421</v>
      </c>
      <c r="D936" s="18" t="s">
        <v>1670</v>
      </c>
      <c r="E936" s="18" t="s">
        <v>36</v>
      </c>
      <c r="F936" s="18" t="s">
        <v>36</v>
      </c>
      <c r="J936" s="19"/>
      <c r="K936" s="19">
        <v>0.5524</v>
      </c>
      <c r="L936" s="19">
        <v>0.17391304399999999</v>
      </c>
      <c r="M936" s="19">
        <v>0.52629999999999999</v>
      </c>
      <c r="N936" s="19" t="s">
        <v>36</v>
      </c>
      <c r="O936" s="19">
        <v>0.75</v>
      </c>
      <c r="P936" s="19" t="s">
        <v>36</v>
      </c>
      <c r="Q936" s="19">
        <v>3.6842105E-2</v>
      </c>
      <c r="R936" s="20">
        <v>22158</v>
      </c>
      <c r="S936" s="21" t="str">
        <f>HYPERLINK("https://netprice.skc.edu", "$8217")</f>
        <v>$8217</v>
      </c>
      <c r="T936" s="20">
        <v>13051</v>
      </c>
      <c r="U936" s="20">
        <v>11190</v>
      </c>
      <c r="V936" s="20">
        <v>3600</v>
      </c>
      <c r="W936" s="20">
        <v>4617</v>
      </c>
      <c r="Y936" s="19">
        <v>0.66120000000000001</v>
      </c>
      <c r="Z936" s="19">
        <v>0.75639999999999996</v>
      </c>
      <c r="AB936" s="18">
        <v>739</v>
      </c>
    </row>
    <row r="937" spans="1:28" ht="15.75" customHeight="1" x14ac:dyDescent="0.2">
      <c r="A937" s="36" t="str">
        <f>HYPERLINK("https://www.slcc.edu", "Salt Lake Community College")</f>
        <v>Salt Lake Community College</v>
      </c>
      <c r="B937" s="18" t="s">
        <v>49</v>
      </c>
      <c r="C937" s="18" t="s">
        <v>199</v>
      </c>
      <c r="D937" s="18" t="s">
        <v>525</v>
      </c>
      <c r="E937" s="18" t="s">
        <v>36</v>
      </c>
      <c r="F937" s="18" t="s">
        <v>36</v>
      </c>
      <c r="J937" s="19"/>
      <c r="K937" s="19">
        <v>0.221</v>
      </c>
      <c r="L937" s="19">
        <v>7.8756917999999995E-2</v>
      </c>
      <c r="M937" s="19">
        <v>0.23980000000000001</v>
      </c>
      <c r="N937" s="19">
        <v>0.13850000000000001</v>
      </c>
      <c r="O937" s="19">
        <v>0.2162</v>
      </c>
      <c r="P937" s="19">
        <v>0.191</v>
      </c>
      <c r="Q937" s="19">
        <v>0.12985036799999999</v>
      </c>
      <c r="R937" s="20">
        <v>27270</v>
      </c>
      <c r="S937" s="21" t="str">
        <f>HYPERLINK("https://www.slcc.edu/financialaid/net-price-calculator.aspx", "$23360")</f>
        <v>$23360</v>
      </c>
      <c r="T937" s="20">
        <v>23764</v>
      </c>
      <c r="U937" s="20">
        <v>24497</v>
      </c>
      <c r="V937" s="20">
        <v>5050</v>
      </c>
      <c r="W937" s="20">
        <v>18310.78725398313</v>
      </c>
      <c r="Y937" s="19">
        <v>0.2339</v>
      </c>
      <c r="Z937" s="19">
        <v>0.34179999999999999</v>
      </c>
      <c r="AB937" s="18">
        <v>21445</v>
      </c>
    </row>
    <row r="938" spans="1:28" ht="15.75" customHeight="1" x14ac:dyDescent="0.2">
      <c r="A938" s="36" t="str">
        <f>HYPERLINK("https://www.sphp.com/SON", "Samaritan Hospital School of Nursing")</f>
        <v>Samaritan Hospital School of Nursing</v>
      </c>
      <c r="B938" s="18" t="s">
        <v>32</v>
      </c>
      <c r="C938" s="18" t="s">
        <v>38</v>
      </c>
      <c r="D938" s="18" t="s">
        <v>145</v>
      </c>
      <c r="E938" s="18" t="s">
        <v>36</v>
      </c>
      <c r="F938" s="18" t="s">
        <v>45</v>
      </c>
      <c r="J938" s="19"/>
      <c r="K938" s="19">
        <v>0</v>
      </c>
      <c r="L938" s="19">
        <v>0.64864864899999997</v>
      </c>
      <c r="M938" s="19" t="s">
        <v>36</v>
      </c>
      <c r="N938" s="19">
        <v>0</v>
      </c>
      <c r="O938" s="19" t="s">
        <v>36</v>
      </c>
      <c r="P938" s="19" t="s">
        <v>36</v>
      </c>
      <c r="Q938" s="19" t="s">
        <v>36</v>
      </c>
      <c r="R938" s="20">
        <v>33126</v>
      </c>
      <c r="S938" s="21" t="str">
        <f>HYPERLINK("https://apps.sphp.com/SON/Net_Price_Calculator/", "Not reported")</f>
        <v>Not reported</v>
      </c>
      <c r="T938" s="20" t="s">
        <v>36</v>
      </c>
      <c r="U938" s="20" t="s">
        <v>36</v>
      </c>
      <c r="V938" s="20">
        <v>7250</v>
      </c>
      <c r="W938" s="20" t="s">
        <v>36</v>
      </c>
      <c r="Y938" s="19">
        <v>0.27460000000000001</v>
      </c>
      <c r="Z938" s="19">
        <v>0.1181</v>
      </c>
      <c r="AB938" s="18">
        <v>144</v>
      </c>
    </row>
    <row r="939" spans="1:28" ht="15.75" customHeight="1" x14ac:dyDescent="0.2">
      <c r="A939" s="36" t="str">
        <f>HYPERLINK("https://www.sampsoncc.edu", "Sampson Community College")</f>
        <v>Sampson Community College</v>
      </c>
      <c r="B939" s="18" t="s">
        <v>49</v>
      </c>
      <c r="C939" s="18" t="s">
        <v>103</v>
      </c>
      <c r="D939" s="18" t="s">
        <v>118</v>
      </c>
      <c r="E939" s="18" t="s">
        <v>36</v>
      </c>
      <c r="F939" s="18" t="s">
        <v>36</v>
      </c>
      <c r="J939" s="19"/>
      <c r="K939" s="19">
        <v>0.29370000000000002</v>
      </c>
      <c r="L939" s="19">
        <v>0.20274914099999999</v>
      </c>
      <c r="M939" s="19">
        <v>0.2969</v>
      </c>
      <c r="N939" s="19">
        <v>7.6899999999999996E-2</v>
      </c>
      <c r="O939" s="19">
        <v>0.42859999999999998</v>
      </c>
      <c r="P939" s="19">
        <v>0.5</v>
      </c>
      <c r="Q939" s="19">
        <v>4.5454545999999998E-2</v>
      </c>
      <c r="R939" s="20">
        <v>26758</v>
      </c>
      <c r="S939" s="21" t="str">
        <f>HYPERLINK("https://www.sampsoncc.edu/student-services/net-price-calculator/npcalc.html", "$21542")</f>
        <v>$21542</v>
      </c>
      <c r="T939" s="20">
        <v>22208</v>
      </c>
      <c r="U939" s="20" t="s">
        <v>36</v>
      </c>
      <c r="V939" s="20">
        <v>7456</v>
      </c>
      <c r="W939" s="20">
        <v>14086.457831325301</v>
      </c>
      <c r="Y939" s="19">
        <v>0.56289999999999996</v>
      </c>
      <c r="Z939" s="19">
        <v>0.53149999999999997</v>
      </c>
      <c r="AB939" s="18">
        <v>1411</v>
      </c>
    </row>
    <row r="940" spans="1:28" ht="15.75" customHeight="1" x14ac:dyDescent="0.2">
      <c r="A940" s="36" t="str">
        <f>HYPERLINK("https://www.alamo.edu/sac", "San Antonio College")</f>
        <v>San Antonio College</v>
      </c>
      <c r="B940" s="18" t="s">
        <v>49</v>
      </c>
      <c r="C940" s="18" t="s">
        <v>146</v>
      </c>
      <c r="D940" s="18" t="s">
        <v>268</v>
      </c>
      <c r="E940" s="18" t="s">
        <v>36</v>
      </c>
      <c r="F940" s="18" t="s">
        <v>36</v>
      </c>
      <c r="J940" s="19"/>
      <c r="K940" s="19">
        <v>0.18110000000000001</v>
      </c>
      <c r="L940" s="19">
        <v>8.7323944000000001E-2</v>
      </c>
      <c r="M940" s="19">
        <v>0.22370000000000001</v>
      </c>
      <c r="N940" s="19">
        <v>0.1905</v>
      </c>
      <c r="O940" s="19">
        <v>0.16009999999999999</v>
      </c>
      <c r="P940" s="19">
        <v>0.38890000000000002</v>
      </c>
      <c r="Q940" s="19">
        <v>0.11511497499999999</v>
      </c>
      <c r="R940" s="20">
        <v>27402</v>
      </c>
      <c r="S940" s="21" t="str">
        <f>HYPERLINK("https://www.alamo.edu/nvc/experience-nvc/current-students/financial-literacy/", "$21664")</f>
        <v>$21664</v>
      </c>
      <c r="T940" s="20">
        <v>23965</v>
      </c>
      <c r="U940" s="20">
        <v>25807</v>
      </c>
      <c r="V940" s="20">
        <v>5180</v>
      </c>
      <c r="W940" s="20">
        <v>16484.042553191492</v>
      </c>
      <c r="Y940" s="19">
        <v>0.29299999999999998</v>
      </c>
      <c r="Z940" s="19">
        <v>0.76690000000000003</v>
      </c>
      <c r="AB940" s="18">
        <v>15917</v>
      </c>
    </row>
    <row r="941" spans="1:28" ht="15.75" customHeight="1" x14ac:dyDescent="0.2">
      <c r="A941" s="36" t="str">
        <f>HYPERLINK("https://www.valleycollege.edu", "San Bernardino Valley College")</f>
        <v>San Bernardino Valley College</v>
      </c>
      <c r="B941" s="18" t="s">
        <v>49</v>
      </c>
      <c r="C941" s="18" t="s">
        <v>68</v>
      </c>
      <c r="D941" s="18" t="s">
        <v>610</v>
      </c>
      <c r="E941" s="18" t="s">
        <v>36</v>
      </c>
      <c r="F941" s="18" t="s">
        <v>36</v>
      </c>
      <c r="J941" s="19"/>
      <c r="K941" s="19">
        <v>0.18940000000000001</v>
      </c>
      <c r="L941" s="19">
        <v>5.5501460999999988E-2</v>
      </c>
      <c r="M941" s="19">
        <v>0.18310000000000001</v>
      </c>
      <c r="N941" s="19">
        <v>7.5499999999999998E-2</v>
      </c>
      <c r="O941" s="19">
        <v>0.2109</v>
      </c>
      <c r="P941" s="19">
        <v>0.26090000000000002</v>
      </c>
      <c r="Q941" s="19">
        <v>7.7862595000000007E-2</v>
      </c>
      <c r="R941" s="20">
        <v>20214</v>
      </c>
      <c r="S941" s="21" t="str">
        <f>HYPERLINK("https://misweb.cccco.edu/npc/982/npcalc.htm", "$13281")</f>
        <v>$13281</v>
      </c>
      <c r="T941" s="20">
        <v>16509</v>
      </c>
      <c r="U941" s="20">
        <v>14977</v>
      </c>
      <c r="V941" s="20">
        <v>7364</v>
      </c>
      <c r="W941" s="20">
        <v>5917.6314699792974</v>
      </c>
      <c r="Y941" s="19">
        <v>0.31879999999999997</v>
      </c>
      <c r="Z941" s="19">
        <v>0.87619999999999998</v>
      </c>
      <c r="AB941" s="18">
        <v>11856</v>
      </c>
    </row>
    <row r="942" spans="1:28" ht="15.75" customHeight="1" x14ac:dyDescent="0.2">
      <c r="A942" s="36" t="str">
        <f>HYPERLINK("https://www.sdcity.edu/", "San Diego City College")</f>
        <v>San Diego City College</v>
      </c>
      <c r="B942" s="18" t="s">
        <v>49</v>
      </c>
      <c r="C942" s="18" t="s">
        <v>68</v>
      </c>
      <c r="D942" s="18" t="s">
        <v>288</v>
      </c>
      <c r="E942" s="18" t="s">
        <v>36</v>
      </c>
      <c r="F942" s="18" t="s">
        <v>36</v>
      </c>
      <c r="J942" s="19"/>
      <c r="K942" s="19">
        <v>0.2278</v>
      </c>
      <c r="L942" s="19">
        <v>4.4770641999999999E-2</v>
      </c>
      <c r="M942" s="19">
        <v>0.3301</v>
      </c>
      <c r="N942" s="19">
        <v>0.13250000000000001</v>
      </c>
      <c r="O942" s="19">
        <v>0.2026</v>
      </c>
      <c r="P942" s="19">
        <v>0.4143</v>
      </c>
      <c r="Q942" s="19">
        <v>0.111347734</v>
      </c>
      <c r="R942" s="20">
        <v>25280</v>
      </c>
      <c r="S942" s="21" t="str">
        <f>HYPERLINK("https://www.sdcity.edu/CollegeServices/StudentSupportResources/FinancialAid/NetPriceCalculator", "$17908")</f>
        <v>$17908</v>
      </c>
      <c r="T942" s="20">
        <v>20899</v>
      </c>
      <c r="U942" s="20">
        <v>22573</v>
      </c>
      <c r="V942" s="20">
        <v>6093</v>
      </c>
      <c r="W942" s="20">
        <v>11815.29433962264</v>
      </c>
      <c r="Y942" s="19">
        <v>0.29580000000000001</v>
      </c>
      <c r="Z942" s="19">
        <v>0.77659999999999996</v>
      </c>
      <c r="AB942" s="18">
        <v>13055</v>
      </c>
    </row>
    <row r="943" spans="1:28" ht="15.75" customHeight="1" x14ac:dyDescent="0.2">
      <c r="A943" s="36" t="str">
        <f>HYPERLINK("https://www.sdmesa.edu/", "San Diego Mesa College")</f>
        <v>San Diego Mesa College</v>
      </c>
      <c r="B943" s="18" t="s">
        <v>49</v>
      </c>
      <c r="C943" s="18" t="s">
        <v>68</v>
      </c>
      <c r="D943" s="18" t="s">
        <v>288</v>
      </c>
      <c r="E943" s="18" t="s">
        <v>36</v>
      </c>
      <c r="F943" s="18" t="s">
        <v>36</v>
      </c>
      <c r="J943" s="19"/>
      <c r="K943" s="19">
        <v>0.23180000000000001</v>
      </c>
      <c r="L943" s="19">
        <v>7.1927000000000005E-2</v>
      </c>
      <c r="M943" s="19">
        <v>0.2737</v>
      </c>
      <c r="N943" s="19">
        <v>0.1169</v>
      </c>
      <c r="O943" s="19">
        <v>0.19800000000000001</v>
      </c>
      <c r="P943" s="19">
        <v>0.28660000000000002</v>
      </c>
      <c r="Q943" s="19">
        <v>0.183386838</v>
      </c>
      <c r="R943" s="20">
        <v>25280</v>
      </c>
      <c r="S943" s="21" t="str">
        <f>HYPERLINK("https://professionals.collegeboard.org/higher-ed/financial-aid/netprice", "$17823")</f>
        <v>$17823</v>
      </c>
      <c r="T943" s="20">
        <v>21213</v>
      </c>
      <c r="U943" s="20">
        <v>22157</v>
      </c>
      <c r="V943" s="20">
        <v>6093</v>
      </c>
      <c r="W943" s="20">
        <v>11730.811946902661</v>
      </c>
      <c r="Y943" s="19">
        <v>0.18920000000000001</v>
      </c>
      <c r="Z943" s="19">
        <v>0.68440000000000001</v>
      </c>
      <c r="AB943" s="18">
        <v>19856</v>
      </c>
    </row>
    <row r="944" spans="1:28" ht="15.75" customHeight="1" x14ac:dyDescent="0.2">
      <c r="A944" s="36" t="str">
        <f>HYPERLINK("https://www.sdmiramar.edu", "San Diego Miramar College")</f>
        <v>San Diego Miramar College</v>
      </c>
      <c r="B944" s="18" t="s">
        <v>49</v>
      </c>
      <c r="C944" s="18" t="s">
        <v>68</v>
      </c>
      <c r="D944" s="18" t="s">
        <v>288</v>
      </c>
      <c r="E944" s="18" t="s">
        <v>36</v>
      </c>
      <c r="F944" s="18" t="s">
        <v>36</v>
      </c>
      <c r="J944" s="19"/>
      <c r="K944" s="19">
        <v>0.39250000000000002</v>
      </c>
      <c r="L944" s="19">
        <v>6.4989517999999996E-2</v>
      </c>
      <c r="M944" s="19">
        <v>0.33150000000000002</v>
      </c>
      <c r="N944" s="19">
        <v>0.3</v>
      </c>
      <c r="O944" s="19">
        <v>0.30409999999999998</v>
      </c>
      <c r="P944" s="19">
        <v>0.54269999999999996</v>
      </c>
      <c r="Q944" s="19">
        <v>0.16760224500000001</v>
      </c>
      <c r="R944" s="20">
        <v>25280</v>
      </c>
      <c r="S944" s="21" t="str">
        <f>HYPERLINK("https://misweb.cccco.edu/npc/073/npcalc.htm", "$17862")</f>
        <v>$17862</v>
      </c>
      <c r="T944" s="20">
        <v>20889</v>
      </c>
      <c r="U944" s="20">
        <v>22696</v>
      </c>
      <c r="V944" s="20">
        <v>6093</v>
      </c>
      <c r="W944" s="20">
        <v>11769.429268292681</v>
      </c>
      <c r="Y944" s="19">
        <v>0.1716</v>
      </c>
      <c r="Z944" s="19">
        <v>0.627</v>
      </c>
      <c r="AB944" s="18">
        <v>13213</v>
      </c>
    </row>
    <row r="945" spans="1:28" ht="15.75" customHeight="1" x14ac:dyDescent="0.2">
      <c r="A945" s="36" t="str">
        <f>HYPERLINK("https://www.sanjac.edu/", "San Jacinto Community College")</f>
        <v>San Jacinto Community College</v>
      </c>
      <c r="B945" s="18" t="s">
        <v>49</v>
      </c>
      <c r="C945" s="18" t="s">
        <v>146</v>
      </c>
      <c r="D945" s="18" t="s">
        <v>69</v>
      </c>
      <c r="E945" s="18" t="s">
        <v>36</v>
      </c>
      <c r="F945" s="18" t="s">
        <v>36</v>
      </c>
      <c r="J945" s="19"/>
      <c r="K945" s="19">
        <v>0.27589999999999998</v>
      </c>
      <c r="L945" s="19">
        <v>0.18988999500000001</v>
      </c>
      <c r="M945" s="19">
        <v>0.2833</v>
      </c>
      <c r="N945" s="19">
        <v>0.20880000000000001</v>
      </c>
      <c r="O945" s="19">
        <v>0.27100000000000002</v>
      </c>
      <c r="P945" s="19">
        <v>0.38179999999999997</v>
      </c>
      <c r="Q945" s="19">
        <v>7.2147650999999993E-2</v>
      </c>
      <c r="R945" s="20">
        <v>18174</v>
      </c>
      <c r="S945" s="21" t="str">
        <f>HYPERLINK("https://www.sanjac.edu/future-students/paying-for-college/tuition-fees", "$13028")</f>
        <v>$13028</v>
      </c>
      <c r="T945" s="20">
        <v>15168</v>
      </c>
      <c r="U945" s="20">
        <v>16772</v>
      </c>
      <c r="V945" s="20">
        <v>6142</v>
      </c>
      <c r="W945" s="20">
        <v>6886.7475083056488</v>
      </c>
      <c r="Y945" s="19">
        <v>0.24560000000000001</v>
      </c>
      <c r="Z945" s="19">
        <v>0.75829999999999997</v>
      </c>
      <c r="AB945" s="18">
        <v>24827</v>
      </c>
    </row>
    <row r="946" spans="1:28" ht="15.75" customHeight="1" x14ac:dyDescent="0.2">
      <c r="A946" s="36" t="str">
        <f>HYPERLINK("https://www.deltacollege.edu/", "San Joaquin Delta College")</f>
        <v>San Joaquin Delta College</v>
      </c>
      <c r="B946" s="18" t="s">
        <v>49</v>
      </c>
      <c r="C946" s="18" t="s">
        <v>68</v>
      </c>
      <c r="D946" s="18" t="s">
        <v>528</v>
      </c>
      <c r="E946" s="18" t="s">
        <v>36</v>
      </c>
      <c r="F946" s="18" t="s">
        <v>36</v>
      </c>
      <c r="J946" s="19"/>
      <c r="K946" s="19">
        <v>0.26440000000000002</v>
      </c>
      <c r="L946" s="19">
        <v>9.8175183000000013E-2</v>
      </c>
      <c r="M946" s="19">
        <v>0.3453</v>
      </c>
      <c r="N946" s="19">
        <v>9.9199999999999997E-2</v>
      </c>
      <c r="O946" s="19">
        <v>0.2379</v>
      </c>
      <c r="P946" s="19">
        <v>0.29609999999999997</v>
      </c>
      <c r="Q946" s="19">
        <v>7.5135135000000006E-2</v>
      </c>
      <c r="R946" s="20">
        <v>26106</v>
      </c>
      <c r="S946" s="21" t="str">
        <f>HYPERLINK("https://www.deltacollege.edu/student-services/financial-aid-and-scholarships/cost-estimates/net-price-calculator", "$18356")</f>
        <v>$18356</v>
      </c>
      <c r="T946" s="20">
        <v>21862</v>
      </c>
      <c r="U946" s="20">
        <v>23500</v>
      </c>
      <c r="V946" s="20">
        <v>6093</v>
      </c>
      <c r="W946" s="20">
        <v>12263.088642659281</v>
      </c>
      <c r="Y946" s="19">
        <v>0.31019999999999998</v>
      </c>
      <c r="Z946" s="19">
        <v>0.79269999999999996</v>
      </c>
      <c r="AB946" s="18">
        <v>15003</v>
      </c>
    </row>
    <row r="947" spans="1:28" ht="15.75" customHeight="1" x14ac:dyDescent="0.2">
      <c r="A947" s="36" t="str">
        <f>HYPERLINK("https://www.sjvc.edu", "San Joaquin Valley College-Visalia")</f>
        <v>San Joaquin Valley College-Visalia</v>
      </c>
      <c r="B947" s="18" t="s">
        <v>368</v>
      </c>
      <c r="C947" s="18" t="s">
        <v>68</v>
      </c>
      <c r="D947" s="18" t="s">
        <v>1197</v>
      </c>
      <c r="E947" s="18" t="s">
        <v>36</v>
      </c>
      <c r="F947" s="18" t="s">
        <v>36</v>
      </c>
      <c r="J947" s="19"/>
      <c r="K947" s="19">
        <v>0.50939999999999996</v>
      </c>
      <c r="L947" s="19">
        <v>0.59630236400000003</v>
      </c>
      <c r="M947" s="19">
        <v>0.48089999999999999</v>
      </c>
      <c r="N947" s="19">
        <v>0.26829999999999998</v>
      </c>
      <c r="O947" s="19">
        <v>0.59060000000000001</v>
      </c>
      <c r="P947" s="19">
        <v>0.62790000000000001</v>
      </c>
      <c r="Q947" s="19">
        <v>9.4027509999999991E-3</v>
      </c>
      <c r="R947" s="20" t="s">
        <v>36</v>
      </c>
      <c r="S947" s="21" t="str">
        <f>HYPERLINK("https://www.sjvc.edu/net-price-calculator", "$19494")</f>
        <v>$19494</v>
      </c>
      <c r="T947" s="20">
        <v>21087</v>
      </c>
      <c r="U947" s="20">
        <v>23081</v>
      </c>
      <c r="V947" s="20" t="s">
        <v>36</v>
      </c>
      <c r="W947" s="20" t="s">
        <v>36</v>
      </c>
      <c r="Y947" s="19">
        <v>0.71640000000000004</v>
      </c>
      <c r="Z947" s="19">
        <v>0.76869999999999994</v>
      </c>
      <c r="AB947" s="18">
        <v>5239</v>
      </c>
    </row>
    <row r="948" spans="1:28" ht="15.75" customHeight="1" x14ac:dyDescent="0.2">
      <c r="A948" s="36" t="str">
        <f>HYPERLINK("https://www.sandhills.edu", "Sandhills Community College")</f>
        <v>Sandhills Community College</v>
      </c>
      <c r="B948" s="18" t="s">
        <v>49</v>
      </c>
      <c r="C948" s="18" t="s">
        <v>103</v>
      </c>
      <c r="D948" s="18" t="s">
        <v>1671</v>
      </c>
      <c r="E948" s="18" t="s">
        <v>36</v>
      </c>
      <c r="F948" s="18" t="s">
        <v>36</v>
      </c>
      <c r="J948" s="19"/>
      <c r="K948" s="19">
        <v>0.17519999999999999</v>
      </c>
      <c r="L948" s="19">
        <v>0.114785992</v>
      </c>
      <c r="M948" s="19">
        <v>0.2762</v>
      </c>
      <c r="N948" s="19">
        <v>3.39E-2</v>
      </c>
      <c r="O948" s="19">
        <v>0.1739</v>
      </c>
      <c r="P948" s="19">
        <v>0</v>
      </c>
      <c r="Q948" s="19">
        <v>4.9295775E-2</v>
      </c>
      <c r="R948" s="20">
        <v>25819</v>
      </c>
      <c r="S948" s="21" t="str">
        <f>HYPERLINK("https://www.sandhills.edu/net-price-calculator/", "$20703")</f>
        <v>$20703</v>
      </c>
      <c r="T948" s="20">
        <v>21139</v>
      </c>
      <c r="U948" s="20">
        <v>24053</v>
      </c>
      <c r="V948" s="20">
        <v>7533</v>
      </c>
      <c r="W948" s="20">
        <v>13170.347305389219</v>
      </c>
      <c r="Y948" s="19">
        <v>0.32050000000000001</v>
      </c>
      <c r="Z948" s="19">
        <v>0.42520000000000002</v>
      </c>
      <c r="AB948" s="18">
        <v>2733</v>
      </c>
    </row>
    <row r="949" spans="1:28" ht="15.75" customHeight="1" x14ac:dyDescent="0.2">
      <c r="A949" s="36" t="str">
        <f>HYPERLINK("https://www.sac.edu", "Santa Ana College")</f>
        <v>Santa Ana College</v>
      </c>
      <c r="B949" s="18" t="s">
        <v>49</v>
      </c>
      <c r="C949" s="18" t="s">
        <v>68</v>
      </c>
      <c r="D949" s="18" t="s">
        <v>1672</v>
      </c>
      <c r="E949" s="18" t="s">
        <v>36</v>
      </c>
      <c r="F949" s="18" t="s">
        <v>36</v>
      </c>
      <c r="J949" s="19"/>
      <c r="K949" s="19">
        <v>0.25430000000000003</v>
      </c>
      <c r="L949" s="19">
        <v>0.16940671900000001</v>
      </c>
      <c r="M949" s="19">
        <v>0.35289999999999999</v>
      </c>
      <c r="N949" s="19">
        <v>0.21429999999999999</v>
      </c>
      <c r="O949" s="19">
        <v>0.217</v>
      </c>
      <c r="P949" s="19">
        <v>0.4521</v>
      </c>
      <c r="Q949" s="19">
        <v>8.212809900000001E-2</v>
      </c>
      <c r="R949" s="20">
        <v>27606</v>
      </c>
      <c r="S949" s="21" t="str">
        <f>HYPERLINK("https://misweb.cccco.edu/npc/871/npcalc.htm", "$21471")</f>
        <v>$21471</v>
      </c>
      <c r="T949" s="20">
        <v>23995</v>
      </c>
      <c r="U949" s="20">
        <v>24539</v>
      </c>
      <c r="V949" s="20">
        <v>6284</v>
      </c>
      <c r="W949" s="20">
        <v>15187.54907539118</v>
      </c>
      <c r="Y949" s="19">
        <v>0.12620000000000001</v>
      </c>
      <c r="Z949" s="19">
        <v>0.80679999999999996</v>
      </c>
      <c r="AB949" s="18">
        <v>25885</v>
      </c>
    </row>
    <row r="950" spans="1:28" ht="15.75" customHeight="1" x14ac:dyDescent="0.2">
      <c r="A950" s="36" t="str">
        <f>HYPERLINK("https://sbbcollege.edu", "Santa Barbara Business College-Bakersfield")</f>
        <v>Santa Barbara Business College-Bakersfield</v>
      </c>
      <c r="B950" s="18" t="s">
        <v>368</v>
      </c>
      <c r="C950" s="18" t="s">
        <v>68</v>
      </c>
      <c r="D950" s="18" t="s">
        <v>669</v>
      </c>
      <c r="E950" s="18" t="s">
        <v>36</v>
      </c>
      <c r="F950" s="18" t="s">
        <v>36</v>
      </c>
      <c r="J950" s="19"/>
      <c r="K950" s="19">
        <v>0.53639999999999999</v>
      </c>
      <c r="L950" s="19">
        <v>0.45819398</v>
      </c>
      <c r="M950" s="19">
        <v>0.5</v>
      </c>
      <c r="N950" s="19">
        <v>0.1429</v>
      </c>
      <c r="O950" s="19">
        <v>0.57140000000000002</v>
      </c>
      <c r="P950" s="19">
        <v>1</v>
      </c>
      <c r="Q950" s="19" t="s">
        <v>36</v>
      </c>
      <c r="R950" s="20">
        <v>26328</v>
      </c>
      <c r="S950" s="21" t="str">
        <f>HYPERLINK("https://cloud.sbbcollege.edu/npc/npc_bkrm.htm", "$16407")</f>
        <v>$16407</v>
      </c>
      <c r="T950" s="20">
        <v>23517</v>
      </c>
      <c r="U950" s="20">
        <v>19822</v>
      </c>
      <c r="V950" s="20" t="s">
        <v>36</v>
      </c>
      <c r="W950" s="20" t="s">
        <v>36</v>
      </c>
      <c r="Y950" s="19">
        <v>0.88539999999999996</v>
      </c>
      <c r="Z950" s="19">
        <v>0.83729999999999993</v>
      </c>
      <c r="AB950" s="18">
        <v>332</v>
      </c>
    </row>
    <row r="951" spans="1:28" ht="15.75" customHeight="1" x14ac:dyDescent="0.2">
      <c r="A951" s="36" t="str">
        <f>HYPERLINK("https://sbbcollege.edu", "Santa Barbara Business College-Santa Maria")</f>
        <v>Santa Barbara Business College-Santa Maria</v>
      </c>
      <c r="B951" s="18" t="s">
        <v>368</v>
      </c>
      <c r="C951" s="18" t="s">
        <v>68</v>
      </c>
      <c r="D951" s="18" t="s">
        <v>855</v>
      </c>
      <c r="E951" s="18" t="s">
        <v>36</v>
      </c>
      <c r="F951" s="18" t="s">
        <v>36</v>
      </c>
      <c r="J951" s="19"/>
      <c r="K951" s="19">
        <v>0.70450000000000002</v>
      </c>
      <c r="L951" s="19">
        <v>0.56084656099999997</v>
      </c>
      <c r="M951" s="19">
        <v>0.66669999999999996</v>
      </c>
      <c r="N951" s="19" t="s">
        <v>36</v>
      </c>
      <c r="O951" s="19">
        <v>0.72729999999999995</v>
      </c>
      <c r="P951" s="19">
        <v>0</v>
      </c>
      <c r="Q951" s="19" t="s">
        <v>36</v>
      </c>
      <c r="R951" s="20">
        <v>26328</v>
      </c>
      <c r="S951" s="21" t="str">
        <f>HYPERLINK("https://cloud.sbbcollege.edu/npc/npc_sm.htm", "$15500")</f>
        <v>$15500</v>
      </c>
      <c r="T951" s="20" t="s">
        <v>36</v>
      </c>
      <c r="U951" s="20" t="s">
        <v>36</v>
      </c>
      <c r="V951" s="20" t="s">
        <v>36</v>
      </c>
      <c r="W951" s="20" t="s">
        <v>36</v>
      </c>
      <c r="Y951" s="19">
        <v>0.69230000000000003</v>
      </c>
      <c r="Z951" s="19">
        <v>0.80769999999999997</v>
      </c>
      <c r="AB951" s="18">
        <v>78</v>
      </c>
    </row>
    <row r="952" spans="1:28" ht="15.75" customHeight="1" x14ac:dyDescent="0.2">
      <c r="A952" s="36" t="str">
        <f>HYPERLINK("https://www.sbcc.edu", "Santa Barbara City College")</f>
        <v>Santa Barbara City College</v>
      </c>
      <c r="B952" s="18" t="s">
        <v>49</v>
      </c>
      <c r="C952" s="18" t="s">
        <v>68</v>
      </c>
      <c r="D952" s="18" t="s">
        <v>275</v>
      </c>
      <c r="E952" s="18" t="s">
        <v>36</v>
      </c>
      <c r="F952" s="18" t="s">
        <v>36</v>
      </c>
      <c r="J952" s="19"/>
      <c r="K952" s="19">
        <v>0.35139999999999999</v>
      </c>
      <c r="L952" s="19">
        <v>8.9659295E-2</v>
      </c>
      <c r="M952" s="19">
        <v>0.3972</v>
      </c>
      <c r="N952" s="19">
        <v>0.1875</v>
      </c>
      <c r="O952" s="19">
        <v>0.3145</v>
      </c>
      <c r="P952" s="19">
        <v>0.49230000000000002</v>
      </c>
      <c r="Q952" s="19">
        <v>0.15083586600000001</v>
      </c>
      <c r="R952" s="20">
        <v>24956</v>
      </c>
      <c r="S952" s="21" t="str">
        <f>HYPERLINK("https://misweb.cccco.edu/npc/651/npcalc.htm", "$17262")</f>
        <v>$17262</v>
      </c>
      <c r="T952" s="20">
        <v>17046</v>
      </c>
      <c r="U952" s="20">
        <v>17167</v>
      </c>
      <c r="V952" s="20">
        <v>4680</v>
      </c>
      <c r="W952" s="20">
        <v>12582.170212765959</v>
      </c>
      <c r="Y952" s="19">
        <v>0.21540000000000001</v>
      </c>
      <c r="Z952" s="19">
        <v>0.60040000000000004</v>
      </c>
      <c r="AB952" s="18">
        <v>13344</v>
      </c>
    </row>
    <row r="953" spans="1:28" ht="15.75" customHeight="1" x14ac:dyDescent="0.2">
      <c r="A953" s="36" t="str">
        <f>HYPERLINK("https://www.sfcollege.edu", "Santa Fe College")</f>
        <v>Santa Fe College</v>
      </c>
      <c r="B953" s="18" t="s">
        <v>49</v>
      </c>
      <c r="C953" s="18" t="s">
        <v>162</v>
      </c>
      <c r="D953" s="18" t="s">
        <v>277</v>
      </c>
      <c r="E953" s="18" t="s">
        <v>36</v>
      </c>
      <c r="F953" s="18" t="s">
        <v>36</v>
      </c>
      <c r="J953" s="19"/>
      <c r="K953" s="19">
        <v>0.50480000000000003</v>
      </c>
      <c r="L953" s="19">
        <v>0.243378119</v>
      </c>
      <c r="M953" s="19">
        <v>0.51070000000000004</v>
      </c>
      <c r="N953" s="19">
        <v>0.45069999999999999</v>
      </c>
      <c r="O953" s="19">
        <v>0.51339999999999997</v>
      </c>
      <c r="P953" s="19">
        <v>0.5</v>
      </c>
      <c r="Q953" s="19">
        <v>0.1145364</v>
      </c>
      <c r="R953" s="20">
        <v>23931</v>
      </c>
      <c r="S953" s="21" t="str">
        <f>HYPERLINK("https://www.sfcollege.edu/financialaid/NetPriceCalculator/", "$20527")</f>
        <v>$20527</v>
      </c>
      <c r="T953" s="20">
        <v>22299</v>
      </c>
      <c r="U953" s="20">
        <v>23393</v>
      </c>
      <c r="V953" s="20">
        <v>4734</v>
      </c>
      <c r="W953" s="20">
        <v>15793.017543859651</v>
      </c>
      <c r="Y953" s="19">
        <v>0.30409999999999998</v>
      </c>
      <c r="Z953" s="19">
        <v>0.44750000000000001</v>
      </c>
      <c r="AB953" s="18">
        <v>12925</v>
      </c>
    </row>
    <row r="954" spans="1:28" ht="15.75" customHeight="1" x14ac:dyDescent="0.2">
      <c r="A954" s="36" t="str">
        <f>HYPERLINK("https://www.smc.edu", "Santa Monica College")</f>
        <v>Santa Monica College</v>
      </c>
      <c r="B954" s="18" t="s">
        <v>49</v>
      </c>
      <c r="C954" s="18" t="s">
        <v>68</v>
      </c>
      <c r="D954" s="18" t="s">
        <v>1673</v>
      </c>
      <c r="E954" s="18" t="s">
        <v>36</v>
      </c>
      <c r="F954" s="18" t="s">
        <v>36</v>
      </c>
      <c r="J954" s="19"/>
      <c r="K954" s="19">
        <v>0.29959999999999998</v>
      </c>
      <c r="L954" s="19">
        <v>0.111254434</v>
      </c>
      <c r="M954" s="19">
        <v>0.39150000000000001</v>
      </c>
      <c r="N954" s="19">
        <v>0.115</v>
      </c>
      <c r="O954" s="19">
        <v>0.1946</v>
      </c>
      <c r="P954" s="19">
        <v>0.42399999999999999</v>
      </c>
      <c r="Q954" s="19">
        <v>0.14647333500000001</v>
      </c>
      <c r="R954" s="20">
        <v>26122</v>
      </c>
      <c r="S954" s="21" t="str">
        <f>HYPERLINK("https://misweb.cccco.edu/npc/781/npcalc.htm", "$19421")</f>
        <v>$19421</v>
      </c>
      <c r="T954" s="20">
        <v>20710</v>
      </c>
      <c r="U954" s="20" t="s">
        <v>36</v>
      </c>
      <c r="V954" s="20">
        <v>6008</v>
      </c>
      <c r="W954" s="20">
        <v>13413.33236151603</v>
      </c>
      <c r="Y954" s="19">
        <v>0.2329</v>
      </c>
      <c r="Z954" s="19">
        <v>0.74669999999999992</v>
      </c>
      <c r="AB954" s="18">
        <v>27190</v>
      </c>
    </row>
    <row r="955" spans="1:28" ht="15.75" customHeight="1" x14ac:dyDescent="0.2">
      <c r="A955" s="36" t="str">
        <f>HYPERLINK("https://www.sccollege.edu/Pages/default.aspx", "Santiago Canyon College")</f>
        <v>Santiago Canyon College</v>
      </c>
      <c r="B955" s="18" t="s">
        <v>49</v>
      </c>
      <c r="C955" s="18" t="s">
        <v>68</v>
      </c>
      <c r="D955" s="18" t="s">
        <v>328</v>
      </c>
      <c r="E955" s="18" t="s">
        <v>36</v>
      </c>
      <c r="F955" s="18" t="s">
        <v>36</v>
      </c>
      <c r="J955" s="19"/>
      <c r="K955" s="19">
        <v>0.38850000000000001</v>
      </c>
      <c r="L955" s="19">
        <v>0.117647059</v>
      </c>
      <c r="M955" s="19">
        <v>0.43109999999999998</v>
      </c>
      <c r="N955" s="19">
        <v>0.22220000000000001</v>
      </c>
      <c r="O955" s="19">
        <v>0.3347</v>
      </c>
      <c r="P955" s="19">
        <v>0.5625</v>
      </c>
      <c r="Q955" s="19">
        <v>0.15056461700000001</v>
      </c>
      <c r="R955" s="20">
        <v>27503</v>
      </c>
      <c r="S955" s="21" t="str">
        <f>HYPERLINK("https://misweb.cccco.edu/npc/873/npcalc.htm", "$21925")</f>
        <v>$21925</v>
      </c>
      <c r="T955" s="20">
        <v>23943</v>
      </c>
      <c r="U955" s="20">
        <v>27503</v>
      </c>
      <c r="V955" s="20">
        <v>6228</v>
      </c>
      <c r="W955" s="20">
        <v>15697.35608308605</v>
      </c>
      <c r="Y955" s="19">
        <v>0.1191</v>
      </c>
      <c r="Z955" s="19">
        <v>0.67510000000000003</v>
      </c>
      <c r="AB955" s="18">
        <v>11378</v>
      </c>
    </row>
    <row r="956" spans="1:28" ht="15.75" customHeight="1" x14ac:dyDescent="0.2">
      <c r="A956" s="36" t="str">
        <f>HYPERLINK("https://sunysccc.edu", "SUNY Schenectady County Community College")</f>
        <v>SUNY Schenectady County Community College</v>
      </c>
      <c r="B956" s="18" t="s">
        <v>49</v>
      </c>
      <c r="C956" s="18" t="s">
        <v>38</v>
      </c>
      <c r="D956" s="18" t="s">
        <v>270</v>
      </c>
      <c r="E956" s="18" t="s">
        <v>36</v>
      </c>
      <c r="F956" s="18" t="s">
        <v>36</v>
      </c>
      <c r="G956" s="18" t="s">
        <v>51</v>
      </c>
      <c r="I956" s="18" t="s">
        <v>1111</v>
      </c>
      <c r="J956" s="19"/>
      <c r="K956" s="19">
        <v>0.2026</v>
      </c>
      <c r="L956" s="19">
        <v>0.116647792</v>
      </c>
      <c r="M956" s="19">
        <v>0.26829999999999998</v>
      </c>
      <c r="N956" s="19">
        <v>9.74E-2</v>
      </c>
      <c r="O956" s="19">
        <v>0.12330000000000001</v>
      </c>
      <c r="P956" s="19">
        <v>0.21210000000000001</v>
      </c>
      <c r="Q956" s="19">
        <v>7.8104139000000003E-2</v>
      </c>
      <c r="R956" s="20">
        <v>17560</v>
      </c>
      <c r="S956" s="21" t="str">
        <f>HYPERLINK("https://sunysccc.edu/Admissions/Paying-for-SUNY-SCCC/Financial-Aid/Net-Price-Calculator-Copy", "$4485")</f>
        <v>$4485</v>
      </c>
      <c r="T956" s="20">
        <v>7165</v>
      </c>
      <c r="U956" s="20" t="s">
        <v>36</v>
      </c>
      <c r="V956" s="20">
        <v>3909</v>
      </c>
      <c r="W956" s="20">
        <v>576</v>
      </c>
      <c r="Y956" s="19">
        <v>0.37430000000000002</v>
      </c>
      <c r="Z956" s="19">
        <v>0.42589999999999989</v>
      </c>
      <c r="AB956" s="18">
        <v>2940</v>
      </c>
    </row>
    <row r="957" spans="1:28" ht="15.75" customHeight="1" x14ac:dyDescent="0.2">
      <c r="A957" s="36" t="str">
        <f>HYPERLINK("https://www.schoolcraft.edu", "Schoolcraft College")</f>
        <v>Schoolcraft College</v>
      </c>
      <c r="B957" s="18" t="s">
        <v>49</v>
      </c>
      <c r="C957" s="18" t="s">
        <v>226</v>
      </c>
      <c r="D957" s="18" t="s">
        <v>401</v>
      </c>
      <c r="E957" s="18" t="s">
        <v>36</v>
      </c>
      <c r="F957" s="18" t="s">
        <v>36</v>
      </c>
      <c r="J957" s="19"/>
      <c r="K957" s="19">
        <v>0.1709</v>
      </c>
      <c r="L957" s="19">
        <v>0.123293703</v>
      </c>
      <c r="M957" s="19">
        <v>0.20219999999999999</v>
      </c>
      <c r="N957" s="19">
        <v>3.7400000000000003E-2</v>
      </c>
      <c r="O957" s="19">
        <v>0.18920000000000001</v>
      </c>
      <c r="P957" s="19">
        <v>0.21429999999999999</v>
      </c>
      <c r="Q957" s="19">
        <v>8.8632526999999989E-2</v>
      </c>
      <c r="R957" s="20">
        <v>19554</v>
      </c>
      <c r="S957" s="21" t="str">
        <f>HYPERLINK("https://www.schoolcraft.edu/tuition/calculators/net-price-calculator", "$16552")</f>
        <v>$16552</v>
      </c>
      <c r="T957" s="20">
        <v>17846</v>
      </c>
      <c r="U957" s="20">
        <v>18857</v>
      </c>
      <c r="V957" s="20">
        <v>5281</v>
      </c>
      <c r="W957" s="20">
        <v>11271.64</v>
      </c>
      <c r="Y957" s="19">
        <v>0.30299999999999999</v>
      </c>
      <c r="Z957" s="19">
        <v>0.3488</v>
      </c>
      <c r="AB957" s="18">
        <v>9359</v>
      </c>
    </row>
    <row r="958" spans="1:28" ht="15.75" customHeight="1" x14ac:dyDescent="0.2">
      <c r="A958" s="36" t="str">
        <f>HYPERLINK("https://www.scottsdalecc.edu", "Scottsdale Community College")</f>
        <v>Scottsdale Community College</v>
      </c>
      <c r="B958" s="18" t="s">
        <v>49</v>
      </c>
      <c r="C958" s="18" t="s">
        <v>354</v>
      </c>
      <c r="D958" s="18" t="s">
        <v>557</v>
      </c>
      <c r="E958" s="18" t="s">
        <v>36</v>
      </c>
      <c r="F958" s="18" t="s">
        <v>36</v>
      </c>
      <c r="J958" s="19"/>
      <c r="K958" s="19">
        <v>0.18890000000000001</v>
      </c>
      <c r="L958" s="19">
        <v>1.3239875E-2</v>
      </c>
      <c r="M958" s="19">
        <v>0.20180000000000001</v>
      </c>
      <c r="N958" s="19">
        <v>0.16919999999999999</v>
      </c>
      <c r="O958" s="19">
        <v>0.16769999999999999</v>
      </c>
      <c r="P958" s="19">
        <v>0.1333</v>
      </c>
      <c r="Q958" s="19">
        <v>0.18484555999999999</v>
      </c>
      <c r="R958" s="20">
        <v>21565</v>
      </c>
      <c r="S958" s="21" t="str">
        <f>HYPERLINK("https://www.scottsdalecc.edu/admissions/cashiers-office/net-price-calculator", "$16149")</f>
        <v>$16149</v>
      </c>
      <c r="T958" s="20">
        <v>19485</v>
      </c>
      <c r="U958" s="20">
        <v>21370</v>
      </c>
      <c r="V958" s="20">
        <v>7907</v>
      </c>
      <c r="W958" s="20">
        <v>8242.5393258426957</v>
      </c>
      <c r="Y958" s="19">
        <v>0.17899999999999999</v>
      </c>
      <c r="Z958" s="19">
        <v>0.44850000000000001</v>
      </c>
      <c r="AB958" s="18">
        <v>6025</v>
      </c>
    </row>
    <row r="959" spans="1:28" ht="15.75" customHeight="1" x14ac:dyDescent="0.2">
      <c r="A959" s="36" t="str">
        <f>HYPERLINK("https://www.seattlecentral.edu", "Seattle Central College")</f>
        <v>Seattle Central College</v>
      </c>
      <c r="B959" s="18" t="s">
        <v>49</v>
      </c>
      <c r="C959" s="18" t="s">
        <v>184</v>
      </c>
      <c r="D959" s="18" t="s">
        <v>472</v>
      </c>
      <c r="E959" s="18" t="s">
        <v>36</v>
      </c>
      <c r="F959" s="18" t="s">
        <v>36</v>
      </c>
      <c r="J959" s="19"/>
      <c r="K959" s="19">
        <v>0.24709999999999999</v>
      </c>
      <c r="L959" s="19">
        <v>0.104890149</v>
      </c>
      <c r="M959" s="19">
        <v>0.23</v>
      </c>
      <c r="N959" s="19">
        <v>0.22220000000000001</v>
      </c>
      <c r="O959" s="19">
        <v>0.28570000000000001</v>
      </c>
      <c r="P959" s="19">
        <v>0.3095</v>
      </c>
      <c r="Q959" s="19">
        <v>0.114439784</v>
      </c>
      <c r="R959" s="20">
        <v>18171</v>
      </c>
      <c r="S959" s="21" t="str">
        <f>HYPERLINK("https://www.seattlecentral.edu/enrollment-and-funding/financial-aid-and-funding/financial-aid/net-price-calculator", "$10605")</f>
        <v>$10605</v>
      </c>
      <c r="T959" s="20">
        <v>12563</v>
      </c>
      <c r="U959" s="20">
        <v>14844</v>
      </c>
      <c r="V959" s="20">
        <v>4236</v>
      </c>
      <c r="W959" s="20">
        <v>6369.1150442477883</v>
      </c>
      <c r="Y959" s="19">
        <v>0.19769999999999999</v>
      </c>
      <c r="Z959" s="19">
        <v>0.67859999999999998</v>
      </c>
      <c r="AB959" s="18">
        <v>3174</v>
      </c>
    </row>
    <row r="960" spans="1:28" ht="15.75" customHeight="1" x14ac:dyDescent="0.2">
      <c r="A960" s="36" t="str">
        <f>HYPERLINK("https://www.sscok.edu", "Seminole State College")</f>
        <v>Seminole State College</v>
      </c>
      <c r="B960" s="18" t="s">
        <v>49</v>
      </c>
      <c r="C960" s="18" t="s">
        <v>290</v>
      </c>
      <c r="D960" s="18" t="s">
        <v>1674</v>
      </c>
      <c r="E960" s="18" t="s">
        <v>36</v>
      </c>
      <c r="F960" s="18" t="s">
        <v>36</v>
      </c>
      <c r="J960" s="19"/>
      <c r="K960" s="19">
        <v>0.3947</v>
      </c>
      <c r="L960" s="19">
        <v>0.161921708</v>
      </c>
      <c r="M960" s="19">
        <v>0.42580000000000001</v>
      </c>
      <c r="N960" s="19">
        <v>0.31030000000000002</v>
      </c>
      <c r="O960" s="19">
        <v>0.5</v>
      </c>
      <c r="P960" s="19">
        <v>0.2</v>
      </c>
      <c r="Q960" s="19">
        <v>6.8268015000000001E-2</v>
      </c>
      <c r="R960" s="20">
        <v>24470</v>
      </c>
      <c r="S960" s="21" t="str">
        <f>HYPERLINK("https://www.sscok.edu/NetPriceCalculator/npcalc.htm", "$17383")</f>
        <v>$17383</v>
      </c>
      <c r="T960" s="20">
        <v>18311</v>
      </c>
      <c r="U960" s="20">
        <v>23383</v>
      </c>
      <c r="V960" s="20">
        <v>7020</v>
      </c>
      <c r="W960" s="20">
        <v>10363.969325153381</v>
      </c>
      <c r="Y960" s="19">
        <v>0.47139999999999999</v>
      </c>
      <c r="Z960" s="19">
        <v>0.41930000000000001</v>
      </c>
      <c r="AB960" s="18">
        <v>1307</v>
      </c>
    </row>
    <row r="961" spans="1:28" ht="15.75" customHeight="1" x14ac:dyDescent="0.2">
      <c r="A961" s="36" t="str">
        <f>HYPERLINK("https://www.seminolestate.edu/", "Seminole State College of Florida")</f>
        <v>Seminole State College of Florida</v>
      </c>
      <c r="B961" s="18" t="s">
        <v>49</v>
      </c>
      <c r="C961" s="18" t="s">
        <v>162</v>
      </c>
      <c r="D961" s="18" t="s">
        <v>1675</v>
      </c>
      <c r="E961" s="18" t="s">
        <v>36</v>
      </c>
      <c r="F961" s="18" t="s">
        <v>36</v>
      </c>
      <c r="J961" s="19"/>
      <c r="K961" s="19">
        <v>0.36899999999999999</v>
      </c>
      <c r="L961" s="19">
        <v>0.24280753999999999</v>
      </c>
      <c r="M961" s="19">
        <v>0.42780000000000001</v>
      </c>
      <c r="N961" s="19">
        <v>0.1862</v>
      </c>
      <c r="O961" s="19">
        <v>0.33279999999999998</v>
      </c>
      <c r="P961" s="19">
        <v>0.65310000000000001</v>
      </c>
      <c r="Q961" s="19">
        <v>9.1874999999999998E-2</v>
      </c>
      <c r="R961" s="20">
        <v>22524</v>
      </c>
      <c r="S961" s="21" t="str">
        <f>HYPERLINK("https://www.seminolestate.edu/financial-aid/resources/cost-estimator", "$17257")</f>
        <v>$17257</v>
      </c>
      <c r="T961" s="20">
        <v>20278</v>
      </c>
      <c r="U961" s="20">
        <v>22257</v>
      </c>
      <c r="V961" s="20">
        <v>4604</v>
      </c>
      <c r="W961" s="20">
        <v>12653.506555423121</v>
      </c>
      <c r="Y961" s="19">
        <v>0.39219999999999999</v>
      </c>
      <c r="Z961" s="19">
        <v>0.53669999999999995</v>
      </c>
      <c r="AB961" s="18">
        <v>15438</v>
      </c>
    </row>
    <row r="962" spans="1:28" ht="15.75" customHeight="1" x14ac:dyDescent="0.2">
      <c r="A962" s="36" t="str">
        <f>HYPERLINK("https://www.shastacollege.edu", "Shasta College")</f>
        <v>Shasta College</v>
      </c>
      <c r="B962" s="18" t="s">
        <v>49</v>
      </c>
      <c r="C962" s="18" t="s">
        <v>68</v>
      </c>
      <c r="D962" s="18" t="s">
        <v>1158</v>
      </c>
      <c r="E962" s="18" t="s">
        <v>36</v>
      </c>
      <c r="F962" s="18" t="s">
        <v>36</v>
      </c>
      <c r="J962" s="19"/>
      <c r="K962" s="19">
        <v>0.19800000000000001</v>
      </c>
      <c r="L962" s="19" t="s">
        <v>36</v>
      </c>
      <c r="M962" s="19">
        <v>0.22450000000000001</v>
      </c>
      <c r="N962" s="19">
        <v>7.6899999999999996E-2</v>
      </c>
      <c r="O962" s="19">
        <v>0.15329999999999999</v>
      </c>
      <c r="P962" s="19">
        <v>0.22220000000000001</v>
      </c>
      <c r="Q962" s="19">
        <v>0.12691697499999999</v>
      </c>
      <c r="R962" s="20">
        <v>17013</v>
      </c>
      <c r="S962" s="21" t="str">
        <f>HYPERLINK("https://misweb.cccco.edu/npc/171/npcalc.htm", "$10758")</f>
        <v>$10758</v>
      </c>
      <c r="T962" s="20">
        <v>11849</v>
      </c>
      <c r="U962" s="20">
        <v>13640</v>
      </c>
      <c r="V962" s="20">
        <v>5032</v>
      </c>
      <c r="W962" s="20">
        <v>5726.9153094462536</v>
      </c>
      <c r="Y962" s="19">
        <v>0.33900000000000002</v>
      </c>
      <c r="Z962" s="19">
        <v>0.33239999999999997</v>
      </c>
      <c r="AB962" s="18">
        <v>7820</v>
      </c>
    </row>
    <row r="963" spans="1:28" ht="15.75" customHeight="1" x14ac:dyDescent="0.2">
      <c r="A963" s="36" t="str">
        <f>HYPERLINK("https://www.sheltonstate.edu", "Shelton State Community College")</f>
        <v>Shelton State Community College</v>
      </c>
      <c r="B963" s="18" t="s">
        <v>49</v>
      </c>
      <c r="C963" s="18" t="s">
        <v>300</v>
      </c>
      <c r="D963" s="18" t="s">
        <v>1211</v>
      </c>
      <c r="E963" s="18" t="s">
        <v>36</v>
      </c>
      <c r="F963" s="18" t="s">
        <v>36</v>
      </c>
      <c r="J963" s="19"/>
      <c r="K963" s="19">
        <v>0.15859999999999999</v>
      </c>
      <c r="L963" s="19">
        <v>7.766323E-2</v>
      </c>
      <c r="M963" s="19">
        <v>0.22789999999999999</v>
      </c>
      <c r="N963" s="19">
        <v>5.8299999999999998E-2</v>
      </c>
      <c r="O963" s="19" t="s">
        <v>36</v>
      </c>
      <c r="P963" s="19">
        <v>0</v>
      </c>
      <c r="Q963" s="19">
        <v>9.9182561000000002E-2</v>
      </c>
      <c r="R963" s="20">
        <v>18859</v>
      </c>
      <c r="S963" s="21" t="str">
        <f>HYPERLINK("https://apps.sheltonstate.edu/netpricecalculator/npcalc.htm", "$13517")</f>
        <v>$13517</v>
      </c>
      <c r="T963" s="20">
        <v>15392</v>
      </c>
      <c r="U963" s="20">
        <v>16711</v>
      </c>
      <c r="V963" s="20">
        <v>4500</v>
      </c>
      <c r="W963" s="20">
        <v>9017</v>
      </c>
      <c r="Y963" s="19">
        <v>0.44740000000000002</v>
      </c>
      <c r="Z963" s="19">
        <v>0.45319999999999999</v>
      </c>
      <c r="AB963" s="18">
        <v>4230</v>
      </c>
    </row>
    <row r="964" spans="1:28" ht="15.75" customHeight="1" x14ac:dyDescent="0.2">
      <c r="A964" s="36" t="str">
        <f>HYPERLINK("https://www.shortercollege.edu", "Shorter College")</f>
        <v>Shorter College</v>
      </c>
      <c r="B964" s="18" t="s">
        <v>32</v>
      </c>
      <c r="C964" s="18" t="s">
        <v>371</v>
      </c>
      <c r="D964" s="18" t="s">
        <v>1676</v>
      </c>
      <c r="E964" s="18" t="s">
        <v>36</v>
      </c>
      <c r="F964" s="18" t="s">
        <v>36</v>
      </c>
      <c r="J964" s="19"/>
      <c r="K964" s="19">
        <v>8.3299999999999999E-2</v>
      </c>
      <c r="L964" s="19" t="s">
        <v>36</v>
      </c>
      <c r="M964" s="19" t="s">
        <v>36</v>
      </c>
      <c r="N964" s="19">
        <v>2.9399999999999999E-2</v>
      </c>
      <c r="O964" s="19">
        <v>1</v>
      </c>
      <c r="P964" s="19" t="s">
        <v>36</v>
      </c>
      <c r="Q964" s="19" t="s">
        <v>36</v>
      </c>
      <c r="R964" s="20">
        <v>22379</v>
      </c>
      <c r="S964" s="21" t="str">
        <f>HYPERLINK("https://www.shortercollege.edu", "$15773")</f>
        <v>$15773</v>
      </c>
      <c r="T964" s="20" t="s">
        <v>36</v>
      </c>
      <c r="U964" s="20" t="s">
        <v>36</v>
      </c>
      <c r="V964" s="20">
        <v>7557</v>
      </c>
      <c r="W964" s="20">
        <v>8216</v>
      </c>
      <c r="Y964" s="19">
        <v>0.87009999999999998</v>
      </c>
      <c r="Z964" s="19">
        <v>0.58160000000000001</v>
      </c>
      <c r="AB964" s="18">
        <v>521</v>
      </c>
    </row>
    <row r="965" spans="1:28" ht="15.75" customHeight="1" x14ac:dyDescent="0.2">
      <c r="A965" s="36" t="str">
        <f>HYPERLINK("https://www.sierracollege.edu", "Sierra College")</f>
        <v>Sierra College</v>
      </c>
      <c r="B965" s="18" t="s">
        <v>49</v>
      </c>
      <c r="C965" s="18" t="s">
        <v>68</v>
      </c>
      <c r="D965" s="18" t="s">
        <v>1677</v>
      </c>
      <c r="E965" s="18" t="s">
        <v>36</v>
      </c>
      <c r="F965" s="18" t="s">
        <v>36</v>
      </c>
      <c r="J965" s="19"/>
      <c r="K965" s="19">
        <v>0.34960000000000002</v>
      </c>
      <c r="L965" s="19" t="s">
        <v>36</v>
      </c>
      <c r="M965" s="19">
        <v>0.33260000000000001</v>
      </c>
      <c r="N965" s="19">
        <v>0.2203</v>
      </c>
      <c r="O965" s="19">
        <v>0.35539999999999999</v>
      </c>
      <c r="P965" s="19">
        <v>0.51580000000000004</v>
      </c>
      <c r="Q965" s="19">
        <v>0.129011553</v>
      </c>
      <c r="R965" s="20">
        <v>18934</v>
      </c>
      <c r="S965" s="21" t="str">
        <f>HYPERLINK("https://misweb.cccco.edu/npc/271/npcalc.htm", "$11470")</f>
        <v>$11470</v>
      </c>
      <c r="T965" s="20">
        <v>14553</v>
      </c>
      <c r="U965" s="20">
        <v>16473</v>
      </c>
      <c r="V965" s="20">
        <v>5320</v>
      </c>
      <c r="W965" s="20">
        <v>6150.9336099585053</v>
      </c>
      <c r="Y965" s="19">
        <v>0.27279999999999999</v>
      </c>
      <c r="Z965" s="19">
        <v>0.43769999999999998</v>
      </c>
      <c r="AB965" s="18">
        <v>16383</v>
      </c>
    </row>
    <row r="966" spans="1:28" ht="15.75" customHeight="1" x14ac:dyDescent="0.2">
      <c r="A966" s="36" t="str">
        <f>HYPERLINK("https://www.simmonscollegeky.edu", "Simmons College of Kentucky")</f>
        <v>Simmons College of Kentucky</v>
      </c>
      <c r="B966" s="18" t="s">
        <v>32</v>
      </c>
      <c r="C966" s="18" t="s">
        <v>205</v>
      </c>
      <c r="D966" s="18" t="s">
        <v>306</v>
      </c>
      <c r="E966" s="18" t="s">
        <v>36</v>
      </c>
      <c r="F966" s="18" t="s">
        <v>36</v>
      </c>
      <c r="J966" s="19"/>
      <c r="K966" s="19">
        <v>1</v>
      </c>
      <c r="L966" s="19" t="s">
        <v>36</v>
      </c>
      <c r="M966" s="19" t="s">
        <v>36</v>
      </c>
      <c r="N966" s="19">
        <v>1</v>
      </c>
      <c r="O966" s="19" t="s">
        <v>36</v>
      </c>
      <c r="P966" s="19" t="s">
        <v>36</v>
      </c>
      <c r="Q966" s="19" t="s">
        <v>36</v>
      </c>
      <c r="R966" s="20">
        <v>15588</v>
      </c>
      <c r="S966" s="21" t="str">
        <f>HYPERLINK("https://www.simmonscollegeky.edu/financial-aid", "$6822")</f>
        <v>$6822</v>
      </c>
      <c r="T966" s="20">
        <v>9104</v>
      </c>
      <c r="U966" s="20" t="s">
        <v>36</v>
      </c>
      <c r="V966" s="20">
        <v>3982</v>
      </c>
      <c r="W966" s="20">
        <v>2840</v>
      </c>
      <c r="Y966" s="19">
        <v>0.67979999999999996</v>
      </c>
      <c r="Z966" s="19">
        <v>0.99070000000000003</v>
      </c>
      <c r="AB966" s="18">
        <v>216</v>
      </c>
    </row>
    <row r="967" spans="1:28" ht="15.75" customHeight="1" x14ac:dyDescent="0.2">
      <c r="A967" s="36" t="str">
        <f>HYPERLINK("https://www.sintegleska.edu", "Sinte Gleska University")</f>
        <v>Sinte Gleska University</v>
      </c>
      <c r="B967" s="18" t="s">
        <v>32</v>
      </c>
      <c r="C967" s="18" t="s">
        <v>302</v>
      </c>
      <c r="D967" s="18" t="s">
        <v>1678</v>
      </c>
      <c r="E967" s="18" t="s">
        <v>36</v>
      </c>
      <c r="F967" s="18" t="s">
        <v>36</v>
      </c>
      <c r="J967" s="19"/>
      <c r="K967" s="19">
        <v>2.6499999999999999E-2</v>
      </c>
      <c r="L967" s="19" t="s">
        <v>36</v>
      </c>
      <c r="M967" s="19">
        <v>0</v>
      </c>
      <c r="N967" s="19" t="s">
        <v>36</v>
      </c>
      <c r="O967" s="19" t="s">
        <v>36</v>
      </c>
      <c r="P967" s="19" t="s">
        <v>36</v>
      </c>
      <c r="Q967" s="19" t="s">
        <v>36</v>
      </c>
      <c r="R967" s="20">
        <v>21154</v>
      </c>
      <c r="S967" s="21" t="str">
        <f>HYPERLINK("https://www.sintegleska.edu", "$12564")</f>
        <v>$12564</v>
      </c>
      <c r="T967" s="20">
        <v>15584</v>
      </c>
      <c r="U967" s="20" t="s">
        <v>36</v>
      </c>
      <c r="V967" s="20">
        <v>8000</v>
      </c>
      <c r="W967" s="20">
        <v>4564</v>
      </c>
      <c r="Y967" s="19">
        <v>0.54239999999999999</v>
      </c>
      <c r="Z967" s="19">
        <v>0.94340000000000002</v>
      </c>
      <c r="AB967" s="18">
        <v>512</v>
      </c>
    </row>
    <row r="968" spans="1:28" ht="15.75" customHeight="1" x14ac:dyDescent="0.2">
      <c r="A968" s="36" t="str">
        <f>HYPERLINK("https://www.swc.tc", "Sisseton Wahpeton College")</f>
        <v>Sisseton Wahpeton College</v>
      </c>
      <c r="B968" s="18" t="s">
        <v>49</v>
      </c>
      <c r="C968" s="18" t="s">
        <v>302</v>
      </c>
      <c r="D968" s="18" t="s">
        <v>1679</v>
      </c>
      <c r="E968" s="18" t="s">
        <v>36</v>
      </c>
      <c r="F968" s="18" t="s">
        <v>36</v>
      </c>
      <c r="J968" s="19"/>
      <c r="K968" s="19">
        <v>8.3299999999999999E-2</v>
      </c>
      <c r="L968" s="19" t="s">
        <v>36</v>
      </c>
      <c r="M968" s="19">
        <v>0</v>
      </c>
      <c r="N968" s="19" t="s">
        <v>36</v>
      </c>
      <c r="O968" s="19" t="s">
        <v>36</v>
      </c>
      <c r="P968" s="19" t="s">
        <v>36</v>
      </c>
      <c r="Q968" s="19" t="s">
        <v>36</v>
      </c>
      <c r="R968" s="20">
        <v>11260</v>
      </c>
      <c r="S968" s="21" t="str">
        <f>HYPERLINK("https://www.swc.tc", "Not reported")</f>
        <v>Not reported</v>
      </c>
      <c r="T968" s="20" t="s">
        <v>36</v>
      </c>
      <c r="U968" s="20" t="s">
        <v>36</v>
      </c>
      <c r="V968" s="20">
        <v>3600</v>
      </c>
      <c r="W968" s="20" t="s">
        <v>36</v>
      </c>
      <c r="Y968" s="19">
        <v>0.67610000000000003</v>
      </c>
      <c r="Z968" s="19">
        <v>0.90210000000000001</v>
      </c>
      <c r="AB968" s="18">
        <v>194</v>
      </c>
    </row>
    <row r="969" spans="1:28" ht="15.75" customHeight="1" x14ac:dyDescent="0.2">
      <c r="A969" s="36" t="str">
        <f>HYPERLINK("https://www.skagit.edu", "Skagit Valley College")</f>
        <v>Skagit Valley College</v>
      </c>
      <c r="B969" s="18" t="s">
        <v>49</v>
      </c>
      <c r="C969" s="18" t="s">
        <v>184</v>
      </c>
      <c r="D969" s="18" t="s">
        <v>212</v>
      </c>
      <c r="E969" s="18" t="s">
        <v>36</v>
      </c>
      <c r="F969" s="18" t="s">
        <v>36</v>
      </c>
      <c r="J969" s="19"/>
      <c r="K969" s="19">
        <v>0.21210000000000001</v>
      </c>
      <c r="L969" s="19">
        <v>0.12782956100000001</v>
      </c>
      <c r="M969" s="19">
        <v>0.1953</v>
      </c>
      <c r="N969" s="19">
        <v>7.6899999999999996E-2</v>
      </c>
      <c r="O969" s="19">
        <v>0.14749999999999999</v>
      </c>
      <c r="P969" s="19">
        <v>0.33329999999999999</v>
      </c>
      <c r="Q969" s="19">
        <v>8.8731144999999997E-2</v>
      </c>
      <c r="R969" s="20">
        <v>18500</v>
      </c>
      <c r="S969" s="21" t="str">
        <f>HYPERLINK("https://www.skagit.edu/netpricecalculator/", "$12300")</f>
        <v>$12300</v>
      </c>
      <c r="T969" s="20">
        <v>14905</v>
      </c>
      <c r="U969" s="20">
        <v>17026</v>
      </c>
      <c r="V969" s="20">
        <v>4200</v>
      </c>
      <c r="W969" s="20">
        <v>8100.2577319587617</v>
      </c>
      <c r="Y969" s="19">
        <v>0.2442</v>
      </c>
      <c r="Z969" s="19">
        <v>0.35539999999999999</v>
      </c>
      <c r="AB969" s="18">
        <v>2634</v>
      </c>
    </row>
    <row r="970" spans="1:28" ht="15.75" customHeight="1" x14ac:dyDescent="0.2">
      <c r="A970" s="36" t="str">
        <f>HYPERLINK("https://skylinecollege.edu", "Skyline College")</f>
        <v>Skyline College</v>
      </c>
      <c r="B970" s="18" t="s">
        <v>49</v>
      </c>
      <c r="C970" s="18" t="s">
        <v>68</v>
      </c>
      <c r="D970" s="18" t="s">
        <v>1680</v>
      </c>
      <c r="E970" s="18" t="s">
        <v>36</v>
      </c>
      <c r="F970" s="18" t="s">
        <v>36</v>
      </c>
      <c r="J970" s="19"/>
      <c r="K970" s="19">
        <v>0.245</v>
      </c>
      <c r="L970" s="19">
        <v>0.10554089699999999</v>
      </c>
      <c r="M970" s="19">
        <v>0.23749999999999999</v>
      </c>
      <c r="N970" s="19">
        <v>0.2</v>
      </c>
      <c r="O970" s="19">
        <v>0.2072</v>
      </c>
      <c r="P970" s="19">
        <v>0.28060000000000002</v>
      </c>
      <c r="Q970" s="19">
        <v>0.14845173</v>
      </c>
      <c r="R970" s="20">
        <v>27126</v>
      </c>
      <c r="S970" s="21" t="str">
        <f>HYPERLINK("https://misweb.cccco.edu/npc/373/npcalc.htm", "$19465")</f>
        <v>$19465</v>
      </c>
      <c r="T970" s="20">
        <v>22766</v>
      </c>
      <c r="U970" s="20">
        <v>22335</v>
      </c>
      <c r="V970" s="20">
        <v>5976</v>
      </c>
      <c r="W970" s="20">
        <v>13489.69072164948</v>
      </c>
      <c r="Y970" s="19">
        <v>0.159</v>
      </c>
      <c r="Z970" s="19">
        <v>0.82030000000000003</v>
      </c>
      <c r="AB970" s="18">
        <v>8084</v>
      </c>
    </row>
    <row r="971" spans="1:28" ht="15.75" customHeight="1" x14ac:dyDescent="0.2">
      <c r="A971" s="36" t="str">
        <f>HYPERLINK("https://www.snead.edu", "Snead State Community College")</f>
        <v>Snead State Community College</v>
      </c>
      <c r="B971" s="18" t="s">
        <v>49</v>
      </c>
      <c r="C971" s="18" t="s">
        <v>300</v>
      </c>
      <c r="D971" s="18" t="s">
        <v>1681</v>
      </c>
      <c r="E971" s="18" t="s">
        <v>36</v>
      </c>
      <c r="F971" s="18" t="s">
        <v>36</v>
      </c>
      <c r="J971" s="19"/>
      <c r="K971" s="19">
        <v>0.42720000000000002</v>
      </c>
      <c r="L971" s="19">
        <v>8.6460033000000006E-2</v>
      </c>
      <c r="M971" s="19">
        <v>0.47320000000000001</v>
      </c>
      <c r="N971" s="19">
        <v>8.4699999999999998E-2</v>
      </c>
      <c r="O971" s="19">
        <v>0.57830000000000004</v>
      </c>
      <c r="P971" s="19">
        <v>0.1111</v>
      </c>
      <c r="Q971" s="19">
        <v>0.12227602899999999</v>
      </c>
      <c r="R971" s="20">
        <v>16615</v>
      </c>
      <c r="S971" s="21" t="str">
        <f>HYPERLINK("https://www.snead.edu/financial_aid/net_price_calculator.aspx", "$10876")</f>
        <v>$10876</v>
      </c>
      <c r="T971" s="20">
        <v>11360</v>
      </c>
      <c r="U971" s="20">
        <v>12923</v>
      </c>
      <c r="V971" s="20">
        <v>5358</v>
      </c>
      <c r="W971" s="20">
        <v>5518.3983286908078</v>
      </c>
      <c r="Y971" s="19">
        <v>0.50109999999999999</v>
      </c>
      <c r="Z971" s="19">
        <v>0.26919999999999999</v>
      </c>
      <c r="AB971" s="18">
        <v>1891</v>
      </c>
    </row>
    <row r="972" spans="1:28" ht="15.75" customHeight="1" x14ac:dyDescent="0.2">
      <c r="A972" s="36" t="str">
        <f>HYPERLINK("https://www.snow.edu", "Snow College")</f>
        <v>Snow College</v>
      </c>
      <c r="B972" s="18" t="s">
        <v>49</v>
      </c>
      <c r="C972" s="18" t="s">
        <v>199</v>
      </c>
      <c r="D972" s="18" t="s">
        <v>1682</v>
      </c>
      <c r="E972" s="18" t="s">
        <v>36</v>
      </c>
      <c r="F972" s="18" t="s">
        <v>36</v>
      </c>
      <c r="J972" s="19"/>
      <c r="K972" s="19">
        <v>0.48280000000000001</v>
      </c>
      <c r="L972" s="19">
        <v>6.3786007999999991E-2</v>
      </c>
      <c r="M972" s="19">
        <v>0.50309999999999999</v>
      </c>
      <c r="N972" s="19">
        <v>0.5</v>
      </c>
      <c r="O972" s="19">
        <v>0.26829999999999998</v>
      </c>
      <c r="P972" s="19">
        <v>0.375</v>
      </c>
      <c r="Q972" s="19">
        <v>0.23290203300000001</v>
      </c>
      <c r="R972" s="20">
        <v>21582</v>
      </c>
      <c r="S972" s="21" t="str">
        <f>HYPERLINK("https://www.collegeraptor.com/Shopping/School/Snow-College-UT--230597", "$17620")</f>
        <v>$17620</v>
      </c>
      <c r="T972" s="20">
        <v>17771</v>
      </c>
      <c r="U972" s="20">
        <v>19792</v>
      </c>
      <c r="V972" s="20">
        <v>5000</v>
      </c>
      <c r="W972" s="20">
        <v>12620.790235081369</v>
      </c>
      <c r="Y972" s="19">
        <v>0.28110000000000002</v>
      </c>
      <c r="Z972" s="19">
        <v>0.17</v>
      </c>
      <c r="AB972" s="18">
        <v>3471</v>
      </c>
    </row>
    <row r="973" spans="1:28" ht="15.75" customHeight="1" x14ac:dyDescent="0.2">
      <c r="A973" s="36" t="str">
        <f>HYPERLINK("https://www.solano.edu", "Solano Community College")</f>
        <v>Solano Community College</v>
      </c>
      <c r="B973" s="18" t="s">
        <v>49</v>
      </c>
      <c r="C973" s="18" t="s">
        <v>68</v>
      </c>
      <c r="D973" s="18" t="s">
        <v>356</v>
      </c>
      <c r="E973" s="18" t="s">
        <v>36</v>
      </c>
      <c r="F973" s="18" t="s">
        <v>36</v>
      </c>
      <c r="J973" s="19"/>
      <c r="K973" s="19">
        <v>0.27529999999999999</v>
      </c>
      <c r="L973" s="19">
        <v>5.4588607999999997E-2</v>
      </c>
      <c r="M973" s="19">
        <v>0.2888</v>
      </c>
      <c r="N973" s="19">
        <v>7.1400000000000005E-2</v>
      </c>
      <c r="O973" s="19">
        <v>0.29270000000000002</v>
      </c>
      <c r="P973" s="19">
        <v>0.41070000000000001</v>
      </c>
      <c r="Q973" s="19">
        <v>8.5542169000000001E-2</v>
      </c>
      <c r="R973" s="20">
        <v>25977</v>
      </c>
      <c r="S973" s="21" t="str">
        <f>HYPERLINK("https://collegecost.ed.gov/netpricecenter.aspx", "$19185")</f>
        <v>$19185</v>
      </c>
      <c r="T973" s="20">
        <v>22137</v>
      </c>
      <c r="U973" s="20">
        <v>22489</v>
      </c>
      <c r="V973" s="20">
        <v>6360</v>
      </c>
      <c r="W973" s="20">
        <v>12825.40425531915</v>
      </c>
      <c r="Y973" s="19">
        <v>0.19</v>
      </c>
      <c r="Z973" s="19">
        <v>0.72</v>
      </c>
      <c r="AB973" s="18">
        <v>7962</v>
      </c>
    </row>
    <row r="974" spans="1:28" ht="15.75" customHeight="1" x14ac:dyDescent="0.2">
      <c r="A974" s="36" t="str">
        <f>HYPERLINK("https://www.southcentral.edu", "South Central College")</f>
        <v>South Central College</v>
      </c>
      <c r="B974" s="18" t="s">
        <v>49</v>
      </c>
      <c r="C974" s="18" t="s">
        <v>72</v>
      </c>
      <c r="D974" s="18" t="s">
        <v>1683</v>
      </c>
      <c r="E974" s="18" t="s">
        <v>36</v>
      </c>
      <c r="F974" s="18" t="s">
        <v>36</v>
      </c>
      <c r="J974" s="19"/>
      <c r="K974" s="19">
        <v>0.2467</v>
      </c>
      <c r="L974" s="19">
        <v>0.30608695699999999</v>
      </c>
      <c r="M974" s="19">
        <v>0.27250000000000002</v>
      </c>
      <c r="N974" s="19">
        <v>0.16669999999999999</v>
      </c>
      <c r="O974" s="19">
        <v>0.18179999999999999</v>
      </c>
      <c r="P974" s="19">
        <v>0</v>
      </c>
      <c r="Q974" s="19">
        <v>8.1617085999999991E-2</v>
      </c>
      <c r="R974" s="20">
        <v>17669</v>
      </c>
      <c r="S974" s="21" t="str">
        <f>HYPERLINK("https://southcentral.edu/aid-financial/net-price-calculator.html", "$12093")</f>
        <v>$12093</v>
      </c>
      <c r="T974" s="20">
        <v>13719</v>
      </c>
      <c r="U974" s="20">
        <v>16366</v>
      </c>
      <c r="V974" s="20">
        <v>5752</v>
      </c>
      <c r="W974" s="20">
        <v>6341.0243902439033</v>
      </c>
      <c r="Y974" s="19">
        <v>0.45240000000000002</v>
      </c>
      <c r="Z974" s="19">
        <v>0.28879999999999989</v>
      </c>
      <c r="AB974" s="18">
        <v>2393</v>
      </c>
    </row>
    <row r="975" spans="1:28" ht="15.75" customHeight="1" x14ac:dyDescent="0.2">
      <c r="A975" s="36" t="str">
        <f>HYPERLINK("https://www.south.edu", "South College")</f>
        <v>South College</v>
      </c>
      <c r="B975" s="18" t="s">
        <v>368</v>
      </c>
      <c r="C975" s="18" t="s">
        <v>174</v>
      </c>
      <c r="D975" s="18" t="s">
        <v>492</v>
      </c>
      <c r="E975" s="18" t="s">
        <v>36</v>
      </c>
      <c r="F975" s="18" t="s">
        <v>36</v>
      </c>
      <c r="J975" s="19"/>
      <c r="K975" s="19">
        <v>0.3906</v>
      </c>
      <c r="L975" s="19">
        <v>0.16723549500000001</v>
      </c>
      <c r="M975" s="19">
        <v>0.39910000000000001</v>
      </c>
      <c r="N975" s="19">
        <v>0.21429999999999999</v>
      </c>
      <c r="O975" s="19">
        <v>0.25</v>
      </c>
      <c r="P975" s="19">
        <v>0.5</v>
      </c>
      <c r="Q975" s="19">
        <v>8.1712062000000002E-2</v>
      </c>
      <c r="R975" s="20">
        <v>36020</v>
      </c>
      <c r="S975" s="21" t="str">
        <f>HYPERLINK("https://www.south.edu", "$23709")</f>
        <v>$23709</v>
      </c>
      <c r="T975" s="20">
        <v>24125</v>
      </c>
      <c r="U975" s="20">
        <v>26207</v>
      </c>
      <c r="V975" s="20">
        <v>4907</v>
      </c>
      <c r="W975" s="20">
        <v>18802</v>
      </c>
      <c r="Y975" s="19">
        <v>0.49700000000000011</v>
      </c>
      <c r="Z975" s="19">
        <v>0.2109</v>
      </c>
      <c r="AB975" s="18">
        <v>1408</v>
      </c>
    </row>
    <row r="976" spans="1:28" ht="15.75" customHeight="1" x14ac:dyDescent="0.2">
      <c r="A976" s="36" t="str">
        <f>HYPERLINK("https://www.sfbc.edu", "South Florida Bible College and Theological Seminary")</f>
        <v>South Florida Bible College and Theological Seminary</v>
      </c>
      <c r="B976" s="18" t="s">
        <v>32</v>
      </c>
      <c r="C976" s="18" t="s">
        <v>162</v>
      </c>
      <c r="D976" s="18" t="s">
        <v>1684</v>
      </c>
      <c r="E976" s="18" t="s">
        <v>36</v>
      </c>
      <c r="F976" s="18" t="s">
        <v>36</v>
      </c>
      <c r="J976" s="19"/>
      <c r="K976" s="19">
        <v>0.5</v>
      </c>
      <c r="L976" s="19" t="s">
        <v>36</v>
      </c>
      <c r="M976" s="19">
        <v>0</v>
      </c>
      <c r="N976" s="19">
        <v>0.6</v>
      </c>
      <c r="O976" s="19">
        <v>0</v>
      </c>
      <c r="P976" s="19" t="s">
        <v>36</v>
      </c>
      <c r="Q976" s="19" t="s">
        <v>36</v>
      </c>
      <c r="R976" s="20">
        <v>19310</v>
      </c>
      <c r="S976" s="21" t="str">
        <f>HYPERLINK("https://sfbc.vfao.com/aidestimator/default.aspx", "$15220")</f>
        <v>$15220</v>
      </c>
      <c r="T976" s="20" t="s">
        <v>36</v>
      </c>
      <c r="U976" s="20" t="s">
        <v>36</v>
      </c>
      <c r="V976" s="20">
        <v>3150</v>
      </c>
      <c r="W976" s="20">
        <v>12070</v>
      </c>
      <c r="Y976" s="19">
        <v>0.47699999999999998</v>
      </c>
      <c r="Z976" s="19">
        <v>0.92389999999999994</v>
      </c>
      <c r="AB976" s="18">
        <v>276</v>
      </c>
    </row>
    <row r="977" spans="1:28" ht="15.75" customHeight="1" x14ac:dyDescent="0.2">
      <c r="A977" s="36" t="str">
        <f>HYPERLINK("https://www.southflorida.edu", "South Florida State College")</f>
        <v>South Florida State College</v>
      </c>
      <c r="B977" s="18" t="s">
        <v>49</v>
      </c>
      <c r="C977" s="18" t="s">
        <v>162</v>
      </c>
      <c r="D977" s="18" t="s">
        <v>1685</v>
      </c>
      <c r="E977" s="18" t="s">
        <v>36</v>
      </c>
      <c r="F977" s="18" t="s">
        <v>36</v>
      </c>
      <c r="J977" s="19"/>
      <c r="K977" s="19">
        <v>0.39539999999999997</v>
      </c>
      <c r="L977" s="19">
        <v>0.12828947399999999</v>
      </c>
      <c r="M977" s="19">
        <v>0.45079999999999998</v>
      </c>
      <c r="N977" s="19">
        <v>0.25</v>
      </c>
      <c r="O977" s="19">
        <v>0.376</v>
      </c>
      <c r="P977" s="19">
        <v>0.6</v>
      </c>
      <c r="Q977" s="19">
        <v>9.324009300000001E-2</v>
      </c>
      <c r="R977" s="20">
        <v>23238</v>
      </c>
      <c r="S977" s="21" t="str">
        <f>HYPERLINK("https://www.southflorida.edu/current-students/financial-aid-scholarships/net-price-calculator", "$18159")</f>
        <v>$18159</v>
      </c>
      <c r="T977" s="20">
        <v>21133</v>
      </c>
      <c r="U977" s="20">
        <v>21601</v>
      </c>
      <c r="V977" s="20">
        <v>5459</v>
      </c>
      <c r="W977" s="20">
        <v>12700.262500000001</v>
      </c>
      <c r="Y977" s="19">
        <v>0.45150000000000001</v>
      </c>
      <c r="Z977" s="19">
        <v>0.55320000000000003</v>
      </c>
      <c r="AB977" s="18">
        <v>2104</v>
      </c>
    </row>
    <row r="978" spans="1:28" ht="15.75" customHeight="1" x14ac:dyDescent="0.2">
      <c r="A978" s="36" t="str">
        <f>HYPERLINK("https://www.sgsc.edu", "South Georgia State College")</f>
        <v>South Georgia State College</v>
      </c>
      <c r="B978" s="18" t="s">
        <v>49</v>
      </c>
      <c r="C978" s="18" t="s">
        <v>107</v>
      </c>
      <c r="D978" s="18" t="s">
        <v>1686</v>
      </c>
      <c r="E978" s="18" t="s">
        <v>36</v>
      </c>
      <c r="F978" s="18" t="s">
        <v>36</v>
      </c>
      <c r="J978" s="19"/>
      <c r="K978" s="19">
        <v>0.1008</v>
      </c>
      <c r="L978" s="19">
        <v>0.10974106</v>
      </c>
      <c r="M978" s="19">
        <v>0.17660000000000001</v>
      </c>
      <c r="N978" s="19">
        <v>3.2599999999999997E-2</v>
      </c>
      <c r="O978" s="19">
        <v>0.14630000000000001</v>
      </c>
      <c r="P978" s="19">
        <v>0</v>
      </c>
      <c r="Q978" s="19">
        <v>0.122249389</v>
      </c>
      <c r="R978" s="20">
        <v>22757</v>
      </c>
      <c r="S978" s="21" t="str">
        <f>HYPERLINK("https://www.sgsc.edu/current-students/netprice/npcalc.htm", "$16433")</f>
        <v>$16433</v>
      </c>
      <c r="T978" s="20">
        <v>19536</v>
      </c>
      <c r="U978" s="20">
        <v>20719</v>
      </c>
      <c r="V978" s="20">
        <v>5056</v>
      </c>
      <c r="W978" s="20">
        <v>11377.104212860309</v>
      </c>
      <c r="Y978" s="19">
        <v>0.55549999999999999</v>
      </c>
      <c r="Z978" s="19">
        <v>0.43809999999999999</v>
      </c>
      <c r="AB978" s="18">
        <v>2150</v>
      </c>
    </row>
    <row r="979" spans="1:28" ht="15.75" customHeight="1" x14ac:dyDescent="0.2">
      <c r="A979" s="36" t="str">
        <f>HYPERLINK("https://www.southhills.edu", "South Hills School of Business &amp; Technology")</f>
        <v>South Hills School of Business &amp; Technology</v>
      </c>
      <c r="B979" s="18" t="s">
        <v>368</v>
      </c>
      <c r="C979" s="18" t="s">
        <v>65</v>
      </c>
      <c r="D979" s="18" t="s">
        <v>1687</v>
      </c>
      <c r="E979" s="18" t="s">
        <v>36</v>
      </c>
      <c r="F979" s="18" t="s">
        <v>45</v>
      </c>
      <c r="J979" s="19"/>
      <c r="K979" s="19">
        <v>0.52739999999999998</v>
      </c>
      <c r="L979" s="19">
        <v>0.48908296899999998</v>
      </c>
      <c r="M979" s="19">
        <v>0.53159999999999996</v>
      </c>
      <c r="N979" s="19">
        <v>0.57140000000000002</v>
      </c>
      <c r="O979" s="19">
        <v>0.5</v>
      </c>
      <c r="P979" s="19">
        <v>0</v>
      </c>
      <c r="Q979" s="19" t="s">
        <v>36</v>
      </c>
      <c r="R979" s="20">
        <v>30608</v>
      </c>
      <c r="S979" s="21" t="str">
        <f>HYPERLINK("https://www.southhills.edu/financial-aid/net-price-calculator/", "$15838")</f>
        <v>$15838</v>
      </c>
      <c r="T979" s="20">
        <v>18595</v>
      </c>
      <c r="U979" s="20">
        <v>24669</v>
      </c>
      <c r="V979" s="20">
        <v>8500</v>
      </c>
      <c r="W979" s="20">
        <v>7338</v>
      </c>
      <c r="Y979" s="19">
        <v>0.64429999999999998</v>
      </c>
      <c r="Z979" s="19">
        <v>6.1499999999999999E-2</v>
      </c>
      <c r="AB979" s="18">
        <v>423</v>
      </c>
    </row>
    <row r="980" spans="1:28" ht="15.75" customHeight="1" x14ac:dyDescent="0.2">
      <c r="A980" s="36" t="str">
        <f>HYPERLINK("https://www.southmountaincc.edu", "South Mountain Community College")</f>
        <v>South Mountain Community College</v>
      </c>
      <c r="B980" s="18" t="s">
        <v>49</v>
      </c>
      <c r="C980" s="18" t="s">
        <v>354</v>
      </c>
      <c r="D980" s="18" t="s">
        <v>369</v>
      </c>
      <c r="E980" s="18" t="s">
        <v>36</v>
      </c>
      <c r="F980" s="18" t="s">
        <v>36</v>
      </c>
      <c r="J980" s="19"/>
      <c r="K980" s="19">
        <v>0.22819999999999999</v>
      </c>
      <c r="L980" s="19" t="s">
        <v>36</v>
      </c>
      <c r="M980" s="19">
        <v>0.31909999999999999</v>
      </c>
      <c r="N980" s="19">
        <v>7.6899999999999996E-2</v>
      </c>
      <c r="O980" s="19">
        <v>0.24759999999999999</v>
      </c>
      <c r="P980" s="19">
        <v>0.125</v>
      </c>
      <c r="Q980" s="19">
        <v>0.110294118</v>
      </c>
      <c r="R980" s="20">
        <v>21565</v>
      </c>
      <c r="S980" s="21" t="str">
        <f>HYPERLINK("https://www.southmountaincc.edu/disclosures/", "$16286")</f>
        <v>$16286</v>
      </c>
      <c r="T980" s="20">
        <v>18499</v>
      </c>
      <c r="U980" s="20">
        <v>20682</v>
      </c>
      <c r="V980" s="20">
        <v>7907</v>
      </c>
      <c r="W980" s="20">
        <v>8379.0122950819677</v>
      </c>
      <c r="Y980" s="19">
        <v>0.42430000000000001</v>
      </c>
      <c r="Z980" s="19">
        <v>0.8851</v>
      </c>
      <c r="AB980" s="18">
        <v>3167</v>
      </c>
    </row>
    <row r="981" spans="1:28" ht="15.75" customHeight="1" x14ac:dyDescent="0.2">
      <c r="A981" s="36" t="str">
        <f>HYPERLINK("https://www.southplainscollege.edu/", "South Plains College")</f>
        <v>South Plains College</v>
      </c>
      <c r="B981" s="18" t="s">
        <v>49</v>
      </c>
      <c r="C981" s="18" t="s">
        <v>146</v>
      </c>
      <c r="D981" s="18" t="s">
        <v>1688</v>
      </c>
      <c r="E981" s="18" t="s">
        <v>36</v>
      </c>
      <c r="F981" s="18" t="s">
        <v>36</v>
      </c>
      <c r="J981" s="19"/>
      <c r="K981" s="19">
        <v>0.19550000000000001</v>
      </c>
      <c r="L981" s="19">
        <v>0.1558669</v>
      </c>
      <c r="M981" s="19">
        <v>0.21049999999999999</v>
      </c>
      <c r="N981" s="19">
        <v>0.1182</v>
      </c>
      <c r="O981" s="19">
        <v>0.2041</v>
      </c>
      <c r="P981" s="19">
        <v>0</v>
      </c>
      <c r="Q981" s="19">
        <v>0.118667592</v>
      </c>
      <c r="R981" s="20">
        <v>12906</v>
      </c>
      <c r="S981" s="21" t="str">
        <f>HYPERLINK("https://www.collegeforalltexans.com/apps/CollegeMoney/", "$7516")</f>
        <v>$7516</v>
      </c>
      <c r="T981" s="20">
        <v>9970</v>
      </c>
      <c r="U981" s="20">
        <v>11149</v>
      </c>
      <c r="V981" s="20">
        <v>4950</v>
      </c>
      <c r="W981" s="20">
        <v>2566.903129657228</v>
      </c>
      <c r="Y981" s="19">
        <v>0.39950000000000002</v>
      </c>
      <c r="Z981" s="19">
        <v>0.60360000000000003</v>
      </c>
      <c r="AB981" s="18">
        <v>7431</v>
      </c>
    </row>
    <row r="982" spans="1:28" ht="15.75" customHeight="1" x14ac:dyDescent="0.2">
      <c r="A982" s="36" t="str">
        <f>HYPERLINK("https://www.spscc.edu", "South Puget Sound Community College")</f>
        <v>South Puget Sound Community College</v>
      </c>
      <c r="B982" s="18" t="s">
        <v>49</v>
      </c>
      <c r="C982" s="18" t="s">
        <v>184</v>
      </c>
      <c r="D982" s="18" t="s">
        <v>1223</v>
      </c>
      <c r="E982" s="18" t="s">
        <v>36</v>
      </c>
      <c r="F982" s="18" t="s">
        <v>36</v>
      </c>
      <c r="J982" s="19"/>
      <c r="K982" s="19">
        <v>0.37530000000000002</v>
      </c>
      <c r="L982" s="19">
        <v>0.15741675099999999</v>
      </c>
      <c r="M982" s="19">
        <v>0.36880000000000002</v>
      </c>
      <c r="N982" s="19">
        <v>0</v>
      </c>
      <c r="O982" s="19">
        <v>0.28260000000000002</v>
      </c>
      <c r="P982" s="19">
        <v>0.66669999999999996</v>
      </c>
      <c r="Q982" s="19">
        <v>9.6618358000000001E-2</v>
      </c>
      <c r="R982" s="20">
        <v>23559</v>
      </c>
      <c r="S982" s="21" t="str">
        <f>HYPERLINK("https://www.spscc.edu/extra/netprice/index.html", "$17478")</f>
        <v>$17478</v>
      </c>
      <c r="T982" s="20">
        <v>21160</v>
      </c>
      <c r="U982" s="20">
        <v>22379</v>
      </c>
      <c r="V982" s="20">
        <v>4050</v>
      </c>
      <c r="W982" s="20">
        <v>13428.89393939394</v>
      </c>
      <c r="Y982" s="19">
        <v>0.27200000000000002</v>
      </c>
      <c r="Z982" s="19">
        <v>0.39389999999999997</v>
      </c>
      <c r="AB982" s="18">
        <v>3785</v>
      </c>
    </row>
    <row r="983" spans="1:28" ht="15.75" customHeight="1" x14ac:dyDescent="0.2">
      <c r="A983" s="36" t="str">
        <f>HYPERLINK("https://southseattle.edu", "South Seattle College")</f>
        <v>South Seattle College</v>
      </c>
      <c r="B983" s="18" t="s">
        <v>49</v>
      </c>
      <c r="C983" s="18" t="s">
        <v>184</v>
      </c>
      <c r="D983" s="18" t="s">
        <v>472</v>
      </c>
      <c r="E983" s="18" t="s">
        <v>36</v>
      </c>
      <c r="F983" s="18" t="s">
        <v>36</v>
      </c>
      <c r="J983" s="19"/>
      <c r="K983" s="19">
        <v>0.40870000000000001</v>
      </c>
      <c r="L983" s="19">
        <v>0.128458498</v>
      </c>
      <c r="M983" s="19">
        <v>0.39389999999999997</v>
      </c>
      <c r="N983" s="19">
        <v>0.43590000000000001</v>
      </c>
      <c r="O983" s="19">
        <v>0.3846</v>
      </c>
      <c r="P983" s="19">
        <v>0.40629999999999999</v>
      </c>
      <c r="Q983" s="19">
        <v>0.11217948699999999</v>
      </c>
      <c r="R983" s="20">
        <v>18891</v>
      </c>
      <c r="S983" s="21" t="str">
        <f>HYPERLINK("https://www.southseattle.edu/financial-aid/net-calculator/index.htm", "$12967")</f>
        <v>$12967</v>
      </c>
      <c r="T983" s="20">
        <v>16544</v>
      </c>
      <c r="U983" s="20">
        <v>18891</v>
      </c>
      <c r="V983" s="20">
        <v>4236</v>
      </c>
      <c r="W983" s="20">
        <v>8731.5714285714275</v>
      </c>
      <c r="Y983" s="19">
        <v>9.4200000000000006E-2</v>
      </c>
      <c r="Z983" s="19">
        <v>0.68059999999999998</v>
      </c>
      <c r="AB983" s="18">
        <v>1606</v>
      </c>
    </row>
    <row r="984" spans="1:28" ht="15.75" customHeight="1" x14ac:dyDescent="0.2">
      <c r="A984" s="36" t="str">
        <f>HYPERLINK("https://www.ssc.edu", "South Suburban College")</f>
        <v>South Suburban College</v>
      </c>
      <c r="B984" s="18" t="s">
        <v>49</v>
      </c>
      <c r="C984" s="18" t="s">
        <v>137</v>
      </c>
      <c r="D984" s="18" t="s">
        <v>1689</v>
      </c>
      <c r="E984" s="18" t="s">
        <v>36</v>
      </c>
      <c r="F984" s="18" t="s">
        <v>36</v>
      </c>
      <c r="J984" s="19"/>
      <c r="K984" s="19">
        <v>0.14910000000000001</v>
      </c>
      <c r="L984" s="19">
        <v>6.0634769999999998E-2</v>
      </c>
      <c r="M984" s="19">
        <v>0.2319</v>
      </c>
      <c r="N984" s="19">
        <v>0.12039999999999999</v>
      </c>
      <c r="O984" s="19">
        <v>0.16830000000000001</v>
      </c>
      <c r="P984" s="19">
        <v>0.33329999999999999</v>
      </c>
      <c r="Q984" s="19">
        <v>8.3491461000000003E-2</v>
      </c>
      <c r="R984" s="20">
        <v>18973</v>
      </c>
      <c r="S984" s="21" t="str">
        <f>HYPERLINK("https://www.ssc.edu/admissions-registration/financial-aid/net-price-calculator/", "$14466")</f>
        <v>$14466</v>
      </c>
      <c r="T984" s="20">
        <v>17328</v>
      </c>
      <c r="U984" s="20">
        <v>15518</v>
      </c>
      <c r="V984" s="20">
        <v>2400</v>
      </c>
      <c r="W984" s="20">
        <v>12066.98039215686</v>
      </c>
      <c r="Y984" s="19">
        <v>0.62809999999999999</v>
      </c>
      <c r="Z984" s="19">
        <v>0.84919999999999995</v>
      </c>
      <c r="AB984" s="18">
        <v>2945</v>
      </c>
    </row>
    <row r="985" spans="1:28" ht="15.75" customHeight="1" x14ac:dyDescent="0.2">
      <c r="A985" s="36" t="str">
        <f>HYPERLINK("https://www.southtexascollege.edu", "South Texas College")</f>
        <v>South Texas College</v>
      </c>
      <c r="B985" s="18" t="s">
        <v>49</v>
      </c>
      <c r="C985" s="18" t="s">
        <v>146</v>
      </c>
      <c r="D985" s="18" t="s">
        <v>1690</v>
      </c>
      <c r="E985" s="18" t="s">
        <v>36</v>
      </c>
      <c r="F985" s="18" t="s">
        <v>36</v>
      </c>
      <c r="J985" s="19"/>
      <c r="K985" s="19">
        <v>0.15040000000000001</v>
      </c>
      <c r="L985" s="19">
        <v>0.17753191500000001</v>
      </c>
      <c r="M985" s="19">
        <v>0.24560000000000001</v>
      </c>
      <c r="N985" s="19">
        <v>0.16669999999999999</v>
      </c>
      <c r="O985" s="19">
        <v>0.1472</v>
      </c>
      <c r="P985" s="19">
        <v>0.5</v>
      </c>
      <c r="Q985" s="19">
        <v>9.5508811999999998E-2</v>
      </c>
      <c r="R985" s="20">
        <v>16048</v>
      </c>
      <c r="S985" s="21" t="str">
        <f>HYPERLINK("https://studentservices.southtexascollege.edu/finaid/websites.html", "$11218")</f>
        <v>$11218</v>
      </c>
      <c r="T985" s="20">
        <v>13252</v>
      </c>
      <c r="U985" s="20">
        <v>15062</v>
      </c>
      <c r="V985" s="20">
        <v>2600</v>
      </c>
      <c r="W985" s="20">
        <v>8618.6357913669053</v>
      </c>
      <c r="Y985" s="19">
        <v>0.3805</v>
      </c>
      <c r="Z985" s="19">
        <v>0.9748</v>
      </c>
      <c r="AB985" s="18">
        <v>19452</v>
      </c>
    </row>
    <row r="986" spans="1:28" ht="15.75" customHeight="1" x14ac:dyDescent="0.2">
      <c r="A986" s="36" t="str">
        <f>HYPERLINK("https://www.southeast.edu", "Southeast Community College Area")</f>
        <v>Southeast Community College Area</v>
      </c>
      <c r="B986" s="18" t="s">
        <v>49</v>
      </c>
      <c r="C986" s="18" t="s">
        <v>341</v>
      </c>
      <c r="D986" s="18" t="s">
        <v>516</v>
      </c>
      <c r="E986" s="18" t="s">
        <v>36</v>
      </c>
      <c r="F986" s="18" t="s">
        <v>36</v>
      </c>
      <c r="J986" s="19"/>
      <c r="K986" s="19">
        <v>0.30730000000000002</v>
      </c>
      <c r="L986" s="19">
        <v>0.26204039400000001</v>
      </c>
      <c r="M986" s="19">
        <v>0.33560000000000001</v>
      </c>
      <c r="N986" s="19">
        <v>0.17780000000000001</v>
      </c>
      <c r="O986" s="19">
        <v>0.14630000000000001</v>
      </c>
      <c r="P986" s="19">
        <v>0.26469999999999999</v>
      </c>
      <c r="Q986" s="19">
        <v>9.2183288000000002E-2</v>
      </c>
      <c r="R986" s="20">
        <v>14532</v>
      </c>
      <c r="S986" s="21" t="str">
        <f>HYPERLINK("https://www.southeast.edu/NPC/", "$10443")</f>
        <v>$10443</v>
      </c>
      <c r="T986" s="20">
        <v>12169</v>
      </c>
      <c r="U986" s="20">
        <v>14032</v>
      </c>
      <c r="V986" s="20">
        <v>4200</v>
      </c>
      <c r="W986" s="20">
        <v>6243.8885350318469</v>
      </c>
      <c r="Y986" s="19">
        <v>0.32979999999999998</v>
      </c>
      <c r="Z986" s="19">
        <v>0.221</v>
      </c>
      <c r="AB986" s="18">
        <v>6250</v>
      </c>
    </row>
    <row r="987" spans="1:28" ht="15.75" customHeight="1" x14ac:dyDescent="0.2">
      <c r="A987" s="36" t="str">
        <f>HYPERLINK("https://www.sehcollege.edu/", "Southeast Missouri Hospital College of Nursing and Health Sciences")</f>
        <v>Southeast Missouri Hospital College of Nursing and Health Sciences</v>
      </c>
      <c r="B987" s="18" t="s">
        <v>32</v>
      </c>
      <c r="C987" s="18" t="s">
        <v>164</v>
      </c>
      <c r="D987" s="18" t="s">
        <v>1162</v>
      </c>
      <c r="E987" s="18">
        <v>1105</v>
      </c>
      <c r="F987" s="18" t="s">
        <v>35</v>
      </c>
      <c r="J987" s="19"/>
      <c r="K987" s="19">
        <v>1</v>
      </c>
      <c r="L987" s="19">
        <v>0.67567567599999989</v>
      </c>
      <c r="M987" s="19">
        <v>1</v>
      </c>
      <c r="N987" s="19" t="s">
        <v>36</v>
      </c>
      <c r="O987" s="19" t="s">
        <v>36</v>
      </c>
      <c r="P987" s="19" t="s">
        <v>36</v>
      </c>
      <c r="Q987" s="19" t="s">
        <v>36</v>
      </c>
      <c r="R987" s="20">
        <v>36080</v>
      </c>
      <c r="S987" s="21" t="str">
        <f>HYPERLINK("https://www.sehcollege.edu/~/media/files/college/netpricecalculator/npcalc.htm?la=en", "Not reported")</f>
        <v>Not reported</v>
      </c>
      <c r="T987" s="20">
        <v>29663</v>
      </c>
      <c r="U987" s="20">
        <v>30413</v>
      </c>
      <c r="V987" s="20">
        <v>10000</v>
      </c>
      <c r="W987" s="20" t="s">
        <v>36</v>
      </c>
      <c r="Y987" s="19">
        <v>0.54069999999999996</v>
      </c>
      <c r="Z987" s="19">
        <v>2.449999999999997E-2</v>
      </c>
      <c r="AB987" s="18">
        <v>204</v>
      </c>
    </row>
    <row r="988" spans="1:28" ht="15.75" customHeight="1" x14ac:dyDescent="0.2">
      <c r="A988" s="36" t="str">
        <f>HYPERLINK("https://www.southeasttech.edu", "Southeast Technical Institute")</f>
        <v>Southeast Technical Institute</v>
      </c>
      <c r="B988" s="18" t="s">
        <v>49</v>
      </c>
      <c r="C988" s="18" t="s">
        <v>302</v>
      </c>
      <c r="D988" s="18" t="s">
        <v>303</v>
      </c>
      <c r="E988" s="18" t="s">
        <v>36</v>
      </c>
      <c r="F988" s="18" t="s">
        <v>36</v>
      </c>
      <c r="J988" s="19"/>
      <c r="K988" s="19">
        <v>0.4617</v>
      </c>
      <c r="L988" s="19">
        <v>0.28321678300000003</v>
      </c>
      <c r="M988" s="19">
        <v>0.48620000000000002</v>
      </c>
      <c r="N988" s="19">
        <v>0</v>
      </c>
      <c r="O988" s="19">
        <v>0.4375</v>
      </c>
      <c r="P988" s="19">
        <v>0.66669999999999996</v>
      </c>
      <c r="Q988" s="19">
        <v>3.8167938999999998E-2</v>
      </c>
      <c r="R988" s="20">
        <v>20110</v>
      </c>
      <c r="S988" s="21" t="str">
        <f>HYPERLINK("https://www.southeasttech.edu/admissions/financialaid/netpricecalculator/", "$15094")</f>
        <v>$15094</v>
      </c>
      <c r="T988" s="20">
        <v>17447</v>
      </c>
      <c r="U988" s="20">
        <v>18441</v>
      </c>
      <c r="V988" s="20">
        <v>5900</v>
      </c>
      <c r="W988" s="20">
        <v>9194.5433070866129</v>
      </c>
      <c r="Y988" s="19">
        <v>0.35389999999999999</v>
      </c>
      <c r="Z988" s="19">
        <v>0.14860000000000001</v>
      </c>
      <c r="AB988" s="18">
        <v>2025</v>
      </c>
    </row>
    <row r="989" spans="1:28" ht="15.75" customHeight="1" x14ac:dyDescent="0.2">
      <c r="A989" s="36" t="str">
        <f>HYPERLINK("https://www.southeasternbaptist.edu", "Southeastern Baptist College")</f>
        <v>Southeastern Baptist College</v>
      </c>
      <c r="B989" s="18" t="s">
        <v>32</v>
      </c>
      <c r="C989" s="18" t="s">
        <v>59</v>
      </c>
      <c r="D989" s="18" t="s">
        <v>618</v>
      </c>
      <c r="E989" s="18" t="s">
        <v>36</v>
      </c>
      <c r="F989" s="18" t="s">
        <v>36</v>
      </c>
      <c r="J989" s="19"/>
      <c r="K989" s="19">
        <v>1</v>
      </c>
      <c r="L989" s="19" t="s">
        <v>36</v>
      </c>
      <c r="M989" s="19">
        <v>1</v>
      </c>
      <c r="N989" s="19" t="s">
        <v>36</v>
      </c>
      <c r="O989" s="19" t="s">
        <v>36</v>
      </c>
      <c r="P989" s="19" t="s">
        <v>36</v>
      </c>
      <c r="Q989" s="19" t="s">
        <v>36</v>
      </c>
      <c r="R989" s="20">
        <v>9765</v>
      </c>
      <c r="S989" s="21" t="str">
        <f>HYPERLINK("https://www.southeasternbaptist.edu", "$3533")</f>
        <v>$3533</v>
      </c>
      <c r="T989" s="20" t="s">
        <v>36</v>
      </c>
      <c r="U989" s="20" t="s">
        <v>36</v>
      </c>
      <c r="V989" s="20">
        <v>1600</v>
      </c>
      <c r="W989" s="20">
        <v>1933</v>
      </c>
      <c r="Y989" s="19">
        <v>0.64439999999999997</v>
      </c>
      <c r="Z989" s="19">
        <v>0.56759999999999999</v>
      </c>
      <c r="AB989" s="18">
        <v>37</v>
      </c>
    </row>
    <row r="990" spans="1:28" ht="15.75" customHeight="1" x14ac:dyDescent="0.2">
      <c r="A990" s="36" t="str">
        <f>HYPERLINK("https://www.scciowa.edu", "Southeastern Community College")</f>
        <v>Southeastern Community College</v>
      </c>
      <c r="B990" s="18" t="s">
        <v>49</v>
      </c>
      <c r="C990" s="18" t="s">
        <v>211</v>
      </c>
      <c r="D990" s="18" t="s">
        <v>1691</v>
      </c>
      <c r="E990" s="18" t="s">
        <v>36</v>
      </c>
      <c r="F990" s="18" t="s">
        <v>36</v>
      </c>
      <c r="J990" s="19"/>
      <c r="K990" s="19">
        <v>0.374</v>
      </c>
      <c r="L990" s="19">
        <v>0.192840647</v>
      </c>
      <c r="M990" s="19">
        <v>0.37459999999999999</v>
      </c>
      <c r="N990" s="19">
        <v>0.38100000000000001</v>
      </c>
      <c r="O990" s="19">
        <v>0.5</v>
      </c>
      <c r="P990" s="19">
        <v>0</v>
      </c>
      <c r="Q990" s="19">
        <v>3.9877300999999997E-2</v>
      </c>
      <c r="R990" s="20">
        <v>16540</v>
      </c>
      <c r="S990" s="21" t="str">
        <f>HYPERLINK("https://www.scciowa.edu/admissions/costaid/finaid/nprcal.aspx", "$11183")</f>
        <v>$11183</v>
      </c>
      <c r="T990" s="20">
        <v>13722</v>
      </c>
      <c r="U990" s="20">
        <v>15667</v>
      </c>
      <c r="V990" s="20">
        <v>3040</v>
      </c>
      <c r="W990" s="20">
        <v>8143.5593220338997</v>
      </c>
      <c r="Y990" s="19">
        <v>0.3115</v>
      </c>
      <c r="Z990" s="19">
        <v>0.39140000000000003</v>
      </c>
      <c r="AB990" s="18">
        <v>1676</v>
      </c>
    </row>
    <row r="991" spans="1:28" ht="15.75" customHeight="1" x14ac:dyDescent="0.2">
      <c r="A991" s="36" t="str">
        <f>HYPERLINK("https://www.sic.edu", "Southeastern Illinois College")</f>
        <v>Southeastern Illinois College</v>
      </c>
      <c r="B991" s="18" t="s">
        <v>49</v>
      </c>
      <c r="C991" s="18" t="s">
        <v>137</v>
      </c>
      <c r="D991" s="18" t="s">
        <v>1398</v>
      </c>
      <c r="E991" s="18" t="s">
        <v>36</v>
      </c>
      <c r="F991" s="18" t="s">
        <v>36</v>
      </c>
      <c r="J991" s="19"/>
      <c r="K991" s="19">
        <v>0.3972</v>
      </c>
      <c r="L991" s="19">
        <v>0.110795455</v>
      </c>
      <c r="M991" s="19">
        <v>0.39660000000000001</v>
      </c>
      <c r="N991" s="19">
        <v>0.3</v>
      </c>
      <c r="O991" s="19">
        <v>0.33329999999999999</v>
      </c>
      <c r="P991" s="19">
        <v>0.5</v>
      </c>
      <c r="Q991" s="19">
        <v>7.3118279999999994E-2</v>
      </c>
      <c r="R991" s="20">
        <v>20078</v>
      </c>
      <c r="S991" s="21" t="str">
        <f>HYPERLINK("https://www.sic.edu/financial-aid/cost-calculator", "$13422")</f>
        <v>$13422</v>
      </c>
      <c r="T991" s="20">
        <v>16853</v>
      </c>
      <c r="U991" s="20">
        <v>17038</v>
      </c>
      <c r="V991" s="20">
        <v>4974</v>
      </c>
      <c r="W991" s="20">
        <v>8448.925925925927</v>
      </c>
      <c r="Y991" s="19">
        <v>0.26590000000000003</v>
      </c>
      <c r="Z991" s="19">
        <v>0.13700000000000001</v>
      </c>
      <c r="AB991" s="18">
        <v>905</v>
      </c>
    </row>
    <row r="992" spans="1:28" ht="15.75" customHeight="1" x14ac:dyDescent="0.2">
      <c r="A992" s="36" t="str">
        <f>HYPERLINK("https://www.smccME.edu", "Southern Maine Community College")</f>
        <v>Southern Maine Community College</v>
      </c>
      <c r="B992" s="18" t="s">
        <v>49</v>
      </c>
      <c r="C992" s="18" t="s">
        <v>43</v>
      </c>
      <c r="D992" s="18" t="s">
        <v>1692</v>
      </c>
      <c r="E992" s="18" t="s">
        <v>36</v>
      </c>
      <c r="F992" s="18" t="s">
        <v>36</v>
      </c>
      <c r="J992" s="19"/>
      <c r="K992" s="19">
        <v>0.20039999999999999</v>
      </c>
      <c r="L992" s="19">
        <v>0.22875226000000001</v>
      </c>
      <c r="M992" s="19">
        <v>0.21859999999999999</v>
      </c>
      <c r="N992" s="19">
        <v>8.9300000000000004E-2</v>
      </c>
      <c r="O992" s="19">
        <v>7.6899999999999996E-2</v>
      </c>
      <c r="P992" s="19">
        <v>0.15790000000000001</v>
      </c>
      <c r="Q992" s="19">
        <v>7.7678989000000004E-2</v>
      </c>
      <c r="R992" s="20">
        <v>19782</v>
      </c>
      <c r="S992" s="21" t="str">
        <f>HYPERLINK("https://www.smccme.edu/about/consumer-info/net-price-calculator/", "$13654")</f>
        <v>$13654</v>
      </c>
      <c r="T992" s="20">
        <v>16960</v>
      </c>
      <c r="U992" s="20">
        <v>18844</v>
      </c>
      <c r="V992" s="20">
        <v>4074</v>
      </c>
      <c r="W992" s="20">
        <v>9580.6715116279083</v>
      </c>
      <c r="Y992" s="19">
        <v>0.44690000000000002</v>
      </c>
      <c r="Z992" s="19">
        <v>0.2026</v>
      </c>
      <c r="AB992" s="18">
        <v>4961</v>
      </c>
    </row>
    <row r="993" spans="1:28" ht="15.75" customHeight="1" x14ac:dyDescent="0.2">
      <c r="A993" s="36" t="str">
        <f>HYPERLINK("https://www.sscc.edu", "Southern State Community College")</f>
        <v>Southern State Community College</v>
      </c>
      <c r="B993" s="18" t="s">
        <v>49</v>
      </c>
      <c r="C993" s="18" t="s">
        <v>75</v>
      </c>
      <c r="D993" s="18" t="s">
        <v>854</v>
      </c>
      <c r="E993" s="18" t="s">
        <v>36</v>
      </c>
      <c r="F993" s="18" t="s">
        <v>36</v>
      </c>
      <c r="J993" s="19"/>
      <c r="K993" s="19">
        <v>0.2286</v>
      </c>
      <c r="L993" s="19">
        <v>0.207427536</v>
      </c>
      <c r="M993" s="19">
        <v>0.22889999999999999</v>
      </c>
      <c r="N993" s="19">
        <v>0</v>
      </c>
      <c r="O993" s="19">
        <v>0.6</v>
      </c>
      <c r="P993" s="19" t="s">
        <v>36</v>
      </c>
      <c r="Q993" s="19">
        <v>6.2380649000000003E-2</v>
      </c>
      <c r="R993" s="20">
        <v>16278</v>
      </c>
      <c r="S993" s="21" t="str">
        <f>HYPERLINK("https://www.sscc.edu/_private/npcalc.htm", "$11510")</f>
        <v>$11510</v>
      </c>
      <c r="T993" s="20">
        <v>14358</v>
      </c>
      <c r="U993" s="20">
        <v>15978</v>
      </c>
      <c r="V993" s="20">
        <v>4960</v>
      </c>
      <c r="W993" s="20">
        <v>6550.6912751677846</v>
      </c>
      <c r="Y993" s="19">
        <v>0.3458</v>
      </c>
      <c r="Z993" s="19">
        <v>7.2100000000000053E-2</v>
      </c>
      <c r="AB993" s="18">
        <v>1428</v>
      </c>
    </row>
    <row r="994" spans="1:28" ht="15.75" customHeight="1" x14ac:dyDescent="0.2">
      <c r="A994" s="36" t="str">
        <f t="shared" ref="A994:A995" si="9">HYPERLINK("https://www.southerntech.edu", "Southern Technical College")</f>
        <v>Southern Technical College</v>
      </c>
      <c r="B994" s="18" t="s">
        <v>368</v>
      </c>
      <c r="C994" s="18" t="s">
        <v>162</v>
      </c>
      <c r="D994" s="18" t="s">
        <v>501</v>
      </c>
      <c r="E994" s="18" t="s">
        <v>36</v>
      </c>
      <c r="F994" s="18" t="s">
        <v>36</v>
      </c>
      <c r="J994" s="19"/>
      <c r="K994" s="19">
        <v>0.39040000000000002</v>
      </c>
      <c r="L994" s="19">
        <v>0.31846344500000001</v>
      </c>
      <c r="M994" s="19">
        <v>0.35799999999999998</v>
      </c>
      <c r="N994" s="19">
        <v>0.37840000000000001</v>
      </c>
      <c r="O994" s="19">
        <v>0.4219</v>
      </c>
      <c r="P994" s="19">
        <v>0.54549999999999998</v>
      </c>
      <c r="Q994" s="19">
        <v>1.9874477000000002E-2</v>
      </c>
      <c r="R994" s="20" t="s">
        <v>36</v>
      </c>
      <c r="S994" s="21" t="str">
        <f>HYPERLINK("https://www.southerntech.edu/admissions/net-price-calculator/", "$19261")</f>
        <v>$19261</v>
      </c>
      <c r="T994" s="20">
        <v>22491</v>
      </c>
      <c r="U994" s="20">
        <v>22889</v>
      </c>
      <c r="V994" s="20" t="s">
        <v>36</v>
      </c>
      <c r="W994" s="20" t="s">
        <v>36</v>
      </c>
      <c r="Y994" s="19">
        <v>0.75570000000000004</v>
      </c>
      <c r="Z994" s="19">
        <v>0.74109999999999998</v>
      </c>
      <c r="AB994" s="18">
        <v>1321</v>
      </c>
    </row>
    <row r="995" spans="1:28" ht="15.75" customHeight="1" x14ac:dyDescent="0.2">
      <c r="A995" s="36" t="str">
        <f t="shared" si="9"/>
        <v>Southern Technical College</v>
      </c>
      <c r="B995" s="18" t="s">
        <v>368</v>
      </c>
      <c r="C995" s="18" t="s">
        <v>162</v>
      </c>
      <c r="D995" s="18" t="s">
        <v>766</v>
      </c>
      <c r="E995" s="18" t="s">
        <v>36</v>
      </c>
      <c r="F995" s="18" t="s">
        <v>36</v>
      </c>
      <c r="J995" s="19"/>
      <c r="K995" s="19">
        <v>0.4637</v>
      </c>
      <c r="L995" s="19">
        <v>0.36148955500000002</v>
      </c>
      <c r="M995" s="19">
        <v>0.53210000000000002</v>
      </c>
      <c r="N995" s="19">
        <v>0.28570000000000001</v>
      </c>
      <c r="O995" s="19">
        <v>0.34150000000000003</v>
      </c>
      <c r="P995" s="19" t="s">
        <v>36</v>
      </c>
      <c r="Q995" s="19">
        <v>3.6874999999999998E-2</v>
      </c>
      <c r="R995" s="20">
        <v>25197</v>
      </c>
      <c r="S995" s="21" t="str">
        <f>HYPERLINK("https://www.southerntech.edu/admissions/net-price-calculator/", "$21654")</f>
        <v>$21654</v>
      </c>
      <c r="T995" s="20">
        <v>23353</v>
      </c>
      <c r="U995" s="20">
        <v>23522</v>
      </c>
      <c r="V995" s="20">
        <v>3443</v>
      </c>
      <c r="W995" s="20">
        <v>18211</v>
      </c>
      <c r="Y995" s="19">
        <v>0.68210000000000004</v>
      </c>
      <c r="Z995" s="19">
        <v>0.54</v>
      </c>
      <c r="AB995" s="18">
        <v>887</v>
      </c>
    </row>
    <row r="996" spans="1:28" ht="15.75" customHeight="1" x14ac:dyDescent="0.2">
      <c r="A996" s="36" t="str">
        <f>HYPERLINK("https://www.susla.edu", "Southern University at Shreveport")</f>
        <v>Southern University at Shreveport</v>
      </c>
      <c r="B996" s="18" t="s">
        <v>49</v>
      </c>
      <c r="C996" s="18" t="s">
        <v>158</v>
      </c>
      <c r="D996" s="18" t="s">
        <v>633</v>
      </c>
      <c r="E996" s="18" t="s">
        <v>36</v>
      </c>
      <c r="F996" s="18" t="s">
        <v>36</v>
      </c>
      <c r="J996" s="19"/>
      <c r="K996" s="19">
        <v>9.2700000000000005E-2</v>
      </c>
      <c r="L996" s="19">
        <v>0.14940421600000001</v>
      </c>
      <c r="M996" s="19">
        <v>4.7600000000000003E-2</v>
      </c>
      <c r="N996" s="19">
        <v>9.7699999999999995E-2</v>
      </c>
      <c r="O996" s="19" t="s">
        <v>36</v>
      </c>
      <c r="P996" s="19" t="s">
        <v>36</v>
      </c>
      <c r="Q996" s="19">
        <v>6.3345195999999993E-2</v>
      </c>
      <c r="R996" s="20">
        <v>24204</v>
      </c>
      <c r="S996" s="21" t="str">
        <f>HYPERLINK("https://www.susla.edu/academics/Pages/NetPriceCalculator/index.htm", "$18635")</f>
        <v>$18635</v>
      </c>
      <c r="T996" s="20">
        <v>20936</v>
      </c>
      <c r="U996" s="20">
        <v>24204</v>
      </c>
      <c r="V996" s="20">
        <v>5442</v>
      </c>
      <c r="W996" s="20">
        <v>13193.97847358121</v>
      </c>
      <c r="Y996" s="19">
        <v>0.55859999999999999</v>
      </c>
      <c r="Z996" s="19">
        <v>0.93759999999999999</v>
      </c>
      <c r="AB996" s="18">
        <v>2165</v>
      </c>
    </row>
    <row r="997" spans="1:28" ht="15.75" customHeight="1" x14ac:dyDescent="0.2">
      <c r="A997" s="36" t="str">
        <f>HYPERLINK("https://www.southernwv.edu", "Southern West Virginia Community and Technical College")</f>
        <v>Southern West Virginia Community and Technical College</v>
      </c>
      <c r="B997" s="18" t="s">
        <v>49</v>
      </c>
      <c r="C997" s="18" t="s">
        <v>574</v>
      </c>
      <c r="D997" s="18" t="s">
        <v>1693</v>
      </c>
      <c r="E997" s="18" t="s">
        <v>36</v>
      </c>
      <c r="F997" s="18" t="s">
        <v>36</v>
      </c>
      <c r="J997" s="19"/>
      <c r="K997" s="19">
        <v>0.1759</v>
      </c>
      <c r="L997" s="19" t="s">
        <v>36</v>
      </c>
      <c r="M997" s="19">
        <v>0.18559999999999999</v>
      </c>
      <c r="N997" s="19">
        <v>0</v>
      </c>
      <c r="O997" s="19" t="s">
        <v>36</v>
      </c>
      <c r="P997" s="19" t="s">
        <v>36</v>
      </c>
      <c r="Q997" s="19">
        <v>8.7301586999999986E-2</v>
      </c>
      <c r="R997" s="20">
        <v>17081</v>
      </c>
      <c r="S997" s="21" t="str">
        <f>HYPERLINK("https://southernwv.studentaidcalculator.com/survey.aspx", "$10781")</f>
        <v>$10781</v>
      </c>
      <c r="T997" s="20">
        <v>12902</v>
      </c>
      <c r="U997" s="20">
        <v>16161</v>
      </c>
      <c r="V997" s="20">
        <v>6300</v>
      </c>
      <c r="W997" s="20">
        <v>4481.0614334470993</v>
      </c>
      <c r="Y997" s="19">
        <v>0.62439999999999996</v>
      </c>
      <c r="Z997" s="19">
        <v>1.41E-2</v>
      </c>
      <c r="AB997" s="18">
        <v>1557</v>
      </c>
    </row>
    <row r="998" spans="1:28" ht="15.75" customHeight="1" x14ac:dyDescent="0.2">
      <c r="A998" s="36" t="str">
        <f>HYPERLINK("https://www.srmconline.com", "Southside Regional Medical Center Professional Schools")</f>
        <v>Southside Regional Medical Center Professional Schools</v>
      </c>
      <c r="B998" s="18" t="s">
        <v>368</v>
      </c>
      <c r="C998" s="18" t="s">
        <v>83</v>
      </c>
      <c r="D998" s="18" t="s">
        <v>1694</v>
      </c>
      <c r="E998" s="18" t="s">
        <v>36</v>
      </c>
      <c r="F998" s="18" t="s">
        <v>45</v>
      </c>
      <c r="J998" s="19"/>
      <c r="K998" s="19" t="s">
        <v>36</v>
      </c>
      <c r="L998" s="19">
        <v>0.48</v>
      </c>
      <c r="M998" s="19" t="s">
        <v>36</v>
      </c>
      <c r="N998" s="19" t="s">
        <v>36</v>
      </c>
      <c r="O998" s="19" t="s">
        <v>36</v>
      </c>
      <c r="P998" s="19" t="s">
        <v>36</v>
      </c>
      <c r="Q998" s="19" t="s">
        <v>36</v>
      </c>
      <c r="R998" s="20">
        <v>26902</v>
      </c>
      <c r="S998" s="21" t="str">
        <f>HYPERLINK("https://www.srmconline.com", "Not reported")</f>
        <v>Not reported</v>
      </c>
      <c r="T998" s="20" t="s">
        <v>36</v>
      </c>
      <c r="U998" s="20" t="s">
        <v>36</v>
      </c>
      <c r="V998" s="20">
        <v>3000</v>
      </c>
      <c r="W998" s="20" t="s">
        <v>36</v>
      </c>
      <c r="Y998" s="19">
        <v>0.30280000000000001</v>
      </c>
      <c r="Z998" s="19">
        <v>0.27270000000000011</v>
      </c>
      <c r="AB998" s="18">
        <v>110</v>
      </c>
    </row>
    <row r="999" spans="1:28" ht="15.75" customHeight="1" x14ac:dyDescent="0.2">
      <c r="A999" s="36" t="str">
        <f>HYPERLINK("https://howardcollege.edu/swcid/", "Southwest Collegiate Institute for the Deaf")</f>
        <v>Southwest Collegiate Institute for the Deaf</v>
      </c>
      <c r="B999" s="18" t="s">
        <v>49</v>
      </c>
      <c r="C999" s="18" t="s">
        <v>146</v>
      </c>
      <c r="D999" s="18" t="s">
        <v>1428</v>
      </c>
      <c r="E999" s="18" t="s">
        <v>36</v>
      </c>
      <c r="F999" s="18" t="s">
        <v>36</v>
      </c>
      <c r="J999" s="19"/>
      <c r="K999" s="19">
        <v>0.23080000000000001</v>
      </c>
      <c r="L999" s="19">
        <v>0.231884058</v>
      </c>
      <c r="M999" s="19">
        <v>0.33329999999999999</v>
      </c>
      <c r="N999" s="19">
        <v>0.4</v>
      </c>
      <c r="O999" s="19">
        <v>0.2</v>
      </c>
      <c r="P999" s="19">
        <v>0.5</v>
      </c>
      <c r="Q999" s="19">
        <v>8.2393754999999999E-2</v>
      </c>
      <c r="R999" s="20">
        <v>23448</v>
      </c>
      <c r="S999" s="21" t="str">
        <f>HYPERLINK("https://www.collegeforalltexans.com/apps/CollegeMoney/", "$14684")</f>
        <v>$14684</v>
      </c>
      <c r="T999" s="20">
        <v>15898</v>
      </c>
      <c r="U999" s="20" t="s">
        <v>36</v>
      </c>
      <c r="V999" s="20">
        <v>3822</v>
      </c>
      <c r="W999" s="20">
        <v>10862.33333333333</v>
      </c>
      <c r="Y999" s="19">
        <v>0.54720000000000002</v>
      </c>
      <c r="Z999" s="19">
        <v>0.79349999999999998</v>
      </c>
      <c r="AB999" s="18">
        <v>92</v>
      </c>
    </row>
    <row r="1000" spans="1:28" ht="15.75" customHeight="1" x14ac:dyDescent="0.2">
      <c r="A1000" s="36" t="str">
        <f>HYPERLINK("https://www.smcc.edu", "Southwest Mississippi Community College")</f>
        <v>Southwest Mississippi Community College</v>
      </c>
      <c r="B1000" s="18" t="s">
        <v>49</v>
      </c>
      <c r="C1000" s="18" t="s">
        <v>59</v>
      </c>
      <c r="D1000" s="18" t="s">
        <v>1695</v>
      </c>
      <c r="E1000" s="18" t="s">
        <v>36</v>
      </c>
      <c r="F1000" s="18" t="s">
        <v>36</v>
      </c>
      <c r="J1000" s="19"/>
      <c r="K1000" s="19">
        <v>0.39960000000000001</v>
      </c>
      <c r="L1000" s="19">
        <v>0.21052631599999999</v>
      </c>
      <c r="M1000" s="19">
        <v>0.4355</v>
      </c>
      <c r="N1000" s="19">
        <v>0.3619</v>
      </c>
      <c r="O1000" s="19">
        <v>0.25</v>
      </c>
      <c r="P1000" s="19">
        <v>1</v>
      </c>
      <c r="Q1000" s="19">
        <v>5.3553037999999997E-2</v>
      </c>
      <c r="R1000" s="20">
        <v>12950</v>
      </c>
      <c r="S1000" s="21" t="str">
        <f>HYPERLINK("https://www.smcc.edu/financial-aid/net_price_calculator.php", "$6871")</f>
        <v>$6871</v>
      </c>
      <c r="T1000" s="20">
        <v>8882</v>
      </c>
      <c r="U1000" s="20">
        <v>9471</v>
      </c>
      <c r="V1000" s="20">
        <v>3300</v>
      </c>
      <c r="W1000" s="20">
        <v>3571.8236994219651</v>
      </c>
      <c r="Y1000" s="19">
        <v>0.5827</v>
      </c>
      <c r="Z1000" s="19">
        <v>0.46489999999999998</v>
      </c>
      <c r="AB1000" s="18">
        <v>1779</v>
      </c>
    </row>
    <row r="1001" spans="1:28" ht="15.75" customHeight="1" x14ac:dyDescent="0.2">
      <c r="A1001" s="36" t="str">
        <f>HYPERLINK("https://www.southwest.tn.edu", "Southwest Tennessee Community College")</f>
        <v>Southwest Tennessee Community College</v>
      </c>
      <c r="B1001" s="18" t="s">
        <v>49</v>
      </c>
      <c r="C1001" s="18" t="s">
        <v>174</v>
      </c>
      <c r="D1001" s="18" t="s">
        <v>207</v>
      </c>
      <c r="E1001" s="18" t="s">
        <v>36</v>
      </c>
      <c r="F1001" s="18" t="s">
        <v>90</v>
      </c>
      <c r="J1001" s="19"/>
      <c r="K1001" s="19">
        <v>0.1021</v>
      </c>
      <c r="L1001" s="19">
        <v>7.1961982000000008E-2</v>
      </c>
      <c r="M1001" s="19">
        <v>0.15240000000000001</v>
      </c>
      <c r="N1001" s="19">
        <v>7.0499999999999993E-2</v>
      </c>
      <c r="O1001" s="19">
        <v>0.15709999999999999</v>
      </c>
      <c r="P1001" s="19">
        <v>0.3</v>
      </c>
      <c r="Q1001" s="19">
        <v>9.8739088000000003E-2</v>
      </c>
      <c r="R1001" s="20">
        <v>28141</v>
      </c>
      <c r="S1001" s="21" t="str">
        <f>HYPERLINK("https://eas.southwest.tn.edu/request/netprice/20140205/npcalc.htm.htm", "$22067")</f>
        <v>$22067</v>
      </c>
      <c r="T1001" s="20">
        <v>23711</v>
      </c>
      <c r="U1001" s="20">
        <v>25593</v>
      </c>
      <c r="V1001" s="20">
        <v>3680</v>
      </c>
      <c r="W1001" s="20">
        <v>18387.389312977099</v>
      </c>
      <c r="Y1001" s="19">
        <v>0.53459999999999996</v>
      </c>
      <c r="Z1001" s="19">
        <v>0.74360000000000004</v>
      </c>
      <c r="AB1001" s="18">
        <v>8250</v>
      </c>
    </row>
    <row r="1002" spans="1:28" ht="15.75" customHeight="1" x14ac:dyDescent="0.2">
      <c r="A1002" s="36" t="str">
        <f>HYPERLINK("https://www.swtjc.net", "Southwest Texas Junior College")</f>
        <v>Southwest Texas Junior College</v>
      </c>
      <c r="B1002" s="18" t="s">
        <v>49</v>
      </c>
      <c r="C1002" s="18" t="s">
        <v>146</v>
      </c>
      <c r="D1002" s="18" t="s">
        <v>1696</v>
      </c>
      <c r="E1002" s="18" t="s">
        <v>36</v>
      </c>
      <c r="F1002" s="18" t="s">
        <v>36</v>
      </c>
      <c r="J1002" s="19"/>
      <c r="K1002" s="19">
        <v>0.28660000000000002</v>
      </c>
      <c r="L1002" s="19">
        <v>0.22999222999999999</v>
      </c>
      <c r="M1002" s="19">
        <v>0.41860000000000003</v>
      </c>
      <c r="N1002" s="19">
        <v>0.1429</v>
      </c>
      <c r="O1002" s="19">
        <v>0.28070000000000001</v>
      </c>
      <c r="P1002" s="19">
        <v>0</v>
      </c>
      <c r="Q1002" s="19">
        <v>6.4748200999999991E-2</v>
      </c>
      <c r="R1002" s="20">
        <v>16315</v>
      </c>
      <c r="S1002" s="21" t="str">
        <f>HYPERLINK("https://www.collegeforalltexans.com/apps/CollegeMoney/", "$10503")</f>
        <v>$10503</v>
      </c>
      <c r="T1002" s="20">
        <v>12999</v>
      </c>
      <c r="U1002" s="20">
        <v>15544</v>
      </c>
      <c r="V1002" s="20">
        <v>7359</v>
      </c>
      <c r="W1002" s="20">
        <v>3144.7538802660752</v>
      </c>
      <c r="Y1002" s="19">
        <v>0.4093</v>
      </c>
      <c r="Z1002" s="19">
        <v>0.91210000000000002</v>
      </c>
      <c r="AB1002" s="18">
        <v>4230</v>
      </c>
    </row>
    <row r="1003" spans="1:28" ht="15.75" customHeight="1" x14ac:dyDescent="0.2">
      <c r="A1003" s="36" t="str">
        <f>HYPERLINK("https://southwestuniversity.edu", "Southwest University at El Paso")</f>
        <v>Southwest University at El Paso</v>
      </c>
      <c r="B1003" s="18" t="s">
        <v>368</v>
      </c>
      <c r="C1003" s="18" t="s">
        <v>146</v>
      </c>
      <c r="D1003" s="18" t="s">
        <v>869</v>
      </c>
      <c r="E1003" s="18" t="s">
        <v>36</v>
      </c>
      <c r="F1003" s="18" t="s">
        <v>36</v>
      </c>
      <c r="J1003" s="19"/>
      <c r="K1003" s="19">
        <v>0.65939999999999999</v>
      </c>
      <c r="L1003" s="19">
        <v>0.65379310299999993</v>
      </c>
      <c r="M1003" s="19">
        <v>0.76919999999999999</v>
      </c>
      <c r="N1003" s="19">
        <v>0.66669999999999996</v>
      </c>
      <c r="O1003" s="19">
        <v>0.65539999999999998</v>
      </c>
      <c r="P1003" s="19">
        <v>0</v>
      </c>
      <c r="Q1003" s="19" t="s">
        <v>36</v>
      </c>
      <c r="R1003" s="20">
        <v>26550</v>
      </c>
      <c r="S1003" s="21" t="str">
        <f>HYPERLINK("https://southwestuniversity.edu/npcalc.htm", "$17678")</f>
        <v>$17678</v>
      </c>
      <c r="T1003" s="20">
        <v>19667</v>
      </c>
      <c r="U1003" s="20" t="s">
        <v>36</v>
      </c>
      <c r="V1003" s="20">
        <v>7210</v>
      </c>
      <c r="W1003" s="20">
        <v>10468</v>
      </c>
      <c r="Y1003" s="19">
        <v>0.82240000000000002</v>
      </c>
      <c r="Z1003" s="19">
        <v>0.94169999999999998</v>
      </c>
      <c r="AB1003" s="18">
        <v>1527</v>
      </c>
    </row>
    <row r="1004" spans="1:28" ht="15.75" customHeight="1" x14ac:dyDescent="0.2">
      <c r="A1004" s="36" t="str">
        <f>HYPERLINK("https://sw.edu", "Southwest Virginia Community College")</f>
        <v>Southwest Virginia Community College</v>
      </c>
      <c r="B1004" s="18" t="s">
        <v>49</v>
      </c>
      <c r="C1004" s="18" t="s">
        <v>83</v>
      </c>
      <c r="D1004" s="18" t="s">
        <v>1697</v>
      </c>
      <c r="E1004" s="18" t="s">
        <v>36</v>
      </c>
      <c r="F1004" s="18" t="s">
        <v>36</v>
      </c>
      <c r="J1004" s="19"/>
      <c r="K1004" s="19">
        <v>0.35170000000000001</v>
      </c>
      <c r="L1004" s="19">
        <v>0.16242937900000001</v>
      </c>
      <c r="M1004" s="19">
        <v>0.35189999999999999</v>
      </c>
      <c r="N1004" s="19">
        <v>0.33329999999999999</v>
      </c>
      <c r="O1004" s="19">
        <v>0.33329999999999999</v>
      </c>
      <c r="P1004" s="19">
        <v>0.5</v>
      </c>
      <c r="Q1004" s="19">
        <v>4.8192771000000002E-2</v>
      </c>
      <c r="R1004" s="20">
        <v>20119</v>
      </c>
      <c r="S1004" s="21" t="str">
        <f>HYPERLINK("https://www.vawizard.org/wizard/financing-college", "$13959")</f>
        <v>$13959</v>
      </c>
      <c r="T1004" s="20">
        <v>15046</v>
      </c>
      <c r="U1004" s="20" t="s">
        <v>36</v>
      </c>
      <c r="V1004" s="20">
        <v>6400</v>
      </c>
      <c r="W1004" s="20">
        <v>7559.4362934362944</v>
      </c>
      <c r="Y1004" s="19">
        <v>0.50419999999999998</v>
      </c>
      <c r="Z1004" s="19">
        <v>4.500000000000004E-2</v>
      </c>
      <c r="AB1004" s="18">
        <v>1621</v>
      </c>
    </row>
    <row r="1005" spans="1:28" ht="15.75" customHeight="1" x14ac:dyDescent="0.2">
      <c r="A1005" s="36" t="str">
        <f>HYPERLINK("https://www.swcc.edu", "Southwestern Christian College")</f>
        <v>Southwestern Christian College</v>
      </c>
      <c r="B1005" s="18" t="s">
        <v>32</v>
      </c>
      <c r="C1005" s="18" t="s">
        <v>146</v>
      </c>
      <c r="D1005" s="18" t="s">
        <v>1698</v>
      </c>
      <c r="E1005" s="18" t="s">
        <v>36</v>
      </c>
      <c r="F1005" s="18" t="s">
        <v>36</v>
      </c>
      <c r="J1005" s="19"/>
      <c r="K1005" s="19">
        <v>0.9890000000000001</v>
      </c>
      <c r="L1005" s="19" t="s">
        <v>36</v>
      </c>
      <c r="M1005" s="19">
        <v>1</v>
      </c>
      <c r="N1005" s="19">
        <v>0.98670000000000002</v>
      </c>
      <c r="O1005" s="19">
        <v>1</v>
      </c>
      <c r="P1005" s="19" t="s">
        <v>36</v>
      </c>
      <c r="Q1005" s="19">
        <v>0.14432989700000001</v>
      </c>
      <c r="R1005" s="20">
        <v>16186</v>
      </c>
      <c r="S1005" s="21" t="str">
        <f>HYPERLINK("https://www.collegeforalltexans.com/apps/CollegeMoney/", "$6383")</f>
        <v>$6383</v>
      </c>
      <c r="T1005" s="20">
        <v>4110</v>
      </c>
      <c r="U1005" s="20">
        <v>8089</v>
      </c>
      <c r="V1005" s="20">
        <v>2450</v>
      </c>
      <c r="W1005" s="20">
        <v>3933</v>
      </c>
      <c r="Y1005" s="19">
        <v>0.65969999999999995</v>
      </c>
      <c r="Z1005" s="19">
        <v>1</v>
      </c>
      <c r="AB1005" s="18">
        <v>158</v>
      </c>
    </row>
    <row r="1006" spans="1:28" ht="15.75" customHeight="1" x14ac:dyDescent="0.2">
      <c r="A1006" s="36" t="str">
        <f>HYPERLINK("https://www.swccd.edu", "Southwestern College")</f>
        <v>Southwestern College</v>
      </c>
      <c r="B1006" s="18" t="s">
        <v>49</v>
      </c>
      <c r="C1006" s="18" t="s">
        <v>68</v>
      </c>
      <c r="D1006" s="18" t="s">
        <v>1699</v>
      </c>
      <c r="E1006" s="18" t="s">
        <v>36</v>
      </c>
      <c r="F1006" s="18" t="s">
        <v>36</v>
      </c>
      <c r="J1006" s="19"/>
      <c r="K1006" s="19">
        <v>0.2215</v>
      </c>
      <c r="L1006" s="19">
        <v>6.3609468000000002E-2</v>
      </c>
      <c r="M1006" s="19">
        <v>0.2482</v>
      </c>
      <c r="N1006" s="19">
        <v>0.16</v>
      </c>
      <c r="O1006" s="19">
        <v>0.2117</v>
      </c>
      <c r="P1006" s="19">
        <v>0.28160000000000002</v>
      </c>
      <c r="Q1006" s="19">
        <v>0.119868035</v>
      </c>
      <c r="R1006" s="20">
        <v>25988</v>
      </c>
      <c r="S1006" s="21" t="str">
        <f>HYPERLINK("https://misweb.cccco.edu/npc/091/npcalc.htm", "$18827")</f>
        <v>$18827</v>
      </c>
      <c r="T1006" s="20">
        <v>21337</v>
      </c>
      <c r="U1006" s="20">
        <v>22219</v>
      </c>
      <c r="V1006" s="20">
        <v>6093</v>
      </c>
      <c r="W1006" s="20">
        <v>12734.71485943775</v>
      </c>
      <c r="Y1006" s="19">
        <v>0.31929999999999997</v>
      </c>
      <c r="Z1006" s="19">
        <v>0.88780000000000003</v>
      </c>
      <c r="AB1006" s="18">
        <v>16411</v>
      </c>
    </row>
    <row r="1007" spans="1:28" ht="15.75" customHeight="1" x14ac:dyDescent="0.2">
      <c r="A1007" s="36" t="str">
        <f>HYPERLINK("https://www.southwesterncc.edu", "Southwestern Community College")</f>
        <v>Southwestern Community College</v>
      </c>
      <c r="B1007" s="18" t="s">
        <v>49</v>
      </c>
      <c r="C1007" s="18" t="s">
        <v>103</v>
      </c>
      <c r="D1007" s="18" t="s">
        <v>1700</v>
      </c>
      <c r="E1007" s="18" t="s">
        <v>36</v>
      </c>
      <c r="F1007" s="18" t="s">
        <v>36</v>
      </c>
      <c r="J1007" s="19"/>
      <c r="K1007" s="19">
        <v>0.32979999999999998</v>
      </c>
      <c r="L1007" s="19">
        <v>0.29166666699999999</v>
      </c>
      <c r="M1007" s="19">
        <v>0.35</v>
      </c>
      <c r="N1007" s="19">
        <v>0.25</v>
      </c>
      <c r="O1007" s="19">
        <v>0.125</v>
      </c>
      <c r="P1007" s="19">
        <v>0</v>
      </c>
      <c r="Q1007" s="19">
        <v>4.8973144000000003E-2</v>
      </c>
      <c r="R1007" s="20">
        <v>21914</v>
      </c>
      <c r="S1007" s="21" t="str">
        <f>HYPERLINK("https://www.southwesterncc.edu/NetPriceCalculator/npcalc.htm", "$16258")</f>
        <v>$16258</v>
      </c>
      <c r="T1007" s="20">
        <v>17280</v>
      </c>
      <c r="U1007" s="20" t="s">
        <v>36</v>
      </c>
      <c r="V1007" s="20">
        <v>5325</v>
      </c>
      <c r="W1007" s="20">
        <v>10933.33333333333</v>
      </c>
      <c r="Y1007" s="19">
        <v>0.35749999999999998</v>
      </c>
      <c r="Z1007" s="19">
        <v>0.21099999999999999</v>
      </c>
      <c r="AB1007" s="18">
        <v>1649</v>
      </c>
    </row>
    <row r="1008" spans="1:28" ht="15.75" customHeight="1" x14ac:dyDescent="0.2">
      <c r="A1008" s="36" t="str">
        <f>HYPERLINK("https://www.swcciowa.edu", "Southwestern Community College")</f>
        <v>Southwestern Community College</v>
      </c>
      <c r="B1008" s="18" t="s">
        <v>49</v>
      </c>
      <c r="C1008" s="18" t="s">
        <v>211</v>
      </c>
      <c r="D1008" s="18" t="s">
        <v>1701</v>
      </c>
      <c r="E1008" s="18" t="s">
        <v>36</v>
      </c>
      <c r="F1008" s="18" t="s">
        <v>36</v>
      </c>
      <c r="J1008" s="19"/>
      <c r="K1008" s="19">
        <v>0.44979999999999998</v>
      </c>
      <c r="L1008" s="19">
        <v>0.276872964</v>
      </c>
      <c r="M1008" s="19">
        <v>0.50209999999999999</v>
      </c>
      <c r="N1008" s="19">
        <v>0.26090000000000002</v>
      </c>
      <c r="O1008" s="19">
        <v>0.26090000000000002</v>
      </c>
      <c r="P1008" s="19">
        <v>0</v>
      </c>
      <c r="Q1008" s="19">
        <v>5.3380783000000001E-2</v>
      </c>
      <c r="R1008" s="20">
        <v>14936</v>
      </c>
      <c r="S1008" s="21" t="str">
        <f>HYPERLINK("https://www.swcciowa.edu/campus-services/financial-aid/npcalc", "$8618")</f>
        <v>$8618</v>
      </c>
      <c r="T1008" s="20">
        <v>11035</v>
      </c>
      <c r="U1008" s="20">
        <v>13673</v>
      </c>
      <c r="V1008" s="20">
        <v>1788</v>
      </c>
      <c r="W1008" s="20">
        <v>6830.181818181818</v>
      </c>
      <c r="Y1008" s="19">
        <v>0.30070000000000002</v>
      </c>
      <c r="Z1008" s="19">
        <v>0.20930000000000001</v>
      </c>
      <c r="AB1008" s="18">
        <v>879</v>
      </c>
    </row>
    <row r="1009" spans="1:28" ht="15.75" customHeight="1" x14ac:dyDescent="0.2">
      <c r="A1009" s="36" t="str">
        <f>HYPERLINK("https://www.sipi.edu", "Southwestern Indian Polytechnic Institute")</f>
        <v>Southwestern Indian Polytechnic Institute</v>
      </c>
      <c r="B1009" s="18" t="s">
        <v>49</v>
      </c>
      <c r="C1009" s="18" t="s">
        <v>234</v>
      </c>
      <c r="D1009" s="18" t="s">
        <v>993</v>
      </c>
      <c r="E1009" s="18" t="s">
        <v>36</v>
      </c>
      <c r="F1009" s="18" t="s">
        <v>36</v>
      </c>
      <c r="J1009" s="19"/>
      <c r="K1009" s="19">
        <v>0.12820000000000001</v>
      </c>
      <c r="L1009" s="19" t="s">
        <v>36</v>
      </c>
      <c r="M1009" s="19" t="s">
        <v>36</v>
      </c>
      <c r="N1009" s="19" t="s">
        <v>36</v>
      </c>
      <c r="O1009" s="19" t="s">
        <v>36</v>
      </c>
      <c r="P1009" s="19" t="s">
        <v>36</v>
      </c>
      <c r="Q1009" s="19">
        <v>7.9872205000000002E-2</v>
      </c>
      <c r="R1009" s="20">
        <v>8295</v>
      </c>
      <c r="S1009" s="21" t="str">
        <f>HYPERLINK("https://www.sipi.edu/apps/pages/index.jsp?uREC_ID=828975&amp;type=d&amp;pREC_ID=1261968", "$4036")</f>
        <v>$4036</v>
      </c>
      <c r="T1009" s="20">
        <v>6493</v>
      </c>
      <c r="U1009" s="20" t="s">
        <v>36</v>
      </c>
      <c r="V1009" s="20">
        <v>6525</v>
      </c>
      <c r="W1009" s="20">
        <v>-2488.272727272727</v>
      </c>
      <c r="Y1009" s="19">
        <v>0.55310000000000004</v>
      </c>
      <c r="Z1009" s="19">
        <v>1</v>
      </c>
      <c r="AB1009" s="18">
        <v>360</v>
      </c>
    </row>
    <row r="1010" spans="1:28" ht="15.75" customHeight="1" x14ac:dyDescent="0.2">
      <c r="A1010" s="36" t="str">
        <f>HYPERLINK("https://www.swmich.edu", "Southwestern Michigan College")</f>
        <v>Southwestern Michigan College</v>
      </c>
      <c r="B1010" s="18" t="s">
        <v>49</v>
      </c>
      <c r="C1010" s="18" t="s">
        <v>226</v>
      </c>
      <c r="D1010" s="18" t="s">
        <v>1702</v>
      </c>
      <c r="E1010" s="18" t="s">
        <v>36</v>
      </c>
      <c r="F1010" s="18" t="s">
        <v>36</v>
      </c>
      <c r="J1010" s="19"/>
      <c r="K1010" s="19">
        <v>0.2495</v>
      </c>
      <c r="L1010" s="19">
        <v>0.137355584</v>
      </c>
      <c r="M1010" s="19">
        <v>0.28460000000000002</v>
      </c>
      <c r="N1010" s="19">
        <v>5.0599999999999999E-2</v>
      </c>
      <c r="O1010" s="19">
        <v>0.30299999999999999</v>
      </c>
      <c r="P1010" s="19">
        <v>0.25</v>
      </c>
      <c r="Q1010" s="19">
        <v>4.8013245000000003E-2</v>
      </c>
      <c r="R1010" s="20">
        <v>19986</v>
      </c>
      <c r="S1010" s="21" t="str">
        <f>HYPERLINK("https://www.swmich.edu/smart/tuition-costs", "$13532")</f>
        <v>$13532</v>
      </c>
      <c r="T1010" s="20">
        <v>15933</v>
      </c>
      <c r="U1010" s="20">
        <v>18705</v>
      </c>
      <c r="V1010" s="20">
        <v>3511</v>
      </c>
      <c r="W1010" s="20">
        <v>10021.8679245283</v>
      </c>
      <c r="Y1010" s="19">
        <v>0.40720000000000001</v>
      </c>
      <c r="Z1010" s="19">
        <v>0.29820000000000002</v>
      </c>
      <c r="AB1010" s="18">
        <v>1767</v>
      </c>
    </row>
    <row r="1011" spans="1:28" ht="15.75" customHeight="1" x14ac:dyDescent="0.2">
      <c r="A1011" s="36" t="str">
        <f>HYPERLINK("https://www.socc.edu", "Southwestern Oregon Community College")</f>
        <v>Southwestern Oregon Community College</v>
      </c>
      <c r="B1011" s="18" t="s">
        <v>49</v>
      </c>
      <c r="C1011" s="18" t="s">
        <v>143</v>
      </c>
      <c r="D1011" s="18" t="s">
        <v>1703</v>
      </c>
      <c r="E1011" s="18" t="s">
        <v>36</v>
      </c>
      <c r="F1011" s="18" t="s">
        <v>36</v>
      </c>
      <c r="J1011" s="19"/>
      <c r="K1011" s="19">
        <v>0.40860000000000002</v>
      </c>
      <c r="L1011" s="19">
        <v>0.17266187099999999</v>
      </c>
      <c r="M1011" s="19">
        <v>0.4521</v>
      </c>
      <c r="N1011" s="19">
        <v>0.28570000000000001</v>
      </c>
      <c r="O1011" s="19">
        <v>0.32879999999999998</v>
      </c>
      <c r="P1011" s="19">
        <v>0.55559999999999998</v>
      </c>
      <c r="Q1011" s="19">
        <v>6.1764706000000003E-2</v>
      </c>
      <c r="R1011" s="20">
        <v>16810</v>
      </c>
      <c r="S1011" s="21" t="str">
        <f>HYPERLINK("https://www.socc.edu/financialaid", "$9632")</f>
        <v>$9632</v>
      </c>
      <c r="T1011" s="20">
        <v>12994</v>
      </c>
      <c r="U1011" s="20">
        <v>13904</v>
      </c>
      <c r="V1011" s="20">
        <v>3390</v>
      </c>
      <c r="W1011" s="20">
        <v>6242.7191011235946</v>
      </c>
      <c r="Y1011" s="19">
        <v>0.35189999999999999</v>
      </c>
      <c r="Z1011" s="19">
        <v>0.30270000000000002</v>
      </c>
      <c r="AB1011" s="18">
        <v>1655</v>
      </c>
    </row>
    <row r="1012" spans="1:28" ht="15.75" customHeight="1" x14ac:dyDescent="0.2">
      <c r="A1012" s="36" t="str">
        <f>HYPERLINK("https://danvilleregional.com/for-healthcare-professionals/radiologic-technology-program", "Danville Regional Medical Center School of Health Professions")</f>
        <v>Danville Regional Medical Center School of Health Professions</v>
      </c>
      <c r="B1012" s="18" t="s">
        <v>368</v>
      </c>
      <c r="C1012" s="18" t="s">
        <v>83</v>
      </c>
      <c r="D1012" s="18" t="s">
        <v>206</v>
      </c>
      <c r="E1012" s="18" t="s">
        <v>36</v>
      </c>
      <c r="F1012" s="18" t="s">
        <v>36</v>
      </c>
      <c r="J1012" s="19"/>
      <c r="K1012" s="19" t="s">
        <v>36</v>
      </c>
      <c r="L1012" s="19" t="s">
        <v>36</v>
      </c>
      <c r="M1012" s="19" t="s">
        <v>36</v>
      </c>
      <c r="N1012" s="19" t="s">
        <v>36</v>
      </c>
      <c r="O1012" s="19" t="s">
        <v>36</v>
      </c>
      <c r="P1012" s="19" t="s">
        <v>36</v>
      </c>
      <c r="Q1012" s="19" t="s">
        <v>36</v>
      </c>
      <c r="R1012" s="20" t="s">
        <v>36</v>
      </c>
      <c r="S1012" s="21" t="str">
        <f>HYPERLINK("https://danvilleregional.com", "Not reported")</f>
        <v>Not reported</v>
      </c>
      <c r="T1012" s="20" t="s">
        <v>36</v>
      </c>
      <c r="U1012" s="20" t="s">
        <v>36</v>
      </c>
      <c r="V1012" s="20" t="s">
        <v>36</v>
      </c>
      <c r="W1012" s="20" t="s">
        <v>36</v>
      </c>
      <c r="Y1012" s="19">
        <v>0.22220000000000001</v>
      </c>
      <c r="Z1012" s="19">
        <v>9.9999999999999978E-2</v>
      </c>
      <c r="AB1012" s="18">
        <v>20</v>
      </c>
    </row>
    <row r="1013" spans="1:28" ht="15.75" customHeight="1" x14ac:dyDescent="0.2">
      <c r="A1013" s="36" t="str">
        <f>HYPERLINK("https://www.spartan.edu", "Redstone College")</f>
        <v>Redstone College</v>
      </c>
      <c r="B1013" s="18" t="s">
        <v>368</v>
      </c>
      <c r="C1013" s="18" t="s">
        <v>87</v>
      </c>
      <c r="D1013" s="18" t="s">
        <v>1704</v>
      </c>
      <c r="E1013" s="18" t="s">
        <v>36</v>
      </c>
      <c r="F1013" s="18" t="s">
        <v>36</v>
      </c>
      <c r="J1013" s="19"/>
      <c r="K1013" s="19">
        <v>0.3246</v>
      </c>
      <c r="L1013" s="19">
        <v>0.57492354700000003</v>
      </c>
      <c r="M1013" s="19">
        <v>0.36270000000000002</v>
      </c>
      <c r="N1013" s="19">
        <v>0.2903</v>
      </c>
      <c r="O1013" s="19">
        <v>0.2414</v>
      </c>
      <c r="P1013" s="19">
        <v>0.33329999999999999</v>
      </c>
      <c r="Q1013" s="19" t="s">
        <v>36</v>
      </c>
      <c r="R1013" s="20">
        <v>28378</v>
      </c>
      <c r="S1013" s="21" t="str">
        <f>HYPERLINK("https://www.spartan.edu", "$22581")</f>
        <v>$22581</v>
      </c>
      <c r="T1013" s="20">
        <v>24576</v>
      </c>
      <c r="U1013" s="20">
        <v>26026</v>
      </c>
      <c r="V1013" s="20">
        <v>5579</v>
      </c>
      <c r="W1013" s="20">
        <v>17002</v>
      </c>
      <c r="Y1013" s="19">
        <v>0.11799999999999999</v>
      </c>
      <c r="Z1013" s="19">
        <v>0.32290000000000002</v>
      </c>
      <c r="AB1013" s="18">
        <v>319</v>
      </c>
    </row>
    <row r="1014" spans="1:28" ht="15.75" customHeight="1" x14ac:dyDescent="0.2">
      <c r="A1014" s="36" t="str">
        <f>HYPERLINK("https://www.sccsc.edu", "Spartanburg Community College")</f>
        <v>Spartanburg Community College</v>
      </c>
      <c r="B1014" s="18" t="s">
        <v>49</v>
      </c>
      <c r="C1014" s="18" t="s">
        <v>208</v>
      </c>
      <c r="D1014" s="18" t="s">
        <v>542</v>
      </c>
      <c r="E1014" s="18" t="s">
        <v>36</v>
      </c>
      <c r="F1014" s="18" t="s">
        <v>36</v>
      </c>
      <c r="J1014" s="19"/>
      <c r="K1014" s="19">
        <v>0.17530000000000001</v>
      </c>
      <c r="L1014" s="19">
        <v>0.16367018</v>
      </c>
      <c r="M1014" s="19">
        <v>0.21310000000000001</v>
      </c>
      <c r="N1014" s="19">
        <v>7.0199999999999999E-2</v>
      </c>
      <c r="O1014" s="19">
        <v>0.1905</v>
      </c>
      <c r="P1014" s="19">
        <v>0.125</v>
      </c>
      <c r="Q1014" s="19">
        <v>6.9421488000000003E-2</v>
      </c>
      <c r="R1014" s="20">
        <v>24822</v>
      </c>
      <c r="S1014" s="21" t="str">
        <f>HYPERLINK("https://www.sccsc.edu/NPC", "$13607")</f>
        <v>$13607</v>
      </c>
      <c r="T1014" s="20">
        <v>15599</v>
      </c>
      <c r="U1014" s="20">
        <v>17845</v>
      </c>
      <c r="V1014" s="20">
        <v>4639</v>
      </c>
      <c r="W1014" s="20">
        <v>8968.7212643678158</v>
      </c>
      <c r="Y1014" s="19">
        <v>0.48609999999999998</v>
      </c>
      <c r="Z1014" s="19">
        <v>0.39140000000000003</v>
      </c>
      <c r="AB1014" s="18">
        <v>3697</v>
      </c>
    </row>
    <row r="1015" spans="1:28" ht="15.75" customHeight="1" x14ac:dyDescent="0.2">
      <c r="A1015" s="36" t="str">
        <f>HYPERLINK("https://www.smcsc.edu/", "Spartanburg Methodist College")</f>
        <v>Spartanburg Methodist College</v>
      </c>
      <c r="B1015" s="18" t="s">
        <v>32</v>
      </c>
      <c r="C1015" s="18" t="s">
        <v>208</v>
      </c>
      <c r="D1015" s="18" t="s">
        <v>542</v>
      </c>
      <c r="E1015" s="18">
        <v>919</v>
      </c>
      <c r="F1015" s="18" t="s">
        <v>35</v>
      </c>
      <c r="J1015" s="19"/>
      <c r="K1015" s="19">
        <v>0.4803</v>
      </c>
      <c r="L1015" s="19">
        <v>0.26993865</v>
      </c>
      <c r="M1015" s="19">
        <v>0.4894</v>
      </c>
      <c r="N1015" s="19">
        <v>0.4662</v>
      </c>
      <c r="O1015" s="19">
        <v>0.53569999999999995</v>
      </c>
      <c r="P1015" s="19">
        <v>0.5</v>
      </c>
      <c r="Q1015" s="19">
        <v>0.120481928</v>
      </c>
      <c r="R1015" s="20">
        <v>29440</v>
      </c>
      <c r="S1015" s="21" t="str">
        <f>HYPERLINK("https://www.smcsc.edu/net-price-calc/", "$12480")</f>
        <v>$12480</v>
      </c>
      <c r="T1015" s="20">
        <v>14031</v>
      </c>
      <c r="U1015" s="20">
        <v>13136</v>
      </c>
      <c r="V1015" s="20">
        <v>3480</v>
      </c>
      <c r="W1015" s="20">
        <v>9000</v>
      </c>
      <c r="Y1015" s="19">
        <v>0.55569999999999997</v>
      </c>
      <c r="Z1015" s="19">
        <v>0.50890000000000002</v>
      </c>
      <c r="AB1015" s="18">
        <v>790</v>
      </c>
    </row>
    <row r="1016" spans="1:28" ht="15.75" customHeight="1" x14ac:dyDescent="0.2">
      <c r="A1016" s="36" t="str">
        <f>HYPERLINK("https://scc.spokane.edu", "Spokane Community College")</f>
        <v>Spokane Community College</v>
      </c>
      <c r="B1016" s="18" t="s">
        <v>49</v>
      </c>
      <c r="C1016" s="18" t="s">
        <v>184</v>
      </c>
      <c r="D1016" s="18" t="s">
        <v>222</v>
      </c>
      <c r="E1016" s="18" t="s">
        <v>36</v>
      </c>
      <c r="F1016" s="18" t="s">
        <v>36</v>
      </c>
      <c r="J1016" s="19"/>
      <c r="K1016" s="19">
        <v>0.2616</v>
      </c>
      <c r="L1016" s="19">
        <v>0.19857524500000001</v>
      </c>
      <c r="M1016" s="19">
        <v>0.27679999999999999</v>
      </c>
      <c r="N1016" s="19">
        <v>9.0899999999999995E-2</v>
      </c>
      <c r="O1016" s="19">
        <v>0.24390000000000001</v>
      </c>
      <c r="P1016" s="19">
        <v>0.71430000000000005</v>
      </c>
      <c r="Q1016" s="19">
        <v>4.8836447000000012E-2</v>
      </c>
      <c r="R1016" s="20">
        <v>23132</v>
      </c>
      <c r="S1016" s="21" t="str">
        <f>HYPERLINK("https://scc.spokane.edu/How-to-Pay-for-College/How-Much-Does-it-Cost", "$16116")</f>
        <v>$16116</v>
      </c>
      <c r="T1016" s="20">
        <v>19415</v>
      </c>
      <c r="U1016" s="20">
        <v>22813</v>
      </c>
      <c r="V1016" s="20">
        <v>4539</v>
      </c>
      <c r="W1016" s="20">
        <v>11577.6256684492</v>
      </c>
      <c r="Y1016" s="19">
        <v>0.26</v>
      </c>
      <c r="Z1016" s="19">
        <v>0.32550000000000001</v>
      </c>
      <c r="AB1016" s="18">
        <v>5250</v>
      </c>
    </row>
    <row r="1017" spans="1:28" ht="15.75" customHeight="1" x14ac:dyDescent="0.2">
      <c r="A1017" s="36" t="str">
        <f>HYPERLINK("https://sfcc.spokane.edu/", "Spokane Falls Community College")</f>
        <v>Spokane Falls Community College</v>
      </c>
      <c r="B1017" s="18" t="s">
        <v>49</v>
      </c>
      <c r="C1017" s="18" t="s">
        <v>184</v>
      </c>
      <c r="D1017" s="18" t="s">
        <v>222</v>
      </c>
      <c r="E1017" s="18" t="s">
        <v>36</v>
      </c>
      <c r="F1017" s="18" t="s">
        <v>36</v>
      </c>
      <c r="J1017" s="19"/>
      <c r="K1017" s="19">
        <v>0.22170000000000001</v>
      </c>
      <c r="L1017" s="19">
        <v>0.15885111399999999</v>
      </c>
      <c r="M1017" s="19">
        <v>0.2336</v>
      </c>
      <c r="N1017" s="19">
        <v>0.1429</v>
      </c>
      <c r="O1017" s="19">
        <v>0.1094</v>
      </c>
      <c r="P1017" s="19">
        <v>0.1111</v>
      </c>
      <c r="Q1017" s="19">
        <v>0.1</v>
      </c>
      <c r="R1017" s="20">
        <v>23133</v>
      </c>
      <c r="S1017" s="21" t="str">
        <f>HYPERLINK("https://sfcc.spokane.edu/How-to-Pay-for-College/How-Much-Does-it-Cost", "$15795")</f>
        <v>$15795</v>
      </c>
      <c r="T1017" s="20">
        <v>20482</v>
      </c>
      <c r="U1017" s="20">
        <v>22719</v>
      </c>
      <c r="V1017" s="20">
        <v>4540</v>
      </c>
      <c r="W1017" s="20">
        <v>11255.15217391304</v>
      </c>
      <c r="Y1017" s="19">
        <v>0.34920000000000001</v>
      </c>
      <c r="Z1017" s="19">
        <v>0.3679</v>
      </c>
      <c r="AB1017" s="18">
        <v>5444</v>
      </c>
    </row>
    <row r="1018" spans="1:28" ht="15.75" customHeight="1" x14ac:dyDescent="0.2">
      <c r="A1018" s="36" t="str">
        <f>HYPERLINK("https://www.stcc.edu", "Springfield Technical Community College")</f>
        <v>Springfield Technical Community College</v>
      </c>
      <c r="B1018" s="18" t="s">
        <v>49</v>
      </c>
      <c r="C1018" s="18" t="s">
        <v>33</v>
      </c>
      <c r="D1018" s="18" t="s">
        <v>349</v>
      </c>
      <c r="E1018" s="18" t="s">
        <v>36</v>
      </c>
      <c r="F1018" s="18" t="s">
        <v>36</v>
      </c>
      <c r="J1018" s="19"/>
      <c r="K1018" s="19">
        <v>0.21049999999999999</v>
      </c>
      <c r="L1018" s="19">
        <v>0.21816930500000001</v>
      </c>
      <c r="M1018" s="19">
        <v>0.29149999999999998</v>
      </c>
      <c r="N1018" s="19">
        <v>0.1852</v>
      </c>
      <c r="O1018" s="19">
        <v>0.1037</v>
      </c>
      <c r="P1018" s="19">
        <v>0.25</v>
      </c>
      <c r="Q1018" s="19">
        <v>4.8678720000000002E-2</v>
      </c>
      <c r="R1018" s="20">
        <v>28590</v>
      </c>
      <c r="S1018" s="21" t="str">
        <f>HYPERLINK("https://www.aidcalc.com/stcc", "$23167")</f>
        <v>$23167</v>
      </c>
      <c r="T1018" s="20">
        <v>25438</v>
      </c>
      <c r="U1018" s="20">
        <v>27510</v>
      </c>
      <c r="V1018" s="20">
        <v>4944</v>
      </c>
      <c r="W1018" s="20">
        <v>18223.79093198993</v>
      </c>
      <c r="Y1018" s="19">
        <v>0.51900000000000002</v>
      </c>
      <c r="Z1018" s="19">
        <v>0.57600000000000007</v>
      </c>
      <c r="AB1018" s="18">
        <v>4837</v>
      </c>
    </row>
    <row r="1019" spans="1:28" ht="15.75" customHeight="1" x14ac:dyDescent="0.2">
      <c r="A1019" s="36" t="str">
        <f>HYPERLINK("https://www.stchas.edu", "St Charles Community College")</f>
        <v>St Charles Community College</v>
      </c>
      <c r="B1019" s="18" t="s">
        <v>49</v>
      </c>
      <c r="C1019" s="18" t="s">
        <v>164</v>
      </c>
      <c r="D1019" s="18" t="s">
        <v>1705</v>
      </c>
      <c r="E1019" s="18" t="s">
        <v>36</v>
      </c>
      <c r="F1019" s="18" t="s">
        <v>36</v>
      </c>
      <c r="J1019" s="19"/>
      <c r="K1019" s="19">
        <v>0.18729999999999999</v>
      </c>
      <c r="L1019" s="19">
        <v>0.114849188</v>
      </c>
      <c r="M1019" s="19">
        <v>0.1953</v>
      </c>
      <c r="N1019" s="19">
        <v>0.127</v>
      </c>
      <c r="O1019" s="19">
        <v>0.20830000000000001</v>
      </c>
      <c r="P1019" s="19">
        <v>0.25</v>
      </c>
      <c r="Q1019" s="19">
        <v>0.16227544899999999</v>
      </c>
      <c r="R1019" s="20">
        <v>18676</v>
      </c>
      <c r="S1019" s="21" t="str">
        <f>HYPERLINK("https://www.stchas.edu/admissions/financial-aid/net-price-calculator", "$13581")</f>
        <v>$13581</v>
      </c>
      <c r="T1019" s="20">
        <v>16047</v>
      </c>
      <c r="U1019" s="20">
        <v>17448</v>
      </c>
      <c r="V1019" s="20">
        <v>4300</v>
      </c>
      <c r="W1019" s="20">
        <v>9281.1428571428569</v>
      </c>
      <c r="Y1019" s="19">
        <v>0.21029999999999999</v>
      </c>
      <c r="Z1019" s="19">
        <v>0.22309999999999999</v>
      </c>
      <c r="AB1019" s="18">
        <v>5983</v>
      </c>
    </row>
    <row r="1020" spans="1:28" ht="15.75" customHeight="1" x14ac:dyDescent="0.2">
      <c r="A1020" s="36" t="str">
        <f>HYPERLINK("https://www.sc4.edu", "St Clair County Community College")</f>
        <v>St Clair County Community College</v>
      </c>
      <c r="B1020" s="18" t="s">
        <v>49</v>
      </c>
      <c r="C1020" s="18" t="s">
        <v>226</v>
      </c>
      <c r="D1020" s="18" t="s">
        <v>637</v>
      </c>
      <c r="E1020" s="18" t="s">
        <v>36</v>
      </c>
      <c r="F1020" s="18" t="s">
        <v>36</v>
      </c>
      <c r="J1020" s="19"/>
      <c r="K1020" s="19">
        <v>0.2213</v>
      </c>
      <c r="L1020" s="19">
        <v>0.19852941199999999</v>
      </c>
      <c r="M1020" s="19">
        <v>0.2331</v>
      </c>
      <c r="N1020" s="19">
        <v>0</v>
      </c>
      <c r="O1020" s="19">
        <v>7.6899999999999996E-2</v>
      </c>
      <c r="P1020" s="19" t="s">
        <v>36</v>
      </c>
      <c r="Q1020" s="19">
        <v>8.0452919999999997E-2</v>
      </c>
      <c r="R1020" s="20">
        <v>19876</v>
      </c>
      <c r="S1020" s="21" t="str">
        <f>HYPERLINK("https://www.sc4.edu/Assets/NetPrice/npcalc.htm", "$13191")</f>
        <v>$13191</v>
      </c>
      <c r="T1020" s="20">
        <v>16764</v>
      </c>
      <c r="U1020" s="20">
        <v>19543</v>
      </c>
      <c r="V1020" s="20">
        <v>3235</v>
      </c>
      <c r="W1020" s="20">
        <v>9956.7999999999993</v>
      </c>
      <c r="Y1020" s="19">
        <v>0.28170000000000001</v>
      </c>
      <c r="Z1020" s="19">
        <v>0.28589999999999999</v>
      </c>
      <c r="AB1020" s="18">
        <v>2525</v>
      </c>
    </row>
    <row r="1021" spans="1:28" ht="15.75" customHeight="1" x14ac:dyDescent="0.2">
      <c r="A1021" s="36" t="str">
        <f>HYPERLINK("https://www.sctcc.edu", "St Cloud Technical and Community College")</f>
        <v>St Cloud Technical and Community College</v>
      </c>
      <c r="B1021" s="18" t="s">
        <v>49</v>
      </c>
      <c r="C1021" s="18" t="s">
        <v>72</v>
      </c>
      <c r="D1021" s="18" t="s">
        <v>1129</v>
      </c>
      <c r="E1021" s="18" t="s">
        <v>36</v>
      </c>
      <c r="F1021" s="18" t="s">
        <v>36</v>
      </c>
      <c r="J1021" s="19"/>
      <c r="K1021" s="19">
        <v>0.32840000000000003</v>
      </c>
      <c r="L1021" s="19">
        <v>0.277481323</v>
      </c>
      <c r="M1021" s="19">
        <v>0.36020000000000002</v>
      </c>
      <c r="N1021" s="19">
        <v>2.86E-2</v>
      </c>
      <c r="O1021" s="19">
        <v>0.33329999999999999</v>
      </c>
      <c r="P1021" s="19">
        <v>0</v>
      </c>
      <c r="Q1021" s="19">
        <v>6.3492064000000001E-2</v>
      </c>
      <c r="R1021" s="20">
        <v>15971</v>
      </c>
      <c r="S1021" s="21" t="str">
        <f>HYPERLINK("https://www.sctcc.edu/calculator", "$10633")</f>
        <v>$10633</v>
      </c>
      <c r="T1021" s="20">
        <v>12475</v>
      </c>
      <c r="U1021" s="20">
        <v>14228</v>
      </c>
      <c r="V1021" s="20">
        <v>3600</v>
      </c>
      <c r="W1021" s="20">
        <v>7033.7016574585632</v>
      </c>
      <c r="Y1021" s="19">
        <v>0.41020000000000001</v>
      </c>
      <c r="Z1021" s="19">
        <v>0.25840000000000002</v>
      </c>
      <c r="AB1021" s="18">
        <v>3765</v>
      </c>
    </row>
    <row r="1022" spans="1:28" ht="15.75" customHeight="1" x14ac:dyDescent="0.2">
      <c r="A1022" s="36" t="str">
        <f>HYPERLINK("https://www.sjson.edu", "St Joseph School of Nursing")</f>
        <v>St Joseph School of Nursing</v>
      </c>
      <c r="B1022" s="18" t="s">
        <v>32</v>
      </c>
      <c r="C1022" s="18" t="s">
        <v>101</v>
      </c>
      <c r="D1022" s="18" t="s">
        <v>450</v>
      </c>
      <c r="E1022" s="18" t="s">
        <v>36</v>
      </c>
      <c r="F1022" s="18" t="s">
        <v>45</v>
      </c>
      <c r="J1022" s="19"/>
      <c r="K1022" s="19">
        <v>1</v>
      </c>
      <c r="L1022" s="19">
        <v>0.72727272700000001</v>
      </c>
      <c r="M1022" s="19">
        <v>1</v>
      </c>
      <c r="N1022" s="19" t="s">
        <v>36</v>
      </c>
      <c r="O1022" s="19" t="s">
        <v>36</v>
      </c>
      <c r="P1022" s="19" t="s">
        <v>36</v>
      </c>
      <c r="Q1022" s="19" t="s">
        <v>36</v>
      </c>
      <c r="R1022" s="20">
        <v>31483</v>
      </c>
      <c r="S1022" s="21" t="str">
        <f>HYPERLINK("https://www.sjson.edu/st-joseph-school-of-nursing/net-price-calculator", "Not reported")</f>
        <v>Not reported</v>
      </c>
      <c r="T1022" s="20" t="s">
        <v>36</v>
      </c>
      <c r="U1022" s="20" t="s">
        <v>36</v>
      </c>
      <c r="V1022" s="20">
        <v>2550</v>
      </c>
      <c r="W1022" s="20" t="s">
        <v>36</v>
      </c>
      <c r="Y1022" s="19">
        <v>0.46960000000000002</v>
      </c>
      <c r="Z1022" s="19">
        <v>0.3306</v>
      </c>
      <c r="AB1022" s="18">
        <v>121</v>
      </c>
    </row>
    <row r="1023" spans="1:28" ht="15.75" customHeight="1" x14ac:dyDescent="0.2">
      <c r="A1023" s="36" t="str">
        <f>HYPERLINK("https://www.stlukescollege.edu", "St Luke's College")</f>
        <v>St Luke's College</v>
      </c>
      <c r="B1023" s="18" t="s">
        <v>32</v>
      </c>
      <c r="C1023" s="18" t="s">
        <v>211</v>
      </c>
      <c r="D1023" s="18" t="s">
        <v>588</v>
      </c>
      <c r="E1023" s="18" t="s">
        <v>36</v>
      </c>
      <c r="F1023" s="18" t="s">
        <v>90</v>
      </c>
      <c r="J1023" s="19"/>
      <c r="K1023" s="19">
        <v>1</v>
      </c>
      <c r="L1023" s="19">
        <v>0.62068965499999995</v>
      </c>
      <c r="M1023" s="19">
        <v>1</v>
      </c>
      <c r="N1023" s="19" t="s">
        <v>36</v>
      </c>
      <c r="O1023" s="19" t="s">
        <v>36</v>
      </c>
      <c r="P1023" s="19" t="s">
        <v>36</v>
      </c>
      <c r="Q1023" s="19" t="s">
        <v>36</v>
      </c>
      <c r="R1023" s="20">
        <v>33158</v>
      </c>
      <c r="S1023" s="21" t="str">
        <f>HYPERLINK("https://www.stlukescollege.edu/net-price-calculator.aspx", "Not reported")</f>
        <v>Not reported</v>
      </c>
      <c r="T1023" s="20">
        <v>14663</v>
      </c>
      <c r="U1023" s="20">
        <v>21978</v>
      </c>
      <c r="V1023" s="20">
        <v>4538</v>
      </c>
      <c r="W1023" s="20" t="s">
        <v>36</v>
      </c>
      <c r="Y1023" s="19">
        <v>0.36149999999999999</v>
      </c>
      <c r="Z1023" s="19">
        <v>0.16420000000000001</v>
      </c>
      <c r="AB1023" s="18">
        <v>274</v>
      </c>
    </row>
    <row r="1024" spans="1:28" ht="15.75" customHeight="1" x14ac:dyDescent="0.2">
      <c r="A1024" s="36" t="str">
        <f>HYPERLINK("https://www.stpaulsschoolofnursing.edu", "St Paul's School of Nursing-Queens")</f>
        <v>St Paul's School of Nursing-Queens</v>
      </c>
      <c r="B1024" s="18" t="s">
        <v>368</v>
      </c>
      <c r="C1024" s="18" t="s">
        <v>38</v>
      </c>
      <c r="D1024" s="18" t="s">
        <v>1706</v>
      </c>
      <c r="E1024" s="18" t="s">
        <v>36</v>
      </c>
      <c r="F1024" s="18" t="s">
        <v>36</v>
      </c>
      <c r="J1024" s="19"/>
      <c r="K1024" s="19">
        <v>0.54290000000000005</v>
      </c>
      <c r="L1024" s="19" t="s">
        <v>36</v>
      </c>
      <c r="M1024" s="19">
        <v>0.66669999999999996</v>
      </c>
      <c r="N1024" s="19">
        <v>0.42859999999999998</v>
      </c>
      <c r="O1024" s="19">
        <v>0.625</v>
      </c>
      <c r="P1024" s="19">
        <v>0</v>
      </c>
      <c r="Q1024" s="19" t="s">
        <v>36</v>
      </c>
      <c r="R1024" s="20">
        <v>62016</v>
      </c>
      <c r="S1024" s="21" t="str">
        <f>HYPERLINK("https://www.stpaulsnursingedu.info/", "$35720")</f>
        <v>$35720</v>
      </c>
      <c r="T1024" s="20">
        <v>35966</v>
      </c>
      <c r="U1024" s="20" t="s">
        <v>36</v>
      </c>
      <c r="V1024" s="20">
        <v>14004</v>
      </c>
      <c r="W1024" s="20">
        <v>21716</v>
      </c>
      <c r="Y1024" s="19">
        <v>0.54910000000000003</v>
      </c>
      <c r="Z1024" s="19">
        <v>0.90210000000000001</v>
      </c>
      <c r="AB1024" s="18">
        <v>582</v>
      </c>
    </row>
    <row r="1025" spans="1:28" ht="15.75" customHeight="1" x14ac:dyDescent="0.2">
      <c r="A1025" s="36" t="str">
        <f>HYPERLINK("https://www.stpaulsschoolofnursing.edu/", "St Paul's School of Nursing-Staten Island")</f>
        <v>St Paul's School of Nursing-Staten Island</v>
      </c>
      <c r="B1025" s="18" t="s">
        <v>368</v>
      </c>
      <c r="C1025" s="18" t="s">
        <v>38</v>
      </c>
      <c r="D1025" s="18" t="s">
        <v>533</v>
      </c>
      <c r="E1025" s="18" t="s">
        <v>36</v>
      </c>
      <c r="F1025" s="18" t="s">
        <v>36</v>
      </c>
      <c r="J1025" s="19"/>
      <c r="K1025" s="19">
        <v>0.47620000000000001</v>
      </c>
      <c r="L1025" s="19" t="s">
        <v>36</v>
      </c>
      <c r="M1025" s="19">
        <v>0.52939999999999998</v>
      </c>
      <c r="N1025" s="19">
        <v>0.33329999999999999</v>
      </c>
      <c r="O1025" s="19">
        <v>0.5</v>
      </c>
      <c r="P1025" s="19">
        <v>0.5</v>
      </c>
      <c r="Q1025" s="19" t="s">
        <v>36</v>
      </c>
      <c r="R1025" s="20">
        <v>34954</v>
      </c>
      <c r="S1025" s="21" t="str">
        <f>HYPERLINK("https://www.stpaulsnursingedu.info/", "$27358")</f>
        <v>$27358</v>
      </c>
      <c r="T1025" s="20" t="s">
        <v>36</v>
      </c>
      <c r="U1025" s="20" t="s">
        <v>36</v>
      </c>
      <c r="V1025" s="20">
        <v>8670</v>
      </c>
      <c r="W1025" s="20">
        <v>18688</v>
      </c>
      <c r="Y1025" s="19">
        <v>0.56620000000000004</v>
      </c>
      <c r="Z1025" s="19">
        <v>0.65229999999999999</v>
      </c>
      <c r="AB1025" s="18">
        <v>532</v>
      </c>
    </row>
    <row r="1026" spans="1:28" ht="15.75" customHeight="1" x14ac:dyDescent="0.2">
      <c r="A1026" s="36" t="str">
        <f>HYPERLINK("https://www.spcollege.edu", "St Petersburg College")</f>
        <v>St Petersburg College</v>
      </c>
      <c r="B1026" s="18" t="s">
        <v>49</v>
      </c>
      <c r="C1026" s="18" t="s">
        <v>162</v>
      </c>
      <c r="D1026" s="18" t="s">
        <v>1707</v>
      </c>
      <c r="E1026" s="18" t="s">
        <v>36</v>
      </c>
      <c r="F1026" s="18" t="s">
        <v>36</v>
      </c>
      <c r="J1026" s="19"/>
      <c r="K1026" s="19">
        <v>0.2858</v>
      </c>
      <c r="L1026" s="19">
        <v>0.245791972</v>
      </c>
      <c r="M1026" s="19">
        <v>0.32219999999999999</v>
      </c>
      <c r="N1026" s="19">
        <v>0.125</v>
      </c>
      <c r="O1026" s="19">
        <v>0.249</v>
      </c>
      <c r="P1026" s="19">
        <v>0.38</v>
      </c>
      <c r="Q1026" s="19">
        <v>5.3998066999999997E-2</v>
      </c>
      <c r="R1026" s="20">
        <v>27794</v>
      </c>
      <c r="S1026" s="21" t="str">
        <f>HYPERLINK("https://go.spcollege.edu/getfunds/", "$22136")</f>
        <v>$22136</v>
      </c>
      <c r="T1026" s="20">
        <v>24421</v>
      </c>
      <c r="U1026" s="20">
        <v>26879</v>
      </c>
      <c r="V1026" s="20">
        <v>6278</v>
      </c>
      <c r="W1026" s="20">
        <v>15858.8618504436</v>
      </c>
      <c r="Y1026" s="19">
        <v>0.38650000000000001</v>
      </c>
      <c r="Z1026" s="19">
        <v>0.38279999999999997</v>
      </c>
      <c r="AB1026" s="18">
        <v>24824</v>
      </c>
    </row>
    <row r="1027" spans="1:28" ht="15.75" customHeight="1" x14ac:dyDescent="0.2">
      <c r="A1027" s="36" t="str">
        <f>HYPERLINK("https://www.alamo.edu/spc/", "St Philip's College")</f>
        <v>St Philip's College</v>
      </c>
      <c r="B1027" s="18" t="s">
        <v>49</v>
      </c>
      <c r="C1027" s="18" t="s">
        <v>146</v>
      </c>
      <c r="D1027" s="18" t="s">
        <v>268</v>
      </c>
      <c r="E1027" s="18" t="s">
        <v>36</v>
      </c>
      <c r="F1027" s="18" t="s">
        <v>36</v>
      </c>
      <c r="J1027" s="19"/>
      <c r="K1027" s="19">
        <v>0.2329</v>
      </c>
      <c r="L1027" s="19">
        <v>9.5364741999999988E-2</v>
      </c>
      <c r="M1027" s="19">
        <v>0.25929999999999997</v>
      </c>
      <c r="N1027" s="19">
        <v>0.2273</v>
      </c>
      <c r="O1027" s="19">
        <v>0.23369999999999999</v>
      </c>
      <c r="P1027" s="19">
        <v>0.36359999999999998</v>
      </c>
      <c r="Q1027" s="19">
        <v>9.0132548000000007E-2</v>
      </c>
      <c r="R1027" s="20">
        <v>27402</v>
      </c>
      <c r="S1027" s="21" t="str">
        <f>HYPERLINK("https://www.alamo.edu/nvc/experience-nvc/current-students/financial-literacy/", "$21885")</f>
        <v>$21885</v>
      </c>
      <c r="T1027" s="20">
        <v>23393</v>
      </c>
      <c r="U1027" s="20">
        <v>26582</v>
      </c>
      <c r="V1027" s="20">
        <v>5180</v>
      </c>
      <c r="W1027" s="20">
        <v>16705.54966887417</v>
      </c>
      <c r="Y1027" s="19">
        <v>0.2157</v>
      </c>
      <c r="Z1027" s="19">
        <v>0.79330000000000001</v>
      </c>
      <c r="AB1027" s="18">
        <v>8023</v>
      </c>
    </row>
    <row r="1028" spans="1:28" ht="15.75" customHeight="1" x14ac:dyDescent="0.2">
      <c r="A1028" s="36" t="str">
        <f>HYPERLINK("https://www.stvincentscollege.edu", "St Vincent's College")</f>
        <v>St Vincent's College</v>
      </c>
      <c r="B1028" s="18" t="s">
        <v>32</v>
      </c>
      <c r="C1028" s="18" t="s">
        <v>94</v>
      </c>
      <c r="D1028" s="18" t="s">
        <v>886</v>
      </c>
      <c r="E1028" s="18">
        <v>960</v>
      </c>
      <c r="F1028" s="18" t="s">
        <v>35</v>
      </c>
      <c r="J1028" s="19"/>
      <c r="K1028" s="19">
        <v>0</v>
      </c>
      <c r="L1028" s="19">
        <v>0.47674418600000001</v>
      </c>
      <c r="M1028" s="19">
        <v>0</v>
      </c>
      <c r="N1028" s="19">
        <v>0</v>
      </c>
      <c r="O1028" s="19">
        <v>0</v>
      </c>
      <c r="P1028" s="19" t="s">
        <v>36</v>
      </c>
      <c r="Q1028" s="19">
        <v>8.2926829000000007E-2</v>
      </c>
      <c r="R1028" s="20">
        <v>36615</v>
      </c>
      <c r="S1028" s="21" t="str">
        <f>HYPERLINK("https://www.stvincentscollege.edu", "$13817")</f>
        <v>$13817</v>
      </c>
      <c r="T1028" s="20">
        <v>20684</v>
      </c>
      <c r="U1028" s="20">
        <v>26456</v>
      </c>
      <c r="V1028" s="20">
        <v>10710</v>
      </c>
      <c r="W1028" s="20">
        <v>3107</v>
      </c>
      <c r="Y1028" s="19">
        <v>0.32769999999999999</v>
      </c>
      <c r="Z1028" s="19">
        <v>0.51910000000000001</v>
      </c>
      <c r="AB1028" s="18">
        <v>472</v>
      </c>
    </row>
    <row r="1029" spans="1:28" ht="15.75" customHeight="1" x14ac:dyDescent="0.2">
      <c r="A1029" s="36" t="str">
        <f>HYPERLINK("https://www.sjhcon.edu", "St Joseph's College of Nursing at St Joseph's Hospital Health Center")</f>
        <v>St Joseph's College of Nursing at St Joseph's Hospital Health Center</v>
      </c>
      <c r="B1029" s="18" t="s">
        <v>32</v>
      </c>
      <c r="C1029" s="18" t="s">
        <v>38</v>
      </c>
      <c r="D1029" s="18" t="s">
        <v>242</v>
      </c>
      <c r="E1029" s="18" t="s">
        <v>36</v>
      </c>
      <c r="F1029" s="18" t="s">
        <v>90</v>
      </c>
      <c r="J1029" s="19"/>
      <c r="K1029" s="19">
        <v>0.75</v>
      </c>
      <c r="L1029" s="19">
        <v>0.78260869599999994</v>
      </c>
      <c r="M1029" s="19">
        <v>0.66669999999999996</v>
      </c>
      <c r="N1029" s="19" t="s">
        <v>36</v>
      </c>
      <c r="O1029" s="19" t="s">
        <v>36</v>
      </c>
      <c r="P1029" s="19">
        <v>1</v>
      </c>
      <c r="Q1029" s="19" t="s">
        <v>36</v>
      </c>
      <c r="R1029" s="20">
        <v>36456</v>
      </c>
      <c r="S1029" s="21" t="str">
        <f>HYPERLINK("https://www.sjhsyr.org/sjhhc/sjhcon/npc/", "Not reported")</f>
        <v>Not reported</v>
      </c>
      <c r="T1029" s="20" t="s">
        <v>36</v>
      </c>
      <c r="U1029" s="20">
        <v>34583</v>
      </c>
      <c r="V1029" s="20">
        <v>2850</v>
      </c>
      <c r="W1029" s="20" t="s">
        <v>36</v>
      </c>
      <c r="Y1029" s="19">
        <v>0.3054</v>
      </c>
      <c r="Z1029" s="19">
        <v>0.36909999999999998</v>
      </c>
      <c r="AB1029" s="18">
        <v>298</v>
      </c>
    </row>
    <row r="1030" spans="1:28" ht="15.75" customHeight="1" x14ac:dyDescent="0.2">
      <c r="A1030" s="36" t="str">
        <f>HYPERLINK("https://www.stanbridge.edu", "Stanbridge College")</f>
        <v>Stanbridge College</v>
      </c>
      <c r="B1030" s="18" t="s">
        <v>368</v>
      </c>
      <c r="C1030" s="18" t="s">
        <v>68</v>
      </c>
      <c r="D1030" s="18" t="s">
        <v>340</v>
      </c>
      <c r="E1030" s="18" t="s">
        <v>36</v>
      </c>
      <c r="F1030" s="18" t="s">
        <v>45</v>
      </c>
      <c r="J1030" s="19"/>
      <c r="K1030" s="19">
        <v>0.71400000000000008</v>
      </c>
      <c r="L1030" s="19">
        <v>0.65500000000000003</v>
      </c>
      <c r="M1030" s="19">
        <v>0.70369999999999999</v>
      </c>
      <c r="N1030" s="19">
        <v>0.69569999999999999</v>
      </c>
      <c r="O1030" s="19">
        <v>0.64080000000000004</v>
      </c>
      <c r="P1030" s="19">
        <v>0.78759999999999997</v>
      </c>
      <c r="Q1030" s="19" t="s">
        <v>36</v>
      </c>
      <c r="R1030" s="20" t="s">
        <v>36</v>
      </c>
      <c r="S1030" s="21" t="str">
        <f>HYPERLINK("https://www.stanbridge.edu", "$25054")</f>
        <v>$25054</v>
      </c>
      <c r="T1030" s="20">
        <v>28500</v>
      </c>
      <c r="U1030" s="20" t="s">
        <v>36</v>
      </c>
      <c r="V1030" s="20" t="s">
        <v>36</v>
      </c>
      <c r="W1030" s="20" t="s">
        <v>36</v>
      </c>
      <c r="Y1030" s="19">
        <v>0.36530000000000001</v>
      </c>
      <c r="Z1030" s="19">
        <v>0.74249999999999994</v>
      </c>
      <c r="AB1030" s="18">
        <v>1173</v>
      </c>
    </row>
    <row r="1031" spans="1:28" ht="15.75" customHeight="1" x14ac:dyDescent="0.2">
      <c r="A1031" s="36" t="str">
        <f>HYPERLINK("https://www.stanly.edu", "Stanly Community College")</f>
        <v>Stanly Community College</v>
      </c>
      <c r="B1031" s="18" t="s">
        <v>49</v>
      </c>
      <c r="C1031" s="18" t="s">
        <v>103</v>
      </c>
      <c r="D1031" s="18" t="s">
        <v>1708</v>
      </c>
      <c r="E1031" s="18" t="s">
        <v>36</v>
      </c>
      <c r="F1031" s="18" t="s">
        <v>36</v>
      </c>
      <c r="J1031" s="19"/>
      <c r="K1031" s="19">
        <v>0.35980000000000001</v>
      </c>
      <c r="L1031" s="19">
        <v>0.18313953499999999</v>
      </c>
      <c r="M1031" s="19">
        <v>0.36919999999999997</v>
      </c>
      <c r="N1031" s="19">
        <v>0.36840000000000001</v>
      </c>
      <c r="O1031" s="19">
        <v>0.5</v>
      </c>
      <c r="P1031" s="19">
        <v>0.25</v>
      </c>
      <c r="Q1031" s="19">
        <v>6.4482029999999996E-2</v>
      </c>
      <c r="R1031" s="20">
        <v>21979</v>
      </c>
      <c r="S1031" s="21" t="str">
        <f>HYPERLINK("https://www.stanly.edu/sites/default/files/NPCalc/NPCalc.htm", "$16332")</f>
        <v>$16332</v>
      </c>
      <c r="T1031" s="20">
        <v>16824</v>
      </c>
      <c r="U1031" s="20">
        <v>16984</v>
      </c>
      <c r="V1031" s="20">
        <v>6797</v>
      </c>
      <c r="W1031" s="20">
        <v>9535.3302752293566</v>
      </c>
      <c r="Y1031" s="19">
        <v>0.52780000000000005</v>
      </c>
      <c r="Z1031" s="19">
        <v>0.34329999999999999</v>
      </c>
      <c r="AB1031" s="18">
        <v>1943</v>
      </c>
    </row>
    <row r="1032" spans="1:28" ht="15.75" customHeight="1" x14ac:dyDescent="0.2">
      <c r="A1032" s="36" t="str">
        <f>HYPERLINK("https://www.starkstate.edu", "Stark State College")</f>
        <v>Stark State College</v>
      </c>
      <c r="B1032" s="18" t="s">
        <v>49</v>
      </c>
      <c r="C1032" s="18" t="s">
        <v>75</v>
      </c>
      <c r="D1032" s="18" t="s">
        <v>1384</v>
      </c>
      <c r="E1032" s="18" t="s">
        <v>36</v>
      </c>
      <c r="F1032" s="18" t="s">
        <v>36</v>
      </c>
      <c r="J1032" s="19"/>
      <c r="K1032" s="19">
        <v>0.1512</v>
      </c>
      <c r="L1032" s="19">
        <v>0.111168296</v>
      </c>
      <c r="M1032" s="19">
        <v>0.1588</v>
      </c>
      <c r="N1032" s="19">
        <v>5.3499999999999999E-2</v>
      </c>
      <c r="O1032" s="19">
        <v>0.33329999999999999</v>
      </c>
      <c r="P1032" s="19">
        <v>0.4783</v>
      </c>
      <c r="Q1032" s="19">
        <v>4.8763124999999997E-2</v>
      </c>
      <c r="R1032" s="20">
        <v>15826</v>
      </c>
      <c r="S1032" s="21" t="str">
        <f>HYPERLINK("https://www.starkstate.edu/admissions/finaid/npcalculator/", "$11343")</f>
        <v>$11343</v>
      </c>
      <c r="T1032" s="20">
        <v>13089</v>
      </c>
      <c r="U1032" s="20">
        <v>13135</v>
      </c>
      <c r="V1032" s="20">
        <v>3780</v>
      </c>
      <c r="W1032" s="20">
        <v>7563.4624505928841</v>
      </c>
      <c r="Y1032" s="19">
        <v>0.34660000000000002</v>
      </c>
      <c r="Z1032" s="19">
        <v>0.29570000000000002</v>
      </c>
      <c r="AB1032" s="18">
        <v>7778</v>
      </c>
    </row>
    <row r="1033" spans="1:28" ht="15.75" customHeight="1" x14ac:dyDescent="0.2">
      <c r="A1033" s="36" t="str">
        <f>HYPERLINK("https://www.scf.edu", "State College of Florida-Manatee-Sarasota")</f>
        <v>State College of Florida-Manatee-Sarasota</v>
      </c>
      <c r="B1033" s="18" t="s">
        <v>49</v>
      </c>
      <c r="C1033" s="18" t="s">
        <v>162</v>
      </c>
      <c r="D1033" s="18" t="s">
        <v>1709</v>
      </c>
      <c r="E1033" s="18" t="s">
        <v>36</v>
      </c>
      <c r="F1033" s="18" t="s">
        <v>36</v>
      </c>
      <c r="J1033" s="19"/>
      <c r="K1033" s="19">
        <v>0.33489999999999998</v>
      </c>
      <c r="L1033" s="19">
        <v>0.170713485</v>
      </c>
      <c r="M1033" s="19">
        <v>0.35639999999999999</v>
      </c>
      <c r="N1033" s="19">
        <v>0.15329999999999999</v>
      </c>
      <c r="O1033" s="19">
        <v>0.33660000000000001</v>
      </c>
      <c r="P1033" s="19">
        <v>0.51849999999999996</v>
      </c>
      <c r="Q1033" s="19">
        <v>8.2140166000000001E-2</v>
      </c>
      <c r="R1033" s="20">
        <v>32009</v>
      </c>
      <c r="S1033" s="21" t="str">
        <f>HYPERLINK("https://www.scf.edu/StudentServices/FinancialAid/default.asp", "$27233")</f>
        <v>$27233</v>
      </c>
      <c r="T1033" s="20">
        <v>32009</v>
      </c>
      <c r="U1033" s="20" t="s">
        <v>36</v>
      </c>
      <c r="V1033" s="20">
        <v>6386</v>
      </c>
      <c r="W1033" s="20">
        <v>20847.678522571819</v>
      </c>
      <c r="Y1033" s="19">
        <v>0.48880000000000001</v>
      </c>
      <c r="Z1033" s="19">
        <v>0.36809999999999998</v>
      </c>
      <c r="AB1033" s="18">
        <v>8493</v>
      </c>
    </row>
    <row r="1034" spans="1:28" ht="15.75" customHeight="1" x14ac:dyDescent="0.2">
      <c r="A1034" s="36" t="str">
        <f>HYPERLINK("https://www.sfccmo.edu", "State Fair Community College")</f>
        <v>State Fair Community College</v>
      </c>
      <c r="B1034" s="18" t="s">
        <v>49</v>
      </c>
      <c r="C1034" s="18" t="s">
        <v>164</v>
      </c>
      <c r="D1034" s="18" t="s">
        <v>1710</v>
      </c>
      <c r="E1034" s="18" t="s">
        <v>36</v>
      </c>
      <c r="F1034" s="18" t="s">
        <v>36</v>
      </c>
      <c r="J1034" s="19"/>
      <c r="K1034" s="19">
        <v>0.30659999999999998</v>
      </c>
      <c r="L1034" s="19">
        <v>0.21652892600000001</v>
      </c>
      <c r="M1034" s="19">
        <v>0.31330000000000002</v>
      </c>
      <c r="N1034" s="19">
        <v>0.14710000000000001</v>
      </c>
      <c r="O1034" s="19">
        <v>0.5</v>
      </c>
      <c r="P1034" s="19">
        <v>0.5</v>
      </c>
      <c r="Q1034" s="19">
        <v>6.9717934999999995E-2</v>
      </c>
      <c r="R1034" s="20">
        <v>12714</v>
      </c>
      <c r="S1034" s="21" t="str">
        <f>HYPERLINK("https://www.sfccmo.edu/files/net-price-calculator/net-price-calculator.html", "$7464")</f>
        <v>$7464</v>
      </c>
      <c r="T1034" s="20">
        <v>9159</v>
      </c>
      <c r="U1034" s="20">
        <v>10162</v>
      </c>
      <c r="V1034" s="20">
        <v>1774</v>
      </c>
      <c r="W1034" s="20">
        <v>5690.2722646310431</v>
      </c>
      <c r="Y1034" s="19">
        <v>0.4294</v>
      </c>
      <c r="Z1034" s="19">
        <v>0.16089999999999999</v>
      </c>
      <c r="AB1034" s="18">
        <v>3517</v>
      </c>
    </row>
    <row r="1035" spans="1:28" ht="15.75" customHeight="1" x14ac:dyDescent="0.2">
      <c r="A1035" s="36" t="str">
        <f>HYPERLINK("https://www.statetechmo.edu", "State Technical College of Missouri")</f>
        <v>State Technical College of Missouri</v>
      </c>
      <c r="B1035" s="18" t="s">
        <v>49</v>
      </c>
      <c r="C1035" s="18" t="s">
        <v>164</v>
      </c>
      <c r="D1035" s="18" t="s">
        <v>1711</v>
      </c>
      <c r="E1035" s="18" t="s">
        <v>36</v>
      </c>
      <c r="F1035" s="18" t="s">
        <v>36</v>
      </c>
      <c r="J1035" s="19"/>
      <c r="K1035" s="19">
        <v>0.70889999999999997</v>
      </c>
      <c r="L1035" s="19">
        <v>0.50753768799999999</v>
      </c>
      <c r="M1035" s="19">
        <v>0.71460000000000001</v>
      </c>
      <c r="N1035" s="19">
        <v>0.8</v>
      </c>
      <c r="O1035" s="19">
        <v>0.42859999999999998</v>
      </c>
      <c r="P1035" s="19">
        <v>0</v>
      </c>
      <c r="Q1035" s="19" t="s">
        <v>36</v>
      </c>
      <c r="R1035" s="20">
        <v>21961</v>
      </c>
      <c r="S1035" s="21" t="str">
        <f>HYPERLINK("https://resources.statetechmo.edu/academic/NetPriceCalculator/npcalc.htm", "$14368")</f>
        <v>$14368</v>
      </c>
      <c r="T1035" s="20">
        <v>15328</v>
      </c>
      <c r="U1035" s="20">
        <v>15787</v>
      </c>
      <c r="V1035" s="20">
        <v>5621</v>
      </c>
      <c r="W1035" s="20">
        <v>8747.105263157895</v>
      </c>
      <c r="Y1035" s="19">
        <v>0.36670000000000003</v>
      </c>
      <c r="Z1035" s="19">
        <v>5.9000000000000052E-2</v>
      </c>
      <c r="AB1035" s="18">
        <v>1135</v>
      </c>
    </row>
    <row r="1036" spans="1:28" ht="15.75" customHeight="1" x14ac:dyDescent="0.2">
      <c r="A1036" s="36" t="str">
        <f>HYPERLINK("https://www.sctoday.edu/", "Stautzenberger College-Brecksville")</f>
        <v>Stautzenberger College-Brecksville</v>
      </c>
      <c r="B1036" s="18" t="s">
        <v>368</v>
      </c>
      <c r="C1036" s="18" t="s">
        <v>75</v>
      </c>
      <c r="D1036" s="18" t="s">
        <v>1712</v>
      </c>
      <c r="E1036" s="18" t="s">
        <v>36</v>
      </c>
      <c r="F1036" s="18" t="s">
        <v>36</v>
      </c>
      <c r="J1036" s="19"/>
      <c r="K1036" s="19">
        <v>0.1429</v>
      </c>
      <c r="L1036" s="19">
        <v>0.37216828499999999</v>
      </c>
      <c r="M1036" s="19">
        <v>0.25</v>
      </c>
      <c r="N1036" s="19">
        <v>0</v>
      </c>
      <c r="O1036" s="19">
        <v>0</v>
      </c>
      <c r="P1036" s="19" t="s">
        <v>36</v>
      </c>
      <c r="Q1036" s="19">
        <v>2.5000000000000001E-2</v>
      </c>
      <c r="R1036" s="20">
        <v>23417</v>
      </c>
      <c r="S1036" s="21" t="str">
        <f>HYPERLINK("https://stautzenberger.studentaidcalculator.com/survey.aspx", "$14308")</f>
        <v>$14308</v>
      </c>
      <c r="T1036" s="20">
        <v>18662</v>
      </c>
      <c r="U1036" s="20" t="s">
        <v>36</v>
      </c>
      <c r="V1036" s="20">
        <v>3835</v>
      </c>
      <c r="W1036" s="20">
        <v>10473</v>
      </c>
      <c r="Y1036" s="19">
        <v>0.67400000000000004</v>
      </c>
      <c r="Z1036" s="19">
        <v>0.32729999999999998</v>
      </c>
      <c r="AB1036" s="18">
        <v>385</v>
      </c>
    </row>
    <row r="1037" spans="1:28" ht="15.75" customHeight="1" x14ac:dyDescent="0.2">
      <c r="A1037" s="36" t="str">
        <f>HYPERLINK("https://www.guttman.cuny.edu/", "CUNY Stella and Charles Guttman Community College")</f>
        <v>CUNY Stella and Charles Guttman Community College</v>
      </c>
      <c r="B1037" s="18" t="s">
        <v>49</v>
      </c>
      <c r="C1037" s="18" t="s">
        <v>38</v>
      </c>
      <c r="D1037" s="18" t="s">
        <v>39</v>
      </c>
      <c r="E1037" s="18" t="s">
        <v>36</v>
      </c>
      <c r="F1037" s="18" t="s">
        <v>36</v>
      </c>
      <c r="G1037" s="18" t="s">
        <v>1713</v>
      </c>
      <c r="J1037" s="19" t="s">
        <v>1714</v>
      </c>
      <c r="K1037" s="19">
        <v>0.46339999999999998</v>
      </c>
      <c r="L1037" s="19" t="s">
        <v>36</v>
      </c>
      <c r="M1037" s="19">
        <v>0.53129999999999999</v>
      </c>
      <c r="N1037" s="19">
        <v>0.4</v>
      </c>
      <c r="O1037" s="19">
        <v>0.46939999999999998</v>
      </c>
      <c r="P1037" s="19">
        <v>0.58819999999999995</v>
      </c>
      <c r="Q1037" s="19" t="s">
        <v>36</v>
      </c>
      <c r="R1037" s="20">
        <v>11427</v>
      </c>
      <c r="S1037" s="21" t="str">
        <f>HYPERLINK("https://portal0.uapc.cuny.edu/uapc/public/fin_aid/financial_aid_estimator/FinAidEstimator.jsp", "$3821")</f>
        <v>$3821</v>
      </c>
      <c r="T1037" s="20">
        <v>8569</v>
      </c>
      <c r="U1037" s="20">
        <v>12567</v>
      </c>
      <c r="V1037" s="20">
        <v>6233</v>
      </c>
      <c r="W1037" s="20">
        <v>-2412</v>
      </c>
      <c r="Y1037" s="19">
        <v>0.70350000000000001</v>
      </c>
      <c r="Z1037" s="19">
        <v>0.93469999999999998</v>
      </c>
      <c r="AB1037" s="18">
        <v>1010</v>
      </c>
    </row>
    <row r="1038" spans="1:28" ht="15.75" customHeight="1" x14ac:dyDescent="0.2">
      <c r="A1038" s="36" t="str">
        <f>HYPERLINK("https://www.stevenshenager.edu", "Stevens-Henager College")</f>
        <v>Stevens-Henager College</v>
      </c>
      <c r="B1038" s="18" t="s">
        <v>32</v>
      </c>
      <c r="C1038" s="18" t="s">
        <v>199</v>
      </c>
      <c r="D1038" s="18" t="s">
        <v>1311</v>
      </c>
      <c r="E1038" s="18" t="s">
        <v>36</v>
      </c>
      <c r="F1038" s="18" t="s">
        <v>36</v>
      </c>
      <c r="J1038" s="19"/>
      <c r="K1038" s="19">
        <v>0.29570000000000002</v>
      </c>
      <c r="L1038" s="19">
        <v>0.28829685999999999</v>
      </c>
      <c r="M1038" s="19">
        <v>0.30769999999999997</v>
      </c>
      <c r="N1038" s="19">
        <v>0.33329999999999999</v>
      </c>
      <c r="O1038" s="19">
        <v>0.32</v>
      </c>
      <c r="P1038" s="19" t="s">
        <v>36</v>
      </c>
      <c r="Q1038" s="19">
        <v>2.5635103999999999E-2</v>
      </c>
      <c r="R1038" s="20">
        <v>33960</v>
      </c>
      <c r="S1038" s="21" t="str">
        <f>HYPERLINK("https://stevenshenager.studentaidcalculator.com", "$28724")</f>
        <v>$28724</v>
      </c>
      <c r="T1038" s="20">
        <v>30439</v>
      </c>
      <c r="U1038" s="20">
        <v>31019</v>
      </c>
      <c r="V1038" s="20">
        <v>7816</v>
      </c>
      <c r="W1038" s="20">
        <v>20908</v>
      </c>
      <c r="Y1038" s="19">
        <v>0.71489999999999998</v>
      </c>
      <c r="Z1038" s="19">
        <v>0.33660000000000001</v>
      </c>
      <c r="AB1038" s="18">
        <v>205</v>
      </c>
    </row>
    <row r="1039" spans="1:28" ht="15.75" customHeight="1" x14ac:dyDescent="0.2">
      <c r="A1039" s="36" t="str">
        <f>HYPERLINK("https://www.stevenshenager.edu/", "Stevens-Henager College")</f>
        <v>Stevens-Henager College</v>
      </c>
      <c r="B1039" s="18" t="s">
        <v>32</v>
      </c>
      <c r="C1039" s="18" t="s">
        <v>486</v>
      </c>
      <c r="D1039" s="18" t="s">
        <v>583</v>
      </c>
      <c r="E1039" s="18" t="s">
        <v>36</v>
      </c>
      <c r="F1039" s="18" t="s">
        <v>36</v>
      </c>
      <c r="J1039" s="19"/>
      <c r="K1039" s="19">
        <v>0.31869999999999998</v>
      </c>
      <c r="L1039" s="19">
        <v>0.28829685999999999</v>
      </c>
      <c r="M1039" s="19">
        <v>0.34439999999999998</v>
      </c>
      <c r="N1039" s="19">
        <v>0.4</v>
      </c>
      <c r="O1039" s="19">
        <v>0.31580000000000003</v>
      </c>
      <c r="P1039" s="19" t="s">
        <v>36</v>
      </c>
      <c r="Q1039" s="19">
        <v>2.5635103999999999E-2</v>
      </c>
      <c r="R1039" s="20">
        <v>33960</v>
      </c>
      <c r="S1039" s="21" t="str">
        <f>HYPERLINK("https://www.stevenshenager.edu/net-price-calculator", "$26959")</f>
        <v>$26959</v>
      </c>
      <c r="T1039" s="20">
        <v>29729</v>
      </c>
      <c r="U1039" s="20" t="s">
        <v>36</v>
      </c>
      <c r="V1039" s="20">
        <v>7816</v>
      </c>
      <c r="W1039" s="20">
        <v>19143</v>
      </c>
      <c r="Y1039" s="19">
        <v>0.74470000000000003</v>
      </c>
      <c r="Z1039" s="19">
        <v>0.47489999999999999</v>
      </c>
      <c r="AB1039" s="18">
        <v>259</v>
      </c>
    </row>
    <row r="1040" spans="1:28" ht="15.75" customHeight="1" x14ac:dyDescent="0.2">
      <c r="A1040" s="36" t="str">
        <f>HYPERLINK("https://www.stevenshenager.edu/locations/st-george", "Stevens-Henager College")</f>
        <v>Stevens-Henager College</v>
      </c>
      <c r="B1040" s="18" t="s">
        <v>32</v>
      </c>
      <c r="C1040" s="18" t="s">
        <v>199</v>
      </c>
      <c r="D1040" s="18" t="s">
        <v>1715</v>
      </c>
      <c r="E1040" s="18" t="s">
        <v>36</v>
      </c>
      <c r="F1040" s="18" t="s">
        <v>36</v>
      </c>
      <c r="J1040" s="19"/>
      <c r="K1040" s="19" t="s">
        <v>36</v>
      </c>
      <c r="L1040" s="19">
        <v>0.28829685999999999</v>
      </c>
      <c r="M1040" s="19" t="s">
        <v>36</v>
      </c>
      <c r="N1040" s="19" t="s">
        <v>36</v>
      </c>
      <c r="O1040" s="19" t="s">
        <v>36</v>
      </c>
      <c r="P1040" s="19" t="s">
        <v>36</v>
      </c>
      <c r="Q1040" s="19">
        <v>2.5635103999999999E-2</v>
      </c>
      <c r="R1040" s="20">
        <v>33960</v>
      </c>
      <c r="S1040" s="21" t="str">
        <f>HYPERLINK("https://www.stevenshenager.edu/net-price-calculator", "$28210")</f>
        <v>$28210</v>
      </c>
      <c r="T1040" s="20">
        <v>30654</v>
      </c>
      <c r="U1040" s="20" t="s">
        <v>36</v>
      </c>
      <c r="V1040" s="20">
        <v>7816</v>
      </c>
      <c r="W1040" s="20">
        <v>20394</v>
      </c>
      <c r="Y1040" s="19">
        <v>0.67190000000000005</v>
      </c>
      <c r="Z1040" s="19">
        <v>0.32429999999999998</v>
      </c>
      <c r="AB1040" s="18">
        <v>111</v>
      </c>
    </row>
    <row r="1041" spans="1:28" ht="15.75" customHeight="1" x14ac:dyDescent="0.2">
      <c r="A1041" s="36" t="str">
        <f>HYPERLINK("https://www.stevenshenager.edu/", "Stevens-Henager College")</f>
        <v>Stevens-Henager College</v>
      </c>
      <c r="B1041" s="18" t="s">
        <v>32</v>
      </c>
      <c r="C1041" s="18" t="s">
        <v>199</v>
      </c>
      <c r="D1041" s="18" t="s">
        <v>1367</v>
      </c>
      <c r="E1041" s="18" t="s">
        <v>36</v>
      </c>
      <c r="F1041" s="18" t="s">
        <v>36</v>
      </c>
      <c r="J1041" s="19"/>
      <c r="K1041" s="19">
        <v>0.28100000000000003</v>
      </c>
      <c r="L1041" s="19">
        <v>0.28829685999999999</v>
      </c>
      <c r="M1041" s="19">
        <v>0.31169999999999998</v>
      </c>
      <c r="N1041" s="19" t="s">
        <v>36</v>
      </c>
      <c r="O1041" s="19">
        <v>0.17649999999999999</v>
      </c>
      <c r="P1041" s="19">
        <v>0.5</v>
      </c>
      <c r="Q1041" s="19">
        <v>2.5635103999999999E-2</v>
      </c>
      <c r="R1041" s="20">
        <v>33960</v>
      </c>
      <c r="S1041" s="21" t="str">
        <f>HYPERLINK("https://www.stevenshenager.edu/net-price-calculator", "$28010")</f>
        <v>$28010</v>
      </c>
      <c r="T1041" s="20">
        <v>31535</v>
      </c>
      <c r="U1041" s="20" t="s">
        <v>36</v>
      </c>
      <c r="V1041" s="20">
        <v>7816</v>
      </c>
      <c r="W1041" s="20">
        <v>20194</v>
      </c>
      <c r="Y1041" s="19">
        <v>0.65849999999999997</v>
      </c>
      <c r="Z1041" s="19">
        <v>0.30559999999999998</v>
      </c>
      <c r="AB1041" s="18">
        <v>72</v>
      </c>
    </row>
    <row r="1042" spans="1:28" ht="15.75" customHeight="1" x14ac:dyDescent="0.2">
      <c r="A1042" s="36" t="str">
        <f>HYPERLINK("https://www.stevenshenager.edu", "Stevens-Henager College")</f>
        <v>Stevens-Henager College</v>
      </c>
      <c r="B1042" s="18" t="s">
        <v>32</v>
      </c>
      <c r="C1042" s="18" t="s">
        <v>199</v>
      </c>
      <c r="D1042" s="18" t="s">
        <v>1000</v>
      </c>
      <c r="E1042" s="18" t="s">
        <v>36</v>
      </c>
      <c r="F1042" s="18" t="s">
        <v>36</v>
      </c>
      <c r="J1042" s="19"/>
      <c r="K1042" s="19">
        <v>0.10249999999999999</v>
      </c>
      <c r="L1042" s="19">
        <v>0.28829685999999999</v>
      </c>
      <c r="M1042" s="19">
        <v>8.8700000000000001E-2</v>
      </c>
      <c r="N1042" s="19">
        <v>0.16669999999999999</v>
      </c>
      <c r="O1042" s="19">
        <v>0.1923</v>
      </c>
      <c r="P1042" s="19">
        <v>0.33329999999999999</v>
      </c>
      <c r="Q1042" s="19">
        <v>2.5635103999999999E-2</v>
      </c>
      <c r="R1042" s="20">
        <v>33960</v>
      </c>
      <c r="S1042" s="21" t="str">
        <f>HYPERLINK("https://www.stevenshenager.edu/net-price-calculator", "$29078")</f>
        <v>$29078</v>
      </c>
      <c r="T1042" s="20">
        <v>30606</v>
      </c>
      <c r="U1042" s="20">
        <v>33102</v>
      </c>
      <c r="V1042" s="20">
        <v>7816</v>
      </c>
      <c r="W1042" s="20">
        <v>21262</v>
      </c>
      <c r="Y1042" s="19">
        <v>0.70250000000000001</v>
      </c>
      <c r="Z1042" s="19">
        <v>0.55420000000000003</v>
      </c>
      <c r="AB1042" s="18">
        <v>563</v>
      </c>
    </row>
    <row r="1043" spans="1:28" ht="15.75" customHeight="1" x14ac:dyDescent="0.2">
      <c r="A1043" s="36" t="str">
        <f>HYPERLINK("https://www.stevenshenager.edu/", "Stevens-Henager College")</f>
        <v>Stevens-Henager College</v>
      </c>
      <c r="B1043" s="18" t="s">
        <v>32</v>
      </c>
      <c r="C1043" s="18" t="s">
        <v>486</v>
      </c>
      <c r="D1043" s="18" t="s">
        <v>1172</v>
      </c>
      <c r="E1043" s="18" t="s">
        <v>36</v>
      </c>
      <c r="F1043" s="18" t="s">
        <v>36</v>
      </c>
      <c r="J1043" s="19"/>
      <c r="K1043" s="19">
        <v>0.1837</v>
      </c>
      <c r="L1043" s="19">
        <v>0.46112600500000001</v>
      </c>
      <c r="M1043" s="19">
        <v>0.1613</v>
      </c>
      <c r="N1043" s="19" t="s">
        <v>36</v>
      </c>
      <c r="O1043" s="19">
        <v>0.33329999999999999</v>
      </c>
      <c r="P1043" s="19" t="s">
        <v>36</v>
      </c>
      <c r="Q1043" s="19">
        <v>2.8634361000000001E-2</v>
      </c>
      <c r="R1043" s="20">
        <v>33104</v>
      </c>
      <c r="S1043" s="21" t="str">
        <f>HYPERLINK("https://www.stevenshenager.edu/net-price-calculator", "$26479")</f>
        <v>$26479</v>
      </c>
      <c r="T1043" s="20">
        <v>30262</v>
      </c>
      <c r="U1043" s="20" t="s">
        <v>36</v>
      </c>
      <c r="V1043" s="20">
        <v>7424</v>
      </c>
      <c r="W1043" s="20">
        <v>19055</v>
      </c>
      <c r="Y1043" s="19">
        <v>0.78859999999999997</v>
      </c>
      <c r="Z1043" s="19">
        <v>0.36040000000000011</v>
      </c>
      <c r="AB1043" s="18">
        <v>111</v>
      </c>
    </row>
    <row r="1044" spans="1:28" ht="15.75" customHeight="1" x14ac:dyDescent="0.2">
      <c r="A1044" s="36" t="str">
        <f>HYPERLINK("https://www.stonechild.edu", "Stone Child College")</f>
        <v>Stone Child College</v>
      </c>
      <c r="B1044" s="18" t="s">
        <v>49</v>
      </c>
      <c r="C1044" s="18" t="s">
        <v>421</v>
      </c>
      <c r="D1044" s="18" t="s">
        <v>1716</v>
      </c>
      <c r="E1044" s="18" t="s">
        <v>36</v>
      </c>
      <c r="F1044" s="18" t="s">
        <v>36</v>
      </c>
      <c r="J1044" s="19"/>
      <c r="K1044" s="19">
        <v>0.29409999999999997</v>
      </c>
      <c r="L1044" s="19" t="s">
        <v>36</v>
      </c>
      <c r="M1044" s="19">
        <v>0.6</v>
      </c>
      <c r="N1044" s="19" t="s">
        <v>36</v>
      </c>
      <c r="O1044" s="19" t="s">
        <v>36</v>
      </c>
      <c r="P1044" s="19" t="s">
        <v>36</v>
      </c>
      <c r="Q1044" s="19" t="s">
        <v>36</v>
      </c>
      <c r="R1044" s="20">
        <v>16795</v>
      </c>
      <c r="S1044" s="21" t="str">
        <f>HYPERLINK("https://www.stonechild.edu", "$12828")</f>
        <v>$12828</v>
      </c>
      <c r="T1044" s="20" t="s">
        <v>36</v>
      </c>
      <c r="U1044" s="20" t="s">
        <v>36</v>
      </c>
      <c r="V1044" s="20">
        <v>7270</v>
      </c>
      <c r="W1044" s="20">
        <v>5558.5862068965507</v>
      </c>
      <c r="Y1044" s="19">
        <v>0.26100000000000001</v>
      </c>
      <c r="Z1044" s="19">
        <v>0.9637</v>
      </c>
      <c r="AB1044" s="18">
        <v>193</v>
      </c>
    </row>
    <row r="1045" spans="1:28" ht="15.75" customHeight="1" x14ac:dyDescent="0.2">
      <c r="A1045" s="36" t="str">
        <f>HYPERLINK("https://www.stratford.edu", "Stratford University")</f>
        <v>Stratford University</v>
      </c>
      <c r="B1045" s="18" t="s">
        <v>368</v>
      </c>
      <c r="C1045" s="18" t="s">
        <v>83</v>
      </c>
      <c r="D1045" s="18" t="s">
        <v>364</v>
      </c>
      <c r="E1045" s="18" t="s">
        <v>36</v>
      </c>
      <c r="F1045" s="18" t="s">
        <v>36</v>
      </c>
      <c r="J1045" s="19"/>
      <c r="K1045" s="19">
        <v>6.25E-2</v>
      </c>
      <c r="L1045" s="19">
        <v>0.25212464600000001</v>
      </c>
      <c r="M1045" s="19">
        <v>0.25</v>
      </c>
      <c r="N1045" s="19">
        <v>0</v>
      </c>
      <c r="O1045" s="19">
        <v>0</v>
      </c>
      <c r="P1045" s="19">
        <v>0</v>
      </c>
      <c r="Q1045" s="19">
        <v>3.9316239000000003E-2</v>
      </c>
      <c r="R1045" s="20">
        <v>28190</v>
      </c>
      <c r="S1045" s="21" t="str">
        <f>HYPERLINK("https://www.stratford.edu/services/financial/net-price-calculator", "$16940")</f>
        <v>$16940</v>
      </c>
      <c r="T1045" s="20" t="s">
        <v>36</v>
      </c>
      <c r="U1045" s="20" t="s">
        <v>36</v>
      </c>
      <c r="V1045" s="20" t="s">
        <v>36</v>
      </c>
      <c r="W1045" s="20" t="s">
        <v>36</v>
      </c>
      <c r="Y1045" s="19">
        <v>0.63200000000000001</v>
      </c>
      <c r="Z1045" s="19">
        <v>0.8175</v>
      </c>
      <c r="AB1045" s="18">
        <v>1890</v>
      </c>
    </row>
    <row r="1046" spans="1:28" ht="15.75" customHeight="1" x14ac:dyDescent="0.2">
      <c r="A1046" s="36" t="str">
        <f>HYPERLINK("https://www3.sunysuffolk.edu", "SUNY Suffolk County Community College")</f>
        <v>SUNY Suffolk County Community College</v>
      </c>
      <c r="B1046" s="18" t="s">
        <v>49</v>
      </c>
      <c r="C1046" s="18" t="s">
        <v>38</v>
      </c>
      <c r="D1046" s="18" t="s">
        <v>1717</v>
      </c>
      <c r="E1046" s="18" t="s">
        <v>36</v>
      </c>
      <c r="F1046" s="18" t="s">
        <v>36</v>
      </c>
      <c r="G1046" s="18" t="s">
        <v>51</v>
      </c>
      <c r="I1046" s="18" t="s">
        <v>1312</v>
      </c>
      <c r="J1046" s="19"/>
      <c r="K1046" s="19">
        <v>0.25969999999999999</v>
      </c>
      <c r="L1046" s="19">
        <v>0.22166149099999999</v>
      </c>
      <c r="M1046" s="19">
        <v>0.30099999999999999</v>
      </c>
      <c r="N1046" s="19">
        <v>0.14249999999999999</v>
      </c>
      <c r="O1046" s="19">
        <v>0.20860000000000001</v>
      </c>
      <c r="P1046" s="19">
        <v>0.26669999999999999</v>
      </c>
      <c r="Q1046" s="19">
        <v>0.109155556</v>
      </c>
      <c r="R1046" s="20">
        <v>16780</v>
      </c>
      <c r="S1046" s="21" t="str">
        <f>HYPERLINK("https://www.sunysuffolk.edu/Prospects/NetPriceCalculator.asp", "$3240")</f>
        <v>$3240</v>
      </c>
      <c r="T1046" s="20">
        <v>7894</v>
      </c>
      <c r="U1046" s="20">
        <v>10332</v>
      </c>
      <c r="V1046" s="20">
        <v>5200</v>
      </c>
      <c r="W1046" s="20">
        <v>-1960</v>
      </c>
      <c r="Y1046" s="19">
        <v>0.26040000000000002</v>
      </c>
      <c r="Z1046" s="19">
        <v>0.47920000000000001</v>
      </c>
      <c r="AB1046" s="18">
        <v>20566</v>
      </c>
    </row>
    <row r="1047" spans="1:28" ht="15.75" customHeight="1" x14ac:dyDescent="0.2">
      <c r="A1047" s="36" t="str">
        <f>HYPERLINK("https://www.sctd.edu", "Sullivan College of Technology and Design")</f>
        <v>Sullivan College of Technology and Design</v>
      </c>
      <c r="B1047" s="18" t="s">
        <v>368</v>
      </c>
      <c r="C1047" s="18" t="s">
        <v>205</v>
      </c>
      <c r="D1047" s="18" t="s">
        <v>306</v>
      </c>
      <c r="E1047" s="18" t="s">
        <v>36</v>
      </c>
      <c r="F1047" s="18" t="s">
        <v>45</v>
      </c>
      <c r="J1047" s="19"/>
      <c r="K1047" s="19">
        <v>0.37190000000000001</v>
      </c>
      <c r="L1047" s="19">
        <v>0.18702290099999999</v>
      </c>
      <c r="M1047" s="19">
        <v>0.42349999999999999</v>
      </c>
      <c r="N1047" s="19">
        <v>0.23530000000000001</v>
      </c>
      <c r="O1047" s="19">
        <v>0.375</v>
      </c>
      <c r="P1047" s="19" t="s">
        <v>36</v>
      </c>
      <c r="Q1047" s="19" t="s">
        <v>36</v>
      </c>
      <c r="R1047" s="20">
        <v>39153</v>
      </c>
      <c r="S1047" s="21" t="str">
        <f>HYPERLINK("https://www.sctd.edu", "$29376")</f>
        <v>$29376</v>
      </c>
      <c r="T1047" s="20" t="s">
        <v>36</v>
      </c>
      <c r="U1047" s="20" t="s">
        <v>36</v>
      </c>
      <c r="V1047" s="20">
        <v>5749</v>
      </c>
      <c r="W1047" s="20">
        <v>23627</v>
      </c>
      <c r="Y1047" s="19">
        <v>0.57450000000000001</v>
      </c>
      <c r="Z1047" s="19">
        <v>0.35589999999999999</v>
      </c>
      <c r="AB1047" s="18">
        <v>295</v>
      </c>
    </row>
    <row r="1048" spans="1:28" ht="15.75" customHeight="1" x14ac:dyDescent="0.2">
      <c r="A1048" s="36" t="str">
        <f>HYPERLINK("https://www.sunysullivan.edu/", "SUNY Sullivan County Community College")</f>
        <v>SUNY Sullivan County Community College</v>
      </c>
      <c r="B1048" s="18" t="s">
        <v>49</v>
      </c>
      <c r="C1048" s="18" t="s">
        <v>38</v>
      </c>
      <c r="D1048" s="18" t="s">
        <v>1718</v>
      </c>
      <c r="E1048" s="18" t="s">
        <v>36</v>
      </c>
      <c r="F1048" s="18" t="s">
        <v>36</v>
      </c>
      <c r="J1048" s="19"/>
      <c r="K1048" s="19">
        <v>0.33739999999999998</v>
      </c>
      <c r="L1048" s="19">
        <v>0.17528089899999999</v>
      </c>
      <c r="M1048" s="19">
        <v>0.40799999999999997</v>
      </c>
      <c r="N1048" s="19">
        <v>0.29089999999999999</v>
      </c>
      <c r="O1048" s="19">
        <v>0.3014</v>
      </c>
      <c r="P1048" s="19">
        <v>1</v>
      </c>
      <c r="Q1048" s="19">
        <v>6.8783069000000002E-2</v>
      </c>
      <c r="R1048" s="20">
        <v>18788</v>
      </c>
      <c r="S1048" s="21" t="str">
        <f>HYPERLINK("https://sunysullivan.edu/category/home/admissions-aid/cost-financial-aid/price-calculator/", "$7066")</f>
        <v>$7066</v>
      </c>
      <c r="T1048" s="20">
        <v>10751</v>
      </c>
      <c r="U1048" s="20">
        <v>14011</v>
      </c>
      <c r="V1048" s="20">
        <v>3470</v>
      </c>
      <c r="W1048" s="20">
        <v>3596</v>
      </c>
      <c r="Y1048" s="19">
        <v>0.41370000000000001</v>
      </c>
      <c r="Z1048" s="19">
        <v>0.59309999999999996</v>
      </c>
      <c r="AB1048" s="18">
        <v>1010</v>
      </c>
    </row>
    <row r="1049" spans="1:28" ht="15.75" customHeight="1" x14ac:dyDescent="0.2">
      <c r="A1049" s="36" t="str">
        <f>HYPERLINK("https://www.sullivan.edu", "Sullivan University")</f>
        <v>Sullivan University</v>
      </c>
      <c r="B1049" s="18" t="s">
        <v>368</v>
      </c>
      <c r="C1049" s="18" t="s">
        <v>205</v>
      </c>
      <c r="D1049" s="18" t="s">
        <v>306</v>
      </c>
      <c r="E1049" s="18" t="s">
        <v>36</v>
      </c>
      <c r="F1049" s="18" t="s">
        <v>36</v>
      </c>
      <c r="J1049" s="19"/>
      <c r="K1049" s="19">
        <v>0.31719999999999998</v>
      </c>
      <c r="L1049" s="19">
        <v>0.122253521</v>
      </c>
      <c r="M1049" s="19">
        <v>0.4148</v>
      </c>
      <c r="N1049" s="19">
        <v>0.18920000000000001</v>
      </c>
      <c r="O1049" s="19" t="s">
        <v>36</v>
      </c>
      <c r="P1049" s="19">
        <v>0</v>
      </c>
      <c r="Q1049" s="19">
        <v>3.6733238000000001E-2</v>
      </c>
      <c r="R1049" s="20">
        <v>42120</v>
      </c>
      <c r="S1049" s="21" t="str">
        <f>HYPERLINK("https://www.sullivan.edu/net-price-calculator/", "$28687")</f>
        <v>$28687</v>
      </c>
      <c r="T1049" s="20">
        <v>31856</v>
      </c>
      <c r="U1049" s="20" t="s">
        <v>36</v>
      </c>
      <c r="V1049" s="20">
        <v>5685</v>
      </c>
      <c r="W1049" s="20">
        <v>23002</v>
      </c>
      <c r="Y1049" s="19">
        <v>0.59740000000000004</v>
      </c>
      <c r="Z1049" s="19">
        <v>0.49619999999999997</v>
      </c>
      <c r="AB1049" s="18">
        <v>2471</v>
      </c>
    </row>
    <row r="1050" spans="1:28" ht="15.75" customHeight="1" x14ac:dyDescent="0.2">
      <c r="A1050" s="36" t="str">
        <f>HYPERLINK("https://www.surry.edu", "Surry Community College")</f>
        <v>Surry Community College</v>
      </c>
      <c r="B1050" s="18" t="s">
        <v>49</v>
      </c>
      <c r="C1050" s="18" t="s">
        <v>103</v>
      </c>
      <c r="D1050" s="18" t="s">
        <v>1719</v>
      </c>
      <c r="E1050" s="18" t="s">
        <v>36</v>
      </c>
      <c r="F1050" s="18" t="s">
        <v>36</v>
      </c>
      <c r="J1050" s="19"/>
      <c r="K1050" s="19">
        <v>0.31269999999999998</v>
      </c>
      <c r="L1050" s="19">
        <v>0.107942974</v>
      </c>
      <c r="M1050" s="19">
        <v>0.32350000000000001</v>
      </c>
      <c r="N1050" s="19">
        <v>0</v>
      </c>
      <c r="O1050" s="19">
        <v>0.27029999999999998</v>
      </c>
      <c r="P1050" s="19">
        <v>0</v>
      </c>
      <c r="Q1050" s="19">
        <v>9.0078328999999999E-2</v>
      </c>
      <c r="R1050" s="20">
        <v>22839</v>
      </c>
      <c r="S1050" s="21" t="str">
        <f>HYPERLINK("https://surry.edu/net-price-calculator/", "$17276")</f>
        <v>$17276</v>
      </c>
      <c r="T1050" s="20">
        <v>17380</v>
      </c>
      <c r="U1050" s="20">
        <v>17950</v>
      </c>
      <c r="V1050" s="20">
        <v>5825</v>
      </c>
      <c r="W1050" s="20">
        <v>11451.813793103451</v>
      </c>
      <c r="Y1050" s="19">
        <v>0.30399999999999999</v>
      </c>
      <c r="Z1050" s="19">
        <v>0.2069</v>
      </c>
      <c r="AB1050" s="18">
        <v>1967</v>
      </c>
    </row>
    <row r="1051" spans="1:28" ht="15.75" customHeight="1" x14ac:dyDescent="0.2">
      <c r="A1051" s="36" t="str">
        <f>HYPERLINK("https://www.sussex.edu", "Sussex County Community College")</f>
        <v>Sussex County Community College</v>
      </c>
      <c r="B1051" s="18" t="s">
        <v>49</v>
      </c>
      <c r="C1051" s="18" t="s">
        <v>141</v>
      </c>
      <c r="D1051" s="18" t="s">
        <v>791</v>
      </c>
      <c r="E1051" s="18" t="s">
        <v>36</v>
      </c>
      <c r="F1051" s="18" t="s">
        <v>36</v>
      </c>
      <c r="J1051" s="19"/>
      <c r="K1051" s="19">
        <v>0.33069999999999999</v>
      </c>
      <c r="L1051" s="19">
        <v>0.183529412</v>
      </c>
      <c r="M1051" s="19">
        <v>0.35980000000000001</v>
      </c>
      <c r="N1051" s="19">
        <v>0.16669999999999999</v>
      </c>
      <c r="O1051" s="19">
        <v>0.1618</v>
      </c>
      <c r="P1051" s="19">
        <v>0.25</v>
      </c>
      <c r="Q1051" s="19">
        <v>0.107574094</v>
      </c>
      <c r="R1051" s="20">
        <v>23693</v>
      </c>
      <c r="S1051" s="21" t="str">
        <f>HYPERLINK("https://sussex.edu/admissions/compare/", "$19481")</f>
        <v>$19481</v>
      </c>
      <c r="T1051" s="20">
        <v>22679</v>
      </c>
      <c r="U1051" s="20">
        <v>23288</v>
      </c>
      <c r="V1051" s="20">
        <v>7401</v>
      </c>
      <c r="W1051" s="20">
        <v>12080.361111111109</v>
      </c>
      <c r="Y1051" s="19">
        <v>0.35920000000000002</v>
      </c>
      <c r="Z1051" s="19">
        <v>0.19710000000000011</v>
      </c>
      <c r="AB1051" s="18">
        <v>2172</v>
      </c>
    </row>
    <row r="1052" spans="1:28" ht="15.75" customHeight="1" x14ac:dyDescent="0.2">
      <c r="A1052" s="36" t="str">
        <f>HYPERLINK("https://www.swedishinstitute.edu", "Swedish Institute a College of Health Sciences")</f>
        <v>Swedish Institute a College of Health Sciences</v>
      </c>
      <c r="B1052" s="18" t="s">
        <v>368</v>
      </c>
      <c r="C1052" s="18" t="s">
        <v>38</v>
      </c>
      <c r="D1052" s="18" t="s">
        <v>39</v>
      </c>
      <c r="E1052" s="18" t="s">
        <v>36</v>
      </c>
      <c r="F1052" s="18" t="s">
        <v>36</v>
      </c>
      <c r="J1052" s="19"/>
      <c r="K1052" s="19">
        <v>0.49380000000000002</v>
      </c>
      <c r="L1052" s="19">
        <v>0.48356807499999999</v>
      </c>
      <c r="M1052" s="19">
        <v>0.57140000000000002</v>
      </c>
      <c r="N1052" s="19">
        <v>0.52780000000000005</v>
      </c>
      <c r="O1052" s="19">
        <v>0.4118</v>
      </c>
      <c r="P1052" s="19">
        <v>0.66669999999999996</v>
      </c>
      <c r="Q1052" s="19">
        <v>4.5977011999999998E-2</v>
      </c>
      <c r="R1052" s="20">
        <v>26452</v>
      </c>
      <c r="S1052" s="21" t="str">
        <f>HYPERLINK("https://www.swedishinstitute.edu", "$20721")</f>
        <v>$20721</v>
      </c>
      <c r="T1052" s="20">
        <v>15784</v>
      </c>
      <c r="U1052" s="20">
        <v>22393</v>
      </c>
      <c r="V1052" s="20">
        <v>5252</v>
      </c>
      <c r="W1052" s="20">
        <v>15469</v>
      </c>
      <c r="Y1052" s="19">
        <v>0.69689999999999996</v>
      </c>
      <c r="Z1052" s="19">
        <v>0.8841</v>
      </c>
      <c r="AB1052" s="18">
        <v>716</v>
      </c>
    </row>
    <row r="1053" spans="1:28" ht="15.75" customHeight="1" x14ac:dyDescent="0.2">
      <c r="A1053" s="36" t="str">
        <f>HYPERLINK("https://www.tacomacc.edu", "Tacoma Community College")</f>
        <v>Tacoma Community College</v>
      </c>
      <c r="B1053" s="18" t="s">
        <v>49</v>
      </c>
      <c r="C1053" s="18" t="s">
        <v>184</v>
      </c>
      <c r="D1053" s="18" t="s">
        <v>286</v>
      </c>
      <c r="E1053" s="18" t="s">
        <v>36</v>
      </c>
      <c r="F1053" s="18" t="s">
        <v>36</v>
      </c>
      <c r="J1053" s="19"/>
      <c r="K1053" s="19">
        <v>0.25359999999999999</v>
      </c>
      <c r="L1053" s="19">
        <v>0.18137254899999999</v>
      </c>
      <c r="M1053" s="19">
        <v>0.28699999999999998</v>
      </c>
      <c r="N1053" s="19">
        <v>3.1300000000000001E-2</v>
      </c>
      <c r="O1053" s="19">
        <v>0.1429</v>
      </c>
      <c r="P1053" s="19">
        <v>0.34620000000000001</v>
      </c>
      <c r="Q1053" s="19">
        <v>0.12780898900000001</v>
      </c>
      <c r="R1053" s="20">
        <v>23304</v>
      </c>
      <c r="S1053" s="21" t="str">
        <f>HYPERLINK("https://www.tacomacc.edu/files/abouttcc/studentconsumerinfomation/npcalc.htm", "$16721")</f>
        <v>$16721</v>
      </c>
      <c r="T1053" s="20">
        <v>19509</v>
      </c>
      <c r="U1053" s="20">
        <v>22006</v>
      </c>
      <c r="V1053" s="20">
        <v>4050</v>
      </c>
      <c r="W1053" s="20">
        <v>12671.87037037037</v>
      </c>
      <c r="Y1053" s="19">
        <v>0.27960000000000002</v>
      </c>
      <c r="Z1053" s="19">
        <v>0.55400000000000005</v>
      </c>
      <c r="AB1053" s="18">
        <v>5966</v>
      </c>
    </row>
    <row r="1054" spans="1:28" ht="15.75" customHeight="1" x14ac:dyDescent="0.2">
      <c r="A1054" s="36" t="str">
        <f>HYPERLINK("https://www.taftcollege.edu", "Taft College")</f>
        <v>Taft College</v>
      </c>
      <c r="B1054" s="18" t="s">
        <v>49</v>
      </c>
      <c r="C1054" s="18" t="s">
        <v>68</v>
      </c>
      <c r="D1054" s="18" t="s">
        <v>1720</v>
      </c>
      <c r="E1054" s="18" t="s">
        <v>36</v>
      </c>
      <c r="F1054" s="18" t="s">
        <v>36</v>
      </c>
      <c r="J1054" s="19"/>
      <c r="K1054" s="19">
        <v>0.38619999999999999</v>
      </c>
      <c r="L1054" s="19">
        <v>6.1224489999999999E-2</v>
      </c>
      <c r="M1054" s="19">
        <v>0.40200000000000002</v>
      </c>
      <c r="N1054" s="19">
        <v>1</v>
      </c>
      <c r="O1054" s="19">
        <v>0.33850000000000002</v>
      </c>
      <c r="P1054" s="19">
        <v>0.5</v>
      </c>
      <c r="Q1054" s="19">
        <v>0.10736842100000001</v>
      </c>
      <c r="R1054" s="20">
        <v>18939</v>
      </c>
      <c r="S1054" s="21" t="str">
        <f>HYPERLINK("https://misweb.cccco.edu/npc/691/npcalc.htm", "$12011")</f>
        <v>$12011</v>
      </c>
      <c r="T1054" s="20">
        <v>15375</v>
      </c>
      <c r="U1054" s="20">
        <v>15795</v>
      </c>
      <c r="V1054" s="20">
        <v>5094</v>
      </c>
      <c r="W1054" s="20">
        <v>6917.7428571428572</v>
      </c>
      <c r="Y1054" s="19">
        <v>0.18490000000000001</v>
      </c>
      <c r="Z1054" s="19">
        <v>0.69850000000000001</v>
      </c>
      <c r="AB1054" s="18">
        <v>5704</v>
      </c>
    </row>
    <row r="1055" spans="1:28" ht="15.75" customHeight="1" x14ac:dyDescent="0.2">
      <c r="A1055" s="36" t="str">
        <f>HYPERLINK("https://www.tcc.fl.edu", "Tallahassee Community College")</f>
        <v>Tallahassee Community College</v>
      </c>
      <c r="B1055" s="18" t="s">
        <v>49</v>
      </c>
      <c r="C1055" s="18" t="s">
        <v>162</v>
      </c>
      <c r="D1055" s="18" t="s">
        <v>216</v>
      </c>
      <c r="E1055" s="18" t="s">
        <v>36</v>
      </c>
      <c r="F1055" s="18" t="s">
        <v>36</v>
      </c>
      <c r="J1055" s="19"/>
      <c r="K1055" s="19">
        <v>0.31859999999999999</v>
      </c>
      <c r="L1055" s="19">
        <v>0.196428571</v>
      </c>
      <c r="M1055" s="19">
        <v>0.46110000000000001</v>
      </c>
      <c r="N1055" s="19">
        <v>0.15670000000000001</v>
      </c>
      <c r="O1055" s="19">
        <v>0.35320000000000001</v>
      </c>
      <c r="P1055" s="19">
        <v>0.28570000000000001</v>
      </c>
      <c r="Q1055" s="19">
        <v>9.7296098999999997E-2</v>
      </c>
      <c r="R1055" s="20">
        <v>16662</v>
      </c>
      <c r="S1055" s="21" t="str">
        <f>HYPERLINK("https://www.tcc.fl.edu/admissions/financial-aid/cashiers-office/how-much-does-tcc-cost/", "$11811")</f>
        <v>$11811</v>
      </c>
      <c r="T1055" s="20">
        <v>14366</v>
      </c>
      <c r="U1055" s="20">
        <v>16516</v>
      </c>
      <c r="V1055" s="20">
        <v>2600</v>
      </c>
      <c r="W1055" s="20">
        <v>9211.1312272174982</v>
      </c>
      <c r="Y1055" s="19">
        <v>0.39939999999999998</v>
      </c>
      <c r="Z1055" s="19">
        <v>0.52299999999999991</v>
      </c>
      <c r="AB1055" s="18">
        <v>10717</v>
      </c>
    </row>
    <row r="1056" spans="1:28" ht="15.75" customHeight="1" x14ac:dyDescent="0.2">
      <c r="A1056" s="36" t="str">
        <f>HYPERLINK("https://www.tiuny.org", "Talmudical Institute of Upstate New York")</f>
        <v>Talmudical Institute of Upstate New York</v>
      </c>
      <c r="B1056" s="18" t="s">
        <v>32</v>
      </c>
      <c r="C1056" s="18" t="s">
        <v>38</v>
      </c>
      <c r="D1056" s="18" t="s">
        <v>170</v>
      </c>
      <c r="E1056" s="18" t="s">
        <v>36</v>
      </c>
      <c r="F1056" s="18" t="s">
        <v>45</v>
      </c>
      <c r="J1056" s="19"/>
      <c r="K1056" s="19">
        <v>0.33329999999999999</v>
      </c>
      <c r="L1056" s="19" t="s">
        <v>36</v>
      </c>
      <c r="M1056" s="19">
        <v>0.33329999999999999</v>
      </c>
      <c r="N1056" s="19" t="s">
        <v>36</v>
      </c>
      <c r="O1056" s="19" t="s">
        <v>36</v>
      </c>
      <c r="P1056" s="19" t="s">
        <v>36</v>
      </c>
      <c r="Q1056" s="19" t="s">
        <v>36</v>
      </c>
      <c r="R1056" s="20">
        <v>13800</v>
      </c>
      <c r="S1056" s="21" t="str">
        <f>HYPERLINK("https://sites.google.com/site/talmudicalinstituteofupstateny/", "Not reported")</f>
        <v>Not reported</v>
      </c>
      <c r="T1056" s="20" t="s">
        <v>36</v>
      </c>
      <c r="U1056" s="20">
        <v>5435</v>
      </c>
      <c r="V1056" s="20">
        <v>4000</v>
      </c>
      <c r="W1056" s="20" t="s">
        <v>36</v>
      </c>
      <c r="Y1056" s="19">
        <v>0.5</v>
      </c>
      <c r="Z1056" s="19">
        <v>0.22220000000000001</v>
      </c>
      <c r="AB1056" s="18">
        <v>9</v>
      </c>
    </row>
    <row r="1057" spans="1:28" ht="15.75" customHeight="1" x14ac:dyDescent="0.2">
      <c r="A1057" s="36" t="str">
        <f>HYPERLINK("https://www.tsot.edu/", "Talmudical Seminary Oholei Torah")</f>
        <v>Talmudical Seminary Oholei Torah</v>
      </c>
      <c r="B1057" s="18" t="s">
        <v>32</v>
      </c>
      <c r="C1057" s="18" t="s">
        <v>38</v>
      </c>
      <c r="D1057" s="18" t="s">
        <v>593</v>
      </c>
      <c r="E1057" s="18" t="s">
        <v>36</v>
      </c>
      <c r="F1057" s="18" t="s">
        <v>45</v>
      </c>
      <c r="J1057" s="19"/>
      <c r="K1057" s="19">
        <v>0.1067</v>
      </c>
      <c r="L1057" s="19" t="s">
        <v>36</v>
      </c>
      <c r="M1057" s="19">
        <v>0.1067</v>
      </c>
      <c r="N1057" s="19" t="s">
        <v>36</v>
      </c>
      <c r="O1057" s="19" t="s">
        <v>36</v>
      </c>
      <c r="P1057" s="19" t="s">
        <v>36</v>
      </c>
      <c r="Q1057" s="19" t="s">
        <v>36</v>
      </c>
      <c r="R1057" s="20">
        <v>20500</v>
      </c>
      <c r="S1057" s="21" t="str">
        <f>HYPERLINK("https://tsot.edu/NetPriceCalculator.html", "$5015")</f>
        <v>$5015</v>
      </c>
      <c r="T1057" s="20">
        <v>7563</v>
      </c>
      <c r="U1057" s="20">
        <v>10746</v>
      </c>
      <c r="V1057" s="20">
        <v>4000</v>
      </c>
      <c r="W1057" s="20">
        <v>1015</v>
      </c>
      <c r="Y1057" s="19">
        <v>0.58909999999999996</v>
      </c>
      <c r="Z1057" s="19">
        <v>0</v>
      </c>
      <c r="AB1057" s="18">
        <v>300</v>
      </c>
    </row>
    <row r="1058" spans="1:28" ht="15.75" customHeight="1" x14ac:dyDescent="0.2">
      <c r="A1058" s="36" t="str">
        <f>HYPERLINK("https://www.tccd.edu", "Tarrant County College District")</f>
        <v>Tarrant County College District</v>
      </c>
      <c r="B1058" s="18" t="s">
        <v>49</v>
      </c>
      <c r="C1058" s="18" t="s">
        <v>146</v>
      </c>
      <c r="D1058" s="18" t="s">
        <v>262</v>
      </c>
      <c r="E1058" s="18" t="s">
        <v>36</v>
      </c>
      <c r="F1058" s="18" t="s">
        <v>36</v>
      </c>
      <c r="J1058" s="19"/>
      <c r="K1058" s="19">
        <v>0.1951</v>
      </c>
      <c r="L1058" s="19">
        <v>0.12118152</v>
      </c>
      <c r="M1058" s="19">
        <v>0.21479999999999999</v>
      </c>
      <c r="N1058" s="19">
        <v>0.10390000000000001</v>
      </c>
      <c r="O1058" s="19">
        <v>0.22389999999999999</v>
      </c>
      <c r="P1058" s="19">
        <v>0.25319999999999998</v>
      </c>
      <c r="Q1058" s="19">
        <v>0.10391198</v>
      </c>
      <c r="R1058" s="20">
        <v>22035</v>
      </c>
      <c r="S1058" s="21" t="str">
        <f>HYPERLINK("https://www.tccd.edu/services/paying-for-college/tuition-and-fees/cost-of-attendance/", "$17408")</f>
        <v>$17408</v>
      </c>
      <c r="T1058" s="20">
        <v>19120</v>
      </c>
      <c r="U1058" s="20">
        <v>21096</v>
      </c>
      <c r="V1058" s="20">
        <v>6136</v>
      </c>
      <c r="W1058" s="20">
        <v>11272.28802588997</v>
      </c>
      <c r="Y1058" s="19">
        <v>0.31950000000000001</v>
      </c>
      <c r="Z1058" s="19">
        <v>0.64060000000000006</v>
      </c>
      <c r="AB1058" s="18">
        <v>41182</v>
      </c>
    </row>
    <row r="1059" spans="1:28" ht="15.75" customHeight="1" x14ac:dyDescent="0.2">
      <c r="A1059" s="36" t="str">
        <f>HYPERLINK("https://www.tbiil.edu", "Taylor Business Institute")</f>
        <v>Taylor Business Institute</v>
      </c>
      <c r="B1059" s="18" t="s">
        <v>368</v>
      </c>
      <c r="C1059" s="18" t="s">
        <v>137</v>
      </c>
      <c r="D1059" s="18" t="s">
        <v>161</v>
      </c>
      <c r="E1059" s="18" t="s">
        <v>36</v>
      </c>
      <c r="F1059" s="18" t="s">
        <v>45</v>
      </c>
      <c r="J1059" s="19"/>
      <c r="K1059" s="19">
        <v>0.66599999999999993</v>
      </c>
      <c r="L1059" s="19" t="s">
        <v>36</v>
      </c>
      <c r="M1059" s="19">
        <v>1</v>
      </c>
      <c r="N1059" s="19">
        <v>0.18559999999999999</v>
      </c>
      <c r="O1059" s="19">
        <v>0.28570000000000001</v>
      </c>
      <c r="P1059" s="19" t="s">
        <v>36</v>
      </c>
      <c r="Q1059" s="19" t="s">
        <v>36</v>
      </c>
      <c r="R1059" s="20">
        <v>22050</v>
      </c>
      <c r="S1059" s="21" t="str">
        <f>HYPERLINK("https://www.tbiil.edu", "$16485")</f>
        <v>$16485</v>
      </c>
      <c r="T1059" s="20" t="s">
        <v>36</v>
      </c>
      <c r="U1059" s="20" t="s">
        <v>36</v>
      </c>
      <c r="V1059" s="20">
        <v>3375</v>
      </c>
      <c r="W1059" s="20">
        <v>13110</v>
      </c>
      <c r="Y1059" s="19">
        <v>0.15409999999999999</v>
      </c>
      <c r="Z1059" s="19">
        <v>0.99209999999999998</v>
      </c>
      <c r="AB1059" s="18">
        <v>127</v>
      </c>
    </row>
    <row r="1060" spans="1:28" ht="15.75" customHeight="1" x14ac:dyDescent="0.2">
      <c r="A1060" s="36" t="str">
        <f>HYPERLINK("https://www.taylorcollege.edu", "Taylor College")</f>
        <v>Taylor College</v>
      </c>
      <c r="B1060" s="18" t="s">
        <v>368</v>
      </c>
      <c r="C1060" s="18" t="s">
        <v>162</v>
      </c>
      <c r="D1060" s="18" t="s">
        <v>1721</v>
      </c>
      <c r="E1060" s="18" t="s">
        <v>36</v>
      </c>
      <c r="F1060" s="18" t="s">
        <v>36</v>
      </c>
      <c r="J1060" s="19"/>
      <c r="K1060" s="19">
        <v>0.88890000000000002</v>
      </c>
      <c r="L1060" s="19">
        <v>0.6</v>
      </c>
      <c r="M1060" s="19">
        <v>1</v>
      </c>
      <c r="N1060" s="19">
        <v>0.66669999999999996</v>
      </c>
      <c r="O1060" s="19">
        <v>0.66669999999999996</v>
      </c>
      <c r="P1060" s="19" t="s">
        <v>36</v>
      </c>
      <c r="Q1060" s="19" t="s">
        <v>36</v>
      </c>
      <c r="R1060" s="20">
        <v>26296</v>
      </c>
      <c r="S1060" s="21" t="str">
        <f>HYPERLINK("https://www.taylorcollege.edu/NetPriceCalculator/2015-2016/npcalc.htm", "$22785")</f>
        <v>$22785</v>
      </c>
      <c r="T1060" s="20">
        <v>25942</v>
      </c>
      <c r="U1060" s="20">
        <v>25942</v>
      </c>
      <c r="V1060" s="20">
        <v>8654</v>
      </c>
      <c r="W1060" s="20">
        <v>14131</v>
      </c>
      <c r="Y1060" s="19">
        <v>0.65500000000000003</v>
      </c>
      <c r="Z1060" s="19">
        <v>0.33729999999999999</v>
      </c>
      <c r="AB1060" s="18">
        <v>166</v>
      </c>
    </row>
    <row r="1061" spans="1:28" ht="15.75" customHeight="1" x14ac:dyDescent="0.2">
      <c r="A1061" s="36" t="str">
        <f>HYPERLINK("https://www.tcl.edu", "Technical College of the Lowcountry")</f>
        <v>Technical College of the Lowcountry</v>
      </c>
      <c r="B1061" s="18" t="s">
        <v>49</v>
      </c>
      <c r="C1061" s="18" t="s">
        <v>208</v>
      </c>
      <c r="D1061" s="18" t="s">
        <v>1722</v>
      </c>
      <c r="E1061" s="18" t="s">
        <v>36</v>
      </c>
      <c r="F1061" s="18" t="s">
        <v>36</v>
      </c>
      <c r="J1061" s="19"/>
      <c r="K1061" s="19">
        <v>0.127</v>
      </c>
      <c r="L1061" s="19">
        <v>0.13318777300000001</v>
      </c>
      <c r="M1061" s="19">
        <v>0.1845</v>
      </c>
      <c r="N1061" s="19">
        <v>7.1400000000000005E-2</v>
      </c>
      <c r="O1061" s="19">
        <v>6.25E-2</v>
      </c>
      <c r="P1061" s="19" t="s">
        <v>36</v>
      </c>
      <c r="Q1061" s="19">
        <v>7.4539363999999997E-2</v>
      </c>
      <c r="R1061" s="20">
        <v>22373</v>
      </c>
      <c r="S1061" s="21" t="str">
        <f>HYPERLINK("https://uploads.tcl.edu/npcalc/npcalc.htm", "$15044")</f>
        <v>$15044</v>
      </c>
      <c r="T1061" s="20">
        <v>20227</v>
      </c>
      <c r="U1061" s="20" t="s">
        <v>36</v>
      </c>
      <c r="V1061" s="20">
        <v>6193</v>
      </c>
      <c r="W1061" s="20">
        <v>8851.9607843137255</v>
      </c>
      <c r="Y1061" s="19">
        <v>0.50780000000000003</v>
      </c>
      <c r="Z1061" s="19">
        <v>0.54400000000000004</v>
      </c>
      <c r="AB1061" s="18">
        <v>1976</v>
      </c>
    </row>
    <row r="1062" spans="1:28" ht="15.75" customHeight="1" x14ac:dyDescent="0.2">
      <c r="A1062" s="36" t="str">
        <f>HYPERLINK("https://www.templejc.edu", "Temple College")</f>
        <v>Temple College</v>
      </c>
      <c r="B1062" s="18" t="s">
        <v>49</v>
      </c>
      <c r="C1062" s="18" t="s">
        <v>146</v>
      </c>
      <c r="D1062" s="18" t="s">
        <v>1723</v>
      </c>
      <c r="E1062" s="18" t="s">
        <v>36</v>
      </c>
      <c r="F1062" s="18" t="s">
        <v>36</v>
      </c>
      <c r="J1062" s="19"/>
      <c r="K1062" s="19">
        <v>0.15379999999999999</v>
      </c>
      <c r="L1062" s="19">
        <v>0.16109422500000001</v>
      </c>
      <c r="M1062" s="19">
        <v>0.1716</v>
      </c>
      <c r="N1062" s="19">
        <v>0.12820000000000001</v>
      </c>
      <c r="O1062" s="19">
        <v>0.1613</v>
      </c>
      <c r="P1062" s="19">
        <v>0</v>
      </c>
      <c r="Q1062" s="19">
        <v>6.8329177000000005E-2</v>
      </c>
      <c r="R1062" s="20">
        <v>17997</v>
      </c>
      <c r="S1062" s="21" t="str">
        <f>HYPERLINK("https://www.collegeforalltexans.com/apps/CollegeMoney/", "$11581")</f>
        <v>$11581</v>
      </c>
      <c r="T1062" s="20">
        <v>15251</v>
      </c>
      <c r="U1062" s="20">
        <v>16582</v>
      </c>
      <c r="V1062" s="20">
        <v>3919</v>
      </c>
      <c r="W1062" s="20">
        <v>7662.6153846153848</v>
      </c>
      <c r="Y1062" s="19">
        <v>0.41489999999999999</v>
      </c>
      <c r="Z1062" s="19">
        <v>0.48130000000000001</v>
      </c>
      <c r="AB1062" s="18">
        <v>4787</v>
      </c>
    </row>
    <row r="1063" spans="1:28" ht="15.75" customHeight="1" x14ac:dyDescent="0.2">
      <c r="A1063" s="36" t="str">
        <f>HYPERLINK("https://www.terra.edu", "Terra State Community College")</f>
        <v>Terra State Community College</v>
      </c>
      <c r="B1063" s="18" t="s">
        <v>49</v>
      </c>
      <c r="C1063" s="18" t="s">
        <v>75</v>
      </c>
      <c r="D1063" s="18" t="s">
        <v>966</v>
      </c>
      <c r="E1063" s="18" t="s">
        <v>36</v>
      </c>
      <c r="F1063" s="18" t="s">
        <v>36</v>
      </c>
      <c r="J1063" s="19"/>
      <c r="K1063" s="19">
        <v>0.24049999999999999</v>
      </c>
      <c r="L1063" s="19">
        <v>0.103785104</v>
      </c>
      <c r="M1063" s="19">
        <v>0.28349999999999997</v>
      </c>
      <c r="N1063" s="19">
        <v>0</v>
      </c>
      <c r="O1063" s="19">
        <v>9.5200000000000007E-2</v>
      </c>
      <c r="P1063" s="19">
        <v>0</v>
      </c>
      <c r="Q1063" s="19">
        <v>4.7732696999999998E-2</v>
      </c>
      <c r="R1063" s="20">
        <v>22238</v>
      </c>
      <c r="S1063" s="21" t="str">
        <f>HYPERLINK("https://www.terra.edu/calculator/index.htm", "$20086")</f>
        <v>$20086</v>
      </c>
      <c r="T1063" s="20">
        <v>21216</v>
      </c>
      <c r="U1063" s="20">
        <v>21905</v>
      </c>
      <c r="V1063" s="20">
        <v>6896</v>
      </c>
      <c r="W1063" s="20">
        <v>13190.591836734689</v>
      </c>
      <c r="Y1063" s="19">
        <v>0.26740000000000003</v>
      </c>
      <c r="Z1063" s="19">
        <v>0.1797</v>
      </c>
      <c r="AB1063" s="18">
        <v>1341</v>
      </c>
    </row>
    <row r="1064" spans="1:28" ht="15.75" customHeight="1" x14ac:dyDescent="0.2">
      <c r="A1064" s="36" t="str">
        <f>HYPERLINK("https://www.texarkanacollege.edu", "Texarkana College")</f>
        <v>Texarkana College</v>
      </c>
      <c r="B1064" s="18" t="s">
        <v>49</v>
      </c>
      <c r="C1064" s="18" t="s">
        <v>146</v>
      </c>
      <c r="D1064" s="18" t="s">
        <v>1724</v>
      </c>
      <c r="E1064" s="18" t="s">
        <v>36</v>
      </c>
      <c r="F1064" s="18" t="s">
        <v>36</v>
      </c>
      <c r="J1064" s="19"/>
      <c r="K1064" s="19">
        <v>0.32800000000000001</v>
      </c>
      <c r="L1064" s="19">
        <v>4.8000000000000001E-2</v>
      </c>
      <c r="M1064" s="19">
        <v>0.36359999999999998</v>
      </c>
      <c r="N1064" s="19">
        <v>0.27079999999999999</v>
      </c>
      <c r="O1064" s="19">
        <v>0.28570000000000001</v>
      </c>
      <c r="P1064" s="19">
        <v>0.5</v>
      </c>
      <c r="Q1064" s="19">
        <v>8.0508474999999996E-2</v>
      </c>
      <c r="R1064" s="20">
        <v>11426</v>
      </c>
      <c r="S1064" s="21" t="str">
        <f>HYPERLINK("https://www.texarkanacollege.edu/financial-aid/", "$5969")</f>
        <v>$5969</v>
      </c>
      <c r="T1064" s="20">
        <v>8080</v>
      </c>
      <c r="U1064" s="20">
        <v>11080</v>
      </c>
      <c r="V1064" s="20">
        <v>2912</v>
      </c>
      <c r="W1064" s="20">
        <v>3057.872950819672</v>
      </c>
      <c r="Y1064" s="19">
        <v>0.37590000000000001</v>
      </c>
      <c r="Z1064" s="19">
        <v>0.42480000000000001</v>
      </c>
      <c r="AB1064" s="18">
        <v>2434</v>
      </c>
    </row>
    <row r="1065" spans="1:28" ht="15.75" customHeight="1" x14ac:dyDescent="0.2">
      <c r="A1065" s="36" t="str">
        <f>HYPERLINK("https://www.texascountytech.edu", "Texas County Technical College")</f>
        <v>Texas County Technical College</v>
      </c>
      <c r="B1065" s="18" t="s">
        <v>32</v>
      </c>
      <c r="C1065" s="18" t="s">
        <v>164</v>
      </c>
      <c r="D1065" s="18" t="s">
        <v>147</v>
      </c>
      <c r="E1065" s="18" t="s">
        <v>36</v>
      </c>
      <c r="F1065" s="18" t="s">
        <v>45</v>
      </c>
      <c r="J1065" s="19"/>
      <c r="K1065" s="19">
        <v>0.78949999999999998</v>
      </c>
      <c r="L1065" s="19">
        <v>0.554621849</v>
      </c>
      <c r="M1065" s="19">
        <v>0.78949999999999998</v>
      </c>
      <c r="N1065" s="19" t="s">
        <v>36</v>
      </c>
      <c r="O1065" s="19" t="s">
        <v>36</v>
      </c>
      <c r="P1065" s="19" t="s">
        <v>36</v>
      </c>
      <c r="Q1065" s="19" t="s">
        <v>36</v>
      </c>
      <c r="R1065" s="20">
        <v>28841</v>
      </c>
      <c r="S1065" s="21" t="str">
        <f>HYPERLINK("https://www.texascountytech.edu", "$17321")</f>
        <v>$17321</v>
      </c>
      <c r="T1065" s="20">
        <v>23834</v>
      </c>
      <c r="U1065" s="20">
        <v>25281</v>
      </c>
      <c r="V1065" s="20">
        <v>6188</v>
      </c>
      <c r="W1065" s="20">
        <v>11133</v>
      </c>
      <c r="Y1065" s="19">
        <v>0.76359999999999995</v>
      </c>
      <c r="Z1065" s="19">
        <v>9.2600000000000016E-2</v>
      </c>
      <c r="AB1065" s="18">
        <v>54</v>
      </c>
    </row>
    <row r="1066" spans="1:28" ht="15.75" customHeight="1" x14ac:dyDescent="0.2">
      <c r="A1066" s="36" t="str">
        <f>HYPERLINK("https://www.tsc.edu", "The University of Texas at Brownsville")</f>
        <v>The University of Texas at Brownsville</v>
      </c>
      <c r="B1066" s="18" t="s">
        <v>49</v>
      </c>
      <c r="C1066" s="18" t="s">
        <v>146</v>
      </c>
      <c r="D1066" s="18" t="s">
        <v>1725</v>
      </c>
      <c r="E1066" s="18" t="s">
        <v>36</v>
      </c>
      <c r="F1066" s="18" t="s">
        <v>36</v>
      </c>
      <c r="J1066" s="19"/>
      <c r="K1066" s="19">
        <v>0.18859999999999999</v>
      </c>
      <c r="L1066" s="19">
        <v>0.22217642200000001</v>
      </c>
      <c r="M1066" s="19">
        <v>0.2727</v>
      </c>
      <c r="N1066" s="19">
        <v>0</v>
      </c>
      <c r="O1066" s="19">
        <v>0.19089999999999999</v>
      </c>
      <c r="P1066" s="19">
        <v>0</v>
      </c>
      <c r="Q1066" s="19">
        <v>6.5124771999999997E-2</v>
      </c>
      <c r="R1066" s="20">
        <v>17644</v>
      </c>
      <c r="S1066" s="21" t="str">
        <f>HYPERLINK("https://www.tsc.edu/index.php/financial-aid-office/net-price-calculator-.html", "$11998")</f>
        <v>$11998</v>
      </c>
      <c r="T1066" s="20">
        <v>14920</v>
      </c>
      <c r="U1066" s="20">
        <v>16708</v>
      </c>
      <c r="V1066" s="20">
        <v>5152</v>
      </c>
      <c r="W1066" s="20">
        <v>6846.74</v>
      </c>
      <c r="Y1066" s="19">
        <v>0.50509999999999999</v>
      </c>
      <c r="Z1066" s="19">
        <v>0.97429999999999994</v>
      </c>
      <c r="AB1066" s="18">
        <v>3816</v>
      </c>
    </row>
    <row r="1067" spans="1:28" ht="15.75" customHeight="1" x14ac:dyDescent="0.2">
      <c r="A1067" s="36" t="str">
        <f>HYPERLINK("https://www.tstc.edu", "Texas State Technical College-Waco")</f>
        <v>Texas State Technical College-Waco</v>
      </c>
      <c r="B1067" s="18" t="s">
        <v>49</v>
      </c>
      <c r="C1067" s="18" t="s">
        <v>146</v>
      </c>
      <c r="D1067" s="18" t="s">
        <v>195</v>
      </c>
      <c r="E1067" s="18" t="s">
        <v>36</v>
      </c>
      <c r="F1067" s="18" t="s">
        <v>36</v>
      </c>
      <c r="J1067" s="19"/>
      <c r="K1067" s="19">
        <v>0.32469999999999999</v>
      </c>
      <c r="L1067" s="19">
        <v>0.14318813699999999</v>
      </c>
      <c r="M1067" s="19">
        <v>0.41260000000000002</v>
      </c>
      <c r="N1067" s="19">
        <v>0.20569999999999999</v>
      </c>
      <c r="O1067" s="19">
        <v>0.2974</v>
      </c>
      <c r="P1067" s="19">
        <v>0.16669999999999999</v>
      </c>
      <c r="Q1067" s="19">
        <v>2.1598968E-2</v>
      </c>
      <c r="R1067" s="20">
        <v>23050</v>
      </c>
      <c r="S1067" s="21" t="str">
        <f>HYPERLINK("https://www.collegeforalltexans.com/apps/CollegeMoney/index.php", "$17229")</f>
        <v>$17229</v>
      </c>
      <c r="T1067" s="20">
        <v>19531</v>
      </c>
      <c r="U1067" s="20">
        <v>21743</v>
      </c>
      <c r="V1067" s="20">
        <v>6228</v>
      </c>
      <c r="W1067" s="20">
        <v>11001.73988439306</v>
      </c>
      <c r="Y1067" s="19">
        <v>0.45960000000000001</v>
      </c>
      <c r="Z1067" s="19">
        <v>0.63990000000000002</v>
      </c>
      <c r="AB1067" s="18">
        <v>9525</v>
      </c>
    </row>
    <row r="1068" spans="1:28" ht="15.75" customHeight="1" x14ac:dyDescent="0.2">
      <c r="A1068" s="36" t="str">
        <f>HYPERLINK("https://www.stevenscollege.edu", "Thaddeus Stevens College of Technology")</f>
        <v>Thaddeus Stevens College of Technology</v>
      </c>
      <c r="B1068" s="18" t="s">
        <v>49</v>
      </c>
      <c r="C1068" s="18" t="s">
        <v>65</v>
      </c>
      <c r="D1068" s="18" t="s">
        <v>112</v>
      </c>
      <c r="E1068" s="18" t="s">
        <v>36</v>
      </c>
      <c r="F1068" s="18" t="s">
        <v>90</v>
      </c>
      <c r="J1068" s="19"/>
      <c r="K1068" s="19">
        <v>0.67379999999999995</v>
      </c>
      <c r="L1068" s="19">
        <v>0.38659793799999997</v>
      </c>
      <c r="M1068" s="19">
        <v>0.76359999999999995</v>
      </c>
      <c r="N1068" s="19">
        <v>0.44440000000000002</v>
      </c>
      <c r="O1068" s="19">
        <v>0.5111</v>
      </c>
      <c r="P1068" s="19">
        <v>0.6</v>
      </c>
      <c r="Q1068" s="19" t="s">
        <v>36</v>
      </c>
      <c r="R1068" s="20">
        <v>18270</v>
      </c>
      <c r="S1068" s="21" t="str">
        <f>HYPERLINK("https://www.stevenscollege.edu/widgets/download.aspx?file=%2ffiles%2fRegistar%2fnpcalc.htm", "$6833")</f>
        <v>$6833</v>
      </c>
      <c r="T1068" s="20">
        <v>11816</v>
      </c>
      <c r="U1068" s="20">
        <v>17107</v>
      </c>
      <c r="V1068" s="20">
        <v>1400</v>
      </c>
      <c r="W1068" s="20">
        <v>5433.636363636364</v>
      </c>
      <c r="Y1068" s="19">
        <v>0.51959999999999995</v>
      </c>
      <c r="Z1068" s="19">
        <v>0.30109999999999998</v>
      </c>
      <c r="AB1068" s="18">
        <v>1139</v>
      </c>
    </row>
    <row r="1069" spans="1:28" ht="15.75" customHeight="1" x14ac:dyDescent="0.2">
      <c r="A1069" s="36" t="str">
        <f>HYPERLINK("https://www.artinstitutes.edu/charlotte", "The Art Institute of Charlotte")</f>
        <v>The Art Institute of Charlotte</v>
      </c>
      <c r="B1069" s="18" t="s">
        <v>368</v>
      </c>
      <c r="C1069" s="18" t="s">
        <v>103</v>
      </c>
      <c r="D1069" s="18" t="s">
        <v>447</v>
      </c>
      <c r="E1069" s="18" t="s">
        <v>36</v>
      </c>
      <c r="F1069" s="18" t="s">
        <v>36</v>
      </c>
      <c r="J1069" s="19"/>
      <c r="K1069" s="19">
        <v>0.30830000000000002</v>
      </c>
      <c r="L1069" s="19">
        <v>9.4282328999999998E-2</v>
      </c>
      <c r="M1069" s="19">
        <v>0.57689999999999997</v>
      </c>
      <c r="N1069" s="19">
        <v>0.3659</v>
      </c>
      <c r="O1069" s="19">
        <v>0.55559999999999998</v>
      </c>
      <c r="P1069" s="19" t="s">
        <v>36</v>
      </c>
      <c r="Q1069" s="19">
        <v>6.7599808999999997E-2</v>
      </c>
      <c r="R1069" s="20">
        <v>32043</v>
      </c>
      <c r="S1069" s="21" t="str">
        <f>HYPERLINK("https://www.artinstitutes.edu/charlotte/tuition-aid/net-price-calculator", "$19869")</f>
        <v>$19869</v>
      </c>
      <c r="T1069" s="20">
        <v>24055</v>
      </c>
      <c r="U1069" s="20">
        <v>26983</v>
      </c>
      <c r="V1069" s="20">
        <v>7112</v>
      </c>
      <c r="W1069" s="20">
        <v>12757</v>
      </c>
      <c r="Y1069" s="19">
        <v>0.6835</v>
      </c>
      <c r="Z1069" s="19">
        <v>0.72950000000000004</v>
      </c>
      <c r="AB1069" s="18">
        <v>451</v>
      </c>
    </row>
    <row r="1070" spans="1:28" ht="15.75" customHeight="1" x14ac:dyDescent="0.2">
      <c r="A1070" s="36" t="str">
        <f>HYPERLINK("https://www.artinstitutes.edu/fort-lauderdale", "The Art Institute of Fort Lauderdale")</f>
        <v>The Art Institute of Fort Lauderdale</v>
      </c>
      <c r="B1070" s="18" t="s">
        <v>368</v>
      </c>
      <c r="C1070" s="18" t="s">
        <v>162</v>
      </c>
      <c r="D1070" s="18" t="s">
        <v>433</v>
      </c>
      <c r="E1070" s="18" t="s">
        <v>36</v>
      </c>
      <c r="F1070" s="18" t="s">
        <v>36</v>
      </c>
      <c r="J1070" s="19"/>
      <c r="K1070" s="19">
        <v>0.42549999999999999</v>
      </c>
      <c r="L1070" s="19">
        <v>0.33770883099999999</v>
      </c>
      <c r="M1070" s="19">
        <v>0.49320000000000003</v>
      </c>
      <c r="N1070" s="19">
        <v>0.34849999999999998</v>
      </c>
      <c r="O1070" s="19">
        <v>0.39019999999999999</v>
      </c>
      <c r="P1070" s="19">
        <v>0.75</v>
      </c>
      <c r="Q1070" s="19">
        <v>4.9180328000000002E-2</v>
      </c>
      <c r="R1070" s="20">
        <v>34635</v>
      </c>
      <c r="S1070" s="21" t="str">
        <f>HYPERLINK("https://www.artinstitutes.edu/fort-lauderdale/tuition-aid/net-price-calculator", "$19724")</f>
        <v>$19724</v>
      </c>
      <c r="T1070" s="20">
        <v>23460</v>
      </c>
      <c r="U1070" s="20">
        <v>24860</v>
      </c>
      <c r="V1070" s="20">
        <v>7112</v>
      </c>
      <c r="W1070" s="20">
        <v>12612</v>
      </c>
      <c r="Y1070" s="19">
        <v>0.59309999999999996</v>
      </c>
      <c r="Z1070" s="19">
        <v>0.91710000000000003</v>
      </c>
      <c r="AB1070" s="18">
        <v>651</v>
      </c>
    </row>
    <row r="1071" spans="1:28" ht="15.75" customHeight="1" x14ac:dyDescent="0.2">
      <c r="A1071" s="36" t="str">
        <f>HYPERLINK("https://www.artinstitutes.edu/indianapolis", "The Art Institute of Indianapolis")</f>
        <v>The Art Institute of Indianapolis</v>
      </c>
      <c r="B1071" s="18" t="s">
        <v>368</v>
      </c>
      <c r="C1071" s="18" t="s">
        <v>148</v>
      </c>
      <c r="D1071" s="18" t="s">
        <v>316</v>
      </c>
      <c r="E1071" s="18" t="s">
        <v>36</v>
      </c>
      <c r="F1071" s="18" t="s">
        <v>36</v>
      </c>
      <c r="J1071" s="19"/>
      <c r="K1071" s="19">
        <v>0.33329999999999999</v>
      </c>
      <c r="L1071" s="19">
        <v>0.35625661299999989</v>
      </c>
      <c r="M1071" s="19">
        <v>0.33779999999999999</v>
      </c>
      <c r="N1071" s="19">
        <v>0.2727</v>
      </c>
      <c r="O1071" s="19">
        <v>0.4</v>
      </c>
      <c r="P1071" s="19" t="s">
        <v>36</v>
      </c>
      <c r="Q1071" s="19">
        <v>4.6711292000000001E-2</v>
      </c>
      <c r="R1071" s="20">
        <v>30030</v>
      </c>
      <c r="S1071" s="21" t="str">
        <f>HYPERLINK("https://www.artinstitutes.edu/indianapolis/tuition-aid/net-price-calculator", "$18071")</f>
        <v>$18071</v>
      </c>
      <c r="T1071" s="20">
        <v>22409</v>
      </c>
      <c r="U1071" s="20">
        <v>25641</v>
      </c>
      <c r="V1071" s="20">
        <v>7112</v>
      </c>
      <c r="W1071" s="20">
        <v>10959</v>
      </c>
      <c r="Y1071" s="19">
        <v>0.61929999999999996</v>
      </c>
      <c r="Z1071" s="19">
        <v>0.47389999999999999</v>
      </c>
      <c r="AB1071" s="18">
        <v>536</v>
      </c>
    </row>
    <row r="1072" spans="1:28" ht="15.75" customHeight="1" x14ac:dyDescent="0.2">
      <c r="A1072" s="36" t="str">
        <f>HYPERLINK("https://www.thechristcollege.edu", "The Christ College of Nursing and Health Sciences")</f>
        <v>The Christ College of Nursing and Health Sciences</v>
      </c>
      <c r="B1072" s="18" t="s">
        <v>32</v>
      </c>
      <c r="C1072" s="18" t="s">
        <v>75</v>
      </c>
      <c r="D1072" s="18" t="s">
        <v>502</v>
      </c>
      <c r="E1072" s="18">
        <v>1105</v>
      </c>
      <c r="F1072" s="18" t="s">
        <v>35</v>
      </c>
      <c r="J1072" s="19"/>
      <c r="K1072" s="19">
        <v>0.45829999999999999</v>
      </c>
      <c r="L1072" s="19">
        <v>0.78723404299999999</v>
      </c>
      <c r="M1072" s="19">
        <v>0.45829999999999999</v>
      </c>
      <c r="N1072" s="19" t="s">
        <v>36</v>
      </c>
      <c r="O1072" s="19" t="s">
        <v>36</v>
      </c>
      <c r="P1072" s="19" t="s">
        <v>36</v>
      </c>
      <c r="Q1072" s="19" t="s">
        <v>36</v>
      </c>
      <c r="R1072" s="20">
        <v>33377</v>
      </c>
      <c r="S1072" s="21" t="str">
        <f>HYPERLINK("https://npc.collegeboard.org/student/app/thechristcollege", "$14493")</f>
        <v>$14493</v>
      </c>
      <c r="T1072" s="20">
        <v>20503</v>
      </c>
      <c r="U1072" s="20">
        <v>22910</v>
      </c>
      <c r="V1072" s="20">
        <v>7800</v>
      </c>
      <c r="W1072" s="20">
        <v>6693</v>
      </c>
      <c r="Y1072" s="19">
        <v>0.4214</v>
      </c>
      <c r="Z1072" s="19">
        <v>0.21049999999999999</v>
      </c>
      <c r="AB1072" s="18">
        <v>912</v>
      </c>
    </row>
    <row r="1073" spans="1:28" ht="15.75" customHeight="1" x14ac:dyDescent="0.2">
      <c r="A1073" s="36" t="str">
        <f>HYPERLINK("https://www.chcp.edu", "College of Health Care Professions-Northwest")</f>
        <v>College of Health Care Professions-Northwest</v>
      </c>
      <c r="B1073" s="18" t="s">
        <v>368</v>
      </c>
      <c r="C1073" s="18" t="s">
        <v>146</v>
      </c>
      <c r="D1073" s="18" t="s">
        <v>147</v>
      </c>
      <c r="E1073" s="18" t="s">
        <v>36</v>
      </c>
      <c r="F1073" s="18" t="s">
        <v>36</v>
      </c>
      <c r="J1073" s="19"/>
      <c r="K1073" s="19">
        <v>0.57299999999999995</v>
      </c>
      <c r="L1073" s="19">
        <v>0.72439759000000004</v>
      </c>
      <c r="M1073" s="19">
        <v>0.52880000000000005</v>
      </c>
      <c r="N1073" s="19">
        <v>0.45579999999999998</v>
      </c>
      <c r="O1073" s="19">
        <v>0.63939999999999997</v>
      </c>
      <c r="P1073" s="19">
        <v>0.71430000000000005</v>
      </c>
      <c r="Q1073" s="19" t="s">
        <v>36</v>
      </c>
      <c r="R1073" s="20" t="s">
        <v>36</v>
      </c>
      <c r="S1073" s="21" t="str">
        <f>HYPERLINK("https://chcp.edu", "$25429")</f>
        <v>$25429</v>
      </c>
      <c r="T1073" s="20">
        <v>27728</v>
      </c>
      <c r="U1073" s="20">
        <v>29591</v>
      </c>
      <c r="V1073" s="20" t="s">
        <v>36</v>
      </c>
      <c r="W1073" s="20" t="s">
        <v>36</v>
      </c>
      <c r="Y1073" s="19">
        <v>0.64710000000000001</v>
      </c>
      <c r="Z1073" s="19">
        <v>0.84450000000000003</v>
      </c>
      <c r="AB1073" s="18">
        <v>1402</v>
      </c>
    </row>
    <row r="1074" spans="1:28" ht="15.75" customHeight="1" x14ac:dyDescent="0.2">
      <c r="A1074" s="36" t="str">
        <f>HYPERLINK("https://www.cw.edu", "The College of Westchester")</f>
        <v>The College of Westchester</v>
      </c>
      <c r="B1074" s="18" t="s">
        <v>368</v>
      </c>
      <c r="C1074" s="18" t="s">
        <v>38</v>
      </c>
      <c r="D1074" s="18" t="s">
        <v>644</v>
      </c>
      <c r="E1074" s="18" t="s">
        <v>36</v>
      </c>
      <c r="F1074" s="18" t="s">
        <v>45</v>
      </c>
      <c r="J1074" s="19"/>
      <c r="K1074" s="19">
        <v>0.4798</v>
      </c>
      <c r="L1074" s="19">
        <v>0.36363636399999999</v>
      </c>
      <c r="M1074" s="19">
        <v>0.66669999999999996</v>
      </c>
      <c r="N1074" s="19">
        <v>0.42</v>
      </c>
      <c r="O1074" s="19">
        <v>0.51019999999999999</v>
      </c>
      <c r="P1074" s="19">
        <v>0.5</v>
      </c>
      <c r="Q1074" s="19">
        <v>2.6825633000000002E-2</v>
      </c>
      <c r="R1074" s="20">
        <v>36300</v>
      </c>
      <c r="S1074" s="21" t="str">
        <f>HYPERLINK("https://success.cw.edu/forms/npcalc/npcalc.htm", "$16094")</f>
        <v>$16094</v>
      </c>
      <c r="T1074" s="20">
        <v>21124</v>
      </c>
      <c r="U1074" s="20">
        <v>22507</v>
      </c>
      <c r="V1074" s="20">
        <v>5765</v>
      </c>
      <c r="W1074" s="20">
        <v>10329</v>
      </c>
      <c r="Y1074" s="19">
        <v>0.67969999999999997</v>
      </c>
      <c r="Z1074" s="19">
        <v>0.90990000000000004</v>
      </c>
      <c r="AB1074" s="18">
        <v>832</v>
      </c>
    </row>
    <row r="1075" spans="1:28" ht="15.75" customHeight="1" x14ac:dyDescent="0.2">
      <c r="A1075" s="36" t="str">
        <f>HYPERLINK("https://www.creativecenter.edu", "The Creative Center")</f>
        <v>The Creative Center</v>
      </c>
      <c r="B1075" s="18" t="s">
        <v>368</v>
      </c>
      <c r="C1075" s="18" t="s">
        <v>341</v>
      </c>
      <c r="D1075" s="18" t="s">
        <v>345</v>
      </c>
      <c r="E1075" s="18" t="s">
        <v>36</v>
      </c>
      <c r="F1075" s="18" t="s">
        <v>45</v>
      </c>
      <c r="J1075" s="19"/>
      <c r="K1075" s="19">
        <v>0.71109999999999995</v>
      </c>
      <c r="L1075" s="19" t="s">
        <v>36</v>
      </c>
      <c r="M1075" s="19">
        <v>0.72499999999999998</v>
      </c>
      <c r="N1075" s="19" t="s">
        <v>36</v>
      </c>
      <c r="O1075" s="19">
        <v>0.5</v>
      </c>
      <c r="P1075" s="19" t="s">
        <v>36</v>
      </c>
      <c r="Q1075" s="19" t="s">
        <v>36</v>
      </c>
      <c r="R1075" s="20">
        <v>42050</v>
      </c>
      <c r="S1075" s="21" t="str">
        <f>HYPERLINK("https://www.creativecenter.edu/TCC14/at_breakouts.php", "$36688")</f>
        <v>$36688</v>
      </c>
      <c r="T1075" s="20">
        <v>39212</v>
      </c>
      <c r="U1075" s="20">
        <v>41627</v>
      </c>
      <c r="V1075" s="20">
        <v>7096</v>
      </c>
      <c r="W1075" s="20">
        <v>29592</v>
      </c>
      <c r="Y1075" s="19">
        <v>0.46550000000000002</v>
      </c>
      <c r="Z1075" s="19">
        <v>0.13730000000000001</v>
      </c>
      <c r="AB1075" s="18">
        <v>51</v>
      </c>
    </row>
    <row r="1076" spans="1:28" ht="15.75" customHeight="1" x14ac:dyDescent="0.2">
      <c r="A1076" s="36" t="str">
        <f>HYPERLINK("https://www.thencc.edu", "Virginia Marti College of Art and Design")</f>
        <v>Virginia Marti College of Art and Design</v>
      </c>
      <c r="B1076" s="18" t="s">
        <v>368</v>
      </c>
      <c r="C1076" s="18" t="s">
        <v>75</v>
      </c>
      <c r="D1076" s="18" t="s">
        <v>338</v>
      </c>
      <c r="E1076" s="18" t="s">
        <v>36</v>
      </c>
      <c r="F1076" s="18" t="s">
        <v>90</v>
      </c>
      <c r="J1076" s="19"/>
      <c r="K1076" s="19">
        <v>0.51719999999999999</v>
      </c>
      <c r="L1076" s="19">
        <v>0.42647058799999998</v>
      </c>
      <c r="M1076" s="19">
        <v>0.6522</v>
      </c>
      <c r="N1076" s="19">
        <v>0</v>
      </c>
      <c r="O1076" s="19" t="s">
        <v>36</v>
      </c>
      <c r="P1076" s="19" t="s">
        <v>36</v>
      </c>
      <c r="Q1076" s="19" t="s">
        <v>36</v>
      </c>
      <c r="R1076" s="20">
        <v>33261</v>
      </c>
      <c r="S1076" s="21" t="str">
        <f>HYPERLINK("https://www.thencc.edu/wp-content/uploads/2018/08/npcalc.htm", "$22000")</f>
        <v>$22000</v>
      </c>
      <c r="T1076" s="20">
        <v>28862</v>
      </c>
      <c r="U1076" s="20">
        <v>27313</v>
      </c>
      <c r="V1076" s="20">
        <v>5243</v>
      </c>
      <c r="W1076" s="20">
        <v>16757</v>
      </c>
      <c r="Y1076" s="19">
        <v>0.7006</v>
      </c>
      <c r="Z1076" s="19">
        <v>0.51879999999999993</v>
      </c>
      <c r="AB1076" s="18">
        <v>133</v>
      </c>
    </row>
    <row r="1077" spans="1:28" ht="15.75" customHeight="1" x14ac:dyDescent="0.2">
      <c r="A1077" s="36" t="str">
        <f>HYPERLINK("https://www.walnuthillcollege.edu", "The Restaurant School at Walnut Hill College")</f>
        <v>The Restaurant School at Walnut Hill College</v>
      </c>
      <c r="B1077" s="18" t="s">
        <v>368</v>
      </c>
      <c r="C1077" s="18" t="s">
        <v>65</v>
      </c>
      <c r="D1077" s="18" t="s">
        <v>168</v>
      </c>
      <c r="E1077" s="18" t="s">
        <v>36</v>
      </c>
      <c r="F1077" s="18" t="s">
        <v>90</v>
      </c>
      <c r="J1077" s="19"/>
      <c r="K1077" s="19">
        <v>0.59619999999999995</v>
      </c>
      <c r="L1077" s="19">
        <v>0.22500000000000001</v>
      </c>
      <c r="M1077" s="19">
        <v>0.59570000000000001</v>
      </c>
      <c r="N1077" s="19">
        <v>0.60289999999999999</v>
      </c>
      <c r="O1077" s="19">
        <v>0.5</v>
      </c>
      <c r="P1077" s="19">
        <v>0.7</v>
      </c>
      <c r="Q1077" s="19" t="s">
        <v>36</v>
      </c>
      <c r="R1077" s="20">
        <v>39363</v>
      </c>
      <c r="S1077" s="21" t="str">
        <f>HYPERLINK("https://walnuthillcollege.studentaidcalculator.com/survey.aspx", "$31772")</f>
        <v>$31772</v>
      </c>
      <c r="T1077" s="20">
        <v>31964</v>
      </c>
      <c r="U1077" s="20">
        <v>33853</v>
      </c>
      <c r="V1077" s="20">
        <v>4635</v>
      </c>
      <c r="W1077" s="20">
        <v>27137</v>
      </c>
      <c r="Y1077" s="19">
        <v>0.69900000000000007</v>
      </c>
      <c r="Z1077" s="19">
        <v>0.58679999999999999</v>
      </c>
      <c r="AB1077" s="18">
        <v>334</v>
      </c>
    </row>
    <row r="1078" spans="1:28" ht="15.75" customHeight="1" x14ac:dyDescent="0.2">
      <c r="A1078" s="36" t="str">
        <f>HYPERLINK("https://tncc.edu", "Thomas Nelson Community College")</f>
        <v>Thomas Nelson Community College</v>
      </c>
      <c r="B1078" s="18" t="s">
        <v>49</v>
      </c>
      <c r="C1078" s="18" t="s">
        <v>83</v>
      </c>
      <c r="D1078" s="18" t="s">
        <v>808</v>
      </c>
      <c r="E1078" s="18" t="s">
        <v>36</v>
      </c>
      <c r="F1078" s="18" t="s">
        <v>36</v>
      </c>
      <c r="J1078" s="19"/>
      <c r="K1078" s="19">
        <v>0.189</v>
      </c>
      <c r="L1078" s="19">
        <v>0.109375</v>
      </c>
      <c r="M1078" s="19">
        <v>0.25359999999999999</v>
      </c>
      <c r="N1078" s="19">
        <v>0.08</v>
      </c>
      <c r="O1078" s="19">
        <v>0.1507</v>
      </c>
      <c r="P1078" s="19">
        <v>0.5</v>
      </c>
      <c r="Q1078" s="19">
        <v>0.100604903</v>
      </c>
      <c r="R1078" s="20">
        <v>26037</v>
      </c>
      <c r="S1078" s="21" t="str">
        <f>HYPERLINK("https://vawizard.org/wizard/npc", "$20855")</f>
        <v>$20855</v>
      </c>
      <c r="T1078" s="20">
        <v>22621</v>
      </c>
      <c r="U1078" s="20">
        <v>25244</v>
      </c>
      <c r="V1078" s="20">
        <v>5370</v>
      </c>
      <c r="W1078" s="20">
        <v>15485.255319148941</v>
      </c>
      <c r="Y1078" s="19">
        <v>0.38429999999999997</v>
      </c>
      <c r="Z1078" s="19">
        <v>0.53820000000000001</v>
      </c>
      <c r="AB1078" s="18">
        <v>6693</v>
      </c>
    </row>
    <row r="1079" spans="1:28" ht="15.75" customHeight="1" x14ac:dyDescent="0.2">
      <c r="A1079" s="36" t="str">
        <f>HYPERLINK("https://www.threerivers.edu", "Three Rivers Community College")</f>
        <v>Three Rivers Community College</v>
      </c>
      <c r="B1079" s="18" t="s">
        <v>49</v>
      </c>
      <c r="C1079" s="18" t="s">
        <v>94</v>
      </c>
      <c r="D1079" s="18" t="s">
        <v>1726</v>
      </c>
      <c r="E1079" s="18" t="s">
        <v>36</v>
      </c>
      <c r="F1079" s="18" t="s">
        <v>36</v>
      </c>
      <c r="J1079" s="19"/>
      <c r="K1079" s="19">
        <v>0.14530000000000001</v>
      </c>
      <c r="L1079" s="19">
        <v>0.12990527700000001</v>
      </c>
      <c r="M1079" s="19">
        <v>0.17330000000000001</v>
      </c>
      <c r="N1079" s="19">
        <v>7.4999999999999997E-2</v>
      </c>
      <c r="O1079" s="19">
        <v>8.0500000000000002E-2</v>
      </c>
      <c r="P1079" s="19">
        <v>0</v>
      </c>
      <c r="Q1079" s="19">
        <v>6.8541300999999999E-2</v>
      </c>
      <c r="R1079" s="20">
        <v>26088</v>
      </c>
      <c r="S1079" s="21" t="str">
        <f>HYPERLINK("https://www.threerivers.edu/paying-for-trcc/net-price-calculator/", "$21206")</f>
        <v>$21206</v>
      </c>
      <c r="T1079" s="20">
        <v>21203</v>
      </c>
      <c r="U1079" s="20">
        <v>21209</v>
      </c>
      <c r="V1079" s="20">
        <v>5200</v>
      </c>
      <c r="W1079" s="20">
        <v>16006.10843373494</v>
      </c>
      <c r="Y1079" s="19">
        <v>0.44</v>
      </c>
      <c r="Z1079" s="19">
        <v>0.3881</v>
      </c>
      <c r="AB1079" s="18">
        <v>3842</v>
      </c>
    </row>
    <row r="1080" spans="1:28" ht="15.75" customHeight="1" x14ac:dyDescent="0.2">
      <c r="A1080" s="36" t="str">
        <f>HYPERLINK("https://www.tcc.edu", "Tidewater Community College")</f>
        <v>Tidewater Community College</v>
      </c>
      <c r="B1080" s="18" t="s">
        <v>49</v>
      </c>
      <c r="C1080" s="18" t="s">
        <v>83</v>
      </c>
      <c r="D1080" s="18" t="s">
        <v>800</v>
      </c>
      <c r="E1080" s="18" t="s">
        <v>36</v>
      </c>
      <c r="F1080" s="18" t="s">
        <v>36</v>
      </c>
      <c r="J1080" s="19"/>
      <c r="K1080" s="19">
        <v>0.1986</v>
      </c>
      <c r="L1080" s="19">
        <v>7.7713339000000006E-2</v>
      </c>
      <c r="M1080" s="19">
        <v>0.2475</v>
      </c>
      <c r="N1080" s="19">
        <v>0.12559999999999999</v>
      </c>
      <c r="O1080" s="19">
        <v>0.18990000000000001</v>
      </c>
      <c r="P1080" s="19">
        <v>0.29570000000000002</v>
      </c>
      <c r="Q1080" s="19">
        <v>0.112557346</v>
      </c>
      <c r="R1080" s="20">
        <v>25984</v>
      </c>
      <c r="S1080" s="21" t="str">
        <f>HYPERLINK("https://www.tcc.edu/paying-for-tcc", "$20355")</f>
        <v>$20355</v>
      </c>
      <c r="T1080" s="20">
        <v>23172</v>
      </c>
      <c r="U1080" s="20">
        <v>25629</v>
      </c>
      <c r="V1080" s="20">
        <v>5016</v>
      </c>
      <c r="W1080" s="20">
        <v>15339.808630394</v>
      </c>
      <c r="Y1080" s="19">
        <v>0.3997</v>
      </c>
      <c r="Z1080" s="19">
        <v>0.54449999999999998</v>
      </c>
      <c r="AB1080" s="18">
        <v>19516</v>
      </c>
    </row>
    <row r="1081" spans="1:28" ht="15.75" customHeight="1" x14ac:dyDescent="0.2">
      <c r="A1081" s="36" t="str">
        <f>HYPERLINK("https://tillamookbaycc.edu/", "Tillamook Bay Community College")</f>
        <v>Tillamook Bay Community College</v>
      </c>
      <c r="B1081" s="18" t="s">
        <v>49</v>
      </c>
      <c r="C1081" s="18" t="s">
        <v>143</v>
      </c>
      <c r="D1081" s="18" t="s">
        <v>1727</v>
      </c>
      <c r="E1081" s="18" t="s">
        <v>36</v>
      </c>
      <c r="F1081" s="18" t="s">
        <v>36</v>
      </c>
      <c r="J1081" s="19"/>
      <c r="K1081" s="19">
        <v>0.23400000000000001</v>
      </c>
      <c r="L1081" s="19" t="s">
        <v>36</v>
      </c>
      <c r="M1081" s="19">
        <v>0.16220000000000001</v>
      </c>
      <c r="N1081" s="19" t="s">
        <v>36</v>
      </c>
      <c r="O1081" s="19">
        <v>0.5</v>
      </c>
      <c r="P1081" s="19" t="s">
        <v>36</v>
      </c>
      <c r="Q1081" s="19" t="s">
        <v>36</v>
      </c>
      <c r="R1081" s="20">
        <v>15300</v>
      </c>
      <c r="S1081" s="21" t="str">
        <f>HYPERLINK("https://jics.tbcc.cc.or.us/ICS/ClientConfig/CustomContent/netpricecalc/npcalc.htm", "$8386")</f>
        <v>$8386</v>
      </c>
      <c r="T1081" s="20">
        <v>10848</v>
      </c>
      <c r="U1081" s="20">
        <v>11708</v>
      </c>
      <c r="V1081" s="20">
        <v>2799</v>
      </c>
      <c r="W1081" s="20">
        <v>5587.3125</v>
      </c>
      <c r="Y1081" s="19">
        <v>0.63980000000000004</v>
      </c>
      <c r="Z1081" s="19">
        <v>0.30840000000000001</v>
      </c>
      <c r="AB1081" s="18">
        <v>227</v>
      </c>
    </row>
    <row r="1082" spans="1:28" ht="15.75" customHeight="1" x14ac:dyDescent="0.2">
      <c r="A1082" s="36" t="str">
        <f>HYPERLINK("https://www.tocc.edu", "Tohono O'Odham Community College")</f>
        <v>Tohono O'Odham Community College</v>
      </c>
      <c r="B1082" s="18" t="s">
        <v>49</v>
      </c>
      <c r="C1082" s="18" t="s">
        <v>354</v>
      </c>
      <c r="D1082" s="18" t="s">
        <v>1728</v>
      </c>
      <c r="E1082" s="18" t="s">
        <v>36</v>
      </c>
      <c r="F1082" s="18" t="s">
        <v>36</v>
      </c>
      <c r="J1082" s="19"/>
      <c r="K1082" s="19">
        <v>0.37140000000000001</v>
      </c>
      <c r="L1082" s="19" t="s">
        <v>36</v>
      </c>
      <c r="M1082" s="19">
        <v>0.6</v>
      </c>
      <c r="N1082" s="19">
        <v>0.16669999999999999</v>
      </c>
      <c r="O1082" s="19" t="s">
        <v>36</v>
      </c>
      <c r="P1082" s="19" t="s">
        <v>36</v>
      </c>
      <c r="Q1082" s="19" t="s">
        <v>36</v>
      </c>
      <c r="R1082" s="20">
        <v>11332</v>
      </c>
      <c r="S1082" s="21" t="str">
        <f>HYPERLINK("https://www.tocc.edu", "Not reported")</f>
        <v>Not reported</v>
      </c>
      <c r="T1082" s="20" t="s">
        <v>36</v>
      </c>
      <c r="U1082" s="20" t="s">
        <v>36</v>
      </c>
      <c r="V1082" s="20">
        <v>6000</v>
      </c>
      <c r="W1082" s="20" t="s">
        <v>36</v>
      </c>
      <c r="Y1082" s="19">
        <v>0.43840000000000001</v>
      </c>
      <c r="Z1082" s="19">
        <v>0.93940000000000001</v>
      </c>
      <c r="AB1082" s="18">
        <v>330</v>
      </c>
    </row>
    <row r="1083" spans="1:28" ht="15.75" customHeight="1" x14ac:dyDescent="0.2">
      <c r="A1083" s="36" t="str">
        <f>HYPERLINK("https://www.tompkinscortland.edu", "SUNY Tompkins Cortland Community College")</f>
        <v>SUNY Tompkins Cortland Community College</v>
      </c>
      <c r="B1083" s="18" t="s">
        <v>49</v>
      </c>
      <c r="C1083" s="18" t="s">
        <v>38</v>
      </c>
      <c r="D1083" s="18" t="s">
        <v>1729</v>
      </c>
      <c r="E1083" s="18" t="s">
        <v>36</v>
      </c>
      <c r="F1083" s="18" t="s">
        <v>36</v>
      </c>
      <c r="J1083" s="19"/>
      <c r="K1083" s="19">
        <v>0.27589999999999998</v>
      </c>
      <c r="L1083" s="19">
        <v>0.23634053399999999</v>
      </c>
      <c r="M1083" s="19">
        <v>0.34489999999999998</v>
      </c>
      <c r="N1083" s="19">
        <v>0.21970000000000001</v>
      </c>
      <c r="O1083" s="19">
        <v>0.1263</v>
      </c>
      <c r="P1083" s="19">
        <v>0.66669999999999996</v>
      </c>
      <c r="Q1083" s="19">
        <v>8.0287206E-2</v>
      </c>
      <c r="R1083" s="20">
        <v>20064</v>
      </c>
      <c r="S1083" s="21" t="str">
        <f>HYPERLINK("https://www.tompkinscortland.edu/admissions/net-price-calculator", "$8236")</f>
        <v>$8236</v>
      </c>
      <c r="T1083" s="20">
        <v>13911</v>
      </c>
      <c r="U1083" s="20">
        <v>15454</v>
      </c>
      <c r="V1083" s="20">
        <v>2700</v>
      </c>
      <c r="W1083" s="20">
        <v>5536</v>
      </c>
      <c r="Y1083" s="19">
        <v>0.51490000000000002</v>
      </c>
      <c r="Z1083" s="19">
        <v>0.37590000000000001</v>
      </c>
      <c r="AB1083" s="18">
        <v>2264</v>
      </c>
    </row>
    <row r="1084" spans="1:28" ht="15.75" customHeight="1" x14ac:dyDescent="0.2">
      <c r="A1084" s="36" t="str">
        <f>HYPERLINK("https://www.tvcc.cc", "Treasure Valley Community College")</f>
        <v>Treasure Valley Community College</v>
      </c>
      <c r="B1084" s="18" t="s">
        <v>49</v>
      </c>
      <c r="C1084" s="18" t="s">
        <v>143</v>
      </c>
      <c r="D1084" s="18" t="s">
        <v>1629</v>
      </c>
      <c r="E1084" s="18" t="s">
        <v>36</v>
      </c>
      <c r="F1084" s="18" t="s">
        <v>36</v>
      </c>
      <c r="J1084" s="19"/>
      <c r="K1084" s="19">
        <v>0.28149999999999997</v>
      </c>
      <c r="L1084" s="19">
        <v>0.10033821900000001</v>
      </c>
      <c r="M1084" s="19">
        <v>0.318</v>
      </c>
      <c r="N1084" s="19">
        <v>0</v>
      </c>
      <c r="O1084" s="19">
        <v>0.23680000000000001</v>
      </c>
      <c r="P1084" s="19">
        <v>0</v>
      </c>
      <c r="Q1084" s="19">
        <v>6.9591528E-2</v>
      </c>
      <c r="R1084" s="20">
        <v>21382</v>
      </c>
      <c r="S1084" s="21" t="str">
        <f>HYPERLINK("https://www.tvcc.cc/current/financialaid/npcalculator/npcalc.htm", "$15271")</f>
        <v>$15271</v>
      </c>
      <c r="T1084" s="20" t="s">
        <v>36</v>
      </c>
      <c r="U1084" s="20" t="s">
        <v>36</v>
      </c>
      <c r="V1084" s="20">
        <v>8300</v>
      </c>
      <c r="W1084" s="20">
        <v>6971.9876543209866</v>
      </c>
      <c r="Y1084" s="19">
        <v>0.47299999999999998</v>
      </c>
      <c r="Z1084" s="19">
        <v>0.38629999999999998</v>
      </c>
      <c r="AB1084" s="18">
        <v>1543</v>
      </c>
    </row>
    <row r="1085" spans="1:28" ht="15.75" customHeight="1" x14ac:dyDescent="0.2">
      <c r="A1085" s="36" t="str">
        <f>HYPERLINK("https://www.tricountycc.edu", "Tri-County Community College")</f>
        <v>Tri-County Community College</v>
      </c>
      <c r="B1085" s="18" t="s">
        <v>49</v>
      </c>
      <c r="C1085" s="18" t="s">
        <v>103</v>
      </c>
      <c r="D1085" s="18" t="s">
        <v>1730</v>
      </c>
      <c r="E1085" s="18" t="s">
        <v>36</v>
      </c>
      <c r="F1085" s="18" t="s">
        <v>36</v>
      </c>
      <c r="J1085" s="19"/>
      <c r="K1085" s="19">
        <v>0.23569999999999999</v>
      </c>
      <c r="L1085" s="19">
        <v>0.24709302299999999</v>
      </c>
      <c r="M1085" s="19">
        <v>0.2422</v>
      </c>
      <c r="N1085" s="19">
        <v>0.33329999999999999</v>
      </c>
      <c r="O1085" s="19">
        <v>0.25</v>
      </c>
      <c r="P1085" s="19">
        <v>0</v>
      </c>
      <c r="Q1085" s="19">
        <v>2.2522522999999999E-2</v>
      </c>
      <c r="R1085" s="20">
        <v>22322</v>
      </c>
      <c r="S1085" s="21" t="str">
        <f>HYPERLINK("https://www.tricountycc.edu", "$17421")</f>
        <v>$17421</v>
      </c>
      <c r="T1085" s="20">
        <v>17989</v>
      </c>
      <c r="U1085" s="20">
        <v>17727</v>
      </c>
      <c r="V1085" s="20">
        <v>6537</v>
      </c>
      <c r="W1085" s="20">
        <v>10884.13114754098</v>
      </c>
      <c r="Y1085" s="19">
        <v>0.38629999999999998</v>
      </c>
      <c r="Z1085" s="19">
        <v>9.2500000000000027E-2</v>
      </c>
      <c r="AB1085" s="18">
        <v>530</v>
      </c>
    </row>
    <row r="1086" spans="1:28" ht="15.75" customHeight="1" x14ac:dyDescent="0.2">
      <c r="A1086" s="36" t="str">
        <f>HYPERLINK("https://www.triangle-tech.edu", "Triangle Tech Inc-Bethlehem")</f>
        <v>Triangle Tech Inc-Bethlehem</v>
      </c>
      <c r="B1086" s="18" t="s">
        <v>368</v>
      </c>
      <c r="C1086" s="18" t="s">
        <v>65</v>
      </c>
      <c r="D1086" s="18" t="s">
        <v>130</v>
      </c>
      <c r="E1086" s="18" t="s">
        <v>36</v>
      </c>
      <c r="F1086" s="18" t="s">
        <v>36</v>
      </c>
      <c r="J1086" s="19"/>
      <c r="K1086" s="19">
        <v>0.67349999999999999</v>
      </c>
      <c r="L1086" s="19">
        <v>0.64</v>
      </c>
      <c r="M1086" s="19">
        <v>0.7429</v>
      </c>
      <c r="N1086" s="19">
        <v>0.57140000000000002</v>
      </c>
      <c r="O1086" s="19">
        <v>0.42859999999999998</v>
      </c>
      <c r="P1086" s="19" t="s">
        <v>36</v>
      </c>
      <c r="Q1086" s="19" t="s">
        <v>36</v>
      </c>
      <c r="R1086" s="20">
        <v>29932</v>
      </c>
      <c r="S1086" s="21" t="str">
        <f>HYPERLINK("https://www.triangle-tech.edu", "$18024")</f>
        <v>$18024</v>
      </c>
      <c r="T1086" s="20">
        <v>18955</v>
      </c>
      <c r="U1086" s="20">
        <v>23134</v>
      </c>
      <c r="V1086" s="20">
        <v>7015</v>
      </c>
      <c r="W1086" s="20">
        <v>11009</v>
      </c>
      <c r="Y1086" s="19">
        <v>0.69299999999999995</v>
      </c>
      <c r="Z1086" s="19">
        <v>0.35649999999999998</v>
      </c>
      <c r="AB1086" s="18">
        <v>115</v>
      </c>
    </row>
    <row r="1087" spans="1:28" ht="15.75" customHeight="1" x14ac:dyDescent="0.2">
      <c r="A1087" s="36" t="str">
        <f>HYPERLINK("https://www.triangle-tech.edu", "Triangle Tech Inc-Dubois")</f>
        <v>Triangle Tech Inc-Dubois</v>
      </c>
      <c r="B1087" s="18" t="s">
        <v>368</v>
      </c>
      <c r="C1087" s="18" t="s">
        <v>65</v>
      </c>
      <c r="D1087" s="18" t="s">
        <v>1731</v>
      </c>
      <c r="E1087" s="18" t="s">
        <v>36</v>
      </c>
      <c r="F1087" s="18" t="s">
        <v>36</v>
      </c>
      <c r="J1087" s="19"/>
      <c r="K1087" s="19">
        <v>0.80299999999999994</v>
      </c>
      <c r="L1087" s="19" t="s">
        <v>36</v>
      </c>
      <c r="M1087" s="19">
        <v>0.79369999999999996</v>
      </c>
      <c r="N1087" s="19" t="s">
        <v>36</v>
      </c>
      <c r="O1087" s="19">
        <v>1</v>
      </c>
      <c r="P1087" s="19" t="s">
        <v>36</v>
      </c>
      <c r="Q1087" s="19" t="s">
        <v>36</v>
      </c>
      <c r="R1087" s="20">
        <v>29879</v>
      </c>
      <c r="S1087" s="21" t="str">
        <f>HYPERLINK("https://www.triangle-tech.edu", "$17588")</f>
        <v>$17588</v>
      </c>
      <c r="T1087" s="20">
        <v>18568</v>
      </c>
      <c r="U1087" s="20">
        <v>24387</v>
      </c>
      <c r="V1087" s="20">
        <v>7095</v>
      </c>
      <c r="W1087" s="20">
        <v>10493</v>
      </c>
      <c r="Y1087" s="19">
        <v>0.50339999999999996</v>
      </c>
      <c r="Z1087" s="19">
        <v>2.8000000000000021E-2</v>
      </c>
      <c r="AB1087" s="18">
        <v>143</v>
      </c>
    </row>
    <row r="1088" spans="1:28" ht="15.75" customHeight="1" x14ac:dyDescent="0.2">
      <c r="A1088" s="36" t="str">
        <f>HYPERLINK("https://www.triangle-tech.edu", "Triangle Tech Inc-Erie")</f>
        <v>Triangle Tech Inc-Erie</v>
      </c>
      <c r="B1088" s="18" t="s">
        <v>368</v>
      </c>
      <c r="C1088" s="18" t="s">
        <v>65</v>
      </c>
      <c r="D1088" s="18" t="s">
        <v>782</v>
      </c>
      <c r="E1088" s="18" t="s">
        <v>36</v>
      </c>
      <c r="F1088" s="18" t="s">
        <v>36</v>
      </c>
      <c r="J1088" s="19"/>
      <c r="K1088" s="19">
        <v>0.71430000000000005</v>
      </c>
      <c r="L1088" s="19">
        <v>0.56626505999999999</v>
      </c>
      <c r="M1088" s="19">
        <v>0.76</v>
      </c>
      <c r="N1088" s="19">
        <v>0</v>
      </c>
      <c r="O1088" s="19" t="s">
        <v>36</v>
      </c>
      <c r="P1088" s="19">
        <v>0</v>
      </c>
      <c r="Q1088" s="19" t="s">
        <v>36</v>
      </c>
      <c r="R1088" s="20">
        <v>29752</v>
      </c>
      <c r="S1088" s="21" t="str">
        <f>HYPERLINK("https://triangle-tech.edu/consumer-information/hea-student-consumer-information-disclosures/net-price-calculator", "$18968")</f>
        <v>$18968</v>
      </c>
      <c r="T1088" s="20">
        <v>11287</v>
      </c>
      <c r="U1088" s="20">
        <v>12654</v>
      </c>
      <c r="V1088" s="20">
        <v>7206</v>
      </c>
      <c r="W1088" s="20">
        <v>11762</v>
      </c>
      <c r="Y1088" s="19">
        <v>0.2626</v>
      </c>
      <c r="Z1088" s="19">
        <v>6.5599999999999992E-2</v>
      </c>
      <c r="AB1088" s="18">
        <v>61</v>
      </c>
    </row>
    <row r="1089" spans="1:28" ht="15.75" customHeight="1" x14ac:dyDescent="0.2">
      <c r="A1089" s="36" t="str">
        <f>HYPERLINK("https://www.triangle-tech.edu", "Triangle Tech Inc-Greensburg")</f>
        <v>Triangle Tech Inc-Greensburg</v>
      </c>
      <c r="B1089" s="18" t="s">
        <v>368</v>
      </c>
      <c r="C1089" s="18" t="s">
        <v>65</v>
      </c>
      <c r="D1089" s="18" t="s">
        <v>1150</v>
      </c>
      <c r="E1089" s="18" t="s">
        <v>36</v>
      </c>
      <c r="F1089" s="18" t="s">
        <v>36</v>
      </c>
      <c r="J1089" s="19"/>
      <c r="K1089" s="19">
        <v>0.81010000000000004</v>
      </c>
      <c r="L1089" s="19">
        <v>0.64</v>
      </c>
      <c r="M1089" s="19">
        <v>0.81579999999999997</v>
      </c>
      <c r="N1089" s="19">
        <v>0.5</v>
      </c>
      <c r="O1089" s="19" t="s">
        <v>36</v>
      </c>
      <c r="P1089" s="19" t="s">
        <v>36</v>
      </c>
      <c r="Q1089" s="19" t="s">
        <v>36</v>
      </c>
      <c r="R1089" s="20">
        <v>29984</v>
      </c>
      <c r="S1089" s="21" t="str">
        <f>HYPERLINK("https://triangle-tech.edu", "$14299")</f>
        <v>$14299</v>
      </c>
      <c r="T1089" s="20">
        <v>16236</v>
      </c>
      <c r="U1089" s="20">
        <v>21254</v>
      </c>
      <c r="V1089" s="20">
        <v>7252</v>
      </c>
      <c r="W1089" s="20">
        <v>7047</v>
      </c>
      <c r="Y1089" s="19">
        <v>0.60129999999999995</v>
      </c>
      <c r="Z1089" s="19">
        <v>5.7899999999999952E-2</v>
      </c>
      <c r="AB1089" s="18">
        <v>121</v>
      </c>
    </row>
    <row r="1090" spans="1:28" ht="15.75" customHeight="1" x14ac:dyDescent="0.2">
      <c r="A1090" s="36" t="str">
        <f>HYPERLINK("https://www.triangle-tech.edu", "Triangle Tech Inc-Pittsburgh")</f>
        <v>Triangle Tech Inc-Pittsburgh</v>
      </c>
      <c r="B1090" s="18" t="s">
        <v>368</v>
      </c>
      <c r="C1090" s="18" t="s">
        <v>65</v>
      </c>
      <c r="D1090" s="18" t="s">
        <v>74</v>
      </c>
      <c r="E1090" s="18" t="s">
        <v>36</v>
      </c>
      <c r="F1090" s="18" t="s">
        <v>36</v>
      </c>
      <c r="J1090" s="19"/>
      <c r="K1090" s="19">
        <v>0.55810000000000004</v>
      </c>
      <c r="L1090" s="19">
        <v>0.510204082</v>
      </c>
      <c r="M1090" s="19">
        <v>0.71430000000000005</v>
      </c>
      <c r="N1090" s="19">
        <v>0.39290000000000003</v>
      </c>
      <c r="O1090" s="19" t="s">
        <v>36</v>
      </c>
      <c r="P1090" s="19" t="s">
        <v>36</v>
      </c>
      <c r="Q1090" s="19" t="s">
        <v>36</v>
      </c>
      <c r="R1090" s="20">
        <v>29970</v>
      </c>
      <c r="S1090" s="21" t="str">
        <f>HYPERLINK("https://www.triangle-tech.edu", "$17324")</f>
        <v>$17324</v>
      </c>
      <c r="T1090" s="20">
        <v>22413</v>
      </c>
      <c r="U1090" s="20">
        <v>23091</v>
      </c>
      <c r="V1090" s="20">
        <v>7192</v>
      </c>
      <c r="W1090" s="20">
        <v>10132</v>
      </c>
      <c r="Y1090" s="19">
        <v>0.68669999999999998</v>
      </c>
      <c r="Z1090" s="19">
        <v>0.50690000000000002</v>
      </c>
      <c r="AB1090" s="18">
        <v>144</v>
      </c>
    </row>
    <row r="1091" spans="1:28" ht="15.75" customHeight="1" x14ac:dyDescent="0.2">
      <c r="A1091" s="36" t="str">
        <f>HYPERLINK("https://www.triangle-tech.edu", "Triangle Tech Inc-Sunbury")</f>
        <v>Triangle Tech Inc-Sunbury</v>
      </c>
      <c r="B1091" s="18" t="s">
        <v>368</v>
      </c>
      <c r="C1091" s="18" t="s">
        <v>65</v>
      </c>
      <c r="D1091" s="18" t="s">
        <v>1732</v>
      </c>
      <c r="E1091" s="18" t="s">
        <v>36</v>
      </c>
      <c r="F1091" s="18" t="s">
        <v>36</v>
      </c>
      <c r="J1091" s="19"/>
      <c r="K1091" s="19">
        <v>0.83330000000000004</v>
      </c>
      <c r="L1091" s="19" t="s">
        <v>36</v>
      </c>
      <c r="M1091" s="19">
        <v>0.8448</v>
      </c>
      <c r="N1091" s="19" t="s">
        <v>36</v>
      </c>
      <c r="O1091" s="19" t="s">
        <v>36</v>
      </c>
      <c r="P1091" s="19" t="s">
        <v>36</v>
      </c>
      <c r="Q1091" s="19" t="s">
        <v>36</v>
      </c>
      <c r="R1091" s="20">
        <v>29932</v>
      </c>
      <c r="S1091" s="21" t="str">
        <f>HYPERLINK("https://www.triangle-tech.edu", "$15985")</f>
        <v>$15985</v>
      </c>
      <c r="T1091" s="20">
        <v>19536</v>
      </c>
      <c r="U1091" s="20">
        <v>24231</v>
      </c>
      <c r="V1091" s="20">
        <v>7015</v>
      </c>
      <c r="W1091" s="20">
        <v>8970</v>
      </c>
      <c r="Y1091" s="19">
        <v>0.52080000000000004</v>
      </c>
      <c r="Z1091" s="19">
        <v>0.13160000000000011</v>
      </c>
      <c r="AB1091" s="18">
        <v>76</v>
      </c>
    </row>
    <row r="1092" spans="1:28" ht="15.75" customHeight="1" x14ac:dyDescent="0.2">
      <c r="A1092" s="36" t="str">
        <f>HYPERLINK("https://www.tridenttech.edu", "Trident Technical College")</f>
        <v>Trident Technical College</v>
      </c>
      <c r="B1092" s="18" t="s">
        <v>49</v>
      </c>
      <c r="C1092" s="18" t="s">
        <v>208</v>
      </c>
      <c r="D1092" s="18" t="s">
        <v>334</v>
      </c>
      <c r="E1092" s="18" t="s">
        <v>36</v>
      </c>
      <c r="F1092" s="18" t="s">
        <v>36</v>
      </c>
      <c r="J1092" s="19"/>
      <c r="K1092" s="19">
        <v>0.15740000000000001</v>
      </c>
      <c r="L1092" s="19">
        <v>5.9709980000000003E-2</v>
      </c>
      <c r="M1092" s="19">
        <v>0.1731</v>
      </c>
      <c r="N1092" s="19">
        <v>0.11360000000000001</v>
      </c>
      <c r="O1092" s="19">
        <v>0.17979999999999999</v>
      </c>
      <c r="P1092" s="19">
        <v>0.1613</v>
      </c>
      <c r="Q1092" s="19">
        <v>8.5476411000000002E-2</v>
      </c>
      <c r="R1092" s="20">
        <v>22608</v>
      </c>
      <c r="S1092" s="21" t="str">
        <f>HYPERLINK("https://www.tridenttech.edu/pay/apply/fa_Calc.htm", "$15280")</f>
        <v>$15280</v>
      </c>
      <c r="T1092" s="20">
        <v>16615</v>
      </c>
      <c r="U1092" s="20">
        <v>18480</v>
      </c>
      <c r="V1092" s="20">
        <v>5627</v>
      </c>
      <c r="W1092" s="20">
        <v>9653.3203285420932</v>
      </c>
      <c r="Y1092" s="19">
        <v>0.41070000000000001</v>
      </c>
      <c r="Z1092" s="19">
        <v>0.43930000000000002</v>
      </c>
      <c r="AB1092" s="18">
        <v>10905</v>
      </c>
    </row>
    <row r="1093" spans="1:28" ht="15.75" customHeight="1" x14ac:dyDescent="0.2">
      <c r="A1093" s="36" t="str">
        <f>HYPERLINK("https://www.trinitypr.edu", "Trinity College of Puerto Rico")</f>
        <v>Trinity College of Puerto Rico</v>
      </c>
      <c r="B1093" s="18" t="s">
        <v>32</v>
      </c>
      <c r="C1093" s="18" t="s">
        <v>284</v>
      </c>
      <c r="D1093" s="18" t="s">
        <v>1332</v>
      </c>
      <c r="E1093" s="18" t="s">
        <v>36</v>
      </c>
      <c r="F1093" s="18" t="s">
        <v>36</v>
      </c>
      <c r="J1093" s="19"/>
      <c r="K1093" s="19">
        <v>0.5</v>
      </c>
      <c r="L1093" s="19" t="s">
        <v>36</v>
      </c>
      <c r="M1093" s="19" t="s">
        <v>36</v>
      </c>
      <c r="N1093" s="19" t="s">
        <v>36</v>
      </c>
      <c r="O1093" s="19">
        <v>0.5</v>
      </c>
      <c r="P1093" s="19" t="s">
        <v>36</v>
      </c>
      <c r="Q1093" s="19" t="s">
        <v>36</v>
      </c>
      <c r="R1093" s="20">
        <v>12056</v>
      </c>
      <c r="S1093" s="21" t="str">
        <f>HYPERLINK("https://www.trinitypr.edu", "$5501")</f>
        <v>$5501</v>
      </c>
      <c r="T1093" s="20">
        <v>5422</v>
      </c>
      <c r="U1093" s="20" t="s">
        <v>36</v>
      </c>
      <c r="V1093" s="20">
        <v>2664</v>
      </c>
      <c r="W1093" s="20">
        <v>2837</v>
      </c>
      <c r="Y1093" s="19">
        <v>1</v>
      </c>
      <c r="Z1093" s="19">
        <v>1</v>
      </c>
      <c r="AB1093" s="18">
        <v>149</v>
      </c>
    </row>
    <row r="1094" spans="1:28" ht="15.75" customHeight="1" x14ac:dyDescent="0.2">
      <c r="A1094" s="36" t="str">
        <f>HYPERLINK("https://www.tvcc.edu", "Trinity Valley Community College")</f>
        <v>Trinity Valley Community College</v>
      </c>
      <c r="B1094" s="18" t="s">
        <v>49</v>
      </c>
      <c r="C1094" s="18" t="s">
        <v>146</v>
      </c>
      <c r="D1094" s="18" t="s">
        <v>278</v>
      </c>
      <c r="E1094" s="18" t="s">
        <v>36</v>
      </c>
      <c r="F1094" s="18" t="s">
        <v>36</v>
      </c>
      <c r="J1094" s="19"/>
      <c r="K1094" s="19">
        <v>0.17599999999999999</v>
      </c>
      <c r="L1094" s="19">
        <v>0.13498402600000001</v>
      </c>
      <c r="M1094" s="19">
        <v>0.17730000000000001</v>
      </c>
      <c r="N1094" s="19">
        <v>0.1623</v>
      </c>
      <c r="O1094" s="19">
        <v>0.34939999999999999</v>
      </c>
      <c r="P1094" s="19">
        <v>0</v>
      </c>
      <c r="Q1094" s="19">
        <v>0.106601732</v>
      </c>
      <c r="R1094" s="20">
        <v>17395</v>
      </c>
      <c r="S1094" s="21" t="str">
        <f>HYPERLINK("https://www.collegeforalltexans.com/apps/CollegeMoney/", "$11429")</f>
        <v>$11429</v>
      </c>
      <c r="T1094" s="20">
        <v>13832</v>
      </c>
      <c r="U1094" s="20">
        <v>16637</v>
      </c>
      <c r="V1094" s="20">
        <v>6405</v>
      </c>
      <c r="W1094" s="20">
        <v>5024.1486068111444</v>
      </c>
      <c r="Y1094" s="19">
        <v>0.45269999999999999</v>
      </c>
      <c r="Z1094" s="19">
        <v>0.42120000000000002</v>
      </c>
      <c r="AB1094" s="18">
        <v>4065</v>
      </c>
    </row>
    <row r="1095" spans="1:28" ht="15.75" customHeight="1" x14ac:dyDescent="0.2">
      <c r="A1095" s="36" t="str">
        <f>HYPERLINK("https://www.triton.edu", "Triton College")</f>
        <v>Triton College</v>
      </c>
      <c r="B1095" s="18" t="s">
        <v>49</v>
      </c>
      <c r="C1095" s="18" t="s">
        <v>137</v>
      </c>
      <c r="D1095" s="18" t="s">
        <v>1733</v>
      </c>
      <c r="E1095" s="18" t="s">
        <v>36</v>
      </c>
      <c r="F1095" s="18" t="s">
        <v>36</v>
      </c>
      <c r="J1095" s="19"/>
      <c r="K1095" s="19">
        <v>0.17680000000000001</v>
      </c>
      <c r="L1095" s="19">
        <v>0.15353181599999999</v>
      </c>
      <c r="M1095" s="19">
        <v>0.25740000000000002</v>
      </c>
      <c r="N1095" s="19">
        <v>6.5100000000000005E-2</v>
      </c>
      <c r="O1095" s="19">
        <v>0.1759</v>
      </c>
      <c r="P1095" s="19">
        <v>0.26669999999999999</v>
      </c>
      <c r="Q1095" s="19">
        <v>8.9060594000000007E-2</v>
      </c>
      <c r="R1095" s="20">
        <v>23064</v>
      </c>
      <c r="S1095" s="21" t="str">
        <f>HYPERLINK("https://online2.triton.edu/netpricecalculator/", "$17416")</f>
        <v>$17416</v>
      </c>
      <c r="T1095" s="20">
        <v>20241</v>
      </c>
      <c r="U1095" s="20">
        <v>21408</v>
      </c>
      <c r="V1095" s="20">
        <v>4496</v>
      </c>
      <c r="W1095" s="20">
        <v>12920.54365079365</v>
      </c>
      <c r="Y1095" s="19">
        <v>0.25690000000000002</v>
      </c>
      <c r="Z1095" s="19">
        <v>0.6724</v>
      </c>
      <c r="AB1095" s="18">
        <v>8073</v>
      </c>
    </row>
    <row r="1096" spans="1:28" ht="15.75" customHeight="1" x14ac:dyDescent="0.2">
      <c r="A1096" s="36" t="str">
        <f>HYPERLINK("https://www.trocaire.edu/", "Trocaire College")</f>
        <v>Trocaire College</v>
      </c>
      <c r="B1096" s="18" t="s">
        <v>32</v>
      </c>
      <c r="C1096" s="18" t="s">
        <v>38</v>
      </c>
      <c r="D1096" s="18" t="s">
        <v>322</v>
      </c>
      <c r="E1096" s="18" t="s">
        <v>36</v>
      </c>
      <c r="F1096" s="18" t="s">
        <v>36</v>
      </c>
      <c r="J1096" s="19"/>
      <c r="K1096" s="19">
        <v>0.25</v>
      </c>
      <c r="L1096" s="19">
        <v>0.32620320899999999</v>
      </c>
      <c r="M1096" s="19">
        <v>0.25679999999999997</v>
      </c>
      <c r="N1096" s="19">
        <v>0.1071</v>
      </c>
      <c r="O1096" s="19">
        <v>0</v>
      </c>
      <c r="P1096" s="19" t="s">
        <v>36</v>
      </c>
      <c r="Q1096" s="19">
        <v>5.3929122000000003E-2</v>
      </c>
      <c r="R1096" s="20">
        <v>27410</v>
      </c>
      <c r="S1096" s="21" t="str">
        <f>HYPERLINK("https://trocaire.edu/net-price-calculator/", "$10595")</f>
        <v>$10595</v>
      </c>
      <c r="T1096" s="20">
        <v>15937</v>
      </c>
      <c r="U1096" s="20">
        <v>20720</v>
      </c>
      <c r="V1096" s="20">
        <v>3300</v>
      </c>
      <c r="W1096" s="20">
        <v>7295</v>
      </c>
      <c r="Y1096" s="19">
        <v>0.49790000000000001</v>
      </c>
      <c r="Z1096" s="19">
        <v>0.32679999999999998</v>
      </c>
      <c r="AB1096" s="18">
        <v>1279</v>
      </c>
    </row>
    <row r="1097" spans="1:28" ht="15.75" customHeight="1" x14ac:dyDescent="0.2">
      <c r="A1097" s="36" t="str">
        <f>HYPERLINK("https://www.tmcc.edu", "Truckee Meadows Community College")</f>
        <v>Truckee Meadows Community College</v>
      </c>
      <c r="B1097" s="18" t="s">
        <v>49</v>
      </c>
      <c r="C1097" s="18" t="s">
        <v>476</v>
      </c>
      <c r="D1097" s="18" t="s">
        <v>900</v>
      </c>
      <c r="E1097" s="18" t="s">
        <v>36</v>
      </c>
      <c r="F1097" s="18" t="s">
        <v>36</v>
      </c>
      <c r="J1097" s="19"/>
      <c r="K1097" s="19">
        <v>0.28389999999999999</v>
      </c>
      <c r="L1097" s="19">
        <v>0.13102725400000001</v>
      </c>
      <c r="M1097" s="19">
        <v>0.28760000000000002</v>
      </c>
      <c r="N1097" s="19">
        <v>0.23080000000000001</v>
      </c>
      <c r="O1097" s="19">
        <v>0.26269999999999999</v>
      </c>
      <c r="P1097" s="19">
        <v>0.31580000000000003</v>
      </c>
      <c r="Q1097" s="19">
        <v>7.5174825000000001E-2</v>
      </c>
      <c r="R1097" s="20">
        <v>25594</v>
      </c>
      <c r="S1097" s="21" t="str">
        <f>HYPERLINK("https://www.tmcc.edu/financialaid/netpricecalculator/", "$20411")</f>
        <v>$20411</v>
      </c>
      <c r="T1097" s="20">
        <v>20552</v>
      </c>
      <c r="U1097" s="20">
        <v>24946</v>
      </c>
      <c r="V1097" s="20">
        <v>6676</v>
      </c>
      <c r="W1097" s="20">
        <v>13735.82191780822</v>
      </c>
      <c r="Y1097" s="19">
        <v>0.2359</v>
      </c>
      <c r="Z1097" s="19">
        <v>0.4728</v>
      </c>
      <c r="AB1097" s="18">
        <v>7859</v>
      </c>
    </row>
    <row r="1098" spans="1:28" ht="15.75" customHeight="1" x14ac:dyDescent="0.2">
      <c r="A1098" s="36" t="str">
        <f>HYPERLINK("https://www.tulsacc.edu", "Tulsa Community College")</f>
        <v>Tulsa Community College</v>
      </c>
      <c r="B1098" s="18" t="s">
        <v>49</v>
      </c>
      <c r="C1098" s="18" t="s">
        <v>290</v>
      </c>
      <c r="D1098" s="18" t="s">
        <v>291</v>
      </c>
      <c r="E1098" s="18" t="s">
        <v>36</v>
      </c>
      <c r="F1098" s="18" t="s">
        <v>36</v>
      </c>
      <c r="J1098" s="19"/>
      <c r="K1098" s="19">
        <v>0.1545</v>
      </c>
      <c r="L1098" s="19">
        <v>9.9316086999999997E-2</v>
      </c>
      <c r="M1098" s="19">
        <v>0.17549999999999999</v>
      </c>
      <c r="N1098" s="19">
        <v>7.9799999999999996E-2</v>
      </c>
      <c r="O1098" s="19">
        <v>0.16070000000000001</v>
      </c>
      <c r="P1098" s="19">
        <v>0.1474</v>
      </c>
      <c r="Q1098" s="19">
        <v>0.15135341199999999</v>
      </c>
      <c r="R1098" s="20">
        <v>23933</v>
      </c>
      <c r="S1098" s="21" t="str">
        <f>HYPERLINK("https://www.tulsacc.edu/admissions-aid/aid/tuition-and-fees/tuition-calculator", "$17674")</f>
        <v>$17674</v>
      </c>
      <c r="T1098" s="20">
        <v>20188</v>
      </c>
      <c r="U1098" s="20">
        <v>21820</v>
      </c>
      <c r="V1098" s="20">
        <v>4368</v>
      </c>
      <c r="W1098" s="20">
        <v>13306.123209169051</v>
      </c>
      <c r="Y1098" s="19">
        <v>0.3498</v>
      </c>
      <c r="Z1098" s="19">
        <v>0.44919999999999999</v>
      </c>
      <c r="AB1098" s="18">
        <v>14413</v>
      </c>
    </row>
    <row r="1099" spans="1:28" ht="15.75" customHeight="1" x14ac:dyDescent="0.2">
      <c r="A1099" s="36" t="str">
        <f>HYPERLINK("https://www.tunxis.edu", "Tunxis Community College")</f>
        <v>Tunxis Community College</v>
      </c>
      <c r="B1099" s="18" t="s">
        <v>49</v>
      </c>
      <c r="C1099" s="18" t="s">
        <v>94</v>
      </c>
      <c r="D1099" s="18" t="s">
        <v>1286</v>
      </c>
      <c r="E1099" s="18" t="s">
        <v>36</v>
      </c>
      <c r="F1099" s="18" t="s">
        <v>36</v>
      </c>
      <c r="J1099" s="19"/>
      <c r="K1099" s="19">
        <v>0.16789999999999999</v>
      </c>
      <c r="L1099" s="19">
        <v>0.11958405599999999</v>
      </c>
      <c r="M1099" s="19">
        <v>0.22989999999999999</v>
      </c>
      <c r="N1099" s="19">
        <v>9.0899999999999995E-2</v>
      </c>
      <c r="O1099" s="19">
        <v>6.8400000000000002E-2</v>
      </c>
      <c r="P1099" s="19">
        <v>6.25E-2</v>
      </c>
      <c r="Q1099" s="19">
        <v>0.11468381599999999</v>
      </c>
      <c r="R1099" s="20">
        <v>28280</v>
      </c>
      <c r="S1099" s="21" t="str">
        <f>HYPERLINK("https://www.commnet.edu/finaid/netprice/npcalc.htm?coll=J", "$23140")</f>
        <v>$23140</v>
      </c>
      <c r="T1099" s="20">
        <v>23393</v>
      </c>
      <c r="U1099" s="20">
        <v>25588</v>
      </c>
      <c r="V1099" s="20">
        <v>8836</v>
      </c>
      <c r="W1099" s="20">
        <v>14304.759562841529</v>
      </c>
      <c r="Y1099" s="19">
        <v>0.38069999999999998</v>
      </c>
      <c r="Z1099" s="19">
        <v>0.41849999999999998</v>
      </c>
      <c r="AB1099" s="18">
        <v>3436</v>
      </c>
    </row>
    <row r="1100" spans="1:28" ht="15.75" customHeight="1" x14ac:dyDescent="0.2">
      <c r="A1100" s="36" t="str">
        <f>HYPERLINK("https://www.tjc.edu", "Tyler Junior College")</f>
        <v>Tyler Junior College</v>
      </c>
      <c r="B1100" s="18" t="s">
        <v>49</v>
      </c>
      <c r="C1100" s="18" t="s">
        <v>146</v>
      </c>
      <c r="D1100" s="18" t="s">
        <v>1236</v>
      </c>
      <c r="E1100" s="18" t="s">
        <v>36</v>
      </c>
      <c r="F1100" s="18" t="s">
        <v>36</v>
      </c>
      <c r="J1100" s="19"/>
      <c r="K1100" s="19">
        <v>0.16950000000000001</v>
      </c>
      <c r="L1100" s="19">
        <v>0.16883699999999999</v>
      </c>
      <c r="M1100" s="19">
        <v>0.2198</v>
      </c>
      <c r="N1100" s="19">
        <v>0.10059999999999999</v>
      </c>
      <c r="O1100" s="19">
        <v>0.1822</v>
      </c>
      <c r="P1100" s="19">
        <v>0.17649999999999999</v>
      </c>
      <c r="Q1100" s="19">
        <v>9.0909090999999997E-2</v>
      </c>
      <c r="R1100" s="20">
        <v>18986</v>
      </c>
      <c r="S1100" s="21" t="str">
        <f>HYPERLINK("https://www.tjc.edu/costcalc", "$12908")</f>
        <v>$12908</v>
      </c>
      <c r="T1100" s="20">
        <v>15821</v>
      </c>
      <c r="U1100" s="20">
        <v>17070</v>
      </c>
      <c r="V1100" s="20">
        <v>5204</v>
      </c>
      <c r="W1100" s="20">
        <v>7704.2222222222226</v>
      </c>
      <c r="Y1100" s="19">
        <v>0.36659999999999998</v>
      </c>
      <c r="Z1100" s="19">
        <v>0.48820000000000002</v>
      </c>
      <c r="AB1100" s="18">
        <v>9449</v>
      </c>
    </row>
    <row r="1101" spans="1:28" ht="15.75" customHeight="1" x14ac:dyDescent="0.2">
      <c r="A1101" s="36" t="str">
        <f>HYPERLINK("https://www.sunyulster.edu", "SUNY Ulster County Community College")</f>
        <v>SUNY Ulster County Community College</v>
      </c>
      <c r="B1101" s="18" t="s">
        <v>49</v>
      </c>
      <c r="C1101" s="18" t="s">
        <v>38</v>
      </c>
      <c r="D1101" s="18" t="s">
        <v>1734</v>
      </c>
      <c r="E1101" s="18" t="s">
        <v>36</v>
      </c>
      <c r="F1101" s="18" t="s">
        <v>36</v>
      </c>
      <c r="G1101" s="18" t="s">
        <v>51</v>
      </c>
      <c r="I1101" s="18" t="s">
        <v>1735</v>
      </c>
      <c r="J1101" s="19"/>
      <c r="K1101" s="19">
        <v>0.31859999999999999</v>
      </c>
      <c r="L1101" s="19">
        <v>0.239819005</v>
      </c>
      <c r="M1101" s="19">
        <v>0.34920000000000001</v>
      </c>
      <c r="N1101" s="19">
        <v>0.27910000000000001</v>
      </c>
      <c r="O1101" s="19">
        <v>0.14749999999999999</v>
      </c>
      <c r="P1101" s="19">
        <v>0.5</v>
      </c>
      <c r="Q1101" s="19">
        <v>7.7124182999999999E-2</v>
      </c>
      <c r="R1101" s="20">
        <v>14154</v>
      </c>
      <c r="S1101" s="21" t="str">
        <f>HYPERLINK("https://www.suny.edu/howmuch/netpricecalculator.xhtml?bgColor= 8fa5c6&amp;embed=N&amp;headerUrl=www.sunyulster.edu/_global/images/net_price_calc_header.", "$1981")</f>
        <v>$1981</v>
      </c>
      <c r="T1101" s="20">
        <v>6962</v>
      </c>
      <c r="U1101" s="20">
        <v>8540</v>
      </c>
      <c r="V1101" s="20">
        <v>3800</v>
      </c>
      <c r="W1101" s="20">
        <v>-1819</v>
      </c>
      <c r="Y1101" s="19">
        <v>0.2462</v>
      </c>
      <c r="Z1101" s="19">
        <v>0.3226</v>
      </c>
      <c r="AB1101" s="18">
        <v>1981</v>
      </c>
    </row>
    <row r="1102" spans="1:28" ht="15.75" customHeight="1" x14ac:dyDescent="0.2">
      <c r="A1102" s="36" t="str">
        <f>HYPERLINK("https://www.nriinstitute.edu", "Ultrasound Medical Institute")</f>
        <v>Ultrasound Medical Institute</v>
      </c>
      <c r="B1102" s="18" t="s">
        <v>368</v>
      </c>
      <c r="C1102" s="18" t="s">
        <v>162</v>
      </c>
      <c r="D1102" s="18" t="s">
        <v>1736</v>
      </c>
      <c r="E1102" s="18" t="s">
        <v>36</v>
      </c>
      <c r="F1102" s="18" t="s">
        <v>36</v>
      </c>
      <c r="J1102" s="19"/>
      <c r="K1102" s="19">
        <v>9.0899999999999995E-2</v>
      </c>
      <c r="L1102" s="19" t="s">
        <v>36</v>
      </c>
      <c r="M1102" s="19">
        <v>0</v>
      </c>
      <c r="N1102" s="19">
        <v>0</v>
      </c>
      <c r="O1102" s="19">
        <v>0</v>
      </c>
      <c r="P1102" s="19" t="s">
        <v>36</v>
      </c>
      <c r="Q1102" s="19" t="s">
        <v>36</v>
      </c>
      <c r="R1102" s="20" t="s">
        <v>36</v>
      </c>
      <c r="S1102" s="21" t="str">
        <f>HYPERLINK("https://nriinstitute.edu", "Not reported")</f>
        <v>Not reported</v>
      </c>
      <c r="T1102" s="20" t="s">
        <v>36</v>
      </c>
      <c r="U1102" s="20" t="s">
        <v>36</v>
      </c>
      <c r="V1102" s="20" t="s">
        <v>36</v>
      </c>
      <c r="W1102" s="20" t="s">
        <v>36</v>
      </c>
      <c r="Y1102" s="19">
        <v>0.1895</v>
      </c>
      <c r="Z1102" s="19">
        <v>0.86519999999999997</v>
      </c>
      <c r="AB1102" s="18">
        <v>89</v>
      </c>
    </row>
    <row r="1103" spans="1:28" ht="15.75" customHeight="1" x14ac:dyDescent="0.2">
      <c r="A1103" s="36" t="str">
        <f>HYPERLINK("https://www.umpqua.edu/", "Umpqua Community College")</f>
        <v>Umpqua Community College</v>
      </c>
      <c r="B1103" s="18" t="s">
        <v>49</v>
      </c>
      <c r="C1103" s="18" t="s">
        <v>143</v>
      </c>
      <c r="D1103" s="18" t="s">
        <v>1737</v>
      </c>
      <c r="E1103" s="18" t="s">
        <v>36</v>
      </c>
      <c r="F1103" s="18" t="s">
        <v>36</v>
      </c>
      <c r="J1103" s="19"/>
      <c r="K1103" s="19">
        <v>0.19800000000000001</v>
      </c>
      <c r="L1103" s="19">
        <v>0.16711833800000001</v>
      </c>
      <c r="M1103" s="19">
        <v>0.2024</v>
      </c>
      <c r="N1103" s="19" t="s">
        <v>36</v>
      </c>
      <c r="O1103" s="19">
        <v>0.33329999999999999</v>
      </c>
      <c r="P1103" s="19">
        <v>0</v>
      </c>
      <c r="Q1103" s="19">
        <v>3.8436482000000001E-2</v>
      </c>
      <c r="R1103" s="20">
        <v>22145</v>
      </c>
      <c r="S1103" s="21" t="str">
        <f>HYPERLINK("https://www.umpqua.edu/netprice", "$15463")</f>
        <v>$15463</v>
      </c>
      <c r="T1103" s="20">
        <v>18281</v>
      </c>
      <c r="U1103" s="20">
        <v>22145</v>
      </c>
      <c r="V1103" s="20">
        <v>4500</v>
      </c>
      <c r="W1103" s="20">
        <v>10963.48484848485</v>
      </c>
      <c r="Y1103" s="19">
        <v>0.4194</v>
      </c>
      <c r="Z1103" s="19">
        <v>0.20720000000000011</v>
      </c>
      <c r="AB1103" s="18">
        <v>999</v>
      </c>
    </row>
    <row r="1104" spans="1:28" ht="15.75" customHeight="1" x14ac:dyDescent="0.2">
      <c r="A1104" s="36" t="str">
        <f>HYPERLINK("https://www.ucc.edu", "Union County College")</f>
        <v>Union County College</v>
      </c>
      <c r="B1104" s="18" t="s">
        <v>49</v>
      </c>
      <c r="C1104" s="18" t="s">
        <v>141</v>
      </c>
      <c r="D1104" s="18" t="s">
        <v>1738</v>
      </c>
      <c r="E1104" s="18" t="s">
        <v>36</v>
      </c>
      <c r="F1104" s="18" t="s">
        <v>36</v>
      </c>
      <c r="J1104" s="19"/>
      <c r="K1104" s="19">
        <v>0.24079999999999999</v>
      </c>
      <c r="L1104" s="19">
        <v>4.9488055000000003E-2</v>
      </c>
      <c r="M1104" s="19">
        <v>0.38600000000000001</v>
      </c>
      <c r="N1104" s="19">
        <v>0.1956</v>
      </c>
      <c r="O1104" s="19">
        <v>0.19409999999999999</v>
      </c>
      <c r="P1104" s="19">
        <v>0.41860000000000003</v>
      </c>
      <c r="Q1104" s="19">
        <v>0.102798559</v>
      </c>
      <c r="R1104" s="20">
        <v>20058</v>
      </c>
      <c r="S1104" s="21" t="str">
        <f>HYPERLINK("https://www.ucc.edu/documents/admissions-aid/netpricecalculator/npcalc.htm", "$13833")</f>
        <v>$13833</v>
      </c>
      <c r="T1104" s="20">
        <v>16869</v>
      </c>
      <c r="U1104" s="20">
        <v>19109</v>
      </c>
      <c r="V1104" s="20">
        <v>3200</v>
      </c>
      <c r="W1104" s="20">
        <v>10633.741248097411</v>
      </c>
      <c r="Y1104" s="19">
        <v>0.42680000000000001</v>
      </c>
      <c r="Z1104" s="19">
        <v>0.83189999999999997</v>
      </c>
      <c r="AB1104" s="18">
        <v>9317</v>
      </c>
    </row>
    <row r="1105" spans="1:28" ht="15.75" customHeight="1" x14ac:dyDescent="0.2">
      <c r="A1105" s="36" t="str">
        <f>HYPERLINK("https://www.uttc.edu/", "United Tribes Technical College")</f>
        <v>United Tribes Technical College</v>
      </c>
      <c r="B1105" s="18" t="s">
        <v>32</v>
      </c>
      <c r="C1105" s="18" t="s">
        <v>730</v>
      </c>
      <c r="D1105" s="18" t="s">
        <v>965</v>
      </c>
      <c r="E1105" s="18" t="s">
        <v>36</v>
      </c>
      <c r="F1105" s="18" t="s">
        <v>36</v>
      </c>
      <c r="J1105" s="19"/>
      <c r="K1105" s="19">
        <v>7.2599999999999998E-2</v>
      </c>
      <c r="L1105" s="19" t="s">
        <v>36</v>
      </c>
      <c r="M1105" s="19">
        <v>0.25</v>
      </c>
      <c r="N1105" s="19">
        <v>0.25</v>
      </c>
      <c r="O1105" s="19">
        <v>0</v>
      </c>
      <c r="P1105" s="19" t="s">
        <v>36</v>
      </c>
      <c r="Q1105" s="19" t="s">
        <v>36</v>
      </c>
      <c r="R1105" s="20">
        <v>12822</v>
      </c>
      <c r="S1105" s="21" t="str">
        <f>HYPERLINK("https://my.uttc.edu/ICS/Admissions/NetPrice.jnz", "$5232")</f>
        <v>$5232</v>
      </c>
      <c r="T1105" s="20">
        <v>5802</v>
      </c>
      <c r="U1105" s="20">
        <v>12398</v>
      </c>
      <c r="V1105" s="20">
        <v>3470</v>
      </c>
      <c r="W1105" s="20">
        <v>1762</v>
      </c>
      <c r="Y1105" s="19">
        <v>0.68320000000000003</v>
      </c>
      <c r="Z1105" s="19">
        <v>0.94699999999999995</v>
      </c>
      <c r="AB1105" s="18">
        <v>302</v>
      </c>
    </row>
    <row r="1106" spans="1:28" ht="15.75" customHeight="1" x14ac:dyDescent="0.2">
      <c r="A1106" s="17" t="str">
        <f>HYPERLINK("https://www.uti.edu", "Universal Technical Institute of Arizona Inc")</f>
        <v>Universal Technical Institute of Arizona Inc</v>
      </c>
      <c r="B1106" s="18" t="s">
        <v>368</v>
      </c>
      <c r="C1106" s="18" t="s">
        <v>354</v>
      </c>
      <c r="D1106" s="18" t="s">
        <v>1314</v>
      </c>
      <c r="E1106" s="18" t="s">
        <v>36</v>
      </c>
      <c r="F1106" s="18" t="s">
        <v>36</v>
      </c>
      <c r="J1106" s="19"/>
      <c r="K1106" s="19">
        <v>0.63829999999999998</v>
      </c>
      <c r="L1106" s="19">
        <v>0.55088131600000001</v>
      </c>
      <c r="M1106" s="19">
        <v>0.6764</v>
      </c>
      <c r="N1106" s="19">
        <v>0.32140000000000002</v>
      </c>
      <c r="O1106" s="19">
        <v>0.64929999999999999</v>
      </c>
      <c r="P1106" s="19">
        <v>0.74070000000000003</v>
      </c>
      <c r="Q1106" s="19">
        <v>7.5766830000000007E-3</v>
      </c>
      <c r="R1106" s="20" t="s">
        <v>36</v>
      </c>
      <c r="S1106" s="33" t="str">
        <f>HYPERLINK("https://www.uti.edu/student-services/financial-aid/npc", "$19111")</f>
        <v>$19111</v>
      </c>
      <c r="T1106" s="20">
        <v>21956</v>
      </c>
      <c r="U1106" s="20">
        <v>23282</v>
      </c>
      <c r="V1106" s="20" t="s">
        <v>36</v>
      </c>
      <c r="W1106" s="20" t="s">
        <v>36</v>
      </c>
      <c r="Y1106" s="19">
        <v>0.45029999999999998</v>
      </c>
      <c r="Z1106" s="19">
        <v>0.56940000000000002</v>
      </c>
      <c r="AB1106" s="18">
        <v>1860</v>
      </c>
    </row>
    <row r="1107" spans="1:28" ht="15.75" customHeight="1" x14ac:dyDescent="0.2">
      <c r="A1107" s="17" t="str">
        <f>HYPERLINK("https://www.uti.edu/", "Universal Technical Institute of Pennsylvania Inc")</f>
        <v>Universal Technical Institute of Pennsylvania Inc</v>
      </c>
      <c r="B1107" s="18" t="s">
        <v>368</v>
      </c>
      <c r="C1107" s="18" t="s">
        <v>65</v>
      </c>
      <c r="D1107" s="18" t="s">
        <v>1739</v>
      </c>
      <c r="E1107" s="18" t="s">
        <v>36</v>
      </c>
      <c r="F1107" s="18" t="s">
        <v>36</v>
      </c>
      <c r="J1107" s="19"/>
      <c r="K1107" s="19">
        <v>0.62829999999999997</v>
      </c>
      <c r="L1107" s="19">
        <v>0.50894225900000001</v>
      </c>
      <c r="M1107" s="19">
        <v>0.68369999999999997</v>
      </c>
      <c r="N1107" s="19">
        <v>0.43959999999999999</v>
      </c>
      <c r="O1107" s="19">
        <v>0.59730000000000005</v>
      </c>
      <c r="P1107" s="19">
        <v>0.81820000000000004</v>
      </c>
      <c r="Q1107" s="19">
        <v>3.7705360000000001E-3</v>
      </c>
      <c r="R1107" s="20" t="s">
        <v>36</v>
      </c>
      <c r="S1107" s="33" t="str">
        <f>HYPERLINK("https://www.uti.edu/student-services/financial-aid/npc", "$16011")</f>
        <v>$16011</v>
      </c>
      <c r="T1107" s="20">
        <v>19178</v>
      </c>
      <c r="U1107" s="20">
        <v>21056</v>
      </c>
      <c r="V1107" s="20" t="s">
        <v>36</v>
      </c>
      <c r="W1107" s="20" t="s">
        <v>36</v>
      </c>
      <c r="Y1107" s="19">
        <v>0.38890000000000002</v>
      </c>
      <c r="Z1107" s="19">
        <v>0.42720000000000002</v>
      </c>
      <c r="AB1107" s="18">
        <v>1311</v>
      </c>
    </row>
    <row r="1108" spans="1:28" ht="15.75" customHeight="1" x14ac:dyDescent="0.2">
      <c r="A1108" s="17" t="str">
        <f>HYPERLINK("https://www.wayne.uakron.edu", "University of Akron Wayne College")</f>
        <v>University of Akron Wayne College</v>
      </c>
      <c r="B1108" s="18" t="s">
        <v>49</v>
      </c>
      <c r="C1108" s="18" t="s">
        <v>75</v>
      </c>
      <c r="D1108" s="18" t="s">
        <v>1740</v>
      </c>
      <c r="E1108" s="18" t="s">
        <v>36</v>
      </c>
      <c r="F1108" s="18" t="s">
        <v>36</v>
      </c>
      <c r="J1108" s="19"/>
      <c r="K1108" s="19">
        <v>1.6799999999999999E-2</v>
      </c>
      <c r="L1108" s="19">
        <v>0.25358851700000001</v>
      </c>
      <c r="M1108" s="19">
        <v>1.8700000000000001E-2</v>
      </c>
      <c r="N1108" s="19">
        <v>0</v>
      </c>
      <c r="O1108" s="19">
        <v>0</v>
      </c>
      <c r="P1108" s="19">
        <v>0</v>
      </c>
      <c r="Q1108" s="19">
        <v>6.9845856999999997E-2</v>
      </c>
      <c r="R1108" s="20">
        <v>29151</v>
      </c>
      <c r="S1108" s="33" t="str">
        <f>HYPERLINK("https://wayne.uakron.edu/admissions/financial-aid/net-price-calculator.dot", "$22784")</f>
        <v>$22784</v>
      </c>
      <c r="T1108" s="20">
        <v>25077</v>
      </c>
      <c r="U1108" s="20">
        <v>27505</v>
      </c>
      <c r="V1108" s="20">
        <v>4066</v>
      </c>
      <c r="W1108" s="20">
        <v>18718.26966292135</v>
      </c>
      <c r="Y1108" s="19">
        <v>0.2356</v>
      </c>
      <c r="Z1108" s="19">
        <v>0.14680000000000001</v>
      </c>
      <c r="AB1108" s="18">
        <v>913</v>
      </c>
    </row>
    <row r="1109" spans="1:28" ht="15.75" customHeight="1" x14ac:dyDescent="0.2">
      <c r="A1109" s="17" t="str">
        <f>HYPERLINK("https://www.ucblueash.edu/", "University of Cincinnati-Blue Ash College")</f>
        <v>University of Cincinnati-Blue Ash College</v>
      </c>
      <c r="B1109" s="18" t="s">
        <v>49</v>
      </c>
      <c r="C1109" s="18" t="s">
        <v>75</v>
      </c>
      <c r="D1109" s="18" t="s">
        <v>1741</v>
      </c>
      <c r="E1109" s="18" t="s">
        <v>36</v>
      </c>
      <c r="F1109" s="18" t="s">
        <v>36</v>
      </c>
      <c r="J1109" s="19"/>
      <c r="K1109" s="19">
        <v>0.22570000000000001</v>
      </c>
      <c r="L1109" s="19">
        <v>0.31038062300000002</v>
      </c>
      <c r="M1109" s="19">
        <v>0.28050000000000003</v>
      </c>
      <c r="N1109" s="19">
        <v>9.7900000000000001E-2</v>
      </c>
      <c r="O1109" s="19">
        <v>0.23810000000000001</v>
      </c>
      <c r="P1109" s="19">
        <v>0.44</v>
      </c>
      <c r="Q1109" s="19">
        <v>6.6198595999999998E-2</v>
      </c>
      <c r="R1109" s="20">
        <v>34076</v>
      </c>
      <c r="S1109" s="33" t="str">
        <f>HYPERLINK("https://npc.collegeboard.org/student/app/uc", "$27814")</f>
        <v>$27814</v>
      </c>
      <c r="T1109" s="20">
        <v>31425</v>
      </c>
      <c r="U1109" s="20">
        <v>33504</v>
      </c>
      <c r="V1109" s="20">
        <v>7166</v>
      </c>
      <c r="W1109" s="20">
        <v>20648.42045454546</v>
      </c>
      <c r="X1109" s="18" t="s">
        <v>37</v>
      </c>
      <c r="Y1109" s="19">
        <v>0.38579999999999998</v>
      </c>
      <c r="Z1109" s="19">
        <v>0.40289999999999998</v>
      </c>
      <c r="AB1109" s="18">
        <v>4495</v>
      </c>
    </row>
    <row r="1110" spans="1:28" ht="15.75" customHeight="1" x14ac:dyDescent="0.2">
      <c r="A1110" s="17" t="str">
        <f>HYPERLINK("https://www.ucclermont.edu/", "University of Cincinnati-Clermont College")</f>
        <v>University of Cincinnati-Clermont College</v>
      </c>
      <c r="B1110" s="18" t="s">
        <v>49</v>
      </c>
      <c r="C1110" s="18" t="s">
        <v>75</v>
      </c>
      <c r="D1110" s="18" t="s">
        <v>1354</v>
      </c>
      <c r="E1110" s="18" t="s">
        <v>36</v>
      </c>
      <c r="F1110" s="18" t="s">
        <v>36</v>
      </c>
      <c r="J1110" s="19"/>
      <c r="K1110" s="19">
        <v>0.24590000000000001</v>
      </c>
      <c r="L1110" s="19">
        <v>0.31038062300000002</v>
      </c>
      <c r="M1110" s="19">
        <v>0.26129999999999998</v>
      </c>
      <c r="N1110" s="19">
        <v>0.1053</v>
      </c>
      <c r="O1110" s="19">
        <v>0.1</v>
      </c>
      <c r="P1110" s="19">
        <v>0.5</v>
      </c>
      <c r="Q1110" s="19">
        <v>6.6198595999999998E-2</v>
      </c>
      <c r="R1110" s="20">
        <v>31816</v>
      </c>
      <c r="S1110" s="33" t="str">
        <f>HYPERLINK("https://npc.collegeboard.org/student/app/uc", "$26317")</f>
        <v>$26317</v>
      </c>
      <c r="T1110" s="20">
        <v>29228</v>
      </c>
      <c r="U1110" s="20">
        <v>30957</v>
      </c>
      <c r="V1110" s="20">
        <v>7166</v>
      </c>
      <c r="W1110" s="20">
        <v>19151.11042944785</v>
      </c>
      <c r="Y1110" s="19">
        <v>0.31559999999999999</v>
      </c>
      <c r="Z1110" s="19">
        <v>0.1679999999999999</v>
      </c>
      <c r="AB1110" s="18">
        <v>2238</v>
      </c>
    </row>
    <row r="1111" spans="1:28" ht="15.75" customHeight="1" x14ac:dyDescent="0.2">
      <c r="A1111" s="17" t="str">
        <f>HYPERLINK("https://uftl.edu/", "University of Fort Lauderdale")</f>
        <v>University of Fort Lauderdale</v>
      </c>
      <c r="B1111" s="18" t="s">
        <v>32</v>
      </c>
      <c r="C1111" s="18" t="s">
        <v>162</v>
      </c>
      <c r="D1111" s="18" t="s">
        <v>1742</v>
      </c>
      <c r="E1111" s="18" t="s">
        <v>36</v>
      </c>
      <c r="F1111" s="18" t="s">
        <v>36</v>
      </c>
      <c r="J1111" s="19"/>
      <c r="K1111" s="19">
        <v>0.1429</v>
      </c>
      <c r="L1111" s="19" t="s">
        <v>36</v>
      </c>
      <c r="M1111" s="19" t="s">
        <v>36</v>
      </c>
      <c r="N1111" s="19">
        <v>0.1429</v>
      </c>
      <c r="O1111" s="19" t="s">
        <v>36</v>
      </c>
      <c r="P1111" s="19" t="s">
        <v>36</v>
      </c>
      <c r="Q1111" s="19" t="s">
        <v>36</v>
      </c>
      <c r="R1111" s="20">
        <v>20839</v>
      </c>
      <c r="S1111" s="33" t="str">
        <f>HYPERLINK("https://uftl.edu/UFTLFinancialAid.php", "$8218")</f>
        <v>$8218</v>
      </c>
      <c r="T1111" s="20" t="s">
        <v>36</v>
      </c>
      <c r="U1111" s="20" t="s">
        <v>36</v>
      </c>
      <c r="V1111" s="20">
        <v>5155</v>
      </c>
      <c r="W1111" s="20">
        <v>3063</v>
      </c>
      <c r="Y1111" s="19">
        <v>0.68969999999999998</v>
      </c>
      <c r="Z1111" s="19">
        <v>0.98250000000000004</v>
      </c>
      <c r="AB1111" s="18">
        <v>57</v>
      </c>
    </row>
    <row r="1112" spans="1:28" ht="15.75" customHeight="1" x14ac:dyDescent="0.2">
      <c r="A1112" s="17" t="str">
        <f>HYPERLINK("https://maui.hawaii.edu", "University of Hawaii Maui College")</f>
        <v>University of Hawaii Maui College</v>
      </c>
      <c r="B1112" s="18" t="s">
        <v>49</v>
      </c>
      <c r="C1112" s="18" t="s">
        <v>313</v>
      </c>
      <c r="D1112" s="18" t="s">
        <v>1743</v>
      </c>
      <c r="E1112" s="18" t="s">
        <v>36</v>
      </c>
      <c r="F1112" s="18" t="s">
        <v>36</v>
      </c>
      <c r="J1112" s="19"/>
      <c r="K1112" s="19">
        <v>0.16769999999999999</v>
      </c>
      <c r="L1112" s="19">
        <v>0.23058542400000001</v>
      </c>
      <c r="M1112" s="19">
        <v>0.22220000000000001</v>
      </c>
      <c r="N1112" s="19">
        <v>0</v>
      </c>
      <c r="O1112" s="19">
        <v>0.1739</v>
      </c>
      <c r="P1112" s="19">
        <v>0.21929999999999999</v>
      </c>
      <c r="Q1112" s="19">
        <v>3.5087719000000003E-2</v>
      </c>
      <c r="R1112" s="20">
        <v>30478</v>
      </c>
      <c r="S1112" s="33" t="str">
        <f>HYPERLINK("https://maui.hawaii.edu/netpricecalculator/", "$25326")</f>
        <v>$25326</v>
      </c>
      <c r="T1112" s="20">
        <v>27426</v>
      </c>
      <c r="U1112" s="20">
        <v>29368</v>
      </c>
      <c r="V1112" s="20">
        <v>7522</v>
      </c>
      <c r="W1112" s="20">
        <v>17804.48201438849</v>
      </c>
      <c r="Y1112" s="19">
        <v>0.34410000000000002</v>
      </c>
      <c r="Z1112" s="19">
        <v>0.83630000000000004</v>
      </c>
      <c r="AB1112" s="18">
        <v>2621</v>
      </c>
    </row>
    <row r="1113" spans="1:28" ht="15.75" customHeight="1" x14ac:dyDescent="0.2">
      <c r="A1113" s="17" t="str">
        <f>HYPERLINK("https://www.gallup.unm.edu", "University of New Mexico-Gallup Campus")</f>
        <v>University of New Mexico-Gallup Campus</v>
      </c>
      <c r="B1113" s="18" t="s">
        <v>49</v>
      </c>
      <c r="C1113" s="18" t="s">
        <v>234</v>
      </c>
      <c r="D1113" s="18" t="s">
        <v>1744</v>
      </c>
      <c r="E1113" s="18" t="s">
        <v>36</v>
      </c>
      <c r="F1113" s="18" t="s">
        <v>36</v>
      </c>
      <c r="J1113" s="19"/>
      <c r="K1113" s="19">
        <v>0.12559999999999999</v>
      </c>
      <c r="L1113" s="19">
        <v>0.29735506299999998</v>
      </c>
      <c r="M1113" s="19">
        <v>0.33329999999999999</v>
      </c>
      <c r="N1113" s="19" t="s">
        <v>36</v>
      </c>
      <c r="O1113" s="19">
        <v>0.16669999999999999</v>
      </c>
      <c r="P1113" s="19">
        <v>0</v>
      </c>
      <c r="Q1113" s="19">
        <v>5.1956181999999997E-2</v>
      </c>
      <c r="R1113" s="20">
        <v>20728</v>
      </c>
      <c r="S1113" s="33" t="str">
        <f>HYPERLINK("https://npc.collegeboard.org/student/app/unm", "$15368")</f>
        <v>$15368</v>
      </c>
      <c r="T1113" s="20">
        <v>18053</v>
      </c>
      <c r="U1113" s="20">
        <v>19663</v>
      </c>
      <c r="V1113" s="20">
        <v>6358</v>
      </c>
      <c r="W1113" s="20">
        <v>9010.1392405063289</v>
      </c>
      <c r="Y1113" s="19">
        <v>0.58350000000000002</v>
      </c>
      <c r="Z1113" s="19">
        <v>0.95940000000000003</v>
      </c>
      <c r="AB1113" s="18">
        <v>1723</v>
      </c>
    </row>
    <row r="1114" spans="1:28" ht="15.75" customHeight="1" x14ac:dyDescent="0.2">
      <c r="A1114" s="17" t="str">
        <f>HYPERLINK("https://losalamos.unm.edu", "University of New Mexico-Los Alamos Campus")</f>
        <v>University of New Mexico-Los Alamos Campus</v>
      </c>
      <c r="B1114" s="18" t="s">
        <v>49</v>
      </c>
      <c r="C1114" s="18" t="s">
        <v>234</v>
      </c>
      <c r="D1114" s="18" t="s">
        <v>1745</v>
      </c>
      <c r="E1114" s="18" t="s">
        <v>36</v>
      </c>
      <c r="F1114" s="18" t="s">
        <v>36</v>
      </c>
      <c r="J1114" s="19"/>
      <c r="K1114" s="19">
        <v>0.1077</v>
      </c>
      <c r="L1114" s="19">
        <v>0.29735506299999998</v>
      </c>
      <c r="M1114" s="19">
        <v>9.0899999999999995E-2</v>
      </c>
      <c r="N1114" s="19" t="s">
        <v>36</v>
      </c>
      <c r="O1114" s="19">
        <v>0.14710000000000001</v>
      </c>
      <c r="P1114" s="19">
        <v>0</v>
      </c>
      <c r="Q1114" s="19">
        <v>5.1956181999999997E-2</v>
      </c>
      <c r="R1114" s="20">
        <v>20286</v>
      </c>
      <c r="S1114" s="33" t="str">
        <f>HYPERLINK("https://npc.collegeboard.org/student/app/unm", "$15101")</f>
        <v>$15101</v>
      </c>
      <c r="T1114" s="20">
        <v>18654</v>
      </c>
      <c r="U1114" s="20">
        <v>20286</v>
      </c>
      <c r="V1114" s="20">
        <v>5036</v>
      </c>
      <c r="W1114" s="20">
        <v>10065.296296296299</v>
      </c>
      <c r="Y1114" s="19">
        <v>0.36280000000000001</v>
      </c>
      <c r="Z1114" s="19">
        <v>0.70819999999999994</v>
      </c>
      <c r="AB1114" s="18">
        <v>682</v>
      </c>
    </row>
    <row r="1115" spans="1:28" ht="15.75" customHeight="1" x14ac:dyDescent="0.2">
      <c r="A1115" s="17" t="str">
        <f>HYPERLINK("https://taos.unm.edu/index.html", "University of New Mexico-Taos Campus")</f>
        <v>University of New Mexico-Taos Campus</v>
      </c>
      <c r="B1115" s="18" t="s">
        <v>49</v>
      </c>
      <c r="C1115" s="18" t="s">
        <v>234</v>
      </c>
      <c r="D1115" s="18" t="s">
        <v>1746</v>
      </c>
      <c r="E1115" s="18" t="s">
        <v>36</v>
      </c>
      <c r="F1115" s="18" t="s">
        <v>36</v>
      </c>
      <c r="J1115" s="19"/>
      <c r="K1115" s="19">
        <v>0.27839999999999998</v>
      </c>
      <c r="L1115" s="19">
        <v>0.29735506299999998</v>
      </c>
      <c r="M1115" s="19">
        <v>0.35289999999999999</v>
      </c>
      <c r="N1115" s="19">
        <v>0</v>
      </c>
      <c r="O1115" s="19">
        <v>0.25369999999999998</v>
      </c>
      <c r="P1115" s="19" t="s">
        <v>36</v>
      </c>
      <c r="Q1115" s="19">
        <v>5.1956181999999997E-2</v>
      </c>
      <c r="R1115" s="20">
        <v>20874</v>
      </c>
      <c r="S1115" s="33" t="str">
        <f>HYPERLINK("https://npc.collegeboard.org/student/app/unm", "$15709")</f>
        <v>$15709</v>
      </c>
      <c r="T1115" s="20">
        <v>18501</v>
      </c>
      <c r="U1115" s="20" t="s">
        <v>36</v>
      </c>
      <c r="V1115" s="20">
        <v>6358</v>
      </c>
      <c r="W1115" s="20">
        <v>9351.9166666666679</v>
      </c>
      <c r="Y1115" s="19">
        <v>0.35160000000000002</v>
      </c>
      <c r="Z1115" s="19">
        <v>0.73470000000000002</v>
      </c>
      <c r="AB1115" s="18">
        <v>671</v>
      </c>
    </row>
    <row r="1116" spans="1:28" ht="15.75" customHeight="1" x14ac:dyDescent="0.2">
      <c r="A1116" s="17" t="str">
        <f>HYPERLINK("https://www.unoh.edu", "University of Northwestern Ohio")</f>
        <v>University of Northwestern Ohio</v>
      </c>
      <c r="B1116" s="18" t="s">
        <v>32</v>
      </c>
      <c r="C1116" s="18" t="s">
        <v>75</v>
      </c>
      <c r="D1116" s="18" t="s">
        <v>1442</v>
      </c>
      <c r="E1116" s="18" t="s">
        <v>36</v>
      </c>
      <c r="F1116" s="18" t="s">
        <v>36</v>
      </c>
      <c r="J1116" s="19"/>
      <c r="K1116" s="19">
        <v>0.56659999999999999</v>
      </c>
      <c r="L1116" s="19">
        <v>0.37906976700000011</v>
      </c>
      <c r="M1116" s="19">
        <v>0.55520000000000003</v>
      </c>
      <c r="N1116" s="19">
        <v>0.2</v>
      </c>
      <c r="O1116" s="19">
        <v>0.5</v>
      </c>
      <c r="P1116" s="19">
        <v>1</v>
      </c>
      <c r="Q1116" s="19">
        <v>1.1038635E-2</v>
      </c>
      <c r="R1116" s="20">
        <v>23600</v>
      </c>
      <c r="S1116" s="33" t="str">
        <f>HYPERLINK("https://www.unoh.edu/offices/financial-aid/npcalc.shtml", "$15247")</f>
        <v>$15247</v>
      </c>
      <c r="T1116" s="20">
        <v>19407</v>
      </c>
      <c r="U1116" s="20">
        <v>21396</v>
      </c>
      <c r="V1116" s="20">
        <v>5700</v>
      </c>
      <c r="W1116" s="20">
        <v>9547</v>
      </c>
      <c r="Y1116" s="19">
        <v>0.41039999999999999</v>
      </c>
      <c r="Z1116" s="19">
        <v>0.34039999999999998</v>
      </c>
      <c r="AB1116" s="18">
        <v>3625</v>
      </c>
    </row>
    <row r="1117" spans="1:28" ht="15.75" customHeight="1" x14ac:dyDescent="0.2">
      <c r="A1117" s="17" t="str">
        <f>HYPERLINK("https://www.upt.pitt.edu", "University of Pittsburgh-Titusville")</f>
        <v>University of Pittsburgh-Titusville</v>
      </c>
      <c r="B1117" s="18" t="s">
        <v>49</v>
      </c>
      <c r="C1117" s="18" t="s">
        <v>65</v>
      </c>
      <c r="D1117" s="18" t="s">
        <v>1747</v>
      </c>
      <c r="E1117" s="18">
        <v>955</v>
      </c>
      <c r="F1117" s="18" t="s">
        <v>35</v>
      </c>
      <c r="J1117" s="19"/>
      <c r="K1117" s="19">
        <v>0.22220000000000001</v>
      </c>
      <c r="L1117" s="19">
        <v>0.53456221199999998</v>
      </c>
      <c r="M1117" s="19">
        <v>0.22</v>
      </c>
      <c r="N1117" s="19">
        <v>0.25</v>
      </c>
      <c r="O1117" s="19">
        <v>0.2</v>
      </c>
      <c r="P1117" s="19">
        <v>0.2</v>
      </c>
      <c r="Q1117" s="19">
        <v>8.5339943000000001E-2</v>
      </c>
      <c r="R1117" s="20">
        <v>37265</v>
      </c>
      <c r="S1117" s="33" t="str">
        <f>HYPERLINK("https://npc.collegeboard.org/student/app/pitt", "$27330")</f>
        <v>$27330</v>
      </c>
      <c r="T1117" s="20">
        <v>30337</v>
      </c>
      <c r="U1117" s="20">
        <v>34048</v>
      </c>
      <c r="V1117" s="20">
        <v>5153</v>
      </c>
      <c r="W1117" s="20">
        <v>22177.5</v>
      </c>
      <c r="Y1117" s="19">
        <v>0.62050000000000005</v>
      </c>
      <c r="Z1117" s="19">
        <v>0.30819999999999997</v>
      </c>
      <c r="AB1117" s="18">
        <v>292</v>
      </c>
    </row>
    <row r="1118" spans="1:28" ht="15.75" customHeight="1" x14ac:dyDescent="0.2">
      <c r="A1118" s="17" t="str">
        <f>HYPERLINK("https://www.rio.edu", "University of Rio Grande")</f>
        <v>University of Rio Grande</v>
      </c>
      <c r="B1118" s="18" t="s">
        <v>32</v>
      </c>
      <c r="C1118" s="18" t="s">
        <v>75</v>
      </c>
      <c r="D1118" s="18" t="s">
        <v>1539</v>
      </c>
      <c r="E1118" s="18" t="s">
        <v>36</v>
      </c>
      <c r="F1118" s="18" t="s">
        <v>36</v>
      </c>
      <c r="J1118" s="19"/>
      <c r="K1118" s="19">
        <v>0.38629999999999998</v>
      </c>
      <c r="L1118" s="19">
        <v>5.0485437000000001E-2</v>
      </c>
      <c r="M1118" s="19">
        <v>0.39290000000000003</v>
      </c>
      <c r="N1118" s="19">
        <v>0.31580000000000003</v>
      </c>
      <c r="O1118" s="19">
        <v>0</v>
      </c>
      <c r="P1118" s="19">
        <v>0</v>
      </c>
      <c r="Q1118" s="19">
        <v>7.8280044000000007E-2</v>
      </c>
      <c r="R1118" s="20">
        <v>42033</v>
      </c>
      <c r="S1118" s="33" t="str">
        <f>HYPERLINK("https://hope.rio.edu/NetPriceCalculator/npcalc.htm", "$31007")</f>
        <v>$31007</v>
      </c>
      <c r="T1118" s="20">
        <v>33049</v>
      </c>
      <c r="U1118" s="20">
        <v>35763</v>
      </c>
      <c r="V1118" s="20">
        <v>5228</v>
      </c>
      <c r="W1118" s="20">
        <v>25779</v>
      </c>
      <c r="Y1118" s="19">
        <v>0.53349999999999997</v>
      </c>
      <c r="Z1118" s="19">
        <v>0.21930000000000011</v>
      </c>
      <c r="AB1118" s="18">
        <v>935</v>
      </c>
    </row>
    <row r="1119" spans="1:28" ht="15.75" customHeight="1" x14ac:dyDescent="0.2">
      <c r="A1119" s="17" t="str">
        <f>HYPERLINK("https://usclancaster.sc.edu/", "University of South Carolina-Lancaster")</f>
        <v>University of South Carolina-Lancaster</v>
      </c>
      <c r="B1119" s="18" t="s">
        <v>49</v>
      </c>
      <c r="C1119" s="18" t="s">
        <v>208</v>
      </c>
      <c r="D1119" s="18" t="s">
        <v>112</v>
      </c>
      <c r="E1119" s="18">
        <v>991</v>
      </c>
      <c r="F1119" s="18" t="s">
        <v>35</v>
      </c>
      <c r="J1119" s="19"/>
      <c r="K1119" s="19">
        <v>0.2276</v>
      </c>
      <c r="L1119" s="19">
        <v>0.61219512200000004</v>
      </c>
      <c r="M1119" s="19">
        <v>0.21859999999999999</v>
      </c>
      <c r="N1119" s="19">
        <v>0.18640000000000001</v>
      </c>
      <c r="O1119" s="19">
        <v>0.2</v>
      </c>
      <c r="P1119" s="19">
        <v>0</v>
      </c>
      <c r="Q1119" s="19">
        <v>7.84604E-2</v>
      </c>
      <c r="R1119" s="20">
        <v>32683</v>
      </c>
      <c r="S1119" s="33" t="str">
        <f>HYPERLINK("https://sc.edu/pcnetprice/lancaster/", "$24437")</f>
        <v>$24437</v>
      </c>
      <c r="T1119" s="20">
        <v>27408</v>
      </c>
      <c r="U1119" s="20">
        <v>28099</v>
      </c>
      <c r="V1119" s="20">
        <v>8515</v>
      </c>
      <c r="W1119" s="20">
        <v>15922.21008403361</v>
      </c>
      <c r="Y1119" s="19">
        <v>0.2369</v>
      </c>
      <c r="Z1119" s="19">
        <v>0.35920000000000002</v>
      </c>
      <c r="AB1119" s="18">
        <v>813</v>
      </c>
    </row>
    <row r="1120" spans="1:28" ht="15.75" customHeight="1" x14ac:dyDescent="0.2">
      <c r="A1120" s="17" t="str">
        <f>HYPERLINK("https://uscsalkehatchie.sc.edu/", "University of South Carolina-Salkehatchie")</f>
        <v>University of South Carolina-Salkehatchie</v>
      </c>
      <c r="B1120" s="18" t="s">
        <v>49</v>
      </c>
      <c r="C1120" s="18" t="s">
        <v>208</v>
      </c>
      <c r="D1120" s="18" t="s">
        <v>370</v>
      </c>
      <c r="E1120" s="18">
        <v>875</v>
      </c>
      <c r="F1120" s="18" t="s">
        <v>35</v>
      </c>
      <c r="J1120" s="19"/>
      <c r="K1120" s="19">
        <v>0.22320000000000001</v>
      </c>
      <c r="L1120" s="19">
        <v>0.108761329</v>
      </c>
      <c r="M1120" s="19">
        <v>0.31069999999999998</v>
      </c>
      <c r="N1120" s="19">
        <v>0.1154</v>
      </c>
      <c r="O1120" s="19">
        <v>0.125</v>
      </c>
      <c r="P1120" s="19" t="s">
        <v>36</v>
      </c>
      <c r="Q1120" s="19">
        <v>0.12636165599999999</v>
      </c>
      <c r="R1120" s="20">
        <v>32683</v>
      </c>
      <c r="S1120" s="33" t="str">
        <f>HYPERLINK("https://sc.edu/pcnetprice/salkehatchie/", "$25248")</f>
        <v>$25248</v>
      </c>
      <c r="T1120" s="20">
        <v>27153</v>
      </c>
      <c r="U1120" s="20">
        <v>28907</v>
      </c>
      <c r="V1120" s="20">
        <v>8515</v>
      </c>
      <c r="W1120" s="20">
        <v>16733.514285714289</v>
      </c>
      <c r="Y1120" s="19">
        <v>0.38350000000000001</v>
      </c>
      <c r="Z1120" s="19">
        <v>0.54830000000000001</v>
      </c>
      <c r="AB1120" s="18">
        <v>549</v>
      </c>
    </row>
    <row r="1121" spans="1:28" ht="15.75" customHeight="1" x14ac:dyDescent="0.2">
      <c r="A1121" s="17" t="str">
        <f>HYPERLINK("https://www.uscsumter.edu/", "University of South Carolina-Sumter")</f>
        <v>University of South Carolina-Sumter</v>
      </c>
      <c r="B1121" s="18" t="s">
        <v>49</v>
      </c>
      <c r="C1121" s="18" t="s">
        <v>208</v>
      </c>
      <c r="D1121" s="18" t="s">
        <v>787</v>
      </c>
      <c r="E1121" s="18">
        <v>984</v>
      </c>
      <c r="F1121" s="18" t="s">
        <v>35</v>
      </c>
      <c r="J1121" s="19"/>
      <c r="K1121" s="19">
        <v>0.25869999999999999</v>
      </c>
      <c r="L1121" s="19">
        <v>7.9754600999999994E-2</v>
      </c>
      <c r="M1121" s="19">
        <v>0.20449999999999999</v>
      </c>
      <c r="N1121" s="19">
        <v>0.35289999999999999</v>
      </c>
      <c r="O1121" s="19">
        <v>0.25</v>
      </c>
      <c r="P1121" s="19">
        <v>0.33329999999999999</v>
      </c>
      <c r="Q1121" s="19">
        <v>0.29483282700000002</v>
      </c>
      <c r="R1121" s="20">
        <v>32683</v>
      </c>
      <c r="S1121" s="33" t="str">
        <f>HYPERLINK("https://sc.edu/pcnetprice/sumter/", "$23326")</f>
        <v>$23326</v>
      </c>
      <c r="T1121" s="20">
        <v>26401</v>
      </c>
      <c r="U1121" s="20">
        <v>27884</v>
      </c>
      <c r="V1121" s="20">
        <v>8515</v>
      </c>
      <c r="W1121" s="20">
        <v>14811.695121951219</v>
      </c>
      <c r="Y1121" s="19">
        <v>0.33960000000000001</v>
      </c>
      <c r="Z1121" s="19">
        <v>0.46760000000000002</v>
      </c>
      <c r="AB1121" s="18">
        <v>633</v>
      </c>
    </row>
    <row r="1122" spans="1:28" ht="15.75" customHeight="1" x14ac:dyDescent="0.2">
      <c r="A1122" s="17" t="str">
        <f>HYPERLINK("https://uscunion.sc.edu/", "University of South Carolina-Union")</f>
        <v>University of South Carolina-Union</v>
      </c>
      <c r="B1122" s="18" t="s">
        <v>49</v>
      </c>
      <c r="C1122" s="18" t="s">
        <v>208</v>
      </c>
      <c r="D1122" s="18" t="s">
        <v>870</v>
      </c>
      <c r="E1122" s="18">
        <v>887</v>
      </c>
      <c r="F1122" s="18" t="s">
        <v>35</v>
      </c>
      <c r="J1122" s="19"/>
      <c r="K1122" s="19">
        <v>0.1298</v>
      </c>
      <c r="L1122" s="19">
        <v>0.20740740699999999</v>
      </c>
      <c r="M1122" s="19">
        <v>0.26669999999999999</v>
      </c>
      <c r="N1122" s="19">
        <v>0</v>
      </c>
      <c r="O1122" s="19">
        <v>0</v>
      </c>
      <c r="P1122" s="19">
        <v>0</v>
      </c>
      <c r="Q1122" s="19">
        <v>0.10810810799999999</v>
      </c>
      <c r="R1122" s="20">
        <v>32683</v>
      </c>
      <c r="S1122" s="33" t="str">
        <f>HYPERLINK("https://sc.edu/pcnetprice/union/", "$23092")</f>
        <v>$23092</v>
      </c>
      <c r="T1122" s="20">
        <v>28707</v>
      </c>
      <c r="U1122" s="20">
        <v>28012</v>
      </c>
      <c r="V1122" s="20">
        <v>8515</v>
      </c>
      <c r="W1122" s="20">
        <v>14577.50769230769</v>
      </c>
      <c r="Y1122" s="19">
        <v>0.1681</v>
      </c>
      <c r="Z1122" s="19">
        <v>0.46129999999999999</v>
      </c>
      <c r="AB1122" s="18">
        <v>284</v>
      </c>
    </row>
    <row r="1123" spans="1:28" ht="15.75" customHeight="1" x14ac:dyDescent="0.2">
      <c r="A1123" s="17" t="str">
        <f>HYPERLINK("https://uwc.edu", "University of Wisconsin Colleges")</f>
        <v>University of Wisconsin Colleges</v>
      </c>
      <c r="B1123" s="18" t="s">
        <v>49</v>
      </c>
      <c r="C1123" s="18" t="s">
        <v>196</v>
      </c>
      <c r="D1123" s="18" t="s">
        <v>295</v>
      </c>
      <c r="E1123" s="18">
        <v>1025</v>
      </c>
      <c r="F1123" s="18" t="s">
        <v>35</v>
      </c>
      <c r="J1123" s="19"/>
      <c r="K1123" s="19">
        <v>0.22539999999999999</v>
      </c>
      <c r="L1123" s="19">
        <v>0.20757097799999999</v>
      </c>
      <c r="M1123" s="19">
        <v>0.2417</v>
      </c>
      <c r="N1123" s="19">
        <v>3.7000000000000012E-2</v>
      </c>
      <c r="O1123" s="19">
        <v>0.12640000000000001</v>
      </c>
      <c r="P1123" s="19">
        <v>0.17780000000000001</v>
      </c>
      <c r="Q1123" s="19">
        <v>0.189399132</v>
      </c>
      <c r="R1123" s="20">
        <v>26513</v>
      </c>
      <c r="S1123" s="33" t="str">
        <f>HYPERLINK("https://uwc.edu/money-matters/fin-aid/cost-of-attendance/net-price-calculator", "$18647")</f>
        <v>$18647</v>
      </c>
      <c r="T1123" s="20">
        <v>22486</v>
      </c>
      <c r="U1123" s="20">
        <v>25733</v>
      </c>
      <c r="V1123" s="20">
        <v>5120</v>
      </c>
      <c r="W1123" s="20">
        <v>13527.79264214047</v>
      </c>
      <c r="Y1123" s="19">
        <v>0.24660000000000001</v>
      </c>
      <c r="Z1123" s="19">
        <v>0.2077</v>
      </c>
      <c r="AB1123" s="18">
        <v>9321</v>
      </c>
    </row>
    <row r="1124" spans="1:28" ht="15.75" customHeight="1" x14ac:dyDescent="0.2">
      <c r="A1124" s="17" t="str">
        <f>HYPERLINK("https://flex.wisconsin.edu", "University of Wisconsin Colleges")</f>
        <v>University of Wisconsin Colleges</v>
      </c>
      <c r="B1124" s="18" t="s">
        <v>49</v>
      </c>
      <c r="C1124" s="18" t="s">
        <v>196</v>
      </c>
      <c r="D1124" s="18" t="s">
        <v>295</v>
      </c>
      <c r="E1124" s="18" t="s">
        <v>36</v>
      </c>
      <c r="F1124" s="18" t="s">
        <v>35</v>
      </c>
      <c r="J1124" s="19"/>
      <c r="K1124" s="19" t="s">
        <v>36</v>
      </c>
      <c r="L1124" s="19" t="s">
        <v>36</v>
      </c>
      <c r="M1124" s="19" t="s">
        <v>36</v>
      </c>
      <c r="N1124" s="19" t="s">
        <v>36</v>
      </c>
      <c r="O1124" s="19" t="s">
        <v>36</v>
      </c>
      <c r="P1124" s="19" t="s">
        <v>36</v>
      </c>
      <c r="Q1124" s="19" t="s">
        <v>36</v>
      </c>
      <c r="R1124" s="20">
        <v>20520</v>
      </c>
      <c r="S1124" s="33" t="str">
        <f>HYPERLINK("https://flex.wisconsin.edu/tuition-financial-aid/tuition/net-price-calculator/", "Not reported")</f>
        <v>Not reported</v>
      </c>
      <c r="T1124" s="20" t="s">
        <v>36</v>
      </c>
      <c r="U1124" s="20" t="s">
        <v>36</v>
      </c>
      <c r="V1124" s="20">
        <v>5120</v>
      </c>
      <c r="W1124" s="20" t="s">
        <v>36</v>
      </c>
      <c r="Y1124" s="19">
        <v>0</v>
      </c>
      <c r="Z1124" s="19">
        <v>0.12959999999999999</v>
      </c>
      <c r="AB1124" s="18">
        <v>54</v>
      </c>
    </row>
    <row r="1125" spans="1:28" ht="15.75" customHeight="1" x14ac:dyDescent="0.2">
      <c r="A1125" s="17" t="str">
        <f>HYPERLINK("https://www.urbancollege.edu", "Urban College of Boston")</f>
        <v>Urban College of Boston</v>
      </c>
      <c r="B1125" s="18" t="s">
        <v>32</v>
      </c>
      <c r="C1125" s="18" t="s">
        <v>33</v>
      </c>
      <c r="D1125" s="18" t="s">
        <v>136</v>
      </c>
      <c r="E1125" s="18" t="s">
        <v>36</v>
      </c>
      <c r="F1125" s="18" t="s">
        <v>36</v>
      </c>
      <c r="J1125" s="19"/>
      <c r="K1125" s="19" t="s">
        <v>36</v>
      </c>
      <c r="L1125" s="19" t="s">
        <v>36</v>
      </c>
      <c r="M1125" s="19" t="s">
        <v>36</v>
      </c>
      <c r="N1125" s="19" t="s">
        <v>36</v>
      </c>
      <c r="O1125" s="19" t="s">
        <v>36</v>
      </c>
      <c r="P1125" s="19" t="s">
        <v>36</v>
      </c>
      <c r="Q1125" s="19" t="s">
        <v>36</v>
      </c>
      <c r="R1125" s="20">
        <v>17774</v>
      </c>
      <c r="S1125" s="33" t="str">
        <f>HYPERLINK("https://nces.ed.gov/ipeds/netpricecalculator/", "$4203")</f>
        <v>$4203</v>
      </c>
      <c r="T1125" s="20" t="s">
        <v>36</v>
      </c>
      <c r="U1125" s="20" t="s">
        <v>36</v>
      </c>
      <c r="V1125" s="20">
        <v>4150</v>
      </c>
      <c r="W1125" s="20">
        <v>53</v>
      </c>
      <c r="Y1125" s="19">
        <v>0.49009999999999998</v>
      </c>
      <c r="Z1125" s="19">
        <v>0.9647</v>
      </c>
      <c r="AB1125" s="18">
        <v>623</v>
      </c>
    </row>
    <row r="1126" spans="1:28" ht="15.75" customHeight="1" x14ac:dyDescent="0.2">
      <c r="A1126" s="17" t="str">
        <f>HYPERLINK("https://valenciacollege.edu", "Valencia College")</f>
        <v>Valencia College</v>
      </c>
      <c r="B1126" s="18" t="s">
        <v>49</v>
      </c>
      <c r="C1126" s="18" t="s">
        <v>162</v>
      </c>
      <c r="D1126" s="18" t="s">
        <v>501</v>
      </c>
      <c r="E1126" s="18" t="s">
        <v>36</v>
      </c>
      <c r="F1126" s="18" t="s">
        <v>36</v>
      </c>
      <c r="J1126" s="19"/>
      <c r="K1126" s="19">
        <v>0.41339999999999999</v>
      </c>
      <c r="L1126" s="19">
        <v>0.261951459</v>
      </c>
      <c r="M1126" s="19">
        <v>0.46820000000000001</v>
      </c>
      <c r="N1126" s="19">
        <v>0.27150000000000002</v>
      </c>
      <c r="O1126" s="19">
        <v>0.40620000000000001</v>
      </c>
      <c r="P1126" s="19">
        <v>0.61760000000000004</v>
      </c>
      <c r="Q1126" s="19">
        <v>9.3552465000000001E-2</v>
      </c>
      <c r="R1126" s="20">
        <v>23402</v>
      </c>
      <c r="S1126" s="33" t="str">
        <f>HYPERLINK("https://valenciacollege.edu/finaid/net-price-calculator/", "$18763")</f>
        <v>$18763</v>
      </c>
      <c r="T1126" s="20">
        <v>20765</v>
      </c>
      <c r="U1126" s="20">
        <v>21531</v>
      </c>
      <c r="V1126" s="20">
        <v>4653</v>
      </c>
      <c r="W1126" s="20">
        <v>14110.37553342817</v>
      </c>
      <c r="Y1126" s="19">
        <v>0.39050000000000001</v>
      </c>
      <c r="Z1126" s="19">
        <v>0.72930000000000006</v>
      </c>
      <c r="AB1126" s="18">
        <v>37954</v>
      </c>
    </row>
    <row r="1127" spans="1:28" ht="15.75" customHeight="1" x14ac:dyDescent="0.2">
      <c r="A1127" s="17" t="str">
        <f>HYPERLINK("https://www.vfmac.edu", "Valley Forge Military College")</f>
        <v>Valley Forge Military College</v>
      </c>
      <c r="B1127" s="18" t="s">
        <v>32</v>
      </c>
      <c r="C1127" s="18" t="s">
        <v>65</v>
      </c>
      <c r="D1127" s="18" t="s">
        <v>1418</v>
      </c>
      <c r="E1127" s="18" t="s">
        <v>36</v>
      </c>
      <c r="F1127" s="18" t="s">
        <v>36</v>
      </c>
      <c r="J1127" s="19"/>
      <c r="K1127" s="19">
        <v>0.27650000000000002</v>
      </c>
      <c r="L1127" s="19">
        <v>0.22641509400000001</v>
      </c>
      <c r="M1127" s="19">
        <v>0.4259</v>
      </c>
      <c r="N1127" s="19">
        <v>0.1739</v>
      </c>
      <c r="O1127" s="19">
        <v>0.3846</v>
      </c>
      <c r="P1127" s="19">
        <v>0.625</v>
      </c>
      <c r="Q1127" s="19">
        <v>0.146496815</v>
      </c>
      <c r="R1127" s="20">
        <v>47975</v>
      </c>
      <c r="S1127" s="33" t="str">
        <f>HYPERLINK("https://www.vfmac.edu", "$33931")</f>
        <v>$33931</v>
      </c>
      <c r="T1127" s="20">
        <v>38458</v>
      </c>
      <c r="U1127" s="20">
        <v>39733</v>
      </c>
      <c r="V1127" s="20">
        <v>2000</v>
      </c>
      <c r="W1127" s="20">
        <v>31931</v>
      </c>
      <c r="Y1127" s="19">
        <v>0.79920000000000002</v>
      </c>
      <c r="Z1127" s="19">
        <v>0.5736</v>
      </c>
      <c r="AB1127" s="18">
        <v>265</v>
      </c>
    </row>
    <row r="1128" spans="1:28" ht="15.75" customHeight="1" x14ac:dyDescent="0.2">
      <c r="A1128" s="17" t="str">
        <f>HYPERLINK("https://www.vgcc.edu", "Vance-Granville Community College")</f>
        <v>Vance-Granville Community College</v>
      </c>
      <c r="B1128" s="18" t="s">
        <v>49</v>
      </c>
      <c r="C1128" s="18" t="s">
        <v>103</v>
      </c>
      <c r="D1128" s="18" t="s">
        <v>363</v>
      </c>
      <c r="E1128" s="18" t="s">
        <v>36</v>
      </c>
      <c r="F1128" s="18" t="s">
        <v>36</v>
      </c>
      <c r="J1128" s="19"/>
      <c r="K1128" s="19">
        <v>0.33729999999999999</v>
      </c>
      <c r="L1128" s="19">
        <v>8.6288415999999993E-2</v>
      </c>
      <c r="M1128" s="19">
        <v>0.34060000000000001</v>
      </c>
      <c r="N1128" s="19">
        <v>0.29330000000000001</v>
      </c>
      <c r="O1128" s="19">
        <v>0.35289999999999999</v>
      </c>
      <c r="P1128" s="19">
        <v>0.75</v>
      </c>
      <c r="Q1128" s="19">
        <v>4.7957370999999999E-2</v>
      </c>
      <c r="R1128" s="20">
        <v>19356</v>
      </c>
      <c r="S1128" s="33" t="str">
        <f>HYPERLINK("https://www.vgcc.edu/financialaid/NetPriceCalculator/npcalc.htm", "$13971")</f>
        <v>$13971</v>
      </c>
      <c r="T1128" s="20">
        <v>14659</v>
      </c>
      <c r="U1128" s="20">
        <v>14362</v>
      </c>
      <c r="V1128" s="20">
        <v>7485</v>
      </c>
      <c r="W1128" s="20">
        <v>6486.9622641509432</v>
      </c>
      <c r="Y1128" s="19">
        <v>0.43840000000000001</v>
      </c>
      <c r="Z1128" s="19">
        <v>0.48309999999999997</v>
      </c>
      <c r="AB1128" s="18">
        <v>2159</v>
      </c>
    </row>
    <row r="1129" spans="1:28" ht="15.75" customHeight="1" x14ac:dyDescent="0.2">
      <c r="A1129" s="17" t="str">
        <f>HYPERLINK("https://www.vatterott.edu", "Vatterott College-Appling Farms")</f>
        <v>Vatterott College-Appling Farms</v>
      </c>
      <c r="B1129" s="18" t="s">
        <v>368</v>
      </c>
      <c r="C1129" s="18" t="s">
        <v>174</v>
      </c>
      <c r="D1129" s="18" t="s">
        <v>207</v>
      </c>
      <c r="E1129" s="18" t="s">
        <v>36</v>
      </c>
      <c r="F1129" s="18" t="s">
        <v>36</v>
      </c>
      <c r="J1129" s="19"/>
      <c r="K1129" s="19">
        <v>0.60470000000000002</v>
      </c>
      <c r="L1129" s="19">
        <v>0.49419279900000002</v>
      </c>
      <c r="M1129" s="19">
        <v>0.62790000000000001</v>
      </c>
      <c r="N1129" s="19">
        <v>0.57140000000000002</v>
      </c>
      <c r="O1129" s="19">
        <v>0.5</v>
      </c>
      <c r="P1129" s="19">
        <v>1</v>
      </c>
      <c r="Q1129" s="19">
        <v>1.317716E-2</v>
      </c>
      <c r="R1129" s="20">
        <v>24104</v>
      </c>
      <c r="S1129" s="33" t="str">
        <f>HYPERLINK("https://www.vatterott.edu/calculator/", "$18595")</f>
        <v>$18595</v>
      </c>
      <c r="T1129" s="20">
        <v>22806</v>
      </c>
      <c r="U1129" s="20">
        <v>24307</v>
      </c>
      <c r="V1129" s="20">
        <v>6753</v>
      </c>
      <c r="W1129" s="20">
        <v>11842</v>
      </c>
      <c r="Y1129" s="19">
        <v>0.86670000000000003</v>
      </c>
      <c r="Z1129" s="19">
        <v>0.85099999999999998</v>
      </c>
      <c r="AB1129" s="18">
        <v>255</v>
      </c>
    </row>
    <row r="1130" spans="1:28" ht="15.75" customHeight="1" x14ac:dyDescent="0.2">
      <c r="A1130" s="17" t="str">
        <f>HYPERLINK("https://www.vatterott.edu", "Vatterott College-Berkeley")</f>
        <v>Vatterott College-Berkeley</v>
      </c>
      <c r="B1130" s="18" t="s">
        <v>368</v>
      </c>
      <c r="C1130" s="18" t="s">
        <v>164</v>
      </c>
      <c r="D1130" s="18" t="s">
        <v>160</v>
      </c>
      <c r="E1130" s="18" t="s">
        <v>36</v>
      </c>
      <c r="F1130" s="18" t="s">
        <v>36</v>
      </c>
      <c r="J1130" s="19"/>
      <c r="K1130" s="19">
        <v>0.30130000000000001</v>
      </c>
      <c r="L1130" s="19">
        <v>0.472584856</v>
      </c>
      <c r="M1130" s="19">
        <v>0.41820000000000002</v>
      </c>
      <c r="N1130" s="19">
        <v>0.28960000000000002</v>
      </c>
      <c r="O1130" s="19">
        <v>0</v>
      </c>
      <c r="P1130" s="19">
        <v>0.33329999999999999</v>
      </c>
      <c r="Q1130" s="19">
        <v>1.1268182999999999E-2</v>
      </c>
      <c r="R1130" s="20">
        <v>23146</v>
      </c>
      <c r="S1130" s="33" t="str">
        <f>HYPERLINK("https://www.vatterott.edu/calculator/", "$18140")</f>
        <v>$18140</v>
      </c>
      <c r="T1130" s="20" t="s">
        <v>36</v>
      </c>
      <c r="U1130" s="20">
        <v>24009</v>
      </c>
      <c r="V1130" s="20">
        <v>5404</v>
      </c>
      <c r="W1130" s="20">
        <v>12736</v>
      </c>
      <c r="Y1130" s="19">
        <v>0.95109999999999995</v>
      </c>
      <c r="Z1130" s="19">
        <v>0.89359999999999995</v>
      </c>
      <c r="AB1130" s="18">
        <v>545</v>
      </c>
    </row>
    <row r="1131" spans="1:28" ht="15.75" customHeight="1" x14ac:dyDescent="0.2">
      <c r="A1131" s="17" t="str">
        <f>HYPERLINK("https://www.vatterott.edu", "Vatterott College-Des Moines")</f>
        <v>Vatterott College-Des Moines</v>
      </c>
      <c r="B1131" s="18" t="s">
        <v>368</v>
      </c>
      <c r="C1131" s="18" t="s">
        <v>211</v>
      </c>
      <c r="D1131" s="18" t="s">
        <v>348</v>
      </c>
      <c r="E1131" s="18" t="s">
        <v>36</v>
      </c>
      <c r="F1131" s="18" t="s">
        <v>36</v>
      </c>
      <c r="J1131" s="19"/>
      <c r="K1131" s="19">
        <v>0.49020000000000002</v>
      </c>
      <c r="L1131" s="19">
        <v>0.49419279900000002</v>
      </c>
      <c r="M1131" s="19">
        <v>0.46970000000000001</v>
      </c>
      <c r="N1131" s="19">
        <v>0.33329999999999999</v>
      </c>
      <c r="O1131" s="19">
        <v>1</v>
      </c>
      <c r="P1131" s="19">
        <v>1</v>
      </c>
      <c r="Q1131" s="19">
        <v>1.317716E-2</v>
      </c>
      <c r="R1131" s="20">
        <v>24755</v>
      </c>
      <c r="S1131" s="33" t="str">
        <f>HYPERLINK("https://www.vatterott.edu/calculator/", "$18830")</f>
        <v>$18830</v>
      </c>
      <c r="T1131" s="20">
        <v>19941</v>
      </c>
      <c r="U1131" s="20" t="s">
        <v>36</v>
      </c>
      <c r="V1131" s="20">
        <v>6515</v>
      </c>
      <c r="W1131" s="20">
        <v>12315</v>
      </c>
      <c r="Y1131" s="19">
        <v>0.83330000000000004</v>
      </c>
      <c r="Z1131" s="19">
        <v>0.26469999999999999</v>
      </c>
      <c r="AB1131" s="18">
        <v>34</v>
      </c>
    </row>
    <row r="1132" spans="1:28" ht="15.75" customHeight="1" x14ac:dyDescent="0.2">
      <c r="A1132" s="17" t="str">
        <f>HYPERLINK("https://www.vatterott.edu", "Vatterott College-Dividend")</f>
        <v>Vatterott College-Dividend</v>
      </c>
      <c r="B1132" s="18" t="s">
        <v>368</v>
      </c>
      <c r="C1132" s="18" t="s">
        <v>174</v>
      </c>
      <c r="D1132" s="18" t="s">
        <v>207</v>
      </c>
      <c r="E1132" s="18" t="s">
        <v>36</v>
      </c>
      <c r="F1132" s="18" t="s">
        <v>36</v>
      </c>
      <c r="J1132" s="19"/>
      <c r="K1132" s="19">
        <v>0.41289999999999999</v>
      </c>
      <c r="L1132" s="19">
        <v>0.472584856</v>
      </c>
      <c r="M1132" s="19">
        <v>0.75</v>
      </c>
      <c r="N1132" s="19">
        <v>0.3866</v>
      </c>
      <c r="O1132" s="19">
        <v>1</v>
      </c>
      <c r="P1132" s="19" t="s">
        <v>36</v>
      </c>
      <c r="Q1132" s="19">
        <v>1.1268182999999999E-2</v>
      </c>
      <c r="R1132" s="20">
        <v>22919</v>
      </c>
      <c r="S1132" s="33" t="str">
        <f>HYPERLINK("https://www.vatterott.edu/calculator/", "$17820")</f>
        <v>$17820</v>
      </c>
      <c r="T1132" s="20">
        <v>20784</v>
      </c>
      <c r="U1132" s="20" t="s">
        <v>36</v>
      </c>
      <c r="V1132" s="20">
        <v>5593</v>
      </c>
      <c r="W1132" s="20">
        <v>12227</v>
      </c>
      <c r="Y1132" s="19">
        <v>0.93120000000000003</v>
      </c>
      <c r="Z1132" s="19">
        <v>0.97970000000000002</v>
      </c>
      <c r="AB1132" s="18">
        <v>689</v>
      </c>
    </row>
    <row r="1133" spans="1:28" ht="15.75" customHeight="1" x14ac:dyDescent="0.2">
      <c r="A1133" s="17" t="str">
        <f>HYPERLINK("https://www.vatterott.edu", "Vatterott College-Kansas City")</f>
        <v>Vatterott College-Kansas City</v>
      </c>
      <c r="B1133" s="18" t="s">
        <v>368</v>
      </c>
      <c r="C1133" s="18" t="s">
        <v>164</v>
      </c>
      <c r="D1133" s="18" t="s">
        <v>515</v>
      </c>
      <c r="E1133" s="18" t="s">
        <v>36</v>
      </c>
      <c r="F1133" s="18" t="s">
        <v>36</v>
      </c>
      <c r="J1133" s="19"/>
      <c r="K1133" s="19">
        <v>0.45650000000000002</v>
      </c>
      <c r="L1133" s="19">
        <v>0.472584856</v>
      </c>
      <c r="M1133" s="19">
        <v>0.53569999999999995</v>
      </c>
      <c r="N1133" s="19">
        <v>0.26869999999999999</v>
      </c>
      <c r="O1133" s="19">
        <v>0.35709999999999997</v>
      </c>
      <c r="P1133" s="19">
        <v>1</v>
      </c>
      <c r="Q1133" s="19">
        <v>1.1268182999999999E-2</v>
      </c>
      <c r="R1133" s="20">
        <v>24851</v>
      </c>
      <c r="S1133" s="33" t="str">
        <f>HYPERLINK("https://www.vatterott.edu/calculator/calculator.asp", "$18842")</f>
        <v>$18842</v>
      </c>
      <c r="T1133" s="20">
        <v>21423</v>
      </c>
      <c r="U1133" s="20">
        <v>24838</v>
      </c>
      <c r="V1133" s="20">
        <v>6767</v>
      </c>
      <c r="W1133" s="20">
        <v>12075</v>
      </c>
      <c r="Y1133" s="19">
        <v>0.81520000000000004</v>
      </c>
      <c r="Z1133" s="19">
        <v>0.33589999999999998</v>
      </c>
      <c r="AB1133" s="18">
        <v>259</v>
      </c>
    </row>
    <row r="1134" spans="1:28" ht="15.75" customHeight="1" x14ac:dyDescent="0.2">
      <c r="A1134" s="17" t="str">
        <f>HYPERLINK("https://www.vatterott.edu", "Vatterott College-Oklahoma City")</f>
        <v>Vatterott College-Oklahoma City</v>
      </c>
      <c r="B1134" s="18" t="s">
        <v>368</v>
      </c>
      <c r="C1134" s="18" t="s">
        <v>290</v>
      </c>
      <c r="D1134" s="18" t="s">
        <v>1748</v>
      </c>
      <c r="E1134" s="18" t="s">
        <v>36</v>
      </c>
      <c r="F1134" s="18" t="s">
        <v>36</v>
      </c>
      <c r="J1134" s="19"/>
      <c r="K1134" s="19">
        <v>0.44640000000000002</v>
      </c>
      <c r="L1134" s="19">
        <v>0.49419279900000002</v>
      </c>
      <c r="M1134" s="19">
        <v>0.33329999999999999</v>
      </c>
      <c r="N1134" s="19">
        <v>0.50819999999999999</v>
      </c>
      <c r="O1134" s="19">
        <v>0.52629999999999999</v>
      </c>
      <c r="P1134" s="19" t="s">
        <v>36</v>
      </c>
      <c r="Q1134" s="19">
        <v>1.317716E-2</v>
      </c>
      <c r="R1134" s="20">
        <v>22139</v>
      </c>
      <c r="S1134" s="33" t="str">
        <f>HYPERLINK("https://www.vatterott.edu/calculator/calculator.asp", "$18635")</f>
        <v>$18635</v>
      </c>
      <c r="T1134" s="20">
        <v>21511</v>
      </c>
      <c r="U1134" s="20" t="s">
        <v>36</v>
      </c>
      <c r="V1134" s="20">
        <v>5454</v>
      </c>
      <c r="W1134" s="20">
        <v>13181</v>
      </c>
      <c r="Y1134" s="19">
        <v>0.90690000000000004</v>
      </c>
      <c r="Z1134" s="19">
        <v>0.64810000000000001</v>
      </c>
      <c r="AB1134" s="18">
        <v>108</v>
      </c>
    </row>
    <row r="1135" spans="1:28" ht="15.75" customHeight="1" x14ac:dyDescent="0.2">
      <c r="A1135" s="17" t="str">
        <f>HYPERLINK("https://www.vatterott.edu", "Vatterott College-Sunset Hills")</f>
        <v>Vatterott College-Sunset Hills</v>
      </c>
      <c r="B1135" s="18" t="s">
        <v>368</v>
      </c>
      <c r="C1135" s="18" t="s">
        <v>164</v>
      </c>
      <c r="D1135" s="18" t="s">
        <v>1749</v>
      </c>
      <c r="E1135" s="18" t="s">
        <v>36</v>
      </c>
      <c r="F1135" s="18" t="s">
        <v>36</v>
      </c>
      <c r="J1135" s="19"/>
      <c r="K1135" s="19">
        <v>0.46710000000000002</v>
      </c>
      <c r="L1135" s="19">
        <v>0.472584856</v>
      </c>
      <c r="M1135" s="19">
        <v>0.61880000000000002</v>
      </c>
      <c r="N1135" s="19">
        <v>0.20899999999999999</v>
      </c>
      <c r="O1135" s="19">
        <v>0</v>
      </c>
      <c r="P1135" s="19">
        <v>0.5</v>
      </c>
      <c r="Q1135" s="19">
        <v>1.1268182999999999E-2</v>
      </c>
      <c r="R1135" s="20">
        <v>24379</v>
      </c>
      <c r="S1135" s="33" t="str">
        <f>HYPERLINK("https://www.vatterott.edu/calculator/calculator.asp", "$18387")</f>
        <v>$18387</v>
      </c>
      <c r="T1135" s="20">
        <v>19642</v>
      </c>
      <c r="U1135" s="20" t="s">
        <v>36</v>
      </c>
      <c r="V1135" s="20">
        <v>6775</v>
      </c>
      <c r="W1135" s="20">
        <v>11612</v>
      </c>
      <c r="Y1135" s="19">
        <v>0.85370000000000001</v>
      </c>
      <c r="Z1135" s="19">
        <v>0.33019999999999999</v>
      </c>
      <c r="AB1135" s="18">
        <v>315</v>
      </c>
    </row>
    <row r="1136" spans="1:28" ht="15.75" customHeight="1" x14ac:dyDescent="0.2">
      <c r="A1136" s="17" t="str">
        <f>HYPERLINK("https://extremeinstitute.com/", "Vatterott College-ex'treme Institute by Nelly-St Louis")</f>
        <v>Vatterott College-ex'treme Institute by Nelly-St Louis</v>
      </c>
      <c r="B1136" s="18" t="s">
        <v>368</v>
      </c>
      <c r="C1136" s="18" t="s">
        <v>164</v>
      </c>
      <c r="D1136" s="18" t="s">
        <v>1750</v>
      </c>
      <c r="E1136" s="18" t="s">
        <v>36</v>
      </c>
      <c r="F1136" s="18" t="s">
        <v>36</v>
      </c>
      <c r="J1136" s="19"/>
      <c r="K1136" s="19">
        <v>0.33189999999999997</v>
      </c>
      <c r="L1136" s="19">
        <v>0.472584856</v>
      </c>
      <c r="M1136" s="19">
        <v>0.47620000000000001</v>
      </c>
      <c r="N1136" s="19">
        <v>0.29339999999999999</v>
      </c>
      <c r="O1136" s="19">
        <v>1</v>
      </c>
      <c r="P1136" s="19" t="s">
        <v>36</v>
      </c>
      <c r="Q1136" s="19">
        <v>1.1268182999999999E-2</v>
      </c>
      <c r="R1136" s="20">
        <v>23841</v>
      </c>
      <c r="S1136" s="33" t="str">
        <f>HYPERLINK("https://www.vatterott.edu/calculator/calculator.asp", "$16837")</f>
        <v>$16837</v>
      </c>
      <c r="T1136" s="20">
        <v>18830</v>
      </c>
      <c r="U1136" s="20">
        <v>22253</v>
      </c>
      <c r="V1136" s="20">
        <v>4733</v>
      </c>
      <c r="W1136" s="20">
        <v>12104</v>
      </c>
      <c r="Y1136" s="19">
        <v>0.83389999999999997</v>
      </c>
      <c r="Z1136" s="19">
        <v>0.85709999999999997</v>
      </c>
      <c r="AB1136" s="18">
        <v>245</v>
      </c>
    </row>
    <row r="1137" spans="1:28" ht="15.75" customHeight="1" x14ac:dyDescent="0.2">
      <c r="A1137" s="17" t="str">
        <f>HYPERLINK("https://www.venturacollege.edu/", "Ventura College")</f>
        <v>Ventura College</v>
      </c>
      <c r="B1137" s="18" t="s">
        <v>49</v>
      </c>
      <c r="C1137" s="18" t="s">
        <v>68</v>
      </c>
      <c r="D1137" s="18" t="s">
        <v>1751</v>
      </c>
      <c r="E1137" s="18" t="s">
        <v>36</v>
      </c>
      <c r="F1137" s="18" t="s">
        <v>36</v>
      </c>
      <c r="J1137" s="19"/>
      <c r="K1137" s="19">
        <v>0.3483</v>
      </c>
      <c r="L1137" s="19">
        <v>0.14647887300000001</v>
      </c>
      <c r="M1137" s="19">
        <v>0.41339999999999999</v>
      </c>
      <c r="N1137" s="19">
        <v>0.2069</v>
      </c>
      <c r="O1137" s="19">
        <v>0.3019</v>
      </c>
      <c r="P1137" s="19">
        <v>0.57350000000000001</v>
      </c>
      <c r="Q1137" s="19">
        <v>0.114649682</v>
      </c>
      <c r="R1137" s="20">
        <v>25491</v>
      </c>
      <c r="S1137" s="33" t="str">
        <f>HYPERLINK("https://www.venturacollege.edu/departments/student_services/financial_aid/index.shtml", "$18118")</f>
        <v>$18118</v>
      </c>
      <c r="T1137" s="20">
        <v>21279</v>
      </c>
      <c r="U1137" s="20">
        <v>21556</v>
      </c>
      <c r="V1137" s="20">
        <v>5949</v>
      </c>
      <c r="W1137" s="20">
        <v>12169.665948275861</v>
      </c>
      <c r="Y1137" s="19">
        <v>0.2399</v>
      </c>
      <c r="Z1137" s="19">
        <v>0.73480000000000001</v>
      </c>
      <c r="AB1137" s="18">
        <v>12072</v>
      </c>
    </row>
    <row r="1138" spans="1:28" ht="15.75" customHeight="1" x14ac:dyDescent="0.2">
      <c r="A1138" s="17" t="str">
        <f>HYPERLINK("https://www.vcc.edu/", "Vermilion Community College")</f>
        <v>Vermilion Community College</v>
      </c>
      <c r="B1138" s="18" t="s">
        <v>49</v>
      </c>
      <c r="C1138" s="18" t="s">
        <v>72</v>
      </c>
      <c r="D1138" s="18" t="s">
        <v>1752</v>
      </c>
      <c r="E1138" s="18" t="s">
        <v>36</v>
      </c>
      <c r="F1138" s="18" t="s">
        <v>36</v>
      </c>
      <c r="J1138" s="19"/>
      <c r="K1138" s="19">
        <v>0.25690000000000002</v>
      </c>
      <c r="L1138" s="19">
        <v>0.178571429</v>
      </c>
      <c r="M1138" s="19">
        <v>0.30969999999999998</v>
      </c>
      <c r="N1138" s="19">
        <v>0.1333</v>
      </c>
      <c r="O1138" s="19">
        <v>0</v>
      </c>
      <c r="P1138" s="19" t="s">
        <v>36</v>
      </c>
      <c r="Q1138" s="19">
        <v>0.102362205</v>
      </c>
      <c r="R1138" s="20">
        <v>17256</v>
      </c>
      <c r="S1138" s="33" t="str">
        <f>HYPERLINK("https://www.minnstate.edu/admissions/calculator/vermilion.html", "$10669")</f>
        <v>$10669</v>
      </c>
      <c r="T1138" s="20">
        <v>12783</v>
      </c>
      <c r="U1138" s="20">
        <v>15891</v>
      </c>
      <c r="V1138" s="20">
        <v>3002</v>
      </c>
      <c r="W1138" s="20">
        <v>7667.25</v>
      </c>
      <c r="Y1138" s="19">
        <v>0.34760000000000002</v>
      </c>
      <c r="Z1138" s="19">
        <v>0.27229999999999999</v>
      </c>
      <c r="AB1138" s="18">
        <v>459</v>
      </c>
    </row>
    <row r="1139" spans="1:28" ht="15.75" customHeight="1" x14ac:dyDescent="0.2">
      <c r="A1139" s="17" t="str">
        <f>HYPERLINK("https://www.vtc.edu/", "Vermont Technical College")</f>
        <v>Vermont Technical College</v>
      </c>
      <c r="B1139" s="18" t="s">
        <v>49</v>
      </c>
      <c r="C1139" s="18" t="s">
        <v>47</v>
      </c>
      <c r="D1139" s="18" t="s">
        <v>1240</v>
      </c>
      <c r="E1139" s="18" t="s">
        <v>36</v>
      </c>
      <c r="F1139" s="18" t="s">
        <v>90</v>
      </c>
      <c r="J1139" s="19"/>
      <c r="K1139" s="19">
        <v>0.51790000000000003</v>
      </c>
      <c r="L1139" s="19">
        <v>0.63451776700000007</v>
      </c>
      <c r="M1139" s="19">
        <v>0.54090000000000005</v>
      </c>
      <c r="N1139" s="19">
        <v>0.25</v>
      </c>
      <c r="O1139" s="19">
        <v>0.1429</v>
      </c>
      <c r="P1139" s="19">
        <v>0</v>
      </c>
      <c r="Q1139" s="19">
        <v>2.4436090000000001E-2</v>
      </c>
      <c r="R1139" s="20">
        <v>39942</v>
      </c>
      <c r="S1139" s="33" t="str">
        <f>HYPERLINK("https://vtc.studentaidcalculator.com/survey.aspx", "$30355")</f>
        <v>$30355</v>
      </c>
      <c r="T1139" s="20">
        <v>33979</v>
      </c>
      <c r="U1139" s="20">
        <v>37075</v>
      </c>
      <c r="V1139" s="20">
        <v>2650</v>
      </c>
      <c r="W1139" s="20">
        <v>27705.528301886789</v>
      </c>
      <c r="Y1139" s="19">
        <v>0.31929999999999997</v>
      </c>
      <c r="Z1139" s="19">
        <v>0.14399999999999999</v>
      </c>
      <c r="AB1139" s="18">
        <v>1389</v>
      </c>
    </row>
    <row r="1140" spans="1:28" ht="15.75" customHeight="1" x14ac:dyDescent="0.2">
      <c r="A1140" s="17" t="str">
        <f>HYPERLINK("https://www.vettechinstitute.edu", "Vet Tech Institute")</f>
        <v>Vet Tech Institute</v>
      </c>
      <c r="B1140" s="18" t="s">
        <v>368</v>
      </c>
      <c r="C1140" s="18" t="s">
        <v>65</v>
      </c>
      <c r="D1140" s="18" t="s">
        <v>74</v>
      </c>
      <c r="E1140" s="18" t="s">
        <v>36</v>
      </c>
      <c r="F1140" s="18" t="s">
        <v>36</v>
      </c>
      <c r="J1140" s="19"/>
      <c r="K1140" s="19">
        <v>0.75490000000000002</v>
      </c>
      <c r="L1140" s="19">
        <v>0.53061224500000004</v>
      </c>
      <c r="M1140" s="19">
        <v>0.76770000000000005</v>
      </c>
      <c r="N1140" s="19">
        <v>0.33329999999999999</v>
      </c>
      <c r="O1140" s="19" t="s">
        <v>36</v>
      </c>
      <c r="P1140" s="19" t="s">
        <v>36</v>
      </c>
      <c r="Q1140" s="19" t="s">
        <v>36</v>
      </c>
      <c r="R1140" s="20">
        <v>23102</v>
      </c>
      <c r="S1140" s="33" t="str">
        <f>HYPERLINK("https://pittsburgh.vettechinstitute.edu/aid", "$13523")</f>
        <v>$13523</v>
      </c>
      <c r="T1140" s="20">
        <v>16443</v>
      </c>
      <c r="U1140" s="20">
        <v>20996</v>
      </c>
      <c r="V1140" s="20">
        <v>2722</v>
      </c>
      <c r="W1140" s="20">
        <v>10801</v>
      </c>
      <c r="Y1140" s="19">
        <v>0.4985</v>
      </c>
      <c r="Z1140" s="19">
        <v>0.10199999999999999</v>
      </c>
      <c r="AB1140" s="18">
        <v>343</v>
      </c>
    </row>
    <row r="1141" spans="1:28" ht="15.75" customHeight="1" x14ac:dyDescent="0.2">
      <c r="A1141" s="17" t="str">
        <f>HYPERLINK("https://houston.vettechinstitute.edu", "Vet Tech Institute of Houston")</f>
        <v>Vet Tech Institute of Houston</v>
      </c>
      <c r="B1141" s="18" t="s">
        <v>368</v>
      </c>
      <c r="C1141" s="18" t="s">
        <v>146</v>
      </c>
      <c r="D1141" s="18" t="s">
        <v>147</v>
      </c>
      <c r="E1141" s="18" t="s">
        <v>36</v>
      </c>
      <c r="F1141" s="18" t="s">
        <v>45</v>
      </c>
      <c r="J1141" s="19"/>
      <c r="K1141" s="19">
        <v>0.5</v>
      </c>
      <c r="L1141" s="19">
        <v>0.438095238</v>
      </c>
      <c r="M1141" s="19">
        <v>0.375</v>
      </c>
      <c r="N1141" s="19">
        <v>0.66669999999999996</v>
      </c>
      <c r="O1141" s="19">
        <v>0.71430000000000005</v>
      </c>
      <c r="P1141" s="19">
        <v>0</v>
      </c>
      <c r="Q1141" s="19" t="s">
        <v>36</v>
      </c>
      <c r="R1141" s="20">
        <v>22591</v>
      </c>
      <c r="S1141" s="33" t="str">
        <f>HYPERLINK("https://houston.vettechinstitute.edu/aid", "$14215")</f>
        <v>$14215</v>
      </c>
      <c r="T1141" s="20">
        <v>16195</v>
      </c>
      <c r="U1141" s="20">
        <v>19560</v>
      </c>
      <c r="V1141" s="20">
        <v>2551</v>
      </c>
      <c r="W1141" s="20">
        <v>11664</v>
      </c>
      <c r="Y1141" s="19">
        <v>0.58799999999999997</v>
      </c>
      <c r="Z1141" s="19">
        <v>0.7016</v>
      </c>
      <c r="AB1141" s="18">
        <v>191</v>
      </c>
    </row>
    <row r="1142" spans="1:28" ht="15.75" customHeight="1" x14ac:dyDescent="0.2">
      <c r="A1142" s="17" t="str">
        <f>HYPERLINK("https://www.vvc.edu", "Victor Valley College")</f>
        <v>Victor Valley College</v>
      </c>
      <c r="B1142" s="18" t="s">
        <v>49</v>
      </c>
      <c r="C1142" s="18" t="s">
        <v>68</v>
      </c>
      <c r="D1142" s="18" t="s">
        <v>1753</v>
      </c>
      <c r="E1142" s="18" t="s">
        <v>36</v>
      </c>
      <c r="F1142" s="18" t="s">
        <v>36</v>
      </c>
      <c r="J1142" s="19"/>
      <c r="K1142" s="19">
        <v>0.15759999999999999</v>
      </c>
      <c r="L1142" s="19">
        <v>5.7286072E-2</v>
      </c>
      <c r="M1142" s="19">
        <v>0.18360000000000001</v>
      </c>
      <c r="N1142" s="19">
        <v>0.1019</v>
      </c>
      <c r="O1142" s="19">
        <v>0.16239999999999999</v>
      </c>
      <c r="P1142" s="19">
        <v>0.15790000000000001</v>
      </c>
      <c r="Q1142" s="19">
        <v>7.6089975000000004E-2</v>
      </c>
      <c r="R1142" s="20">
        <v>23539</v>
      </c>
      <c r="S1142" s="33" t="str">
        <f>HYPERLINK("https://misweb.cccco.edu/npc/991/npcalc.htm", "$16812")</f>
        <v>$16812</v>
      </c>
      <c r="T1142" s="20">
        <v>19152</v>
      </c>
      <c r="U1142" s="20">
        <v>20197</v>
      </c>
      <c r="V1142" s="20">
        <v>5931</v>
      </c>
      <c r="W1142" s="20">
        <v>10881.368194842409</v>
      </c>
      <c r="Y1142" s="19">
        <v>0.49440000000000001</v>
      </c>
      <c r="Z1142" s="19">
        <v>0.74059999999999993</v>
      </c>
      <c r="AB1142" s="18">
        <v>9534</v>
      </c>
    </row>
    <row r="1143" spans="1:28" ht="15.75" customHeight="1" x14ac:dyDescent="0.2">
      <c r="A1143" s="17" t="str">
        <f>HYPERLINK("https://www.victoriacollege.edu", "Victoria College")</f>
        <v>Victoria College</v>
      </c>
      <c r="B1143" s="18" t="s">
        <v>49</v>
      </c>
      <c r="C1143" s="18" t="s">
        <v>146</v>
      </c>
      <c r="D1143" s="18" t="s">
        <v>1754</v>
      </c>
      <c r="E1143" s="18" t="s">
        <v>36</v>
      </c>
      <c r="F1143" s="18" t="s">
        <v>36</v>
      </c>
      <c r="J1143" s="19"/>
      <c r="K1143" s="19">
        <v>0.1588</v>
      </c>
      <c r="L1143" s="19">
        <v>0.26906474800000002</v>
      </c>
      <c r="M1143" s="19">
        <v>0.18540000000000001</v>
      </c>
      <c r="N1143" s="19">
        <v>0.15379999999999999</v>
      </c>
      <c r="O1143" s="19">
        <v>0.1273</v>
      </c>
      <c r="P1143" s="19">
        <v>0.66669999999999996</v>
      </c>
      <c r="Q1143" s="19">
        <v>6.1046511999999997E-2</v>
      </c>
      <c r="R1143" s="20">
        <v>17960</v>
      </c>
      <c r="S1143" s="33" t="str">
        <f>HYPERLINK("https://www.victoriacollege.edu/financialaid", "$12331")</f>
        <v>$12331</v>
      </c>
      <c r="T1143" s="20">
        <v>14799</v>
      </c>
      <c r="U1143" s="20">
        <v>16617</v>
      </c>
      <c r="V1143" s="20">
        <v>5074</v>
      </c>
      <c r="W1143" s="20">
        <v>7257.5</v>
      </c>
      <c r="Y1143" s="19">
        <v>0.317</v>
      </c>
      <c r="Z1143" s="19">
        <v>0.58189999999999997</v>
      </c>
      <c r="AB1143" s="18">
        <v>3176</v>
      </c>
    </row>
    <row r="1144" spans="1:28" ht="15.75" customHeight="1" x14ac:dyDescent="0.2">
      <c r="A1144" s="17" t="str">
        <f>HYPERLINK("https://www.villa.edu", "Villa Maria College")</f>
        <v>Villa Maria College</v>
      </c>
      <c r="B1144" s="18" t="s">
        <v>32</v>
      </c>
      <c r="C1144" s="18" t="s">
        <v>38</v>
      </c>
      <c r="D1144" s="18" t="s">
        <v>322</v>
      </c>
      <c r="E1144" s="18" t="s">
        <v>36</v>
      </c>
      <c r="F1144" s="18" t="s">
        <v>45</v>
      </c>
      <c r="J1144" s="19"/>
      <c r="K1144" s="19">
        <v>0.41670000000000001</v>
      </c>
      <c r="L1144" s="19" t="s">
        <v>36</v>
      </c>
      <c r="M1144" s="19">
        <v>0.53569999999999995</v>
      </c>
      <c r="N1144" s="19">
        <v>0.22220000000000001</v>
      </c>
      <c r="O1144" s="19">
        <v>0.2</v>
      </c>
      <c r="P1144" s="19">
        <v>0</v>
      </c>
      <c r="Q1144" s="19">
        <v>0.115226337</v>
      </c>
      <c r="R1144" s="20">
        <v>24330</v>
      </c>
      <c r="S1144" s="33" t="str">
        <f>HYPERLINK("https://www.villa.edu/search/net+price", "$9292")</f>
        <v>$9292</v>
      </c>
      <c r="T1144" s="20">
        <v>11722</v>
      </c>
      <c r="U1144" s="20">
        <v>14855</v>
      </c>
      <c r="V1144" s="20">
        <v>3700</v>
      </c>
      <c r="W1144" s="20">
        <v>5592</v>
      </c>
      <c r="Y1144" s="19">
        <v>0.65869999999999995</v>
      </c>
      <c r="Z1144" s="19">
        <v>0.47039999999999998</v>
      </c>
      <c r="AB1144" s="18">
        <v>591</v>
      </c>
    </row>
    <row r="1145" spans="1:28" ht="15.75" customHeight="1" x14ac:dyDescent="0.2">
      <c r="A1145" s="17" t="str">
        <f>HYPERLINK("https://www.vinu.edu", "Vincennes University")</f>
        <v>Vincennes University</v>
      </c>
      <c r="B1145" s="18" t="s">
        <v>49</v>
      </c>
      <c r="C1145" s="18" t="s">
        <v>148</v>
      </c>
      <c r="D1145" s="18" t="s">
        <v>1755</v>
      </c>
      <c r="E1145" s="18" t="s">
        <v>36</v>
      </c>
      <c r="F1145" s="18" t="s">
        <v>36</v>
      </c>
      <c r="J1145" s="19"/>
      <c r="K1145" s="19">
        <v>0.2291</v>
      </c>
      <c r="L1145" s="19">
        <v>0.14540647700000001</v>
      </c>
      <c r="M1145" s="19">
        <v>0.27079999999999999</v>
      </c>
      <c r="N1145" s="19">
        <v>5.0200000000000002E-2</v>
      </c>
      <c r="O1145" s="19">
        <v>0.20250000000000001</v>
      </c>
      <c r="P1145" s="19">
        <v>0.6</v>
      </c>
      <c r="Q1145" s="19">
        <v>5.7859532000000012E-2</v>
      </c>
      <c r="R1145" s="20">
        <v>27515</v>
      </c>
      <c r="S1145" s="33" t="str">
        <f>HYPERLINK("https://ext01.vinu.edu/net_price/npcalc.htm", "$19738")</f>
        <v>$19738</v>
      </c>
      <c r="T1145" s="20">
        <v>23439</v>
      </c>
      <c r="U1145" s="20">
        <v>25006</v>
      </c>
      <c r="V1145" s="20">
        <v>4246</v>
      </c>
      <c r="W1145" s="20">
        <v>15492.92763938315</v>
      </c>
      <c r="Y1145" s="19">
        <v>0.16589999999999999</v>
      </c>
      <c r="Z1145" s="19">
        <v>0.28620000000000001</v>
      </c>
      <c r="AB1145" s="18">
        <v>6797</v>
      </c>
    </row>
    <row r="1146" spans="1:28" ht="15.75" customHeight="1" x14ac:dyDescent="0.2">
      <c r="A1146" s="17" t="str">
        <f>HYPERLINK("https://www.vc.edu", "Virginia College-Austin")</f>
        <v>Virginia College-Austin</v>
      </c>
      <c r="B1146" s="18" t="s">
        <v>368</v>
      </c>
      <c r="C1146" s="18" t="s">
        <v>146</v>
      </c>
      <c r="D1146" s="18" t="s">
        <v>264</v>
      </c>
      <c r="E1146" s="18" t="s">
        <v>36</v>
      </c>
      <c r="F1146" s="18" t="s">
        <v>36</v>
      </c>
      <c r="J1146" s="19"/>
      <c r="K1146" s="19">
        <v>0.28989999999999999</v>
      </c>
      <c r="L1146" s="19">
        <v>0.30252664499999998</v>
      </c>
      <c r="M1146" s="19">
        <v>0.33329999999999999</v>
      </c>
      <c r="N1146" s="19">
        <v>0.28129999999999999</v>
      </c>
      <c r="O1146" s="19">
        <v>0.30099999999999999</v>
      </c>
      <c r="P1146" s="19">
        <v>0</v>
      </c>
      <c r="Q1146" s="19">
        <v>2.3974295999999999E-2</v>
      </c>
      <c r="R1146" s="20" t="s">
        <v>36</v>
      </c>
      <c r="S1146" s="33" t="str">
        <f>HYPERLINK("https://enroll.vc.edu/npc", "$26538")</f>
        <v>$26538</v>
      </c>
      <c r="T1146" s="20">
        <v>28569</v>
      </c>
      <c r="U1146" s="20">
        <v>30668</v>
      </c>
      <c r="V1146" s="20" t="s">
        <v>36</v>
      </c>
      <c r="W1146" s="20" t="s">
        <v>36</v>
      </c>
      <c r="Y1146" s="19">
        <v>0.52669999999999995</v>
      </c>
      <c r="Z1146" s="19">
        <v>0.77890000000000004</v>
      </c>
      <c r="AB1146" s="18">
        <v>511</v>
      </c>
    </row>
    <row r="1147" spans="1:28" ht="15.75" customHeight="1" x14ac:dyDescent="0.2">
      <c r="A1147" s="17" t="str">
        <f>HYPERLINK("https://www.vc.edu", "Virginia College-Columbus")</f>
        <v>Virginia College-Columbus</v>
      </c>
      <c r="B1147" s="18" t="s">
        <v>368</v>
      </c>
      <c r="C1147" s="18" t="s">
        <v>107</v>
      </c>
      <c r="D1147" s="18" t="s">
        <v>237</v>
      </c>
      <c r="E1147" s="18" t="s">
        <v>36</v>
      </c>
      <c r="F1147" s="18" t="s">
        <v>36</v>
      </c>
      <c r="J1147" s="19"/>
      <c r="K1147" s="19">
        <v>0.32250000000000001</v>
      </c>
      <c r="L1147" s="19">
        <v>0.30252664499999998</v>
      </c>
      <c r="M1147" s="19">
        <v>0.3725</v>
      </c>
      <c r="N1147" s="19">
        <v>0.314</v>
      </c>
      <c r="O1147" s="19">
        <v>0.23080000000000001</v>
      </c>
      <c r="P1147" s="19">
        <v>0</v>
      </c>
      <c r="Q1147" s="19">
        <v>2.3974295999999999E-2</v>
      </c>
      <c r="R1147" s="20" t="s">
        <v>36</v>
      </c>
      <c r="S1147" s="33" t="str">
        <f>HYPERLINK("https://enroll.vc.edu/Npc", "$30652")</f>
        <v>$30652</v>
      </c>
      <c r="T1147" s="20">
        <v>28501</v>
      </c>
      <c r="U1147" s="20" t="s">
        <v>36</v>
      </c>
      <c r="V1147" s="20" t="s">
        <v>36</v>
      </c>
      <c r="W1147" s="20" t="s">
        <v>36</v>
      </c>
      <c r="Y1147" s="19">
        <v>0.73939999999999995</v>
      </c>
      <c r="Z1147" s="19">
        <v>0.86529999999999996</v>
      </c>
      <c r="AB1147" s="18">
        <v>527</v>
      </c>
    </row>
    <row r="1148" spans="1:28" ht="15.75" customHeight="1" x14ac:dyDescent="0.2">
      <c r="A1148" s="17" t="str">
        <f>HYPERLINK("https://www.vul.edu", "Virginia University of Lynchburg")</f>
        <v>Virginia University of Lynchburg</v>
      </c>
      <c r="B1148" s="18" t="s">
        <v>32</v>
      </c>
      <c r="C1148" s="18" t="s">
        <v>83</v>
      </c>
      <c r="D1148" s="18" t="s">
        <v>449</v>
      </c>
      <c r="E1148" s="18" t="s">
        <v>36</v>
      </c>
      <c r="F1148" s="18" t="s">
        <v>36</v>
      </c>
      <c r="J1148" s="19"/>
      <c r="K1148" s="19">
        <v>0.14419999999999999</v>
      </c>
      <c r="L1148" s="19">
        <v>0.12686567200000001</v>
      </c>
      <c r="M1148" s="19">
        <v>0.33329999999999999</v>
      </c>
      <c r="N1148" s="19">
        <v>0.1429</v>
      </c>
      <c r="O1148" s="19" t="s">
        <v>36</v>
      </c>
      <c r="P1148" s="19" t="s">
        <v>36</v>
      </c>
      <c r="Q1148" s="19" t="s">
        <v>36</v>
      </c>
      <c r="R1148" s="20">
        <v>26129</v>
      </c>
      <c r="S1148" s="33" t="str">
        <f>HYPERLINK("https://www.vul.edu", "$13297")</f>
        <v>$13297</v>
      </c>
      <c r="T1148" s="20">
        <v>19228</v>
      </c>
      <c r="U1148" s="20">
        <v>18042</v>
      </c>
      <c r="V1148" s="20">
        <v>6929</v>
      </c>
      <c r="W1148" s="20">
        <v>6368</v>
      </c>
      <c r="Y1148" s="19">
        <v>0.85670000000000002</v>
      </c>
      <c r="Z1148" s="19">
        <v>0.99629999999999996</v>
      </c>
      <c r="AB1148" s="18">
        <v>268</v>
      </c>
    </row>
    <row r="1149" spans="1:28" ht="15.75" customHeight="1" x14ac:dyDescent="0.2">
      <c r="A1149" s="17" t="str">
        <f>HYPERLINK("https://virginiawestern.edu/", "Virginia Western Community College")</f>
        <v>Virginia Western Community College</v>
      </c>
      <c r="B1149" s="18" t="s">
        <v>49</v>
      </c>
      <c r="C1149" s="18" t="s">
        <v>83</v>
      </c>
      <c r="D1149" s="18" t="s">
        <v>379</v>
      </c>
      <c r="E1149" s="18" t="s">
        <v>36</v>
      </c>
      <c r="F1149" s="18" t="s">
        <v>36</v>
      </c>
      <c r="J1149" s="19"/>
      <c r="K1149" s="19">
        <v>0.2772</v>
      </c>
      <c r="L1149" s="19">
        <v>0.162423178</v>
      </c>
      <c r="M1149" s="19">
        <v>0.32390000000000002</v>
      </c>
      <c r="N1149" s="19">
        <v>8.2600000000000007E-2</v>
      </c>
      <c r="O1149" s="19">
        <v>0.129</v>
      </c>
      <c r="P1149" s="19">
        <v>0.16669999999999999</v>
      </c>
      <c r="Q1149" s="19">
        <v>8.5379464000000002E-2</v>
      </c>
      <c r="R1149" s="20">
        <v>23678</v>
      </c>
      <c r="S1149" s="33" t="str">
        <f>HYPERLINK("https://www.vawizard.org/wizard/financing-college", "$18580")</f>
        <v>$18580</v>
      </c>
      <c r="T1149" s="20">
        <v>20081</v>
      </c>
      <c r="U1149" s="20">
        <v>22509</v>
      </c>
      <c r="V1149" s="20">
        <v>5586</v>
      </c>
      <c r="W1149" s="20">
        <v>12994.506925207759</v>
      </c>
      <c r="Y1149" s="19">
        <v>0.2802</v>
      </c>
      <c r="Z1149" s="19">
        <v>0.253</v>
      </c>
      <c r="AB1149" s="18">
        <v>4312</v>
      </c>
    </row>
    <row r="1150" spans="1:28" ht="15.75" customHeight="1" x14ac:dyDescent="0.2">
      <c r="A1150" s="17" t="str">
        <f>HYPERLINK("https://vistacollege.edu", "Vista College-Online")</f>
        <v>Vista College-Online</v>
      </c>
      <c r="B1150" s="18" t="s">
        <v>368</v>
      </c>
      <c r="C1150" s="18" t="s">
        <v>146</v>
      </c>
      <c r="D1150" s="18" t="s">
        <v>265</v>
      </c>
      <c r="E1150" s="18" t="s">
        <v>36</v>
      </c>
      <c r="F1150" s="18" t="s">
        <v>36</v>
      </c>
      <c r="J1150" s="19"/>
      <c r="K1150" s="19">
        <v>0.46539999999999998</v>
      </c>
      <c r="L1150" s="19">
        <v>0.71134020599999992</v>
      </c>
      <c r="M1150" s="19">
        <v>0.4194</v>
      </c>
      <c r="N1150" s="19">
        <v>0.38100000000000001</v>
      </c>
      <c r="O1150" s="19">
        <v>0.6</v>
      </c>
      <c r="P1150" s="19" t="s">
        <v>36</v>
      </c>
      <c r="Q1150" s="19" t="s">
        <v>36</v>
      </c>
      <c r="R1150" s="20" t="s">
        <v>36</v>
      </c>
      <c r="S1150" s="33" t="str">
        <f>HYPERLINK("https://www.vistacollege.edu/online/", "$22876")</f>
        <v>$22876</v>
      </c>
      <c r="T1150" s="20">
        <v>25165</v>
      </c>
      <c r="U1150" s="20">
        <v>28618</v>
      </c>
      <c r="V1150" s="20" t="s">
        <v>36</v>
      </c>
      <c r="W1150" s="20" t="s">
        <v>36</v>
      </c>
      <c r="Y1150" s="19">
        <v>0.75090000000000001</v>
      </c>
      <c r="Z1150" s="19">
        <v>0.74509999999999998</v>
      </c>
      <c r="AB1150" s="18">
        <v>565</v>
      </c>
    </row>
    <row r="1151" spans="1:28" ht="15.75" customHeight="1" x14ac:dyDescent="0.2">
      <c r="A1151" s="17" t="str">
        <f>HYPERLINK("https://www.volstate.edu", "Volunteer State Community College")</f>
        <v>Volunteer State Community College</v>
      </c>
      <c r="B1151" s="18" t="s">
        <v>49</v>
      </c>
      <c r="C1151" s="18" t="s">
        <v>174</v>
      </c>
      <c r="D1151" s="18" t="s">
        <v>1756</v>
      </c>
      <c r="E1151" s="18" t="s">
        <v>36</v>
      </c>
      <c r="F1151" s="18" t="s">
        <v>36</v>
      </c>
      <c r="J1151" s="19"/>
      <c r="K1151" s="19">
        <v>0.23019999999999999</v>
      </c>
      <c r="L1151" s="19">
        <v>0.13845258899999999</v>
      </c>
      <c r="M1151" s="19">
        <v>0.2611</v>
      </c>
      <c r="N1151" s="19">
        <v>7.2700000000000001E-2</v>
      </c>
      <c r="O1151" s="19">
        <v>0.16950000000000001</v>
      </c>
      <c r="P1151" s="19">
        <v>0.30769999999999997</v>
      </c>
      <c r="Q1151" s="19">
        <v>0.109122203</v>
      </c>
      <c r="R1151" s="20">
        <v>32749</v>
      </c>
      <c r="S1151" s="33" t="str">
        <f>HYPERLINK("https://www.volstate.edu/FinancialAid/Cost.php", "$26113")</f>
        <v>$26113</v>
      </c>
      <c r="T1151" s="20">
        <v>28435</v>
      </c>
      <c r="U1151" s="20">
        <v>30387</v>
      </c>
      <c r="V1151" s="20">
        <v>4624</v>
      </c>
      <c r="W1151" s="20">
        <v>21489.546391752581</v>
      </c>
      <c r="Y1151" s="19">
        <v>0.35930000000000001</v>
      </c>
      <c r="Z1151" s="19">
        <v>0.2382</v>
      </c>
      <c r="AB1151" s="18">
        <v>6976</v>
      </c>
    </row>
    <row r="1152" spans="1:28" ht="15.75" customHeight="1" x14ac:dyDescent="0.2">
      <c r="A1152" s="17" t="str">
        <f>HYPERLINK("https://www.iecc.edu/wvc", "Wabash Valley College")</f>
        <v>Wabash Valley College</v>
      </c>
      <c r="B1152" s="18" t="s">
        <v>49</v>
      </c>
      <c r="C1152" s="18" t="s">
        <v>137</v>
      </c>
      <c r="D1152" s="18" t="s">
        <v>1757</v>
      </c>
      <c r="E1152" s="18" t="s">
        <v>36</v>
      </c>
      <c r="F1152" s="18" t="s">
        <v>36</v>
      </c>
      <c r="J1152" s="19"/>
      <c r="K1152" s="19">
        <v>0.54679999999999995</v>
      </c>
      <c r="L1152" s="19">
        <v>0.27364864900000002</v>
      </c>
      <c r="M1152" s="19">
        <v>0.58989999999999998</v>
      </c>
      <c r="N1152" s="19">
        <v>0.1429</v>
      </c>
      <c r="O1152" s="19">
        <v>0.1429</v>
      </c>
      <c r="P1152" s="19">
        <v>0</v>
      </c>
      <c r="Q1152" s="19">
        <v>2.7522936000000001E-2</v>
      </c>
      <c r="R1152" s="20">
        <v>20755</v>
      </c>
      <c r="S1152" s="33" t="str">
        <f>HYPERLINK("https://www.iecc.edu/files_user/FAID/netcalc/npcalc.htm", "$16032")</f>
        <v>$16032</v>
      </c>
      <c r="T1152" s="20">
        <v>18788</v>
      </c>
      <c r="U1152" s="20">
        <v>17490</v>
      </c>
      <c r="V1152" s="20">
        <v>2900</v>
      </c>
      <c r="W1152" s="20">
        <v>13132.875</v>
      </c>
      <c r="Y1152" s="19">
        <v>6.88E-2</v>
      </c>
      <c r="Z1152" s="19">
        <v>0.10489999999999999</v>
      </c>
      <c r="AB1152" s="18">
        <v>572</v>
      </c>
    </row>
    <row r="1153" spans="1:28" ht="15.75" customHeight="1" x14ac:dyDescent="0.2">
      <c r="A1153" s="17" t="str">
        <f>HYPERLINK("https://www.wadecollege.edu", "Wade College")</f>
        <v>Wade College</v>
      </c>
      <c r="B1153" s="18" t="s">
        <v>368</v>
      </c>
      <c r="C1153" s="18" t="s">
        <v>146</v>
      </c>
      <c r="D1153" s="18" t="s">
        <v>152</v>
      </c>
      <c r="E1153" s="18" t="s">
        <v>36</v>
      </c>
      <c r="F1153" s="18" t="s">
        <v>36</v>
      </c>
      <c r="J1153" s="19"/>
      <c r="K1153" s="19">
        <v>0.38890000000000002</v>
      </c>
      <c r="L1153" s="19">
        <v>0.41666666699999999</v>
      </c>
      <c r="M1153" s="19">
        <v>0.5625</v>
      </c>
      <c r="N1153" s="19">
        <v>0.29730000000000001</v>
      </c>
      <c r="O1153" s="19">
        <v>0.42859999999999998</v>
      </c>
      <c r="P1153" s="19" t="s">
        <v>36</v>
      </c>
      <c r="Q1153" s="19" t="s">
        <v>36</v>
      </c>
      <c r="R1153" s="20">
        <v>26534</v>
      </c>
      <c r="S1153" s="33" t="str">
        <f>HYPERLINK("https://www.wadecollege.edu/student-consumer-info/index.php?page=net-price-calculator", "$19572")</f>
        <v>$19572</v>
      </c>
      <c r="T1153" s="20" t="s">
        <v>36</v>
      </c>
      <c r="U1153" s="20" t="s">
        <v>36</v>
      </c>
      <c r="V1153" s="20">
        <v>5288</v>
      </c>
      <c r="W1153" s="20">
        <v>14284</v>
      </c>
      <c r="Y1153" s="19">
        <v>0.61880000000000002</v>
      </c>
      <c r="Z1153" s="19">
        <v>0.78149999999999997</v>
      </c>
      <c r="AB1153" s="18">
        <v>151</v>
      </c>
    </row>
    <row r="1154" spans="1:28" ht="15.75" customHeight="1" x14ac:dyDescent="0.2">
      <c r="A1154" s="17" t="str">
        <f>HYPERLINK("https://www.warren.edu", "Warren County Community College")</f>
        <v>Warren County Community College</v>
      </c>
      <c r="B1154" s="18" t="s">
        <v>49</v>
      </c>
      <c r="C1154" s="18" t="s">
        <v>141</v>
      </c>
      <c r="D1154" s="18" t="s">
        <v>114</v>
      </c>
      <c r="E1154" s="18" t="s">
        <v>36</v>
      </c>
      <c r="F1154" s="18" t="s">
        <v>36</v>
      </c>
      <c r="J1154" s="19"/>
      <c r="K1154" s="19">
        <v>0.34799999999999998</v>
      </c>
      <c r="L1154" s="19">
        <v>0.186440678</v>
      </c>
      <c r="M1154" s="19">
        <v>0.28170000000000001</v>
      </c>
      <c r="N1154" s="19">
        <v>0.54549999999999998</v>
      </c>
      <c r="O1154" s="19">
        <v>0.75</v>
      </c>
      <c r="P1154" s="19">
        <v>0.66669999999999996</v>
      </c>
      <c r="Q1154" s="19">
        <v>8.3150984999999997E-2</v>
      </c>
      <c r="R1154" s="20">
        <v>17940</v>
      </c>
      <c r="S1154" s="33" t="str">
        <f>HYPERLINK("https://www.warren.edu/uploads/NetPriceCalculator/npcalc.htm", "$11962")</f>
        <v>$11962</v>
      </c>
      <c r="T1154" s="20">
        <v>14747</v>
      </c>
      <c r="U1154" s="20">
        <v>16926</v>
      </c>
      <c r="V1154" s="20">
        <v>4800</v>
      </c>
      <c r="W1154" s="20">
        <v>7162</v>
      </c>
      <c r="Y1154" s="19">
        <v>0.12770000000000001</v>
      </c>
      <c r="Z1154" s="19">
        <v>0.25790000000000002</v>
      </c>
      <c r="AB1154" s="18">
        <v>1113</v>
      </c>
    </row>
    <row r="1155" spans="1:28" ht="15.75" customHeight="1" x14ac:dyDescent="0.2">
      <c r="A1155" s="17" t="str">
        <f>HYPERLINK("https://www.wscc.edu", "Washington State Community College")</f>
        <v>Washington State Community College</v>
      </c>
      <c r="B1155" s="18" t="s">
        <v>49</v>
      </c>
      <c r="C1155" s="18" t="s">
        <v>75</v>
      </c>
      <c r="D1155" s="18" t="s">
        <v>948</v>
      </c>
      <c r="E1155" s="18" t="s">
        <v>36</v>
      </c>
      <c r="F1155" s="18" t="s">
        <v>36</v>
      </c>
      <c r="J1155" s="19"/>
      <c r="K1155" s="19">
        <v>0.25330000000000003</v>
      </c>
      <c r="L1155" s="19">
        <v>0.18163265300000001</v>
      </c>
      <c r="M1155" s="19">
        <v>0.25580000000000003</v>
      </c>
      <c r="N1155" s="19">
        <v>0</v>
      </c>
      <c r="O1155" s="19">
        <v>0.33329999999999999</v>
      </c>
      <c r="P1155" s="19" t="s">
        <v>36</v>
      </c>
      <c r="Q1155" s="19">
        <v>5.5107527000000003E-2</v>
      </c>
      <c r="R1155" s="20">
        <v>18259</v>
      </c>
      <c r="S1155" s="33" t="str">
        <f>HYPERLINK("https://www.wscc.edu/current/financial-aid/net-price-calculator-tool/", "$14455")</f>
        <v>$14455</v>
      </c>
      <c r="T1155" s="20">
        <v>16365</v>
      </c>
      <c r="U1155" s="20">
        <v>18259</v>
      </c>
      <c r="V1155" s="20">
        <v>5095</v>
      </c>
      <c r="W1155" s="20">
        <v>9360</v>
      </c>
      <c r="Y1155" s="19">
        <v>0.30249999999999999</v>
      </c>
      <c r="Z1155" s="19">
        <v>7.0799999999999974E-2</v>
      </c>
      <c r="AB1155" s="18">
        <v>946</v>
      </c>
    </row>
    <row r="1156" spans="1:28" ht="15.75" customHeight="1" x14ac:dyDescent="0.2">
      <c r="A1156" s="17" t="str">
        <f>HYPERLINK("https://www.waubonsee.edu", "Waubonsee Community College")</f>
        <v>Waubonsee Community College</v>
      </c>
      <c r="B1156" s="18" t="s">
        <v>49</v>
      </c>
      <c r="C1156" s="18" t="s">
        <v>137</v>
      </c>
      <c r="D1156" s="18" t="s">
        <v>1758</v>
      </c>
      <c r="E1156" s="18" t="s">
        <v>36</v>
      </c>
      <c r="F1156" s="18" t="s">
        <v>36</v>
      </c>
      <c r="J1156" s="19"/>
      <c r="K1156" s="19">
        <v>0.30590000000000001</v>
      </c>
      <c r="L1156" s="19">
        <v>0.198969072</v>
      </c>
      <c r="M1156" s="19">
        <v>0.35639999999999999</v>
      </c>
      <c r="N1156" s="19">
        <v>9.0899999999999995E-2</v>
      </c>
      <c r="O1156" s="19">
        <v>0.24610000000000001</v>
      </c>
      <c r="P1156" s="19">
        <v>0.3846</v>
      </c>
      <c r="Q1156" s="19">
        <v>0.108033241</v>
      </c>
      <c r="R1156" s="20">
        <v>22599</v>
      </c>
      <c r="S1156" s="33" t="str">
        <f>HYPERLINK("https://www.waubonsee.edu/admissions/costs-and-payments/tuition-and-fees/net-price-calculator", "$17516")</f>
        <v>$17516</v>
      </c>
      <c r="T1156" s="20">
        <v>20455</v>
      </c>
      <c r="U1156" s="20">
        <v>22395</v>
      </c>
      <c r="V1156" s="20">
        <v>5584</v>
      </c>
      <c r="W1156" s="20">
        <v>11932.304964539009</v>
      </c>
      <c r="Y1156" s="19">
        <v>0.24340000000000001</v>
      </c>
      <c r="Z1156" s="19">
        <v>0.49230000000000002</v>
      </c>
      <c r="AB1156" s="18">
        <v>7067</v>
      </c>
    </row>
    <row r="1157" spans="1:28" ht="15.75" customHeight="1" x14ac:dyDescent="0.2">
      <c r="A1157" s="17" t="str">
        <f>HYPERLINK("https://www.wcccd.edu", "Wayne County Community College District")</f>
        <v>Wayne County Community College District</v>
      </c>
      <c r="B1157" s="18" t="s">
        <v>49</v>
      </c>
      <c r="C1157" s="18" t="s">
        <v>226</v>
      </c>
      <c r="D1157" s="18" t="s">
        <v>668</v>
      </c>
      <c r="E1157" s="18" t="s">
        <v>36</v>
      </c>
      <c r="F1157" s="18" t="s">
        <v>36</v>
      </c>
      <c r="J1157" s="19"/>
      <c r="K1157" s="19">
        <v>0.11840000000000001</v>
      </c>
      <c r="L1157" s="19">
        <v>2.8239798999999999E-2</v>
      </c>
      <c r="M1157" s="19">
        <v>0.16309999999999999</v>
      </c>
      <c r="N1157" s="19">
        <v>0.1046</v>
      </c>
      <c r="O1157" s="19">
        <v>0.25</v>
      </c>
      <c r="P1157" s="19">
        <v>0</v>
      </c>
      <c r="Q1157" s="19">
        <v>4.6136799000000013E-2</v>
      </c>
      <c r="R1157" s="20">
        <v>13582</v>
      </c>
      <c r="S1157" s="33" t="str">
        <f>HYPERLINK("https://www.wcccd.edu/dept/FinancialAid_calculator.htm", "$8059")</f>
        <v>$8059</v>
      </c>
      <c r="T1157" s="20">
        <v>10429</v>
      </c>
      <c r="U1157" s="20">
        <v>12372</v>
      </c>
      <c r="V1157" s="20">
        <v>4728</v>
      </c>
      <c r="W1157" s="20">
        <v>3331.276978417266</v>
      </c>
      <c r="Y1157" s="19">
        <v>0.4632</v>
      </c>
      <c r="Z1157" s="19">
        <v>0.83460000000000001</v>
      </c>
      <c r="AB1157" s="18">
        <v>10143</v>
      </c>
    </row>
    <row r="1158" spans="1:28" ht="15.75" customHeight="1" x14ac:dyDescent="0.2">
      <c r="A1158" s="17" t="str">
        <f>HYPERLINK("https://www.wc.edu", "Weatherford College")</f>
        <v>Weatherford College</v>
      </c>
      <c r="B1158" s="18" t="s">
        <v>49</v>
      </c>
      <c r="C1158" s="18" t="s">
        <v>146</v>
      </c>
      <c r="D1158" s="18" t="s">
        <v>1186</v>
      </c>
      <c r="E1158" s="18" t="s">
        <v>36</v>
      </c>
      <c r="F1158" s="18" t="s">
        <v>36</v>
      </c>
      <c r="J1158" s="19"/>
      <c r="K1158" s="19">
        <v>0.16800000000000001</v>
      </c>
      <c r="L1158" s="19">
        <v>0.19444444399999999</v>
      </c>
      <c r="M1158" s="19">
        <v>0.17649999999999999</v>
      </c>
      <c r="N1158" s="19">
        <v>1.67E-2</v>
      </c>
      <c r="O1158" s="19">
        <v>0.17460000000000001</v>
      </c>
      <c r="P1158" s="19">
        <v>0.42859999999999998</v>
      </c>
      <c r="Q1158" s="19">
        <v>9.097859300000001E-2</v>
      </c>
      <c r="R1158" s="20">
        <v>17111</v>
      </c>
      <c r="S1158" s="33" t="str">
        <f>HYPERLINK("https://www.wc.edu/financial-aid/cost-attendance", "$11291")</f>
        <v>$11291</v>
      </c>
      <c r="T1158" s="20">
        <v>13080</v>
      </c>
      <c r="U1158" s="20">
        <v>15581</v>
      </c>
      <c r="V1158" s="20">
        <v>4381</v>
      </c>
      <c r="W1158" s="20">
        <v>6910.5230769230766</v>
      </c>
      <c r="Y1158" s="19">
        <v>0.25319999999999998</v>
      </c>
      <c r="Z1158" s="19">
        <v>0.28320000000000001</v>
      </c>
      <c r="AB1158" s="18">
        <v>6260</v>
      </c>
    </row>
    <row r="1159" spans="1:28" ht="15.75" customHeight="1" x14ac:dyDescent="0.2">
      <c r="A1159" s="17" t="str">
        <f>HYPERLINK("https://www.wvc.edu", "Wenatchee Valley College")</f>
        <v>Wenatchee Valley College</v>
      </c>
      <c r="B1159" s="18" t="s">
        <v>49</v>
      </c>
      <c r="C1159" s="18" t="s">
        <v>184</v>
      </c>
      <c r="D1159" s="18" t="s">
        <v>1759</v>
      </c>
      <c r="E1159" s="18" t="s">
        <v>36</v>
      </c>
      <c r="F1159" s="18" t="s">
        <v>36</v>
      </c>
      <c r="J1159" s="19"/>
      <c r="K1159" s="19">
        <v>0.28060000000000002</v>
      </c>
      <c r="L1159" s="19">
        <v>0.22860791799999999</v>
      </c>
      <c r="M1159" s="19">
        <v>0.30280000000000001</v>
      </c>
      <c r="N1159" s="19">
        <v>0</v>
      </c>
      <c r="O1159" s="19">
        <v>0.28649999999999998</v>
      </c>
      <c r="P1159" s="19" t="s">
        <v>36</v>
      </c>
      <c r="Q1159" s="19">
        <v>5.2583862000000002E-2</v>
      </c>
      <c r="R1159" s="20">
        <v>14831</v>
      </c>
      <c r="S1159" s="33" t="str">
        <f>HYPERLINK("https://www.wvc.edu/admissions/support/financial-aid/NetPrice/npcalc.htm", "$7258")</f>
        <v>$7258</v>
      </c>
      <c r="T1159" s="20">
        <v>9509</v>
      </c>
      <c r="U1159" s="20">
        <v>13311</v>
      </c>
      <c r="V1159" s="20">
        <v>4365</v>
      </c>
      <c r="W1159" s="20">
        <v>2893.46875</v>
      </c>
      <c r="Y1159" s="19">
        <v>0.35439999999999999</v>
      </c>
      <c r="Z1159" s="19">
        <v>0.46739999999999998</v>
      </c>
      <c r="AB1159" s="18">
        <v>2621</v>
      </c>
    </row>
    <row r="1160" spans="1:28" ht="15.75" customHeight="1" x14ac:dyDescent="0.2">
      <c r="A1160" s="17" t="str">
        <f>HYPERLINK("https://www.westhillscollege.com/coalinga/", "West Hills College-Coalinga")</f>
        <v>West Hills College-Coalinga</v>
      </c>
      <c r="B1160" s="18" t="s">
        <v>49</v>
      </c>
      <c r="C1160" s="18" t="s">
        <v>68</v>
      </c>
      <c r="D1160" s="18" t="s">
        <v>1760</v>
      </c>
      <c r="E1160" s="18" t="s">
        <v>36</v>
      </c>
      <c r="F1160" s="18" t="s">
        <v>36</v>
      </c>
      <c r="J1160" s="19"/>
      <c r="K1160" s="19">
        <v>0.28520000000000001</v>
      </c>
      <c r="L1160" s="19">
        <v>0.128205128</v>
      </c>
      <c r="M1160" s="19">
        <v>0.28000000000000003</v>
      </c>
      <c r="N1160" s="19">
        <v>0.19350000000000001</v>
      </c>
      <c r="O1160" s="19">
        <v>0.2697</v>
      </c>
      <c r="P1160" s="19">
        <v>0</v>
      </c>
      <c r="Q1160" s="19">
        <v>6.7796609999999993E-2</v>
      </c>
      <c r="R1160" s="20">
        <v>23933</v>
      </c>
      <c r="S1160" s="33" t="str">
        <f>HYPERLINK("https://www.westhillscollege.com/coalinga/admissions/cost-of-attendance/net-price-calculator.php", "$17153")</f>
        <v>$17153</v>
      </c>
      <c r="T1160" s="20">
        <v>20146</v>
      </c>
      <c r="U1160" s="20">
        <v>19767</v>
      </c>
      <c r="V1160" s="20">
        <v>5096</v>
      </c>
      <c r="W1160" s="20">
        <v>12057.414364640879</v>
      </c>
      <c r="Y1160" s="19">
        <v>0.27089999999999997</v>
      </c>
      <c r="Z1160" s="19">
        <v>0.83830000000000005</v>
      </c>
      <c r="AB1160" s="18">
        <v>3031</v>
      </c>
    </row>
    <row r="1161" spans="1:28" ht="15.75" customHeight="1" x14ac:dyDescent="0.2">
      <c r="A1161" s="17" t="str">
        <f>HYPERLINK("https://www.westhillscollege.com/lemoore/", "West Hills College-Lemoore")</f>
        <v>West Hills College-Lemoore</v>
      </c>
      <c r="B1161" s="18" t="s">
        <v>49</v>
      </c>
      <c r="C1161" s="18" t="s">
        <v>68</v>
      </c>
      <c r="D1161" s="18" t="s">
        <v>1761</v>
      </c>
      <c r="E1161" s="18" t="s">
        <v>36</v>
      </c>
      <c r="F1161" s="18" t="s">
        <v>36</v>
      </c>
      <c r="J1161" s="19"/>
      <c r="K1161" s="19">
        <v>0.36809999999999998</v>
      </c>
      <c r="L1161" s="19">
        <v>9.6100278999999997E-2</v>
      </c>
      <c r="M1161" s="19">
        <v>0.42309999999999998</v>
      </c>
      <c r="N1161" s="19">
        <v>0.1111</v>
      </c>
      <c r="O1161" s="19">
        <v>0.3705</v>
      </c>
      <c r="P1161" s="19">
        <v>0.2727</v>
      </c>
      <c r="Q1161" s="19">
        <v>9.0009890999999995E-2</v>
      </c>
      <c r="R1161" s="20">
        <v>30248</v>
      </c>
      <c r="S1161" s="33" t="str">
        <f>HYPERLINK("https://www.westhillscollege.com/lemoore/admissions/cost-of-attendance/net-price-calculator.php", "$23052")</f>
        <v>$23052</v>
      </c>
      <c r="T1161" s="20">
        <v>26703</v>
      </c>
      <c r="U1161" s="20" t="s">
        <v>36</v>
      </c>
      <c r="V1161" s="20">
        <v>6094</v>
      </c>
      <c r="W1161" s="20">
        <v>16958.928571428569</v>
      </c>
      <c r="Y1161" s="19">
        <v>0.41210000000000002</v>
      </c>
      <c r="Z1161" s="19">
        <v>0.77539999999999998</v>
      </c>
      <c r="AB1161" s="18">
        <v>3843</v>
      </c>
    </row>
    <row r="1162" spans="1:28" ht="15.75" customHeight="1" x14ac:dyDescent="0.2">
      <c r="A1162" s="17" t="str">
        <f>HYPERLINK("https://www.westshore.edu", "West Shore Community College")</f>
        <v>West Shore Community College</v>
      </c>
      <c r="B1162" s="18" t="s">
        <v>49</v>
      </c>
      <c r="C1162" s="18" t="s">
        <v>226</v>
      </c>
      <c r="D1162" s="18" t="s">
        <v>1762</v>
      </c>
      <c r="E1162" s="18" t="s">
        <v>36</v>
      </c>
      <c r="F1162" s="18" t="s">
        <v>36</v>
      </c>
      <c r="J1162" s="19"/>
      <c r="K1162" s="19">
        <v>0.26390000000000002</v>
      </c>
      <c r="L1162" s="19">
        <v>0.19658119700000001</v>
      </c>
      <c r="M1162" s="19">
        <v>0.28449999999999998</v>
      </c>
      <c r="N1162" s="19">
        <v>0.25</v>
      </c>
      <c r="O1162" s="19">
        <v>0.2</v>
      </c>
      <c r="P1162" s="19" t="s">
        <v>36</v>
      </c>
      <c r="Q1162" s="19">
        <v>7.2761194000000001E-2</v>
      </c>
      <c r="R1162" s="20">
        <v>15146</v>
      </c>
      <c r="S1162" s="33" t="str">
        <f>HYPERLINK("https://www.westshore.edu/admissions/paying-for-college/net-price-calculator/", "$9174")</f>
        <v>$9174</v>
      </c>
      <c r="T1162" s="20">
        <v>10153</v>
      </c>
      <c r="U1162" s="20">
        <v>12745</v>
      </c>
      <c r="V1162" s="20">
        <v>5016</v>
      </c>
      <c r="W1162" s="20">
        <v>4158.1355932203387</v>
      </c>
      <c r="Y1162" s="19">
        <v>0.47570000000000001</v>
      </c>
      <c r="Z1162" s="19">
        <v>0.1988</v>
      </c>
      <c r="AB1162" s="18">
        <v>820</v>
      </c>
    </row>
    <row r="1163" spans="1:28" ht="15.75" customHeight="1" x14ac:dyDescent="0.2">
      <c r="A1163" s="17" t="str">
        <f>HYPERLINK("https://www.westvalley.edu", "West Valley College")</f>
        <v>West Valley College</v>
      </c>
      <c r="B1163" s="18" t="s">
        <v>49</v>
      </c>
      <c r="C1163" s="18" t="s">
        <v>68</v>
      </c>
      <c r="D1163" s="18" t="s">
        <v>1763</v>
      </c>
      <c r="E1163" s="18" t="s">
        <v>36</v>
      </c>
      <c r="F1163" s="18" t="s">
        <v>36</v>
      </c>
      <c r="J1163" s="19"/>
      <c r="K1163" s="19">
        <v>0.32140000000000002</v>
      </c>
      <c r="L1163" s="19">
        <v>6.7733989999999994E-2</v>
      </c>
      <c r="M1163" s="19">
        <v>0.32550000000000001</v>
      </c>
      <c r="N1163" s="19">
        <v>0.31819999999999998</v>
      </c>
      <c r="O1163" s="19">
        <v>0.31459999999999999</v>
      </c>
      <c r="P1163" s="19">
        <v>0.35709999999999997</v>
      </c>
      <c r="Q1163" s="19">
        <v>0.117977528</v>
      </c>
      <c r="R1163" s="20">
        <v>22627</v>
      </c>
      <c r="S1163" s="33" t="str">
        <f>HYPERLINK("https://misweb.cccco.edu/npc/493/npcalc.htm", "$15020")</f>
        <v>$15020</v>
      </c>
      <c r="T1163" s="20">
        <v>18967</v>
      </c>
      <c r="U1163" s="20">
        <v>20460</v>
      </c>
      <c r="V1163" s="20">
        <v>5895</v>
      </c>
      <c r="W1163" s="20">
        <v>9125.5607476635523</v>
      </c>
      <c r="Y1163" s="19">
        <v>0.1255</v>
      </c>
      <c r="Z1163" s="19">
        <v>0.5958</v>
      </c>
      <c r="AB1163" s="18">
        <v>6799</v>
      </c>
    </row>
    <row r="1164" spans="1:28" ht="15.75" customHeight="1" x14ac:dyDescent="0.2">
      <c r="A1164" s="17" t="str">
        <f>HYPERLINK("https://www.wvjc.edu", "West Virginia Junior College-Bridgeport")</f>
        <v>West Virginia Junior College-Bridgeport</v>
      </c>
      <c r="B1164" s="18" t="s">
        <v>368</v>
      </c>
      <c r="C1164" s="18" t="s">
        <v>574</v>
      </c>
      <c r="D1164" s="18" t="s">
        <v>886</v>
      </c>
      <c r="E1164" s="18" t="s">
        <v>36</v>
      </c>
      <c r="F1164" s="18" t="s">
        <v>36</v>
      </c>
      <c r="J1164" s="19"/>
      <c r="K1164" s="19">
        <v>0.66669999999999996</v>
      </c>
      <c r="L1164" s="19">
        <v>0.51327433600000005</v>
      </c>
      <c r="M1164" s="19">
        <v>0.64910000000000001</v>
      </c>
      <c r="N1164" s="19">
        <v>1</v>
      </c>
      <c r="O1164" s="19" t="s">
        <v>36</v>
      </c>
      <c r="P1164" s="19" t="s">
        <v>36</v>
      </c>
      <c r="Q1164" s="19" t="s">
        <v>36</v>
      </c>
      <c r="R1164" s="20">
        <v>25795</v>
      </c>
      <c r="S1164" s="33" t="str">
        <f>HYPERLINK("https://www.wvjc.edu", "$12398")</f>
        <v>$12398</v>
      </c>
      <c r="T1164" s="20">
        <v>13628</v>
      </c>
      <c r="U1164" s="20">
        <v>18288</v>
      </c>
      <c r="V1164" s="20">
        <v>5033</v>
      </c>
      <c r="W1164" s="20">
        <v>7365</v>
      </c>
      <c r="Y1164" s="19">
        <v>0.82579999999999998</v>
      </c>
      <c r="Z1164" s="19">
        <v>2.3100000000000009E-2</v>
      </c>
      <c r="AB1164" s="18">
        <v>130</v>
      </c>
    </row>
    <row r="1165" spans="1:28" ht="15.75" customHeight="1" x14ac:dyDescent="0.2">
      <c r="A1165" s="17" t="str">
        <f>HYPERLINK("https://www.wvjc.edu", "West Virginia Junior College-Charleston")</f>
        <v>West Virginia Junior College-Charleston</v>
      </c>
      <c r="B1165" s="18" t="s">
        <v>368</v>
      </c>
      <c r="C1165" s="18" t="s">
        <v>574</v>
      </c>
      <c r="D1165" s="18" t="s">
        <v>334</v>
      </c>
      <c r="E1165" s="18" t="s">
        <v>36</v>
      </c>
      <c r="F1165" s="18" t="s">
        <v>36</v>
      </c>
      <c r="J1165" s="19"/>
      <c r="K1165" s="19">
        <v>0.61360000000000003</v>
      </c>
      <c r="L1165" s="19">
        <v>0.51327433600000005</v>
      </c>
      <c r="M1165" s="19">
        <v>0.60609999999999997</v>
      </c>
      <c r="N1165" s="19">
        <v>0.625</v>
      </c>
      <c r="O1165" s="19">
        <v>1</v>
      </c>
      <c r="P1165" s="19">
        <v>0</v>
      </c>
      <c r="Q1165" s="19" t="s">
        <v>36</v>
      </c>
      <c r="R1165" s="20">
        <v>23423</v>
      </c>
      <c r="S1165" s="33" t="str">
        <f>HYPERLINK("https://www.wvjc.edu", "$10794")</f>
        <v>$10794</v>
      </c>
      <c r="T1165" s="20">
        <v>12428</v>
      </c>
      <c r="U1165" s="20">
        <v>18268</v>
      </c>
      <c r="V1165" s="20">
        <v>4155</v>
      </c>
      <c r="W1165" s="20">
        <v>6639</v>
      </c>
      <c r="Y1165" s="19">
        <v>0.94520000000000004</v>
      </c>
      <c r="Z1165" s="19">
        <v>0.17330000000000001</v>
      </c>
      <c r="AB1165" s="18">
        <v>150</v>
      </c>
    </row>
    <row r="1166" spans="1:28" ht="15.75" customHeight="1" x14ac:dyDescent="0.2">
      <c r="A1166" s="17" t="str">
        <f>HYPERLINK("https://www.wvjc.edu", "West Virginia Junior College-Morgantown")</f>
        <v>West Virginia Junior College-Morgantown</v>
      </c>
      <c r="B1166" s="18" t="s">
        <v>368</v>
      </c>
      <c r="C1166" s="18" t="s">
        <v>574</v>
      </c>
      <c r="D1166" s="18" t="s">
        <v>1399</v>
      </c>
      <c r="E1166" s="18" t="s">
        <v>36</v>
      </c>
      <c r="F1166" s="18" t="s">
        <v>36</v>
      </c>
      <c r="J1166" s="19"/>
      <c r="K1166" s="19">
        <v>0.61539999999999995</v>
      </c>
      <c r="L1166" s="19">
        <v>0.468468469</v>
      </c>
      <c r="M1166" s="19">
        <v>0.60870000000000002</v>
      </c>
      <c r="N1166" s="19">
        <v>0.6</v>
      </c>
      <c r="O1166" s="19" t="s">
        <v>36</v>
      </c>
      <c r="P1166" s="19">
        <v>1</v>
      </c>
      <c r="Q1166" s="19">
        <v>3.3557047E-2</v>
      </c>
      <c r="R1166" s="20">
        <v>25389</v>
      </c>
      <c r="S1166" s="33" t="str">
        <f>HYPERLINK("https://www.wvjc.edu", "$15580")</f>
        <v>$15580</v>
      </c>
      <c r="T1166" s="20">
        <v>17726</v>
      </c>
      <c r="U1166" s="20">
        <v>20970</v>
      </c>
      <c r="V1166" s="20">
        <v>4711</v>
      </c>
      <c r="W1166" s="20">
        <v>10869</v>
      </c>
      <c r="Y1166" s="19">
        <v>0.78990000000000005</v>
      </c>
      <c r="Z1166" s="19">
        <v>0.1012</v>
      </c>
      <c r="AB1166" s="18">
        <v>494</v>
      </c>
    </row>
    <row r="1167" spans="1:28" ht="15.75" customHeight="1" x14ac:dyDescent="0.2">
      <c r="A1167" s="17" t="str">
        <f>HYPERLINK("https://www.wvncc.edu/", "West Virginia Northern Community College")</f>
        <v>West Virginia Northern Community College</v>
      </c>
      <c r="B1167" s="18" t="s">
        <v>49</v>
      </c>
      <c r="C1167" s="18" t="s">
        <v>574</v>
      </c>
      <c r="D1167" s="18" t="s">
        <v>1413</v>
      </c>
      <c r="E1167" s="18" t="s">
        <v>36</v>
      </c>
      <c r="F1167" s="18" t="s">
        <v>36</v>
      </c>
      <c r="J1167" s="19"/>
      <c r="K1167" s="19">
        <v>0.19270000000000001</v>
      </c>
      <c r="L1167" s="19">
        <v>5.0359712000000001E-2</v>
      </c>
      <c r="M1167" s="19">
        <v>0.188</v>
      </c>
      <c r="N1167" s="19">
        <v>0</v>
      </c>
      <c r="O1167" s="19">
        <v>0</v>
      </c>
      <c r="P1167" s="19" t="s">
        <v>36</v>
      </c>
      <c r="Q1167" s="19">
        <v>4.9053355999999999E-2</v>
      </c>
      <c r="R1167" s="20">
        <v>19834</v>
      </c>
      <c r="S1167" s="33" t="str">
        <f>HYPERLINK("https://wvncc.studentaidcalculator.com/survey.aspx", "$13355")</f>
        <v>$13355</v>
      </c>
      <c r="T1167" s="20">
        <v>15728</v>
      </c>
      <c r="U1167" s="20">
        <v>17851</v>
      </c>
      <c r="V1167" s="20">
        <v>4657</v>
      </c>
      <c r="W1167" s="20">
        <v>8698.1360946745554</v>
      </c>
      <c r="Y1167" s="19">
        <v>0.52090000000000003</v>
      </c>
      <c r="Z1167" s="19">
        <v>9.7500000000000031E-2</v>
      </c>
      <c r="AB1167" s="18">
        <v>1180</v>
      </c>
    </row>
    <row r="1168" spans="1:28" ht="15.75" customHeight="1" x14ac:dyDescent="0.2">
      <c r="A1168" s="17" t="str">
        <f>HYPERLINK("https://www.wvup.edu", "West Virginia University at Parkersburg")</f>
        <v>West Virginia University at Parkersburg</v>
      </c>
      <c r="B1168" s="18" t="s">
        <v>49</v>
      </c>
      <c r="C1168" s="18" t="s">
        <v>574</v>
      </c>
      <c r="D1168" s="18" t="s">
        <v>1550</v>
      </c>
      <c r="E1168" s="18" t="s">
        <v>36</v>
      </c>
      <c r="F1168" s="18" t="s">
        <v>36</v>
      </c>
      <c r="J1168" s="19"/>
      <c r="K1168" s="19">
        <v>0.3609</v>
      </c>
      <c r="L1168" s="19">
        <v>0.22867298599999999</v>
      </c>
      <c r="M1168" s="19">
        <v>0.38390000000000002</v>
      </c>
      <c r="N1168" s="19">
        <v>7.6899999999999996E-2</v>
      </c>
      <c r="O1168" s="19">
        <v>0.6</v>
      </c>
      <c r="P1168" s="19">
        <v>0</v>
      </c>
      <c r="Q1168" s="19">
        <v>2.556158E-2</v>
      </c>
      <c r="R1168" s="20">
        <v>16588</v>
      </c>
      <c r="S1168" s="33" t="str">
        <f>HYPERLINK("https://wvup.studentaidcalculator.com/survey.aspx", "$13879")</f>
        <v>$13879</v>
      </c>
      <c r="T1168" s="20">
        <v>14168</v>
      </c>
      <c r="U1168" s="20">
        <v>16024</v>
      </c>
      <c r="V1168" s="20">
        <v>4968</v>
      </c>
      <c r="W1168" s="20">
        <v>8911.6666666666661</v>
      </c>
      <c r="Y1168" s="19">
        <v>0.46820000000000001</v>
      </c>
      <c r="Z1168" s="19">
        <v>6.2200000000000033E-2</v>
      </c>
      <c r="AB1168" s="18">
        <v>2172</v>
      </c>
    </row>
    <row r="1169" spans="1:28" ht="15.75" customHeight="1" x14ac:dyDescent="0.2">
      <c r="A1169" s="17" t="str">
        <f>HYPERLINK("https://www.wdt.edu", "Western Dakota Technical Institute")</f>
        <v>Western Dakota Technical Institute</v>
      </c>
      <c r="B1169" s="18" t="s">
        <v>49</v>
      </c>
      <c r="C1169" s="18" t="s">
        <v>302</v>
      </c>
      <c r="D1169" s="18" t="s">
        <v>480</v>
      </c>
      <c r="E1169" s="18" t="s">
        <v>36</v>
      </c>
      <c r="F1169" s="18" t="s">
        <v>36</v>
      </c>
      <c r="J1169" s="19"/>
      <c r="K1169" s="19">
        <v>0.30709999999999998</v>
      </c>
      <c r="L1169" s="19">
        <v>0.238227147</v>
      </c>
      <c r="M1169" s="19">
        <v>0.36840000000000001</v>
      </c>
      <c r="N1169" s="19">
        <v>0.5</v>
      </c>
      <c r="O1169" s="19">
        <v>0.22220000000000001</v>
      </c>
      <c r="P1169" s="19" t="s">
        <v>36</v>
      </c>
      <c r="Q1169" s="19">
        <v>3.125E-2</v>
      </c>
      <c r="R1169" s="20">
        <v>23060</v>
      </c>
      <c r="S1169" s="33" t="str">
        <f>HYPERLINK("https://www.wdt.edu/NetPriceCalculator/npcalc.htm", "$17976")</f>
        <v>$17976</v>
      </c>
      <c r="T1169" s="20">
        <v>21099</v>
      </c>
      <c r="U1169" s="20">
        <v>22840</v>
      </c>
      <c r="V1169" s="20">
        <v>6200</v>
      </c>
      <c r="W1169" s="20">
        <v>11776.241379310341</v>
      </c>
      <c r="Y1169" s="19">
        <v>0.47660000000000002</v>
      </c>
      <c r="Z1169" s="19">
        <v>0.25869999999999999</v>
      </c>
      <c r="AB1169" s="18">
        <v>831</v>
      </c>
    </row>
    <row r="1170" spans="1:28" ht="15.75" customHeight="1" x14ac:dyDescent="0.2">
      <c r="A1170" s="17" t="str">
        <f>HYPERLINK("https://www.wncc.edu", "Western Nebraska Community College")</f>
        <v>Western Nebraska Community College</v>
      </c>
      <c r="B1170" s="18" t="s">
        <v>49</v>
      </c>
      <c r="C1170" s="18" t="s">
        <v>341</v>
      </c>
      <c r="D1170" s="18" t="s">
        <v>1764</v>
      </c>
      <c r="E1170" s="18" t="s">
        <v>36</v>
      </c>
      <c r="F1170" s="18" t="s">
        <v>36</v>
      </c>
      <c r="J1170" s="19"/>
      <c r="K1170" s="19">
        <v>0.3095</v>
      </c>
      <c r="L1170" s="19">
        <v>0.17179487199999999</v>
      </c>
      <c r="M1170" s="19">
        <v>0.34420000000000001</v>
      </c>
      <c r="N1170" s="19">
        <v>0.42859999999999998</v>
      </c>
      <c r="O1170" s="19">
        <v>0.1875</v>
      </c>
      <c r="P1170" s="19" t="s">
        <v>36</v>
      </c>
      <c r="Q1170" s="19">
        <v>5.9701493000000001E-2</v>
      </c>
      <c r="R1170" s="20">
        <v>14439</v>
      </c>
      <c r="S1170" s="33" t="str">
        <f>HYPERLINK("https://www.wncc.edu/cost-aid/net-price-calculator", "$7234")</f>
        <v>$7234</v>
      </c>
      <c r="T1170" s="20">
        <v>8732</v>
      </c>
      <c r="U1170" s="20">
        <v>11668</v>
      </c>
      <c r="V1170" s="20">
        <v>4917</v>
      </c>
      <c r="W1170" s="20">
        <v>2317.5</v>
      </c>
      <c r="Y1170" s="19">
        <v>0.27339999999999998</v>
      </c>
      <c r="Z1170" s="19">
        <v>0.38700000000000001</v>
      </c>
      <c r="AB1170" s="18">
        <v>1186</v>
      </c>
    </row>
    <row r="1171" spans="1:28" ht="15.75" customHeight="1" x14ac:dyDescent="0.2">
      <c r="A1171" s="17" t="str">
        <f>HYPERLINK("https://www.wnc.edu", "Western Nevada College")</f>
        <v>Western Nevada College</v>
      </c>
      <c r="B1171" s="18" t="s">
        <v>49</v>
      </c>
      <c r="C1171" s="18" t="s">
        <v>476</v>
      </c>
      <c r="D1171" s="18" t="s">
        <v>1765</v>
      </c>
      <c r="E1171" s="18" t="s">
        <v>36</v>
      </c>
      <c r="F1171" s="18" t="s">
        <v>36</v>
      </c>
      <c r="J1171" s="19"/>
      <c r="K1171" s="19">
        <v>0.25</v>
      </c>
      <c r="L1171" s="19">
        <v>0.11576626199999999</v>
      </c>
      <c r="M1171" s="19">
        <v>0.26379999999999998</v>
      </c>
      <c r="N1171" s="19">
        <v>0</v>
      </c>
      <c r="O1171" s="19">
        <v>0.2429</v>
      </c>
      <c r="P1171" s="19">
        <v>0</v>
      </c>
      <c r="Q1171" s="19">
        <v>6.9044005999999991E-2</v>
      </c>
      <c r="R1171" s="20">
        <v>25403</v>
      </c>
      <c r="S1171" s="33" t="str">
        <f>HYPERLINK("https://www.wnc.edu/NetPriceCalculator/npcalc.htm", "$20685")</f>
        <v>$20685</v>
      </c>
      <c r="T1171" s="20">
        <v>23187</v>
      </c>
      <c r="U1171" s="20">
        <v>25403</v>
      </c>
      <c r="V1171" s="20">
        <v>6360</v>
      </c>
      <c r="W1171" s="20">
        <v>14325.310344827591</v>
      </c>
      <c r="Y1171" s="19">
        <v>0.31440000000000001</v>
      </c>
      <c r="Z1171" s="19">
        <v>0.39770000000000011</v>
      </c>
      <c r="AB1171" s="18">
        <v>3000</v>
      </c>
    </row>
    <row r="1172" spans="1:28" ht="15.75" customHeight="1" x14ac:dyDescent="0.2">
      <c r="A1172" s="17" t="str">
        <f>HYPERLINK("https://www.wosc.edu", "Western Oklahoma State College")</f>
        <v>Western Oklahoma State College</v>
      </c>
      <c r="B1172" s="18" t="s">
        <v>49</v>
      </c>
      <c r="C1172" s="18" t="s">
        <v>290</v>
      </c>
      <c r="D1172" s="18" t="s">
        <v>1766</v>
      </c>
      <c r="E1172" s="18" t="s">
        <v>36</v>
      </c>
      <c r="F1172" s="18" t="s">
        <v>36</v>
      </c>
      <c r="J1172" s="19"/>
      <c r="K1172" s="19">
        <v>0.24790000000000001</v>
      </c>
      <c r="L1172" s="19">
        <v>0.162844037</v>
      </c>
      <c r="M1172" s="19">
        <v>0.2316</v>
      </c>
      <c r="N1172" s="19">
        <v>0.25</v>
      </c>
      <c r="O1172" s="19">
        <v>0.2069</v>
      </c>
      <c r="P1172" s="19">
        <v>0</v>
      </c>
      <c r="Q1172" s="19">
        <v>6.8912711000000001E-2</v>
      </c>
      <c r="R1172" s="20">
        <v>20987</v>
      </c>
      <c r="S1172" s="33" t="str">
        <f>HYPERLINK("https://www.wosc.edu/index.php?page=netpricecalc", "$13403")</f>
        <v>$13403</v>
      </c>
      <c r="T1172" s="20">
        <v>16024</v>
      </c>
      <c r="U1172" s="20">
        <v>16337</v>
      </c>
      <c r="V1172" s="20">
        <v>5900</v>
      </c>
      <c r="W1172" s="20">
        <v>7503.8673469387759</v>
      </c>
      <c r="Y1172" s="19">
        <v>0.4083</v>
      </c>
      <c r="Z1172" s="19">
        <v>0.51700000000000002</v>
      </c>
      <c r="AB1172" s="18">
        <v>1087</v>
      </c>
    </row>
    <row r="1173" spans="1:28" ht="15.75" customHeight="1" x14ac:dyDescent="0.2">
      <c r="A1173" s="17" t="str">
        <f>HYPERLINK("https://www.wpcc.edu", "Western Piedmont Community College")</f>
        <v>Western Piedmont Community College</v>
      </c>
      <c r="B1173" s="18" t="s">
        <v>49</v>
      </c>
      <c r="C1173" s="18" t="s">
        <v>103</v>
      </c>
      <c r="D1173" s="18" t="s">
        <v>1767</v>
      </c>
      <c r="E1173" s="18" t="s">
        <v>36</v>
      </c>
      <c r="F1173" s="18" t="s">
        <v>36</v>
      </c>
      <c r="J1173" s="19"/>
      <c r="K1173" s="19">
        <v>0.28949999999999998</v>
      </c>
      <c r="L1173" s="19">
        <v>8.5450345999999996E-2</v>
      </c>
      <c r="M1173" s="19">
        <v>0.28810000000000002</v>
      </c>
      <c r="N1173" s="19">
        <v>0.28570000000000001</v>
      </c>
      <c r="O1173" s="19">
        <v>0.2</v>
      </c>
      <c r="P1173" s="19">
        <v>0.36359999999999998</v>
      </c>
      <c r="Q1173" s="19">
        <v>7.5885329000000001E-2</v>
      </c>
      <c r="R1173" s="20">
        <v>21478</v>
      </c>
      <c r="S1173" s="33" t="str">
        <f>HYPERLINK("https://www.wpcc.edu/financial-aid/net-price-calculator", "$15853")</f>
        <v>$15853</v>
      </c>
      <c r="T1173" s="20">
        <v>16321</v>
      </c>
      <c r="U1173" s="20">
        <v>19146</v>
      </c>
      <c r="V1173" s="20">
        <v>5855</v>
      </c>
      <c r="W1173" s="20">
        <v>9998.6226415094352</v>
      </c>
      <c r="Y1173" s="19">
        <v>0.45779999999999998</v>
      </c>
      <c r="Z1173" s="19">
        <v>0.24149999999999999</v>
      </c>
      <c r="AB1173" s="18">
        <v>1420</v>
      </c>
    </row>
    <row r="1174" spans="1:28" ht="15.75" customHeight="1" x14ac:dyDescent="0.2">
      <c r="A1174" s="17" t="str">
        <f>HYPERLINK("https://www.westerntech.edu", "Western Technical College")</f>
        <v>Western Technical College</v>
      </c>
      <c r="B1174" s="18" t="s">
        <v>368</v>
      </c>
      <c r="C1174" s="18" t="s">
        <v>146</v>
      </c>
      <c r="D1174" s="18" t="s">
        <v>869</v>
      </c>
      <c r="E1174" s="18" t="s">
        <v>36</v>
      </c>
      <c r="F1174" s="18" t="s">
        <v>36</v>
      </c>
      <c r="J1174" s="19"/>
      <c r="K1174" s="19">
        <v>0.70099999999999996</v>
      </c>
      <c r="L1174" s="19">
        <v>0.70238095200000006</v>
      </c>
      <c r="M1174" s="19">
        <v>0.625</v>
      </c>
      <c r="N1174" s="19">
        <v>0.66669999999999996</v>
      </c>
      <c r="O1174" s="19">
        <v>0.71430000000000005</v>
      </c>
      <c r="P1174" s="19">
        <v>0</v>
      </c>
      <c r="Q1174" s="19">
        <v>8.2236840000000002E-3</v>
      </c>
      <c r="R1174" s="20" t="s">
        <v>36</v>
      </c>
      <c r="S1174" s="33" t="str">
        <f>HYPERLINK("https://www.westerntech.edu/NetPrice/", "$24393")</f>
        <v>$24393</v>
      </c>
      <c r="T1174" s="20">
        <v>28709</v>
      </c>
      <c r="U1174" s="20" t="s">
        <v>36</v>
      </c>
      <c r="V1174" s="20" t="s">
        <v>36</v>
      </c>
      <c r="W1174" s="20" t="s">
        <v>36</v>
      </c>
      <c r="Y1174" s="19">
        <v>0.75229999999999997</v>
      </c>
      <c r="Z1174" s="19">
        <v>0.83879999999999999</v>
      </c>
      <c r="AB1174" s="18">
        <v>1042</v>
      </c>
    </row>
    <row r="1175" spans="1:28" ht="15.75" customHeight="1" x14ac:dyDescent="0.2">
      <c r="A1175" s="17" t="str">
        <f>HYPERLINK("https://www.wtc.edu", "Western Texas College")</f>
        <v>Western Texas College</v>
      </c>
      <c r="B1175" s="18" t="s">
        <v>49</v>
      </c>
      <c r="C1175" s="18" t="s">
        <v>146</v>
      </c>
      <c r="D1175" s="18" t="s">
        <v>1768</v>
      </c>
      <c r="E1175" s="18" t="s">
        <v>36</v>
      </c>
      <c r="F1175" s="18" t="s">
        <v>36</v>
      </c>
      <c r="J1175" s="19"/>
      <c r="K1175" s="19">
        <v>0.3906</v>
      </c>
      <c r="L1175" s="19">
        <v>0.15625</v>
      </c>
      <c r="M1175" s="19">
        <v>0.42859999999999998</v>
      </c>
      <c r="N1175" s="19">
        <v>0.30430000000000001</v>
      </c>
      <c r="O1175" s="19">
        <v>0.34449999999999997</v>
      </c>
      <c r="P1175" s="19">
        <v>1</v>
      </c>
      <c r="Q1175" s="19">
        <v>0.12742382299999999</v>
      </c>
      <c r="R1175" s="20">
        <v>15067</v>
      </c>
      <c r="S1175" s="33" t="str">
        <f>HYPERLINK("https://my.wtc.edu/ICS/Financial_Aid/Default_Page.jnz?portlet=Net_Price_Calculator", "$7499")</f>
        <v>$7499</v>
      </c>
      <c r="T1175" s="20">
        <v>9218</v>
      </c>
      <c r="U1175" s="20">
        <v>11424</v>
      </c>
      <c r="V1175" s="20">
        <v>4763</v>
      </c>
      <c r="W1175" s="20">
        <v>2736.052631578948</v>
      </c>
      <c r="Y1175" s="19">
        <v>0.13869999999999999</v>
      </c>
      <c r="Z1175" s="19">
        <v>0.58079999999999998</v>
      </c>
      <c r="AB1175" s="18">
        <v>804</v>
      </c>
    </row>
    <row r="1176" spans="1:28" ht="15.75" customHeight="1" x14ac:dyDescent="0.2">
      <c r="A1176" s="17" t="str">
        <f>HYPERLINK("https://www.westernwyoming.edu", "Western Wyoming Community College")</f>
        <v>Western Wyoming Community College</v>
      </c>
      <c r="B1176" s="18" t="s">
        <v>49</v>
      </c>
      <c r="C1176" s="18" t="s">
        <v>1086</v>
      </c>
      <c r="D1176" s="18" t="s">
        <v>1769</v>
      </c>
      <c r="E1176" s="18" t="s">
        <v>36</v>
      </c>
      <c r="F1176" s="18" t="s">
        <v>36</v>
      </c>
      <c r="J1176" s="19"/>
      <c r="K1176" s="19">
        <v>0.45279999999999998</v>
      </c>
      <c r="L1176" s="19">
        <v>0.20659340700000001</v>
      </c>
      <c r="M1176" s="19">
        <v>0.435</v>
      </c>
      <c r="N1176" s="19">
        <v>0.8</v>
      </c>
      <c r="O1176" s="19">
        <v>0.53569999999999995</v>
      </c>
      <c r="P1176" s="19">
        <v>0</v>
      </c>
      <c r="Q1176" s="19">
        <v>6.3736264000000001E-2</v>
      </c>
      <c r="R1176" s="20">
        <v>15919</v>
      </c>
      <c r="S1176" s="33" t="str">
        <f>HYPERLINK("https://wwccwy.studentaidcalculator.com/survey.aspx", "$10348")</f>
        <v>$10348</v>
      </c>
      <c r="T1176" s="20">
        <v>13214</v>
      </c>
      <c r="U1176" s="20">
        <v>15919</v>
      </c>
      <c r="V1176" s="20">
        <v>2800</v>
      </c>
      <c r="W1176" s="20">
        <v>7548.0833333333321</v>
      </c>
      <c r="Y1176" s="19">
        <v>0.15240000000000001</v>
      </c>
      <c r="Z1176" s="19">
        <v>0.21970000000000001</v>
      </c>
      <c r="AB1176" s="18">
        <v>2349</v>
      </c>
    </row>
    <row r="1177" spans="1:28" ht="15.75" customHeight="1" x14ac:dyDescent="0.2">
      <c r="A1177" s="17" t="str">
        <f>HYPERLINK("https://westmoreland.edu", "Westmoreland County Community College")</f>
        <v>Westmoreland County Community College</v>
      </c>
      <c r="B1177" s="18" t="s">
        <v>49</v>
      </c>
      <c r="C1177" s="18" t="s">
        <v>65</v>
      </c>
      <c r="D1177" s="18" t="s">
        <v>1770</v>
      </c>
      <c r="E1177" s="18" t="s">
        <v>36</v>
      </c>
      <c r="F1177" s="18" t="s">
        <v>36</v>
      </c>
      <c r="J1177" s="19"/>
      <c r="K1177" s="19">
        <v>0.16500000000000001</v>
      </c>
      <c r="L1177" s="19">
        <v>1.2765957E-2</v>
      </c>
      <c r="M1177" s="19">
        <v>0.17749999999999999</v>
      </c>
      <c r="N1177" s="19">
        <v>0</v>
      </c>
      <c r="O1177" s="19">
        <v>7.1400000000000005E-2</v>
      </c>
      <c r="P1177" s="19">
        <v>0.2</v>
      </c>
      <c r="Q1177" s="19">
        <v>0.10430743200000001</v>
      </c>
      <c r="R1177" s="20">
        <v>24610</v>
      </c>
      <c r="S1177" s="33" t="str">
        <f>HYPERLINK("https://westmoreland.edu/netpricecalculator/npcalc.htm", "$19358")</f>
        <v>$19358</v>
      </c>
      <c r="T1177" s="20">
        <v>22443</v>
      </c>
      <c r="U1177" s="20">
        <v>24206</v>
      </c>
      <c r="V1177" s="20">
        <v>4600</v>
      </c>
      <c r="W1177" s="20">
        <v>14758.571428571429</v>
      </c>
      <c r="Y1177" s="19">
        <v>0.3246</v>
      </c>
      <c r="Z1177" s="19">
        <v>0.1065</v>
      </c>
      <c r="AB1177" s="18">
        <v>4047</v>
      </c>
    </row>
    <row r="1178" spans="1:28" ht="15.75" customHeight="1" x14ac:dyDescent="0.2">
      <c r="A1178" s="17" t="str">
        <f>HYPERLINK("https://www.wcjc.edu", "Wharton County Junior College")</f>
        <v>Wharton County Junior College</v>
      </c>
      <c r="B1178" s="18" t="s">
        <v>49</v>
      </c>
      <c r="C1178" s="18" t="s">
        <v>146</v>
      </c>
      <c r="D1178" s="18" t="s">
        <v>1771</v>
      </c>
      <c r="E1178" s="18" t="s">
        <v>36</v>
      </c>
      <c r="F1178" s="18" t="s">
        <v>36</v>
      </c>
      <c r="J1178" s="19"/>
      <c r="K1178" s="19">
        <v>0.17080000000000001</v>
      </c>
      <c r="L1178" s="19">
        <v>0.20857473900000001</v>
      </c>
      <c r="M1178" s="19">
        <v>0.2205</v>
      </c>
      <c r="N1178" s="19">
        <v>0.1308</v>
      </c>
      <c r="O1178" s="19">
        <v>0.17580000000000001</v>
      </c>
      <c r="P1178" s="19">
        <v>4.9599999999999998E-2</v>
      </c>
      <c r="Q1178" s="19">
        <v>0.135080645</v>
      </c>
      <c r="R1178" s="20">
        <v>13854</v>
      </c>
      <c r="S1178" s="33" t="str">
        <f>HYPERLINK("https://www.collegeforalltexans.com/apps/CollegeMoney/", "$8001")</f>
        <v>$8001</v>
      </c>
      <c r="T1178" s="20">
        <v>11446</v>
      </c>
      <c r="U1178" s="20">
        <v>13473</v>
      </c>
      <c r="V1178" s="20">
        <v>4210</v>
      </c>
      <c r="W1178" s="20">
        <v>3791.7230769230769</v>
      </c>
      <c r="Y1178" s="19">
        <v>0.22500000000000001</v>
      </c>
      <c r="Z1178" s="19">
        <v>0.69409999999999994</v>
      </c>
      <c r="AB1178" s="18">
        <v>6244</v>
      </c>
    </row>
    <row r="1179" spans="1:28" ht="15.75" customHeight="1" x14ac:dyDescent="0.2">
      <c r="A1179" s="17" t="str">
        <f>HYPERLINK("https://whatcom.edu", "Whatcom Community College")</f>
        <v>Whatcom Community College</v>
      </c>
      <c r="B1179" s="18" t="s">
        <v>49</v>
      </c>
      <c r="C1179" s="18" t="s">
        <v>184</v>
      </c>
      <c r="D1179" s="18" t="s">
        <v>538</v>
      </c>
      <c r="E1179" s="18" t="s">
        <v>36</v>
      </c>
      <c r="F1179" s="18" t="s">
        <v>36</v>
      </c>
      <c r="J1179" s="19"/>
      <c r="K1179" s="19">
        <v>0.31</v>
      </c>
      <c r="L1179" s="19">
        <v>0.25353773600000001</v>
      </c>
      <c r="M1179" s="19">
        <v>0.3372</v>
      </c>
      <c r="N1179" s="19">
        <v>0</v>
      </c>
      <c r="O1179" s="19">
        <v>0.23530000000000001</v>
      </c>
      <c r="P1179" s="19">
        <v>0.22220000000000001</v>
      </c>
      <c r="Q1179" s="19">
        <v>0.133167907</v>
      </c>
      <c r="R1179" s="20">
        <v>21818</v>
      </c>
      <c r="S1179" s="33" t="str">
        <f>HYPERLINK("https://mywcc.whatcom.edu/NetPriceCalc/npcalc.htm", "$15093")</f>
        <v>$15093</v>
      </c>
      <c r="T1179" s="20">
        <v>16736</v>
      </c>
      <c r="U1179" s="20">
        <v>19636</v>
      </c>
      <c r="V1179" s="20">
        <v>4230</v>
      </c>
      <c r="W1179" s="20">
        <v>10863.964539007089</v>
      </c>
      <c r="Y1179" s="19">
        <v>0.26450000000000001</v>
      </c>
      <c r="Z1179" s="19">
        <v>0.38240000000000002</v>
      </c>
      <c r="AB1179" s="18">
        <v>2709</v>
      </c>
    </row>
    <row r="1180" spans="1:28" ht="15.75" customHeight="1" x14ac:dyDescent="0.2">
      <c r="A1180" s="17" t="str">
        <f>HYPERLINK("https://www.wetcc.edu", "White Earth Tribal and Community College")</f>
        <v>White Earth Tribal and Community College</v>
      </c>
      <c r="B1180" s="18" t="s">
        <v>32</v>
      </c>
      <c r="C1180" s="18" t="s">
        <v>72</v>
      </c>
      <c r="D1180" s="18" t="s">
        <v>1772</v>
      </c>
      <c r="E1180" s="18" t="s">
        <v>36</v>
      </c>
      <c r="F1180" s="18" t="s">
        <v>36</v>
      </c>
      <c r="J1180" s="19"/>
      <c r="K1180" s="19">
        <v>5.8799999999999998E-2</v>
      </c>
      <c r="L1180" s="19" t="s">
        <v>36</v>
      </c>
      <c r="M1180" s="19">
        <v>0</v>
      </c>
      <c r="N1180" s="19" t="s">
        <v>36</v>
      </c>
      <c r="O1180" s="19" t="s">
        <v>36</v>
      </c>
      <c r="P1180" s="19" t="s">
        <v>36</v>
      </c>
      <c r="Q1180" s="19" t="s">
        <v>36</v>
      </c>
      <c r="R1180" s="20">
        <v>17856</v>
      </c>
      <c r="S1180" s="33" t="str">
        <f>HYPERLINK("https://www.wetcc.edu/net-price-calculator.html", "$12275")</f>
        <v>$12275</v>
      </c>
      <c r="T1180" s="20" t="s">
        <v>36</v>
      </c>
      <c r="U1180" s="20" t="s">
        <v>36</v>
      </c>
      <c r="V1180" s="20">
        <v>8575</v>
      </c>
      <c r="W1180" s="20">
        <v>3700</v>
      </c>
      <c r="Y1180" s="19">
        <v>0.91249999999999998</v>
      </c>
      <c r="Z1180" s="19">
        <v>0.77029999999999998</v>
      </c>
      <c r="AB1180" s="18">
        <v>74</v>
      </c>
    </row>
    <row r="1181" spans="1:28" ht="15.75" customHeight="1" x14ac:dyDescent="0.2">
      <c r="A1181" s="17" t="str">
        <f>HYPERLINK("https://www.wilkescc.edu", "Wilkes Community College")</f>
        <v>Wilkes Community College</v>
      </c>
      <c r="B1181" s="18" t="s">
        <v>49</v>
      </c>
      <c r="C1181" s="18" t="s">
        <v>103</v>
      </c>
      <c r="D1181" s="18" t="s">
        <v>1773</v>
      </c>
      <c r="E1181" s="18" t="s">
        <v>36</v>
      </c>
      <c r="F1181" s="18" t="s">
        <v>36</v>
      </c>
      <c r="J1181" s="19"/>
      <c r="K1181" s="19">
        <v>0.26269999999999999</v>
      </c>
      <c r="L1181" s="19">
        <v>0.177777778</v>
      </c>
      <c r="M1181" s="19">
        <v>0.2802</v>
      </c>
      <c r="N1181" s="19">
        <v>0.16669999999999999</v>
      </c>
      <c r="O1181" s="19">
        <v>0.2</v>
      </c>
      <c r="P1181" s="19">
        <v>0</v>
      </c>
      <c r="Q1181" s="19">
        <v>5.387931E-2</v>
      </c>
      <c r="R1181" s="20">
        <v>19816</v>
      </c>
      <c r="S1181" s="33" t="str">
        <f>HYPERLINK("https://www.wilkescc.edu/student-services/net-price-calculator/", "$14199")</f>
        <v>$14199</v>
      </c>
      <c r="T1181" s="20">
        <v>15234</v>
      </c>
      <c r="U1181" s="20">
        <v>18949</v>
      </c>
      <c r="V1181" s="20">
        <v>6100</v>
      </c>
      <c r="W1181" s="20">
        <v>8099.6222222222223</v>
      </c>
      <c r="Y1181" s="19">
        <v>0.39360000000000001</v>
      </c>
      <c r="Z1181" s="19">
        <v>0.17150000000000001</v>
      </c>
      <c r="AB1181" s="18">
        <v>1866</v>
      </c>
    </row>
    <row r="1182" spans="1:28" ht="15.75" customHeight="1" x14ac:dyDescent="0.2">
      <c r="A1182" s="17" t="str">
        <f>HYPERLINK("https://willistonstate.edu/", "Williston State College")</f>
        <v>Williston State College</v>
      </c>
      <c r="B1182" s="18" t="s">
        <v>49</v>
      </c>
      <c r="C1182" s="18" t="s">
        <v>730</v>
      </c>
      <c r="D1182" s="18" t="s">
        <v>1774</v>
      </c>
      <c r="E1182" s="18" t="s">
        <v>36</v>
      </c>
      <c r="F1182" s="18" t="s">
        <v>36</v>
      </c>
      <c r="J1182" s="19"/>
      <c r="K1182" s="19">
        <v>0.39329999999999998</v>
      </c>
      <c r="L1182" s="19">
        <v>0.25210083999999999</v>
      </c>
      <c r="M1182" s="19">
        <v>0.5</v>
      </c>
      <c r="N1182" s="19">
        <v>0.125</v>
      </c>
      <c r="O1182" s="19">
        <v>0.18179999999999999</v>
      </c>
      <c r="P1182" s="19">
        <v>0</v>
      </c>
      <c r="Q1182" s="19">
        <v>6.9868996000000003E-2</v>
      </c>
      <c r="R1182" s="20">
        <v>18435</v>
      </c>
      <c r="S1182" s="33" t="str">
        <f>HYPERLINK("https://willistonstate.edu/Future-Students/Financing-Your-Education/Student-Financial-Aid-Office/Net-Price-Calculator.html", "$10729")</f>
        <v>$10729</v>
      </c>
      <c r="T1182" s="20">
        <v>13452</v>
      </c>
      <c r="U1182" s="20">
        <v>14900</v>
      </c>
      <c r="V1182" s="20">
        <v>4500</v>
      </c>
      <c r="W1182" s="20">
        <v>6229.7551020408173</v>
      </c>
      <c r="Y1182" s="19">
        <v>0.18190000000000001</v>
      </c>
      <c r="Z1182" s="19">
        <v>0.27179999999999999</v>
      </c>
      <c r="AB1182" s="18">
        <v>747</v>
      </c>
    </row>
    <row r="1183" spans="1:28" ht="15.75" customHeight="1" x14ac:dyDescent="0.2">
      <c r="A1183" s="17" t="str">
        <f>HYPERLINK("https://www.wilsoncc.edu", "Wilson Community College")</f>
        <v>Wilson Community College</v>
      </c>
      <c r="B1183" s="18" t="s">
        <v>49</v>
      </c>
      <c r="C1183" s="18" t="s">
        <v>103</v>
      </c>
      <c r="D1183" s="18" t="s">
        <v>569</v>
      </c>
      <c r="E1183" s="18" t="s">
        <v>36</v>
      </c>
      <c r="F1183" s="18" t="s">
        <v>36</v>
      </c>
      <c r="J1183" s="19"/>
      <c r="K1183" s="19">
        <v>0.2326</v>
      </c>
      <c r="L1183" s="19">
        <v>0.111504425</v>
      </c>
      <c r="M1183" s="19">
        <v>0.22500000000000001</v>
      </c>
      <c r="N1183" s="19">
        <v>0.22539999999999999</v>
      </c>
      <c r="O1183" s="19">
        <v>0.29409999999999997</v>
      </c>
      <c r="P1183" s="19">
        <v>0.33329999999999999</v>
      </c>
      <c r="Q1183" s="19">
        <v>3.7735849000000002E-2</v>
      </c>
      <c r="R1183" s="20">
        <v>25294</v>
      </c>
      <c r="S1183" s="33" t="str">
        <f>HYPERLINK("https://www.wilsoncc.edu/netprice/npcalc.htm", "$20449")</f>
        <v>$20449</v>
      </c>
      <c r="T1183" s="20">
        <v>21913</v>
      </c>
      <c r="U1183" s="20">
        <v>25294</v>
      </c>
      <c r="V1183" s="20">
        <v>4800</v>
      </c>
      <c r="W1183" s="20">
        <v>15649.669902912619</v>
      </c>
      <c r="Y1183" s="19">
        <v>0.3528</v>
      </c>
      <c r="Z1183" s="19">
        <v>0.57569999999999999</v>
      </c>
      <c r="AB1183" s="18">
        <v>1044</v>
      </c>
    </row>
    <row r="1184" spans="1:28" ht="15.75" customHeight="1" x14ac:dyDescent="0.2">
      <c r="A1184" s="17" t="str">
        <f>HYPERLINK("https://windward.hawaii.edu", "Windward Community College")</f>
        <v>Windward Community College</v>
      </c>
      <c r="B1184" s="18" t="s">
        <v>49</v>
      </c>
      <c r="C1184" s="18" t="s">
        <v>313</v>
      </c>
      <c r="D1184" s="18" t="s">
        <v>1775</v>
      </c>
      <c r="E1184" s="18" t="s">
        <v>36</v>
      </c>
      <c r="F1184" s="18" t="s">
        <v>36</v>
      </c>
      <c r="J1184" s="19"/>
      <c r="K1184" s="19">
        <v>0.1439</v>
      </c>
      <c r="L1184" s="19">
        <v>0.14669926699999999</v>
      </c>
      <c r="M1184" s="19">
        <v>0.19350000000000001</v>
      </c>
      <c r="N1184" s="19">
        <v>0.33329999999999999</v>
      </c>
      <c r="O1184" s="19">
        <v>0.1154</v>
      </c>
      <c r="P1184" s="19">
        <v>0.16</v>
      </c>
      <c r="Q1184" s="19">
        <v>8.8188976000000002E-2</v>
      </c>
      <c r="R1184" s="20">
        <v>27488</v>
      </c>
      <c r="S1184" s="33" t="str">
        <f>HYPERLINK("https://windward.hawaii.edu/financial_aid/netprice/", "$21857")</f>
        <v>$21857</v>
      </c>
      <c r="T1184" s="20">
        <v>24449</v>
      </c>
      <c r="U1184" s="20">
        <v>26585</v>
      </c>
      <c r="V1184" s="20">
        <v>4626</v>
      </c>
      <c r="W1184" s="20">
        <v>17231.911764705881</v>
      </c>
      <c r="Y1184" s="19">
        <v>0.26919999999999999</v>
      </c>
      <c r="Z1184" s="19">
        <v>0.86240000000000006</v>
      </c>
      <c r="AB1184" s="18">
        <v>1395</v>
      </c>
    </row>
    <row r="1185" spans="1:28" ht="15.75" customHeight="1" x14ac:dyDescent="0.2">
      <c r="A1185" s="17" t="str">
        <f>HYPERLINK("https://wcc.yccd.edu", "Woodland Community College")</f>
        <v>Woodland Community College</v>
      </c>
      <c r="B1185" s="18" t="s">
        <v>49</v>
      </c>
      <c r="C1185" s="18" t="s">
        <v>68</v>
      </c>
      <c r="D1185" s="18" t="s">
        <v>1776</v>
      </c>
      <c r="E1185" s="18" t="s">
        <v>36</v>
      </c>
      <c r="F1185" s="18" t="s">
        <v>36</v>
      </c>
      <c r="J1185" s="19"/>
      <c r="K1185" s="19">
        <v>0.21290000000000001</v>
      </c>
      <c r="L1185" s="19" t="s">
        <v>36</v>
      </c>
      <c r="M1185" s="19">
        <v>0.3125</v>
      </c>
      <c r="N1185" s="19">
        <v>0.5</v>
      </c>
      <c r="O1185" s="19">
        <v>0.1721</v>
      </c>
      <c r="P1185" s="19">
        <v>0.28570000000000001</v>
      </c>
      <c r="Q1185" s="19">
        <v>0.20833333300000001</v>
      </c>
      <c r="R1185" s="20">
        <v>25670</v>
      </c>
      <c r="S1185" s="33" t="str">
        <f>HYPERLINK("https://wcc.yccd.edu/student/financialaid/calculator/", "$19677")</f>
        <v>$19677</v>
      </c>
      <c r="T1185" s="20">
        <v>22313</v>
      </c>
      <c r="U1185" s="20" t="s">
        <v>36</v>
      </c>
      <c r="V1185" s="20">
        <v>6093</v>
      </c>
      <c r="W1185" s="20">
        <v>13584.13725490196</v>
      </c>
      <c r="Y1185" s="19">
        <v>0.28449999999999998</v>
      </c>
      <c r="Z1185" s="19">
        <v>0.69730000000000003</v>
      </c>
      <c r="AB1185" s="18">
        <v>2891</v>
      </c>
    </row>
    <row r="1186" spans="1:28" ht="15.75" customHeight="1" x14ac:dyDescent="0.2">
      <c r="A1186" s="17" t="str">
        <f>HYPERLINK("https://www.worwic.edu", "Wor-Wic Community College")</f>
        <v>Wor-Wic Community College</v>
      </c>
      <c r="B1186" s="18" t="s">
        <v>49</v>
      </c>
      <c r="C1186" s="18" t="s">
        <v>124</v>
      </c>
      <c r="D1186" s="18" t="s">
        <v>469</v>
      </c>
      <c r="E1186" s="18" t="s">
        <v>36</v>
      </c>
      <c r="F1186" s="18" t="s">
        <v>36</v>
      </c>
      <c r="J1186" s="19"/>
      <c r="K1186" s="19">
        <v>0.19539999999999999</v>
      </c>
      <c r="L1186" s="19">
        <v>0.15525672400000001</v>
      </c>
      <c r="M1186" s="19">
        <v>0.2351</v>
      </c>
      <c r="N1186" s="19">
        <v>7.8899999999999998E-2</v>
      </c>
      <c r="O1186" s="19">
        <v>0.1429</v>
      </c>
      <c r="P1186" s="19">
        <v>0.1</v>
      </c>
      <c r="Q1186" s="19">
        <v>6.9846677999999995E-2</v>
      </c>
      <c r="R1186" s="20">
        <v>21986</v>
      </c>
      <c r="S1186" s="33" t="str">
        <f>HYPERLINK("https://www.worwic.edu/StudentServices/NetPrice/npcalc.htm", "$17145")</f>
        <v>$17145</v>
      </c>
      <c r="T1186" s="20">
        <v>19020</v>
      </c>
      <c r="U1186" s="20">
        <v>21743</v>
      </c>
      <c r="V1186" s="20">
        <v>7700</v>
      </c>
      <c r="W1186" s="20">
        <v>9445.9491525423728</v>
      </c>
      <c r="Y1186" s="19">
        <v>0.45750000000000002</v>
      </c>
      <c r="Z1186" s="19">
        <v>0.40649999999999997</v>
      </c>
      <c r="AB1186" s="18">
        <v>2652</v>
      </c>
    </row>
    <row r="1187" spans="1:28" ht="15.75" customHeight="1" x14ac:dyDescent="0.2">
      <c r="A1187" s="17" t="str">
        <f>HYPERLINK("https://www.worsham.edu", "Worsham College of Mortuary Science")</f>
        <v>Worsham College of Mortuary Science</v>
      </c>
      <c r="B1187" s="18" t="s">
        <v>368</v>
      </c>
      <c r="C1187" s="18" t="s">
        <v>137</v>
      </c>
      <c r="D1187" s="18" t="s">
        <v>1413</v>
      </c>
      <c r="E1187" s="18" t="s">
        <v>36</v>
      </c>
      <c r="F1187" s="18" t="s">
        <v>36</v>
      </c>
      <c r="J1187" s="19"/>
      <c r="K1187" s="19" t="s">
        <v>36</v>
      </c>
      <c r="L1187" s="19" t="s">
        <v>36</v>
      </c>
      <c r="M1187" s="19" t="s">
        <v>36</v>
      </c>
      <c r="N1187" s="19" t="s">
        <v>36</v>
      </c>
      <c r="O1187" s="19" t="s">
        <v>36</v>
      </c>
      <c r="P1187" s="19" t="s">
        <v>36</v>
      </c>
      <c r="Q1187" s="19" t="s">
        <v>36</v>
      </c>
      <c r="R1187" s="20" t="s">
        <v>36</v>
      </c>
      <c r="S1187" s="38" t="s">
        <v>36</v>
      </c>
      <c r="T1187" s="20" t="s">
        <v>36</v>
      </c>
      <c r="U1187" s="20" t="s">
        <v>36</v>
      </c>
      <c r="V1187" s="20" t="s">
        <v>36</v>
      </c>
      <c r="W1187" s="20" t="s">
        <v>36</v>
      </c>
      <c r="Y1187" s="19">
        <v>0.33700000000000002</v>
      </c>
      <c r="Z1187" s="19">
        <v>0.2069</v>
      </c>
      <c r="AB1187" s="18">
        <v>87</v>
      </c>
    </row>
    <row r="1188" spans="1:28" ht="15.75" customHeight="1" x14ac:dyDescent="0.2">
      <c r="A1188" s="17" t="str">
        <f>HYPERLINK("https://www.yti.edu", "YTI Career Institute-Altoona")</f>
        <v>YTI Career Institute-Altoona</v>
      </c>
      <c r="B1188" s="18" t="s">
        <v>368</v>
      </c>
      <c r="C1188" s="18" t="s">
        <v>65</v>
      </c>
      <c r="D1188" s="18" t="s">
        <v>1051</v>
      </c>
      <c r="E1188" s="18" t="s">
        <v>36</v>
      </c>
      <c r="F1188" s="18" t="s">
        <v>36</v>
      </c>
      <c r="J1188" s="19"/>
      <c r="K1188" s="19">
        <v>0.5625</v>
      </c>
      <c r="L1188" s="19">
        <v>0.63372092999999996</v>
      </c>
      <c r="M1188" s="19">
        <v>0.57040000000000002</v>
      </c>
      <c r="N1188" s="19">
        <v>0.8</v>
      </c>
      <c r="O1188" s="19" t="s">
        <v>36</v>
      </c>
      <c r="P1188" s="19" t="s">
        <v>36</v>
      </c>
      <c r="Q1188" s="19" t="s">
        <v>36</v>
      </c>
      <c r="R1188" s="20" t="s">
        <v>36</v>
      </c>
      <c r="S1188" s="33" t="str">
        <f>HYPERLINK("https://www.yti.edu/financialaid/npcalc.asp", "$16134")</f>
        <v>$16134</v>
      </c>
      <c r="T1188" s="20">
        <v>14972</v>
      </c>
      <c r="U1188" s="20">
        <v>20813</v>
      </c>
      <c r="V1188" s="20" t="s">
        <v>36</v>
      </c>
      <c r="W1188" s="20" t="s">
        <v>36</v>
      </c>
      <c r="Y1188" s="19">
        <v>0.63700000000000001</v>
      </c>
      <c r="Z1188" s="19">
        <v>7.5600000000000001E-2</v>
      </c>
      <c r="AB1188" s="18">
        <v>172</v>
      </c>
    </row>
    <row r="1189" spans="1:28" ht="15.75" customHeight="1" x14ac:dyDescent="0.2">
      <c r="A1189" s="17" t="str">
        <f>HYPERLINK("https://www.yti.edu", "YTI Career Institute-York")</f>
        <v>YTI Career Institute-York</v>
      </c>
      <c r="B1189" s="18" t="s">
        <v>368</v>
      </c>
      <c r="C1189" s="18" t="s">
        <v>65</v>
      </c>
      <c r="D1189" s="18" t="s">
        <v>1064</v>
      </c>
      <c r="E1189" s="18" t="s">
        <v>36</v>
      </c>
      <c r="F1189" s="18" t="s">
        <v>36</v>
      </c>
      <c r="J1189" s="19"/>
      <c r="K1189" s="19">
        <v>0.67520000000000002</v>
      </c>
      <c r="L1189" s="19">
        <v>0.62209302300000002</v>
      </c>
      <c r="M1189" s="19">
        <v>0.74270000000000003</v>
      </c>
      <c r="N1189" s="19">
        <v>0.38779999999999998</v>
      </c>
      <c r="O1189" s="19">
        <v>0.57779999999999998</v>
      </c>
      <c r="P1189" s="19">
        <v>0.9</v>
      </c>
      <c r="Q1189" s="19">
        <v>6.7114090000000006E-3</v>
      </c>
      <c r="R1189" s="20" t="s">
        <v>36</v>
      </c>
      <c r="S1189" s="33" t="str">
        <f>HYPERLINK("https://www.yti.edu/financialaid/npcalc.asp", "$17194")</f>
        <v>$17194</v>
      </c>
      <c r="T1189" s="20">
        <v>19050</v>
      </c>
      <c r="U1189" s="20">
        <v>15756</v>
      </c>
      <c r="V1189" s="20" t="s">
        <v>36</v>
      </c>
      <c r="W1189" s="20" t="s">
        <v>36</v>
      </c>
      <c r="Y1189" s="19">
        <v>0.56479999999999997</v>
      </c>
      <c r="Z1189" s="19">
        <v>0.32100000000000001</v>
      </c>
      <c r="AB1189" s="18">
        <v>1165</v>
      </c>
    </row>
    <row r="1190" spans="1:28" ht="15.75" customHeight="1" x14ac:dyDescent="0.2">
      <c r="A1190" s="17" t="str">
        <f>HYPERLINK("https://www.yvcc.edu", "Yakima Valley Community College")</f>
        <v>Yakima Valley Community College</v>
      </c>
      <c r="B1190" s="18" t="s">
        <v>49</v>
      </c>
      <c r="C1190" s="18" t="s">
        <v>184</v>
      </c>
      <c r="D1190" s="18" t="s">
        <v>1777</v>
      </c>
      <c r="E1190" s="18" t="s">
        <v>36</v>
      </c>
      <c r="F1190" s="18" t="s">
        <v>36</v>
      </c>
      <c r="J1190" s="19"/>
      <c r="K1190" s="19">
        <v>0.23949999999999999</v>
      </c>
      <c r="L1190" s="19">
        <v>0.29142857100000003</v>
      </c>
      <c r="M1190" s="19">
        <v>0.27610000000000001</v>
      </c>
      <c r="N1190" s="19">
        <v>0.1429</v>
      </c>
      <c r="O1190" s="19">
        <v>0.21010000000000001</v>
      </c>
      <c r="P1190" s="19">
        <v>0</v>
      </c>
      <c r="Q1190" s="19">
        <v>6.0453400999999997E-2</v>
      </c>
      <c r="R1190" s="20">
        <v>16772</v>
      </c>
      <c r="S1190" s="33" t="str">
        <f>HYPERLINK("https://www.yvcc.edu/financial-aid/net-price-calculator/?highlight=net%20price%20calculator", "$9585")</f>
        <v>$9585</v>
      </c>
      <c r="T1190" s="20">
        <v>13213</v>
      </c>
      <c r="U1190" s="20">
        <v>14465</v>
      </c>
      <c r="V1190" s="20">
        <v>4230</v>
      </c>
      <c r="W1190" s="20">
        <v>5355.2196531791906</v>
      </c>
      <c r="Y1190" s="19">
        <v>0.46820000000000001</v>
      </c>
      <c r="Z1190" s="19">
        <v>0.62909999999999999</v>
      </c>
      <c r="AB1190" s="18">
        <v>2416</v>
      </c>
    </row>
    <row r="1191" spans="1:28" ht="15.75" customHeight="1" x14ac:dyDescent="0.2">
      <c r="A1191" s="17" t="str">
        <f>HYPERLINK("https://yeshivagedolahkessertorah.com", "Yeshiva Gedolah Kesser Torah")</f>
        <v>Yeshiva Gedolah Kesser Torah</v>
      </c>
      <c r="B1191" s="18" t="s">
        <v>32</v>
      </c>
      <c r="C1191" s="18" t="s">
        <v>38</v>
      </c>
      <c r="D1191" s="18" t="s">
        <v>1638</v>
      </c>
      <c r="E1191" s="18" t="s">
        <v>36</v>
      </c>
      <c r="F1191" s="18" t="s">
        <v>45</v>
      </c>
      <c r="J1191" s="19"/>
      <c r="K1191" s="19">
        <v>0.36840000000000001</v>
      </c>
      <c r="L1191" s="19" t="s">
        <v>36</v>
      </c>
      <c r="M1191" s="19">
        <v>0.36840000000000001</v>
      </c>
      <c r="N1191" s="19" t="s">
        <v>36</v>
      </c>
      <c r="O1191" s="19" t="s">
        <v>36</v>
      </c>
      <c r="P1191" s="19" t="s">
        <v>36</v>
      </c>
      <c r="Q1191" s="19" t="s">
        <v>36</v>
      </c>
      <c r="R1191" s="20">
        <v>19300</v>
      </c>
      <c r="S1191" s="33" t="str">
        <f>HYPERLINK("https://sites.google.com/site/ygkessertorah", "$10995")</f>
        <v>$10995</v>
      </c>
      <c r="T1191" s="20">
        <v>11560</v>
      </c>
      <c r="U1191" s="20">
        <v>9604</v>
      </c>
      <c r="V1191" s="20">
        <v>4000</v>
      </c>
      <c r="W1191" s="20">
        <v>6995</v>
      </c>
      <c r="Y1191" s="19">
        <v>0.42030000000000001</v>
      </c>
      <c r="Z1191" s="19">
        <v>4.2299999999999997E-2</v>
      </c>
      <c r="AB1191" s="18">
        <v>71</v>
      </c>
    </row>
    <row r="1192" spans="1:28" ht="15.75" customHeight="1" x14ac:dyDescent="0.2">
      <c r="A1192" s="17" t="str">
        <f>HYPERLINK("https://yeshivatelshealumni.com", "Yeshiva of the Telshe Alumni")</f>
        <v>Yeshiva of the Telshe Alumni</v>
      </c>
      <c r="B1192" s="18" t="s">
        <v>32</v>
      </c>
      <c r="C1192" s="18" t="s">
        <v>38</v>
      </c>
      <c r="D1192" s="18" t="s">
        <v>402</v>
      </c>
      <c r="E1192" s="18" t="s">
        <v>36</v>
      </c>
      <c r="F1192" s="18" t="s">
        <v>45</v>
      </c>
      <c r="J1192" s="19"/>
      <c r="K1192" s="19">
        <v>4.1700000000000001E-2</v>
      </c>
      <c r="L1192" s="19" t="s">
        <v>36</v>
      </c>
      <c r="M1192" s="19">
        <v>4.3499999999999997E-2</v>
      </c>
      <c r="N1192" s="19" t="s">
        <v>36</v>
      </c>
      <c r="O1192" s="19" t="s">
        <v>36</v>
      </c>
      <c r="P1192" s="19" t="s">
        <v>36</v>
      </c>
      <c r="Q1192" s="19" t="s">
        <v>36</v>
      </c>
      <c r="R1192" s="20">
        <v>19250</v>
      </c>
      <c r="S1192" s="33" t="str">
        <f>HYPERLINK("https://sites.google.com/site/yeshivaofthetelshealumni/", "$9119")</f>
        <v>$9119</v>
      </c>
      <c r="T1192" s="20">
        <v>9702</v>
      </c>
      <c r="U1192" s="20" t="s">
        <v>36</v>
      </c>
      <c r="V1192" s="20">
        <v>4000</v>
      </c>
      <c r="W1192" s="20">
        <v>5119</v>
      </c>
      <c r="Y1192" s="19">
        <v>0.4052</v>
      </c>
      <c r="Z1192" s="19">
        <v>8.600000000000052E-3</v>
      </c>
      <c r="AB1192" s="18">
        <v>116</v>
      </c>
    </row>
    <row r="1193" spans="1:28" ht="15.75" customHeight="1" x14ac:dyDescent="0.2">
      <c r="A1193" s="17" t="str">
        <f>HYPERLINK("https://yeshivasnovominsk.com", "Yeshivas Novominsk")</f>
        <v>Yeshivas Novominsk</v>
      </c>
      <c r="B1193" s="18" t="s">
        <v>32</v>
      </c>
      <c r="C1193" s="18" t="s">
        <v>38</v>
      </c>
      <c r="D1193" s="18" t="s">
        <v>593</v>
      </c>
      <c r="E1193" s="18" t="s">
        <v>36</v>
      </c>
      <c r="F1193" s="18" t="s">
        <v>45</v>
      </c>
      <c r="J1193" s="19"/>
      <c r="K1193" s="19">
        <v>3.2300000000000002E-2</v>
      </c>
      <c r="L1193" s="19" t="s">
        <v>36</v>
      </c>
      <c r="M1193" s="19">
        <v>3.2300000000000002E-2</v>
      </c>
      <c r="N1193" s="19" t="s">
        <v>36</v>
      </c>
      <c r="O1193" s="19" t="s">
        <v>36</v>
      </c>
      <c r="P1193" s="19" t="s">
        <v>36</v>
      </c>
      <c r="Q1193" s="19" t="s">
        <v>36</v>
      </c>
      <c r="R1193" s="20">
        <v>17500</v>
      </c>
      <c r="S1193" s="33" t="str">
        <f>HYPERLINK("https://sites.google.com/site/yeshivasnovominskny/", "$7402")</f>
        <v>$7402</v>
      </c>
      <c r="T1193" s="20">
        <v>11480</v>
      </c>
      <c r="U1193" s="20">
        <v>14257</v>
      </c>
      <c r="V1193" s="20">
        <v>4000</v>
      </c>
      <c r="W1193" s="20">
        <v>3402</v>
      </c>
      <c r="Y1193" s="19">
        <v>0.27860000000000001</v>
      </c>
      <c r="Z1193" s="19">
        <v>1.300000000000001E-2</v>
      </c>
      <c r="AB1193" s="18">
        <v>154</v>
      </c>
    </row>
    <row r="1194" spans="1:28" ht="15.75" customHeight="1" x14ac:dyDescent="0.2">
      <c r="A1194" s="17" t="str">
        <f>HYPERLINK("https://yeshivathzichronmoshe.com", "Yeshivath Zichron Moshe")</f>
        <v>Yeshivath Zichron Moshe</v>
      </c>
      <c r="B1194" s="18" t="s">
        <v>32</v>
      </c>
      <c r="C1194" s="18" t="s">
        <v>38</v>
      </c>
      <c r="D1194" s="18" t="s">
        <v>1778</v>
      </c>
      <c r="E1194" s="18" t="s">
        <v>36</v>
      </c>
      <c r="F1194" s="18" t="s">
        <v>45</v>
      </c>
      <c r="J1194" s="19"/>
      <c r="K1194" s="19">
        <v>5.5599999999999997E-2</v>
      </c>
      <c r="L1194" s="19" t="s">
        <v>36</v>
      </c>
      <c r="M1194" s="19">
        <v>5.8799999999999998E-2</v>
      </c>
      <c r="N1194" s="19" t="s">
        <v>36</v>
      </c>
      <c r="O1194" s="19" t="s">
        <v>36</v>
      </c>
      <c r="P1194" s="19" t="s">
        <v>36</v>
      </c>
      <c r="Q1194" s="19" t="s">
        <v>36</v>
      </c>
      <c r="R1194" s="20">
        <v>20600</v>
      </c>
      <c r="S1194" s="33" t="str">
        <f>HYPERLINK("https://sites.google.com/site/yeshivathzichronmoshe/", "$10338")</f>
        <v>$10338</v>
      </c>
      <c r="T1194" s="20">
        <v>11540</v>
      </c>
      <c r="U1194" s="20" t="s">
        <v>36</v>
      </c>
      <c r="V1194" s="20">
        <v>4000</v>
      </c>
      <c r="W1194" s="20">
        <v>6338</v>
      </c>
      <c r="Y1194" s="19">
        <v>0.51459999999999995</v>
      </c>
      <c r="Z1194" s="19">
        <v>8.4799999999999986E-2</v>
      </c>
      <c r="AB1194" s="18">
        <v>165</v>
      </c>
    </row>
    <row r="1195" spans="1:28" ht="15.75" customHeight="1" x14ac:dyDescent="0.2">
      <c r="A1195" s="17" t="str">
        <f>HYPERLINK("https://www.yccc.edu", "York County Community College")</f>
        <v>York County Community College</v>
      </c>
      <c r="B1195" s="18" t="s">
        <v>49</v>
      </c>
      <c r="C1195" s="18" t="s">
        <v>43</v>
      </c>
      <c r="D1195" s="18" t="s">
        <v>1779</v>
      </c>
      <c r="E1195" s="18" t="s">
        <v>36</v>
      </c>
      <c r="F1195" s="18" t="s">
        <v>36</v>
      </c>
      <c r="J1195" s="19"/>
      <c r="K1195" s="19">
        <v>0.18440000000000001</v>
      </c>
      <c r="L1195" s="19">
        <v>0.20344827600000001</v>
      </c>
      <c r="M1195" s="19">
        <v>0.17680000000000001</v>
      </c>
      <c r="N1195" s="19" t="s">
        <v>36</v>
      </c>
      <c r="O1195" s="19">
        <v>0.33329999999999999</v>
      </c>
      <c r="P1195" s="19">
        <v>0.2</v>
      </c>
      <c r="Q1195" s="19">
        <v>7.1428570999999996E-2</v>
      </c>
      <c r="R1195" s="20">
        <v>21230</v>
      </c>
      <c r="S1195" s="33" t="str">
        <f>HYPERLINK("https://resources.yccc.edu/NetPriceCalc/npcalc.htm", "$14952")</f>
        <v>$14952</v>
      </c>
      <c r="T1195" s="20">
        <v>16665</v>
      </c>
      <c r="U1195" s="20">
        <v>19939</v>
      </c>
      <c r="V1195" s="20">
        <v>7010</v>
      </c>
      <c r="W1195" s="20">
        <v>7942.5</v>
      </c>
      <c r="Y1195" s="19">
        <v>0.33329999999999999</v>
      </c>
      <c r="Z1195" s="19">
        <v>0.13170000000000001</v>
      </c>
      <c r="AB1195" s="18">
        <v>1177</v>
      </c>
    </row>
    <row r="1196" spans="1:28" ht="15.75" customHeight="1" x14ac:dyDescent="0.2">
      <c r="A1196" s="17" t="str">
        <f>HYPERLINK("https://www.yorktech.edu", "York Technical College")</f>
        <v>York Technical College</v>
      </c>
      <c r="B1196" s="18" t="s">
        <v>49</v>
      </c>
      <c r="C1196" s="18" t="s">
        <v>208</v>
      </c>
      <c r="D1196" s="18" t="s">
        <v>1147</v>
      </c>
      <c r="E1196" s="18" t="s">
        <v>36</v>
      </c>
      <c r="F1196" s="18" t="s">
        <v>36</v>
      </c>
      <c r="J1196" s="19"/>
      <c r="K1196" s="19">
        <v>0.1255</v>
      </c>
      <c r="L1196" s="19">
        <v>0.13098404299999999</v>
      </c>
      <c r="M1196" s="19">
        <v>0.1341</v>
      </c>
      <c r="N1196" s="19">
        <v>8.1500000000000003E-2</v>
      </c>
      <c r="O1196" s="19">
        <v>0.17780000000000001</v>
      </c>
      <c r="P1196" s="19">
        <v>0</v>
      </c>
      <c r="Q1196" s="19">
        <v>5.8225508000000002E-2</v>
      </c>
      <c r="R1196" s="20">
        <v>26861</v>
      </c>
      <c r="S1196" s="33" t="str">
        <f>HYPERLINK("https://yorktech.edu/netpricecalculator.htm", "$20477")</f>
        <v>$20477</v>
      </c>
      <c r="T1196" s="20">
        <v>22723</v>
      </c>
      <c r="U1196" s="20">
        <v>23925</v>
      </c>
      <c r="V1196" s="20">
        <v>8220</v>
      </c>
      <c r="W1196" s="20">
        <v>12257.37569060774</v>
      </c>
      <c r="Y1196" s="19">
        <v>0.45829999999999999</v>
      </c>
      <c r="Z1196" s="19">
        <v>0.42989999999999989</v>
      </c>
      <c r="AB1196" s="18">
        <v>4052</v>
      </c>
    </row>
    <row r="1197" spans="1:28" ht="15.75" customHeight="1" x14ac:dyDescent="0.2">
      <c r="A1197" s="17" t="str">
        <f>HYPERLINK("https://yc.yccd.edu", "Yuba College")</f>
        <v>Yuba College</v>
      </c>
      <c r="B1197" s="18" t="s">
        <v>49</v>
      </c>
      <c r="C1197" s="18" t="s">
        <v>68</v>
      </c>
      <c r="D1197" s="18" t="s">
        <v>1780</v>
      </c>
      <c r="E1197" s="18" t="s">
        <v>36</v>
      </c>
      <c r="F1197" s="18" t="s">
        <v>36</v>
      </c>
      <c r="J1197" s="19"/>
      <c r="K1197" s="19">
        <v>0.23419999999999999</v>
      </c>
      <c r="L1197" s="19">
        <v>3.5909920999999997E-2</v>
      </c>
      <c r="M1197" s="19">
        <v>0.21</v>
      </c>
      <c r="N1197" s="19">
        <v>8.3299999999999999E-2</v>
      </c>
      <c r="O1197" s="19">
        <v>0.25979999999999998</v>
      </c>
      <c r="P1197" s="19">
        <v>0.3049</v>
      </c>
      <c r="Q1197" s="19">
        <v>7.7696527000000001E-2</v>
      </c>
      <c r="R1197" s="20">
        <v>25670</v>
      </c>
      <c r="S1197" s="33" t="str">
        <f>HYPERLINK("https://yc.yccd.edu/student/financialaid/net-price-calculator/", "$19855")</f>
        <v>$19855</v>
      </c>
      <c r="T1197" s="20">
        <v>22456</v>
      </c>
      <c r="U1197" s="20" t="s">
        <v>36</v>
      </c>
      <c r="V1197" s="20">
        <v>6093</v>
      </c>
      <c r="W1197" s="20">
        <v>13762.34640522876</v>
      </c>
      <c r="Y1197" s="19">
        <v>0.39</v>
      </c>
      <c r="Z1197" s="19">
        <v>0.62529999999999997</v>
      </c>
      <c r="AB1197" s="18">
        <v>4889</v>
      </c>
    </row>
    <row r="1198" spans="1:28" ht="15.75" customHeight="1" x14ac:dyDescent="0.2">
      <c r="A1198" s="17" t="str">
        <f>HYPERLINK("https://www.zanestate.edu", "Zane State College")</f>
        <v>Zane State College</v>
      </c>
      <c r="B1198" s="18" t="s">
        <v>49</v>
      </c>
      <c r="C1198" s="18" t="s">
        <v>75</v>
      </c>
      <c r="D1198" s="18" t="s">
        <v>1610</v>
      </c>
      <c r="E1198" s="18" t="s">
        <v>36</v>
      </c>
      <c r="F1198" s="18" t="s">
        <v>36</v>
      </c>
      <c r="J1198" s="19"/>
      <c r="K1198" s="19">
        <v>0.3841</v>
      </c>
      <c r="L1198" s="19">
        <v>0.16161616200000001</v>
      </c>
      <c r="M1198" s="19">
        <v>0.39679999999999999</v>
      </c>
      <c r="N1198" s="19">
        <v>8.3299999999999999E-2</v>
      </c>
      <c r="O1198" s="19">
        <v>0.25</v>
      </c>
      <c r="P1198" s="19">
        <v>1</v>
      </c>
      <c r="Q1198" s="19">
        <v>4.6901172999999997E-2</v>
      </c>
      <c r="R1198" s="20">
        <v>18814</v>
      </c>
      <c r="S1198" s="33" t="str">
        <f>HYPERLINK("https://my.zanestate.edu/ICS/Finances/Net_Price_Calculator.jnz", "$13434")</f>
        <v>$13434</v>
      </c>
      <c r="T1198" s="20">
        <v>17292</v>
      </c>
      <c r="U1198" s="20">
        <v>17242</v>
      </c>
      <c r="V1198" s="20">
        <v>5044</v>
      </c>
      <c r="W1198" s="20">
        <v>8390.5789473684199</v>
      </c>
      <c r="Y1198" s="19">
        <v>0.21510000000000001</v>
      </c>
      <c r="Z1198" s="19">
        <v>9.9099999999999966E-2</v>
      </c>
      <c r="AB1198" s="18">
        <v>1110</v>
      </c>
    </row>
    <row r="1199" spans="1:28" ht="15.75" customHeight="1" x14ac:dyDescent="0.2">
      <c r="A1199" s="34"/>
      <c r="B1199" s="34"/>
      <c r="C1199" s="34"/>
      <c r="D1199" s="34"/>
      <c r="E1199" s="19"/>
      <c r="F1199" s="19"/>
      <c r="G1199" s="19"/>
      <c r="H1199" s="19"/>
      <c r="I1199" s="19"/>
      <c r="J1199" s="19"/>
      <c r="K1199" s="19"/>
      <c r="L1199" s="19"/>
      <c r="M1199" s="19"/>
      <c r="N1199" s="19"/>
      <c r="O1199" s="19"/>
      <c r="P1199" s="19"/>
      <c r="Q1199" s="19"/>
      <c r="R1199" s="20"/>
      <c r="S1199" s="20"/>
      <c r="T1199" s="22"/>
      <c r="U1199" s="22"/>
      <c r="V1199" s="20"/>
      <c r="W1199" s="20"/>
      <c r="X1199" s="20"/>
      <c r="Y1199" s="19"/>
      <c r="Z1199" s="19"/>
      <c r="AA1199" s="19"/>
      <c r="AB1199" s="23"/>
    </row>
    <row r="1200" spans="1:28" ht="15.75" customHeight="1" x14ac:dyDescent="0.2">
      <c r="A1200" s="34"/>
      <c r="B1200" s="34"/>
      <c r="C1200" s="34"/>
      <c r="D1200" s="34"/>
      <c r="E1200" s="19"/>
      <c r="F1200" s="19"/>
      <c r="G1200" s="19"/>
      <c r="H1200" s="19"/>
      <c r="I1200" s="19"/>
      <c r="J1200" s="19"/>
      <c r="K1200" s="19"/>
      <c r="L1200" s="19"/>
      <c r="M1200" s="19"/>
      <c r="N1200" s="19"/>
      <c r="O1200" s="19"/>
      <c r="P1200" s="19"/>
      <c r="Q1200" s="19"/>
      <c r="R1200" s="20"/>
      <c r="S1200" s="20"/>
      <c r="T1200" s="22"/>
      <c r="U1200" s="22"/>
      <c r="V1200" s="20"/>
      <c r="W1200" s="20"/>
      <c r="X1200" s="20"/>
      <c r="Y1200" s="19"/>
      <c r="Z1200" s="19"/>
      <c r="AA1200" s="19"/>
      <c r="AB1200" s="23"/>
    </row>
    <row r="1201" spans="1:28" ht="15.75" customHeight="1" x14ac:dyDescent="0.2">
      <c r="A1201" s="34"/>
      <c r="B1201" s="34"/>
      <c r="C1201" s="34"/>
      <c r="D1201" s="34"/>
      <c r="E1201" s="19"/>
      <c r="F1201" s="19"/>
      <c r="G1201" s="19"/>
      <c r="H1201" s="19"/>
      <c r="I1201" s="19"/>
      <c r="J1201" s="19"/>
      <c r="K1201" s="19"/>
      <c r="L1201" s="19"/>
      <c r="M1201" s="19"/>
      <c r="N1201" s="19"/>
      <c r="O1201" s="19"/>
      <c r="P1201" s="19"/>
      <c r="Q1201" s="19"/>
      <c r="R1201" s="20"/>
      <c r="S1201" s="20"/>
      <c r="T1201" s="22"/>
      <c r="U1201" s="22"/>
      <c r="V1201" s="20"/>
      <c r="W1201" s="20"/>
      <c r="X1201" s="20"/>
      <c r="Y1201" s="19"/>
      <c r="Z1201" s="19"/>
      <c r="AA1201" s="19"/>
      <c r="AB1201" s="23"/>
    </row>
    <row r="1202" spans="1:28" ht="15.75" customHeight="1" x14ac:dyDescent="0.2">
      <c r="A1202" s="34"/>
      <c r="B1202" s="34"/>
      <c r="C1202" s="34"/>
      <c r="D1202" s="34"/>
      <c r="E1202" s="19"/>
      <c r="F1202" s="19"/>
      <c r="G1202" s="19"/>
      <c r="H1202" s="19"/>
      <c r="I1202" s="19"/>
      <c r="J1202" s="19"/>
      <c r="K1202" s="19"/>
      <c r="L1202" s="19"/>
      <c r="M1202" s="19"/>
      <c r="N1202" s="19"/>
      <c r="O1202" s="19"/>
      <c r="P1202" s="19"/>
      <c r="Q1202" s="19"/>
      <c r="R1202" s="20"/>
      <c r="S1202" s="20"/>
      <c r="T1202" s="22"/>
      <c r="U1202" s="22"/>
      <c r="V1202" s="20"/>
      <c r="W1202" s="20"/>
      <c r="X1202" s="20"/>
      <c r="Y1202" s="19"/>
      <c r="Z1202" s="19"/>
      <c r="AA1202" s="19"/>
      <c r="AB1202" s="23"/>
    </row>
    <row r="1203" spans="1:28" ht="15.75" customHeight="1" x14ac:dyDescent="0.2">
      <c r="A1203" s="34"/>
      <c r="B1203" s="34"/>
      <c r="C1203" s="34"/>
      <c r="D1203" s="34"/>
      <c r="E1203" s="19"/>
      <c r="F1203" s="19"/>
      <c r="G1203" s="19"/>
      <c r="H1203" s="19"/>
      <c r="I1203" s="19"/>
      <c r="J1203" s="19"/>
      <c r="K1203" s="19"/>
      <c r="L1203" s="19"/>
      <c r="M1203" s="19"/>
      <c r="N1203" s="19"/>
      <c r="O1203" s="19"/>
      <c r="P1203" s="19"/>
      <c r="Q1203" s="19"/>
      <c r="R1203" s="20"/>
      <c r="S1203" s="20"/>
      <c r="T1203" s="22"/>
      <c r="U1203" s="22"/>
      <c r="V1203" s="20"/>
      <c r="W1203" s="20"/>
      <c r="X1203" s="20"/>
      <c r="Y1203" s="19"/>
      <c r="Z1203" s="19"/>
      <c r="AA1203" s="19"/>
      <c r="AB1203" s="23"/>
    </row>
    <row r="1204" spans="1:28" ht="15.75" customHeight="1" x14ac:dyDescent="0.2">
      <c r="A1204" s="34"/>
      <c r="B1204" s="34"/>
      <c r="C1204" s="34"/>
      <c r="D1204" s="34"/>
      <c r="E1204" s="19"/>
      <c r="F1204" s="19"/>
      <c r="G1204" s="19"/>
      <c r="H1204" s="19"/>
      <c r="I1204" s="19"/>
      <c r="J1204" s="19"/>
      <c r="K1204" s="19"/>
      <c r="L1204" s="19"/>
      <c r="M1204" s="19"/>
      <c r="N1204" s="19"/>
      <c r="O1204" s="19"/>
      <c r="P1204" s="19"/>
      <c r="Q1204" s="19"/>
      <c r="R1204" s="20"/>
      <c r="S1204" s="20"/>
      <c r="T1204" s="22"/>
      <c r="U1204" s="22"/>
      <c r="V1204" s="20"/>
      <c r="W1204" s="20"/>
      <c r="X1204" s="20"/>
      <c r="Y1204" s="19"/>
      <c r="Z1204" s="19"/>
      <c r="AA1204" s="19"/>
      <c r="AB1204" s="23"/>
    </row>
    <row r="1205" spans="1:28" ht="15.75" customHeight="1" x14ac:dyDescent="0.2">
      <c r="A1205" s="34"/>
      <c r="B1205" s="34"/>
      <c r="C1205" s="34"/>
      <c r="D1205" s="34"/>
      <c r="E1205" s="19"/>
      <c r="F1205" s="19"/>
      <c r="G1205" s="19"/>
      <c r="H1205" s="19"/>
      <c r="I1205" s="19"/>
      <c r="J1205" s="19"/>
      <c r="K1205" s="19"/>
      <c r="L1205" s="19"/>
      <c r="M1205" s="19"/>
      <c r="N1205" s="19"/>
      <c r="O1205" s="19"/>
      <c r="P1205" s="19"/>
      <c r="Q1205" s="19"/>
      <c r="R1205" s="20"/>
      <c r="S1205" s="20"/>
      <c r="T1205" s="22"/>
      <c r="U1205" s="22"/>
      <c r="V1205" s="20"/>
      <c r="W1205" s="20"/>
      <c r="X1205" s="20"/>
      <c r="Y1205" s="19"/>
      <c r="Z1205" s="19"/>
      <c r="AA1205" s="19"/>
      <c r="AB1205" s="23"/>
    </row>
    <row r="1206" spans="1:28" ht="15.75" customHeight="1" x14ac:dyDescent="0.2">
      <c r="A1206" s="34"/>
      <c r="B1206" s="34"/>
      <c r="C1206" s="34"/>
      <c r="D1206" s="34"/>
      <c r="E1206" s="19"/>
      <c r="F1206" s="19"/>
      <c r="G1206" s="19"/>
      <c r="H1206" s="19"/>
      <c r="I1206" s="19"/>
      <c r="J1206" s="19"/>
      <c r="K1206" s="19"/>
      <c r="L1206" s="19"/>
      <c r="M1206" s="19"/>
      <c r="N1206" s="19"/>
      <c r="O1206" s="19"/>
      <c r="P1206" s="19"/>
      <c r="Q1206" s="19"/>
      <c r="R1206" s="20"/>
      <c r="S1206" s="20"/>
      <c r="T1206" s="22"/>
      <c r="U1206" s="22"/>
      <c r="V1206" s="20"/>
      <c r="W1206" s="20"/>
      <c r="X1206" s="20"/>
      <c r="Y1206" s="19"/>
      <c r="Z1206" s="19"/>
      <c r="AA1206" s="19"/>
      <c r="AB1206" s="23"/>
    </row>
    <row r="1207" spans="1:28" ht="15.75" customHeight="1" x14ac:dyDescent="0.2">
      <c r="A1207" s="34"/>
      <c r="B1207" s="34"/>
      <c r="C1207" s="34"/>
      <c r="D1207" s="34"/>
      <c r="E1207" s="19"/>
      <c r="F1207" s="19"/>
      <c r="G1207" s="19"/>
      <c r="H1207" s="19"/>
      <c r="I1207" s="19"/>
      <c r="J1207" s="19"/>
      <c r="K1207" s="19"/>
      <c r="L1207" s="19"/>
      <c r="M1207" s="19"/>
      <c r="N1207" s="19"/>
      <c r="O1207" s="19"/>
      <c r="P1207" s="19"/>
      <c r="Q1207" s="19"/>
      <c r="R1207" s="20"/>
      <c r="S1207" s="20"/>
      <c r="T1207" s="22"/>
      <c r="U1207" s="22"/>
      <c r="V1207" s="20"/>
      <c r="W1207" s="20"/>
      <c r="X1207" s="20"/>
      <c r="Y1207" s="19"/>
      <c r="Z1207" s="19"/>
      <c r="AA1207" s="19"/>
      <c r="AB1207" s="23"/>
    </row>
    <row r="1208" spans="1:28" ht="15.75" customHeight="1" x14ac:dyDescent="0.2">
      <c r="A1208" s="34"/>
      <c r="B1208" s="34"/>
      <c r="C1208" s="34"/>
      <c r="D1208" s="34"/>
      <c r="E1208" s="19"/>
      <c r="F1208" s="19"/>
      <c r="G1208" s="19"/>
      <c r="H1208" s="19"/>
      <c r="I1208" s="19"/>
      <c r="J1208" s="19"/>
      <c r="K1208" s="19"/>
      <c r="L1208" s="19"/>
      <c r="M1208" s="19"/>
      <c r="N1208" s="19"/>
      <c r="O1208" s="19"/>
      <c r="P1208" s="19"/>
      <c r="Q1208" s="19"/>
      <c r="R1208" s="20"/>
      <c r="S1208" s="20"/>
      <c r="T1208" s="22"/>
      <c r="U1208" s="22"/>
      <c r="V1208" s="20"/>
      <c r="W1208" s="20"/>
      <c r="X1208" s="20"/>
      <c r="Y1208" s="19"/>
      <c r="Z1208" s="19"/>
      <c r="AA1208" s="19"/>
      <c r="AB1208" s="23"/>
    </row>
    <row r="1209" spans="1:28" ht="15.75" customHeight="1" x14ac:dyDescent="0.2">
      <c r="A1209" s="34"/>
      <c r="B1209" s="34"/>
      <c r="C1209" s="34"/>
      <c r="D1209" s="34"/>
      <c r="E1209" s="19"/>
      <c r="F1209" s="19"/>
      <c r="G1209" s="19"/>
      <c r="H1209" s="19"/>
      <c r="I1209" s="19"/>
      <c r="J1209" s="19"/>
      <c r="K1209" s="19"/>
      <c r="L1209" s="19"/>
      <c r="M1209" s="19"/>
      <c r="N1209" s="19"/>
      <c r="O1209" s="19"/>
      <c r="P1209" s="19"/>
      <c r="Q1209" s="19"/>
      <c r="R1209" s="20"/>
      <c r="S1209" s="20"/>
      <c r="T1209" s="22"/>
      <c r="U1209" s="22"/>
      <c r="V1209" s="20"/>
      <c r="W1209" s="20"/>
      <c r="X1209" s="20"/>
      <c r="Y1209" s="19"/>
      <c r="Z1209" s="19"/>
      <c r="AA1209" s="19"/>
      <c r="AB1209" s="23"/>
    </row>
    <row r="1210" spans="1:28" ht="15.75" customHeight="1" x14ac:dyDescent="0.2">
      <c r="A1210" s="34"/>
      <c r="B1210" s="34"/>
      <c r="C1210" s="34"/>
      <c r="D1210" s="34"/>
      <c r="E1210" s="19"/>
      <c r="F1210" s="19"/>
      <c r="G1210" s="19"/>
      <c r="H1210" s="19"/>
      <c r="I1210" s="19"/>
      <c r="J1210" s="19"/>
      <c r="K1210" s="19"/>
      <c r="L1210" s="19"/>
      <c r="M1210" s="19"/>
      <c r="N1210" s="19"/>
      <c r="O1210" s="19"/>
      <c r="P1210" s="19"/>
      <c r="Q1210" s="19"/>
      <c r="R1210" s="20"/>
      <c r="S1210" s="20"/>
      <c r="T1210" s="22"/>
      <c r="U1210" s="22"/>
      <c r="V1210" s="20"/>
      <c r="W1210" s="20"/>
      <c r="X1210" s="20"/>
      <c r="Y1210" s="19"/>
      <c r="Z1210" s="19"/>
      <c r="AA1210" s="19"/>
      <c r="AB1210" s="23"/>
    </row>
    <row r="1211" spans="1:28" ht="15.75" customHeight="1" x14ac:dyDescent="0.2">
      <c r="A1211" s="34"/>
      <c r="B1211" s="34"/>
      <c r="C1211" s="34"/>
      <c r="D1211" s="34"/>
      <c r="E1211" s="19"/>
      <c r="F1211" s="19"/>
      <c r="G1211" s="19"/>
      <c r="H1211" s="19"/>
      <c r="I1211" s="19"/>
      <c r="J1211" s="19"/>
      <c r="K1211" s="19"/>
      <c r="L1211" s="19"/>
      <c r="M1211" s="19"/>
      <c r="N1211" s="19"/>
      <c r="O1211" s="19"/>
      <c r="P1211" s="19"/>
      <c r="Q1211" s="19"/>
      <c r="R1211" s="20"/>
      <c r="S1211" s="20"/>
      <c r="T1211" s="22"/>
      <c r="U1211" s="22"/>
      <c r="V1211" s="20"/>
      <c r="W1211" s="20"/>
      <c r="X1211" s="20"/>
      <c r="Y1211" s="19"/>
      <c r="Z1211" s="19"/>
      <c r="AA1211" s="19"/>
      <c r="AB1211" s="23"/>
    </row>
    <row r="1212" spans="1:28" ht="15.75" customHeight="1" x14ac:dyDescent="0.2">
      <c r="A1212" s="34"/>
      <c r="B1212" s="34"/>
      <c r="C1212" s="34"/>
      <c r="D1212" s="34"/>
      <c r="E1212" s="19"/>
      <c r="F1212" s="19"/>
      <c r="G1212" s="19"/>
      <c r="H1212" s="19"/>
      <c r="I1212" s="19"/>
      <c r="J1212" s="19"/>
      <c r="K1212" s="19"/>
      <c r="L1212" s="19"/>
      <c r="M1212" s="19"/>
      <c r="N1212" s="19"/>
      <c r="O1212" s="19"/>
      <c r="P1212" s="19"/>
      <c r="Q1212" s="19"/>
      <c r="R1212" s="20"/>
      <c r="S1212" s="20"/>
      <c r="T1212" s="22"/>
      <c r="U1212" s="22"/>
      <c r="V1212" s="20"/>
      <c r="W1212" s="20"/>
      <c r="X1212" s="20"/>
      <c r="Y1212" s="19"/>
      <c r="Z1212" s="19"/>
      <c r="AA1212" s="19"/>
      <c r="AB1212" s="23"/>
    </row>
    <row r="1213" spans="1:28" ht="15.75" customHeight="1" x14ac:dyDescent="0.2">
      <c r="A1213" s="34"/>
      <c r="B1213" s="34"/>
      <c r="C1213" s="34"/>
      <c r="D1213" s="34"/>
      <c r="E1213" s="19"/>
      <c r="F1213" s="19"/>
      <c r="G1213" s="19"/>
      <c r="H1213" s="19"/>
      <c r="I1213" s="19"/>
      <c r="J1213" s="19"/>
      <c r="K1213" s="19"/>
      <c r="L1213" s="19"/>
      <c r="M1213" s="19"/>
      <c r="N1213" s="19"/>
      <c r="O1213" s="19"/>
      <c r="P1213" s="19"/>
      <c r="Q1213" s="19"/>
      <c r="R1213" s="20"/>
      <c r="S1213" s="20"/>
      <c r="T1213" s="22"/>
      <c r="U1213" s="22"/>
      <c r="V1213" s="20"/>
      <c r="W1213" s="20"/>
      <c r="X1213" s="20"/>
      <c r="Y1213" s="19"/>
      <c r="Z1213" s="19"/>
      <c r="AA1213" s="19"/>
      <c r="AB1213" s="23"/>
    </row>
    <row r="1214" spans="1:28" ht="15.75" customHeight="1" x14ac:dyDescent="0.2">
      <c r="A1214" s="34"/>
      <c r="B1214" s="34"/>
      <c r="C1214" s="34"/>
      <c r="D1214" s="34"/>
      <c r="E1214" s="19"/>
      <c r="F1214" s="19"/>
      <c r="G1214" s="19"/>
      <c r="H1214" s="19"/>
      <c r="I1214" s="19"/>
      <c r="J1214" s="19"/>
      <c r="K1214" s="19"/>
      <c r="L1214" s="19"/>
      <c r="M1214" s="19"/>
      <c r="N1214" s="19"/>
      <c r="O1214" s="19"/>
      <c r="P1214" s="19"/>
      <c r="Q1214" s="19"/>
      <c r="R1214" s="20"/>
      <c r="S1214" s="20"/>
      <c r="T1214" s="22"/>
      <c r="U1214" s="22"/>
      <c r="V1214" s="20"/>
      <c r="W1214" s="20"/>
      <c r="X1214" s="20"/>
      <c r="Y1214" s="19"/>
      <c r="Z1214" s="19"/>
      <c r="AA1214" s="19"/>
      <c r="AB1214" s="23"/>
    </row>
    <row r="1215" spans="1:28" ht="15.75" customHeight="1" x14ac:dyDescent="0.2">
      <c r="A1215" s="34"/>
      <c r="B1215" s="34"/>
      <c r="C1215" s="34"/>
      <c r="D1215" s="34"/>
      <c r="E1215" s="19"/>
      <c r="F1215" s="19"/>
      <c r="G1215" s="19"/>
      <c r="H1215" s="19"/>
      <c r="I1215" s="19"/>
      <c r="J1215" s="19"/>
      <c r="K1215" s="19"/>
      <c r="L1215" s="19"/>
      <c r="M1215" s="19"/>
      <c r="N1215" s="19"/>
      <c r="O1215" s="19"/>
      <c r="P1215" s="19"/>
      <c r="Q1215" s="19"/>
      <c r="R1215" s="20"/>
      <c r="S1215" s="20"/>
      <c r="T1215" s="22"/>
      <c r="U1215" s="22"/>
      <c r="V1215" s="20"/>
      <c r="W1215" s="20"/>
      <c r="X1215" s="20"/>
      <c r="Y1215" s="19"/>
      <c r="Z1215" s="19"/>
      <c r="AA1215" s="19"/>
      <c r="AB1215" s="23"/>
    </row>
    <row r="1216" spans="1:28" ht="15.75" customHeight="1" x14ac:dyDescent="0.2">
      <c r="A1216" s="34"/>
      <c r="B1216" s="34"/>
      <c r="C1216" s="34"/>
      <c r="D1216" s="34"/>
      <c r="E1216" s="19"/>
      <c r="F1216" s="19"/>
      <c r="G1216" s="19"/>
      <c r="H1216" s="19"/>
      <c r="I1216" s="19"/>
      <c r="J1216" s="19"/>
      <c r="K1216" s="19"/>
      <c r="L1216" s="19"/>
      <c r="M1216" s="19"/>
      <c r="N1216" s="19"/>
      <c r="O1216" s="19"/>
      <c r="P1216" s="19"/>
      <c r="Q1216" s="19"/>
      <c r="R1216" s="20"/>
      <c r="S1216" s="20"/>
      <c r="T1216" s="22"/>
      <c r="U1216" s="22"/>
      <c r="V1216" s="20"/>
      <c r="W1216" s="20"/>
      <c r="X1216" s="20"/>
      <c r="Y1216" s="19"/>
      <c r="Z1216" s="19"/>
      <c r="AA1216" s="19"/>
      <c r="AB1216" s="23"/>
    </row>
    <row r="1217" spans="1:28" ht="15.75" customHeight="1" x14ac:dyDescent="0.2">
      <c r="A1217" s="34"/>
      <c r="B1217" s="34"/>
      <c r="C1217" s="34"/>
      <c r="D1217" s="34"/>
      <c r="E1217" s="19"/>
      <c r="F1217" s="19"/>
      <c r="G1217" s="19"/>
      <c r="H1217" s="19"/>
      <c r="I1217" s="19"/>
      <c r="J1217" s="19"/>
      <c r="K1217" s="19"/>
      <c r="L1217" s="19"/>
      <c r="M1217" s="19"/>
      <c r="N1217" s="19"/>
      <c r="O1217" s="19"/>
      <c r="P1217" s="19"/>
      <c r="Q1217" s="19"/>
      <c r="R1217" s="20"/>
      <c r="S1217" s="20"/>
      <c r="T1217" s="22"/>
      <c r="U1217" s="22"/>
      <c r="V1217" s="20"/>
      <c r="W1217" s="20"/>
      <c r="X1217" s="20"/>
      <c r="Y1217" s="19"/>
      <c r="Z1217" s="19"/>
      <c r="AA1217" s="19"/>
      <c r="AB1217" s="23"/>
    </row>
    <row r="1218" spans="1:28" ht="15.75" customHeight="1" x14ac:dyDescent="0.2">
      <c r="A1218" s="34"/>
      <c r="B1218" s="34"/>
      <c r="C1218" s="34"/>
      <c r="D1218" s="34"/>
      <c r="E1218" s="19"/>
      <c r="F1218" s="19"/>
      <c r="G1218" s="19"/>
      <c r="H1218" s="19"/>
      <c r="I1218" s="19"/>
      <c r="J1218" s="19"/>
      <c r="K1218" s="19"/>
      <c r="L1218" s="19"/>
      <c r="M1218" s="19"/>
      <c r="N1218" s="19"/>
      <c r="O1218" s="19"/>
      <c r="P1218" s="19"/>
      <c r="Q1218" s="19"/>
      <c r="R1218" s="20"/>
      <c r="S1218" s="20"/>
      <c r="T1218" s="22"/>
      <c r="U1218" s="22"/>
      <c r="V1218" s="20"/>
      <c r="W1218" s="20"/>
      <c r="X1218" s="20"/>
      <c r="Y1218" s="19"/>
      <c r="Z1218" s="19"/>
      <c r="AA1218" s="19"/>
      <c r="AB1218" s="23"/>
    </row>
    <row r="1219" spans="1:28" ht="15.75" customHeight="1" x14ac:dyDescent="0.2">
      <c r="A1219" s="34"/>
      <c r="B1219" s="34"/>
      <c r="C1219" s="34"/>
      <c r="D1219" s="34"/>
      <c r="E1219" s="19"/>
      <c r="F1219" s="19"/>
      <c r="G1219" s="19"/>
      <c r="H1219" s="19"/>
      <c r="I1219" s="19"/>
      <c r="J1219" s="19"/>
      <c r="K1219" s="19"/>
      <c r="L1219" s="19"/>
      <c r="M1219" s="19"/>
      <c r="N1219" s="19"/>
      <c r="O1219" s="19"/>
      <c r="P1219" s="19"/>
      <c r="Q1219" s="19"/>
      <c r="R1219" s="20"/>
      <c r="S1219" s="20"/>
      <c r="T1219" s="22"/>
      <c r="U1219" s="22"/>
      <c r="V1219" s="20"/>
      <c r="W1219" s="20"/>
      <c r="X1219" s="20"/>
      <c r="Y1219" s="19"/>
      <c r="Z1219" s="19"/>
      <c r="AA1219" s="19"/>
      <c r="AB1219" s="23"/>
    </row>
    <row r="1220" spans="1:28" ht="15.75" customHeight="1" x14ac:dyDescent="0.2">
      <c r="A1220" s="34"/>
      <c r="B1220" s="34"/>
      <c r="C1220" s="34"/>
      <c r="D1220" s="34"/>
      <c r="E1220" s="19"/>
      <c r="F1220" s="19"/>
      <c r="G1220" s="19"/>
      <c r="H1220" s="19"/>
      <c r="I1220" s="19"/>
      <c r="J1220" s="19"/>
      <c r="K1220" s="19"/>
      <c r="L1220" s="19"/>
      <c r="M1220" s="19"/>
      <c r="N1220" s="19"/>
      <c r="O1220" s="19"/>
      <c r="P1220" s="19"/>
      <c r="Q1220" s="19"/>
      <c r="R1220" s="20"/>
      <c r="S1220" s="20"/>
      <c r="T1220" s="22"/>
      <c r="U1220" s="22"/>
      <c r="V1220" s="20"/>
      <c r="W1220" s="20"/>
      <c r="X1220" s="20"/>
      <c r="Y1220" s="19"/>
      <c r="Z1220" s="19"/>
      <c r="AA1220" s="19"/>
      <c r="AB1220" s="23"/>
    </row>
    <row r="1221" spans="1:28" ht="15.75" customHeight="1" x14ac:dyDescent="0.2">
      <c r="A1221" s="34"/>
      <c r="B1221" s="34"/>
      <c r="C1221" s="34"/>
      <c r="D1221" s="34"/>
      <c r="E1221" s="19"/>
      <c r="F1221" s="19"/>
      <c r="G1221" s="19"/>
      <c r="H1221" s="19"/>
      <c r="I1221" s="19"/>
      <c r="J1221" s="19"/>
      <c r="K1221" s="19"/>
      <c r="L1221" s="19"/>
      <c r="M1221" s="19"/>
      <c r="N1221" s="19"/>
      <c r="O1221" s="19"/>
      <c r="P1221" s="19"/>
      <c r="Q1221" s="19"/>
      <c r="R1221" s="20"/>
      <c r="S1221" s="20"/>
      <c r="T1221" s="22"/>
      <c r="U1221" s="22"/>
      <c r="V1221" s="20"/>
      <c r="W1221" s="20"/>
      <c r="X1221" s="20"/>
      <c r="Y1221" s="19"/>
      <c r="Z1221" s="19"/>
      <c r="AA1221" s="19"/>
      <c r="AB1221" s="23"/>
    </row>
    <row r="1222" spans="1:28" ht="15.75" customHeight="1" x14ac:dyDescent="0.2">
      <c r="A1222" s="34"/>
      <c r="B1222" s="34"/>
      <c r="C1222" s="34"/>
      <c r="D1222" s="34"/>
      <c r="E1222" s="19"/>
      <c r="F1222" s="19"/>
      <c r="G1222" s="19"/>
      <c r="H1222" s="19"/>
      <c r="I1222" s="19"/>
      <c r="J1222" s="19"/>
      <c r="K1222" s="19"/>
      <c r="L1222" s="19"/>
      <c r="M1222" s="19"/>
      <c r="N1222" s="19"/>
      <c r="O1222" s="19"/>
      <c r="P1222" s="19"/>
      <c r="Q1222" s="19"/>
      <c r="R1222" s="20"/>
      <c r="S1222" s="20"/>
      <c r="T1222" s="22"/>
      <c r="U1222" s="22"/>
      <c r="V1222" s="20"/>
      <c r="W1222" s="20"/>
      <c r="X1222" s="20"/>
      <c r="Y1222" s="19"/>
      <c r="Z1222" s="19"/>
      <c r="AA1222" s="19"/>
      <c r="AB1222" s="23"/>
    </row>
    <row r="1223" spans="1:28" ht="15.75" customHeight="1" x14ac:dyDescent="0.2">
      <c r="A1223" s="34"/>
      <c r="B1223" s="34"/>
      <c r="C1223" s="34"/>
      <c r="D1223" s="34"/>
      <c r="E1223" s="19"/>
      <c r="F1223" s="19"/>
      <c r="G1223" s="19"/>
      <c r="H1223" s="19"/>
      <c r="I1223" s="19"/>
      <c r="J1223" s="19"/>
      <c r="K1223" s="19"/>
      <c r="L1223" s="19"/>
      <c r="M1223" s="19"/>
      <c r="N1223" s="19"/>
      <c r="O1223" s="19"/>
      <c r="P1223" s="19"/>
      <c r="Q1223" s="19"/>
      <c r="R1223" s="20"/>
      <c r="S1223" s="20"/>
      <c r="T1223" s="22"/>
      <c r="U1223" s="22"/>
      <c r="V1223" s="20"/>
      <c r="W1223" s="20"/>
      <c r="X1223" s="20"/>
      <c r="Y1223" s="19"/>
      <c r="Z1223" s="19"/>
      <c r="AA1223" s="19"/>
      <c r="AB1223" s="23"/>
    </row>
    <row r="1224" spans="1:28" ht="15.75" customHeight="1" x14ac:dyDescent="0.2">
      <c r="A1224" s="34"/>
      <c r="B1224" s="34"/>
      <c r="C1224" s="34"/>
      <c r="D1224" s="34"/>
      <c r="E1224" s="19"/>
      <c r="F1224" s="19"/>
      <c r="G1224" s="19"/>
      <c r="H1224" s="19"/>
      <c r="I1224" s="19"/>
      <c r="J1224" s="19"/>
      <c r="K1224" s="19"/>
      <c r="L1224" s="19"/>
      <c r="M1224" s="19"/>
      <c r="N1224" s="19"/>
      <c r="O1224" s="19"/>
      <c r="P1224" s="19"/>
      <c r="Q1224" s="19"/>
      <c r="R1224" s="20"/>
      <c r="S1224" s="20"/>
      <c r="T1224" s="22"/>
      <c r="U1224" s="22"/>
      <c r="V1224" s="20"/>
      <c r="W1224" s="20"/>
      <c r="X1224" s="20"/>
      <c r="Y1224" s="19"/>
      <c r="Z1224" s="19"/>
      <c r="AA1224" s="19"/>
      <c r="AB1224" s="23"/>
    </row>
    <row r="1225" spans="1:28" ht="15.75" customHeight="1" x14ac:dyDescent="0.2">
      <c r="A1225" s="34"/>
      <c r="B1225" s="34"/>
      <c r="C1225" s="34"/>
      <c r="D1225" s="34"/>
      <c r="E1225" s="19"/>
      <c r="F1225" s="19"/>
      <c r="G1225" s="19"/>
      <c r="H1225" s="19"/>
      <c r="I1225" s="19"/>
      <c r="J1225" s="19"/>
      <c r="K1225" s="19"/>
      <c r="L1225" s="19"/>
      <c r="M1225" s="19"/>
      <c r="N1225" s="19"/>
      <c r="O1225" s="19"/>
      <c r="P1225" s="19"/>
      <c r="Q1225" s="19"/>
      <c r="R1225" s="20"/>
      <c r="S1225" s="20"/>
      <c r="T1225" s="22"/>
      <c r="U1225" s="22"/>
      <c r="V1225" s="20"/>
      <c r="W1225" s="20"/>
      <c r="X1225" s="20"/>
      <c r="Y1225" s="19"/>
      <c r="Z1225" s="19"/>
      <c r="AA1225" s="19"/>
      <c r="AB1225" s="23"/>
    </row>
    <row r="1226" spans="1:28" ht="15.75" customHeight="1" x14ac:dyDescent="0.2">
      <c r="A1226" s="34"/>
      <c r="B1226" s="34"/>
      <c r="C1226" s="34"/>
      <c r="D1226" s="34"/>
      <c r="E1226" s="19"/>
      <c r="F1226" s="19"/>
      <c r="G1226" s="19"/>
      <c r="H1226" s="19"/>
      <c r="I1226" s="19"/>
      <c r="J1226" s="19"/>
      <c r="K1226" s="19"/>
      <c r="L1226" s="19"/>
      <c r="M1226" s="19"/>
      <c r="N1226" s="19"/>
      <c r="O1226" s="19"/>
      <c r="P1226" s="19"/>
      <c r="Q1226" s="19"/>
      <c r="R1226" s="20"/>
      <c r="S1226" s="20"/>
      <c r="T1226" s="22"/>
      <c r="U1226" s="22"/>
      <c r="V1226" s="20"/>
      <c r="W1226" s="20"/>
      <c r="X1226" s="20"/>
      <c r="Y1226" s="19"/>
      <c r="Z1226" s="19"/>
      <c r="AA1226" s="19"/>
      <c r="AB1226" s="23"/>
    </row>
    <row r="1227" spans="1:28" ht="15.75" customHeight="1" x14ac:dyDescent="0.2">
      <c r="A1227" s="34"/>
      <c r="B1227" s="34"/>
      <c r="C1227" s="34"/>
      <c r="D1227" s="34"/>
      <c r="E1227" s="19"/>
      <c r="F1227" s="19"/>
      <c r="G1227" s="19"/>
      <c r="H1227" s="19"/>
      <c r="I1227" s="19"/>
      <c r="J1227" s="19"/>
      <c r="K1227" s="19"/>
      <c r="L1227" s="19"/>
      <c r="M1227" s="19"/>
      <c r="N1227" s="19"/>
      <c r="O1227" s="19"/>
      <c r="P1227" s="19"/>
      <c r="Q1227" s="19"/>
      <c r="R1227" s="20"/>
      <c r="S1227" s="20"/>
      <c r="T1227" s="22"/>
      <c r="U1227" s="22"/>
      <c r="V1227" s="20"/>
      <c r="W1227" s="20"/>
      <c r="X1227" s="20"/>
      <c r="Y1227" s="19"/>
      <c r="Z1227" s="19"/>
      <c r="AA1227" s="19"/>
      <c r="AB1227" s="23"/>
    </row>
    <row r="1228" spans="1:28" ht="15.75" customHeight="1" x14ac:dyDescent="0.2">
      <c r="A1228" s="34"/>
      <c r="B1228" s="34"/>
      <c r="C1228" s="34"/>
      <c r="D1228" s="34"/>
      <c r="E1228" s="19"/>
      <c r="F1228" s="19"/>
      <c r="G1228" s="19"/>
      <c r="H1228" s="19"/>
      <c r="I1228" s="19"/>
      <c r="J1228" s="19"/>
      <c r="K1228" s="19"/>
      <c r="L1228" s="19"/>
      <c r="M1228" s="19"/>
      <c r="N1228" s="19"/>
      <c r="O1228" s="19"/>
      <c r="P1228" s="19"/>
      <c r="Q1228" s="19"/>
      <c r="R1228" s="20"/>
      <c r="S1228" s="20"/>
      <c r="T1228" s="22"/>
      <c r="U1228" s="22"/>
      <c r="V1228" s="20"/>
      <c r="W1228" s="20"/>
      <c r="X1228" s="20"/>
      <c r="Y1228" s="19"/>
      <c r="Z1228" s="19"/>
      <c r="AA1228" s="19"/>
      <c r="AB1228" s="23"/>
    </row>
    <row r="1229" spans="1:28" ht="15.75" customHeight="1" x14ac:dyDescent="0.2">
      <c r="A1229" s="34"/>
      <c r="B1229" s="34"/>
      <c r="C1229" s="34"/>
      <c r="D1229" s="34"/>
      <c r="E1229" s="19"/>
      <c r="F1229" s="19"/>
      <c r="G1229" s="19"/>
      <c r="H1229" s="19"/>
      <c r="I1229" s="19"/>
      <c r="J1229" s="19"/>
      <c r="K1229" s="19"/>
      <c r="L1229" s="19"/>
      <c r="M1229" s="19"/>
      <c r="N1229" s="19"/>
      <c r="O1229" s="19"/>
      <c r="P1229" s="19"/>
      <c r="Q1229" s="19"/>
      <c r="R1229" s="20"/>
      <c r="S1229" s="20"/>
      <c r="T1229" s="22"/>
      <c r="U1229" s="22"/>
      <c r="V1229" s="20"/>
      <c r="W1229" s="20"/>
      <c r="X1229" s="20"/>
      <c r="Y1229" s="19"/>
      <c r="Z1229" s="19"/>
      <c r="AA1229" s="19"/>
      <c r="AB1229" s="23"/>
    </row>
    <row r="1230" spans="1:28" ht="15.75" customHeight="1" x14ac:dyDescent="0.2">
      <c r="A1230" s="34"/>
      <c r="B1230" s="34"/>
      <c r="C1230" s="34"/>
      <c r="D1230" s="34"/>
      <c r="E1230" s="19"/>
      <c r="F1230" s="19"/>
      <c r="G1230" s="19"/>
      <c r="H1230" s="19"/>
      <c r="I1230" s="19"/>
      <c r="J1230" s="19"/>
      <c r="K1230" s="19"/>
      <c r="L1230" s="19"/>
      <c r="M1230" s="19"/>
      <c r="N1230" s="19"/>
      <c r="O1230" s="19"/>
      <c r="P1230" s="19"/>
      <c r="Q1230" s="19"/>
      <c r="R1230" s="20"/>
      <c r="S1230" s="20"/>
      <c r="T1230" s="22"/>
      <c r="U1230" s="22"/>
      <c r="V1230" s="20"/>
      <c r="W1230" s="20"/>
      <c r="X1230" s="20"/>
      <c r="Y1230" s="19"/>
      <c r="Z1230" s="19"/>
      <c r="AA1230" s="19"/>
      <c r="AB1230" s="23"/>
    </row>
    <row r="1231" spans="1:28" ht="15.75" customHeight="1" x14ac:dyDescent="0.2">
      <c r="A1231" s="34"/>
      <c r="B1231" s="34"/>
      <c r="C1231" s="34"/>
      <c r="D1231" s="34"/>
      <c r="E1231" s="19"/>
      <c r="F1231" s="19"/>
      <c r="G1231" s="19"/>
      <c r="H1231" s="19"/>
      <c r="I1231" s="19"/>
      <c r="J1231" s="19"/>
      <c r="K1231" s="19"/>
      <c r="L1231" s="19"/>
      <c r="M1231" s="19"/>
      <c r="N1231" s="19"/>
      <c r="O1231" s="19"/>
      <c r="P1231" s="19"/>
      <c r="Q1231" s="19"/>
      <c r="R1231" s="20"/>
      <c r="S1231" s="20"/>
      <c r="T1231" s="22"/>
      <c r="U1231" s="22"/>
      <c r="V1231" s="20"/>
      <c r="W1231" s="20"/>
      <c r="X1231" s="20"/>
      <c r="Y1231" s="19"/>
      <c r="Z1231" s="19"/>
      <c r="AA1231" s="19"/>
      <c r="AB1231" s="23"/>
    </row>
    <row r="1232" spans="1:28" ht="15.75" customHeight="1" x14ac:dyDescent="0.2">
      <c r="A1232" s="34"/>
      <c r="B1232" s="34"/>
      <c r="C1232" s="34"/>
      <c r="D1232" s="34"/>
      <c r="E1232" s="19"/>
      <c r="F1232" s="19"/>
      <c r="G1232" s="19"/>
      <c r="H1232" s="19"/>
      <c r="I1232" s="19"/>
      <c r="J1232" s="19"/>
      <c r="K1232" s="19"/>
      <c r="L1232" s="19"/>
      <c r="M1232" s="19"/>
      <c r="N1232" s="19"/>
      <c r="O1232" s="19"/>
      <c r="P1232" s="19"/>
      <c r="Q1232" s="19"/>
      <c r="R1232" s="20"/>
      <c r="S1232" s="20"/>
      <c r="T1232" s="22"/>
      <c r="U1232" s="22"/>
      <c r="V1232" s="20"/>
      <c r="W1232" s="20"/>
      <c r="X1232" s="20"/>
      <c r="Y1232" s="19"/>
      <c r="Z1232" s="19"/>
      <c r="AA1232" s="19"/>
      <c r="AB1232" s="23"/>
    </row>
    <row r="1233" spans="1:28" ht="15.75" customHeight="1" x14ac:dyDescent="0.2">
      <c r="A1233" s="34"/>
      <c r="B1233" s="34"/>
      <c r="C1233" s="34"/>
      <c r="D1233" s="34"/>
      <c r="E1233" s="19"/>
      <c r="F1233" s="19"/>
      <c r="G1233" s="19"/>
      <c r="H1233" s="19"/>
      <c r="I1233" s="19"/>
      <c r="J1233" s="19"/>
      <c r="K1233" s="19"/>
      <c r="L1233" s="19"/>
      <c r="M1233" s="19"/>
      <c r="N1233" s="19"/>
      <c r="O1233" s="19"/>
      <c r="P1233" s="19"/>
      <c r="Q1233" s="19"/>
      <c r="R1233" s="20"/>
      <c r="S1233" s="20"/>
      <c r="T1233" s="22"/>
      <c r="U1233" s="22"/>
      <c r="V1233" s="20"/>
      <c r="W1233" s="20"/>
      <c r="X1233" s="20"/>
      <c r="Y1233" s="19"/>
      <c r="Z1233" s="19"/>
      <c r="AA1233" s="19"/>
      <c r="AB1233" s="23"/>
    </row>
    <row r="1234" spans="1:28" ht="15.75" customHeight="1" x14ac:dyDescent="0.2">
      <c r="A1234" s="34"/>
      <c r="B1234" s="34"/>
      <c r="C1234" s="34"/>
      <c r="D1234" s="34"/>
      <c r="E1234" s="19"/>
      <c r="F1234" s="19"/>
      <c r="G1234" s="19"/>
      <c r="H1234" s="19"/>
      <c r="I1234" s="19"/>
      <c r="J1234" s="19"/>
      <c r="K1234" s="19"/>
      <c r="L1234" s="19"/>
      <c r="M1234" s="19"/>
      <c r="N1234" s="19"/>
      <c r="O1234" s="19"/>
      <c r="P1234" s="19"/>
      <c r="Q1234" s="19"/>
      <c r="R1234" s="20"/>
      <c r="S1234" s="20"/>
      <c r="T1234" s="22"/>
      <c r="U1234" s="22"/>
      <c r="V1234" s="20"/>
      <c r="W1234" s="20"/>
      <c r="X1234" s="20"/>
      <c r="Y1234" s="19"/>
      <c r="Z1234" s="19"/>
      <c r="AA1234" s="19"/>
      <c r="AB1234" s="23"/>
    </row>
    <row r="1235" spans="1:28" ht="15.75" customHeight="1" x14ac:dyDescent="0.2">
      <c r="A1235" s="34"/>
      <c r="B1235" s="34"/>
      <c r="C1235" s="34"/>
      <c r="D1235" s="34"/>
      <c r="E1235" s="19"/>
      <c r="F1235" s="19"/>
      <c r="G1235" s="19"/>
      <c r="H1235" s="19"/>
      <c r="I1235" s="19"/>
      <c r="J1235" s="19"/>
      <c r="K1235" s="19"/>
      <c r="L1235" s="19"/>
      <c r="M1235" s="19"/>
      <c r="N1235" s="19"/>
      <c r="O1235" s="19"/>
      <c r="P1235" s="19"/>
      <c r="Q1235" s="19"/>
      <c r="R1235" s="20"/>
      <c r="S1235" s="20"/>
      <c r="T1235" s="22"/>
      <c r="U1235" s="22"/>
      <c r="V1235" s="20"/>
      <c r="W1235" s="20"/>
      <c r="X1235" s="20"/>
      <c r="Y1235" s="19"/>
      <c r="Z1235" s="19"/>
      <c r="AA1235" s="19"/>
      <c r="AB1235" s="23"/>
    </row>
    <row r="1236" spans="1:28" ht="15.75" customHeight="1" x14ac:dyDescent="0.2">
      <c r="A1236" s="34"/>
      <c r="B1236" s="34"/>
      <c r="C1236" s="34"/>
      <c r="D1236" s="34"/>
      <c r="E1236" s="19"/>
      <c r="F1236" s="19"/>
      <c r="G1236" s="19"/>
      <c r="H1236" s="19"/>
      <c r="I1236" s="19"/>
      <c r="J1236" s="19"/>
      <c r="K1236" s="19"/>
      <c r="L1236" s="19"/>
      <c r="M1236" s="19"/>
      <c r="N1236" s="19"/>
      <c r="O1236" s="19"/>
      <c r="P1236" s="19"/>
      <c r="Q1236" s="19"/>
      <c r="R1236" s="20"/>
      <c r="S1236" s="20"/>
      <c r="T1236" s="22"/>
      <c r="U1236" s="22"/>
      <c r="V1236" s="20"/>
      <c r="W1236" s="20"/>
      <c r="X1236" s="20"/>
      <c r="Y1236" s="19"/>
      <c r="Z1236" s="19"/>
      <c r="AA1236" s="19"/>
      <c r="AB1236" s="23"/>
    </row>
    <row r="1237" spans="1:28" ht="15.75" customHeight="1" x14ac:dyDescent="0.2">
      <c r="A1237" s="34"/>
      <c r="B1237" s="34"/>
      <c r="C1237" s="34"/>
      <c r="D1237" s="34"/>
      <c r="E1237" s="19"/>
      <c r="F1237" s="19"/>
      <c r="G1237" s="19"/>
      <c r="H1237" s="19"/>
      <c r="I1237" s="19"/>
      <c r="J1237" s="19"/>
      <c r="K1237" s="19"/>
      <c r="L1237" s="19"/>
      <c r="M1237" s="19"/>
      <c r="N1237" s="19"/>
      <c r="O1237" s="19"/>
      <c r="P1237" s="19"/>
      <c r="Q1237" s="19"/>
      <c r="R1237" s="20"/>
      <c r="S1237" s="20"/>
      <c r="T1237" s="22"/>
      <c r="U1237" s="22"/>
      <c r="V1237" s="20"/>
      <c r="W1237" s="20"/>
      <c r="X1237" s="20"/>
      <c r="Y1237" s="19"/>
      <c r="Z1237" s="19"/>
      <c r="AA1237" s="19"/>
      <c r="AB1237" s="23"/>
    </row>
    <row r="1238" spans="1:28" ht="15.75" customHeight="1" x14ac:dyDescent="0.2">
      <c r="A1238" s="34"/>
      <c r="B1238" s="34"/>
      <c r="C1238" s="34"/>
      <c r="D1238" s="34"/>
      <c r="E1238" s="19"/>
      <c r="F1238" s="19"/>
      <c r="G1238" s="19"/>
      <c r="H1238" s="19"/>
      <c r="I1238" s="19"/>
      <c r="J1238" s="19"/>
      <c r="K1238" s="19"/>
      <c r="L1238" s="19"/>
      <c r="M1238" s="19"/>
      <c r="N1238" s="19"/>
      <c r="O1238" s="19"/>
      <c r="P1238" s="19"/>
      <c r="Q1238" s="19"/>
      <c r="R1238" s="20"/>
      <c r="S1238" s="20"/>
      <c r="T1238" s="22"/>
      <c r="U1238" s="22"/>
      <c r="V1238" s="20"/>
      <c r="W1238" s="20"/>
      <c r="X1238" s="20"/>
      <c r="Y1238" s="19"/>
      <c r="Z1238" s="19"/>
      <c r="AA1238" s="19"/>
      <c r="AB1238" s="23"/>
    </row>
    <row r="1239" spans="1:28" ht="15.75" customHeight="1" x14ac:dyDescent="0.2">
      <c r="A1239" s="34"/>
      <c r="B1239" s="34"/>
      <c r="C1239" s="34"/>
      <c r="D1239" s="34"/>
      <c r="E1239" s="19"/>
      <c r="F1239" s="19"/>
      <c r="G1239" s="19"/>
      <c r="H1239" s="19"/>
      <c r="I1239" s="19"/>
      <c r="J1239" s="19"/>
      <c r="K1239" s="19"/>
      <c r="L1239" s="19"/>
      <c r="M1239" s="19"/>
      <c r="N1239" s="19"/>
      <c r="O1239" s="19"/>
      <c r="P1239" s="19"/>
      <c r="Q1239" s="19"/>
      <c r="R1239" s="20"/>
      <c r="S1239" s="20"/>
      <c r="T1239" s="22"/>
      <c r="U1239" s="22"/>
      <c r="V1239" s="20"/>
      <c r="W1239" s="20"/>
      <c r="X1239" s="20"/>
      <c r="Y1239" s="19"/>
      <c r="Z1239" s="19"/>
      <c r="AA1239" s="19"/>
      <c r="AB1239" s="23"/>
    </row>
    <row r="1240" spans="1:28" ht="15.75" customHeight="1" x14ac:dyDescent="0.2">
      <c r="A1240" s="34"/>
      <c r="B1240" s="34"/>
      <c r="C1240" s="34"/>
      <c r="D1240" s="34"/>
      <c r="E1240" s="19"/>
      <c r="F1240" s="19"/>
      <c r="G1240" s="19"/>
      <c r="H1240" s="19"/>
      <c r="I1240" s="19"/>
      <c r="J1240" s="19"/>
      <c r="K1240" s="19"/>
      <c r="L1240" s="19"/>
      <c r="M1240" s="19"/>
      <c r="N1240" s="19"/>
      <c r="O1240" s="19"/>
      <c r="P1240" s="19"/>
      <c r="Q1240" s="19"/>
      <c r="R1240" s="20"/>
      <c r="S1240" s="20"/>
      <c r="T1240" s="22"/>
      <c r="U1240" s="22"/>
      <c r="V1240" s="20"/>
      <c r="W1240" s="20"/>
      <c r="X1240" s="20"/>
      <c r="Y1240" s="19"/>
      <c r="Z1240" s="19"/>
      <c r="AA1240" s="19"/>
      <c r="AB1240" s="23"/>
    </row>
    <row r="1241" spans="1:28" ht="15.75" customHeight="1" x14ac:dyDescent="0.2">
      <c r="A1241" s="34"/>
      <c r="B1241" s="34"/>
      <c r="C1241" s="34"/>
      <c r="D1241" s="34"/>
      <c r="E1241" s="19"/>
      <c r="F1241" s="19"/>
      <c r="G1241" s="19"/>
      <c r="H1241" s="19"/>
      <c r="I1241" s="19"/>
      <c r="J1241" s="19"/>
      <c r="K1241" s="19"/>
      <c r="L1241" s="19"/>
      <c r="M1241" s="19"/>
      <c r="N1241" s="19"/>
      <c r="O1241" s="19"/>
      <c r="P1241" s="19"/>
      <c r="Q1241" s="19"/>
      <c r="R1241" s="20"/>
      <c r="S1241" s="20"/>
      <c r="T1241" s="22"/>
      <c r="U1241" s="22"/>
      <c r="V1241" s="20"/>
      <c r="W1241" s="20"/>
      <c r="X1241" s="20"/>
      <c r="Y1241" s="19"/>
      <c r="Z1241" s="19"/>
      <c r="AA1241" s="19"/>
      <c r="AB1241" s="23"/>
    </row>
    <row r="1242" spans="1:28" ht="15.75" customHeight="1" x14ac:dyDescent="0.2">
      <c r="A1242" s="34"/>
      <c r="B1242" s="34"/>
      <c r="C1242" s="34"/>
      <c r="D1242" s="34"/>
      <c r="E1242" s="19"/>
      <c r="F1242" s="19"/>
      <c r="G1242" s="19"/>
      <c r="H1242" s="19"/>
      <c r="I1242" s="19"/>
      <c r="J1242" s="19"/>
      <c r="K1242" s="19"/>
      <c r="L1242" s="19"/>
      <c r="M1242" s="19"/>
      <c r="N1242" s="19"/>
      <c r="O1242" s="19"/>
      <c r="P1242" s="19"/>
      <c r="Q1242" s="19"/>
      <c r="R1242" s="20"/>
      <c r="S1242" s="20"/>
      <c r="T1242" s="22"/>
      <c r="U1242" s="22"/>
      <c r="V1242" s="20"/>
      <c r="W1242" s="20"/>
      <c r="X1242" s="20"/>
      <c r="Y1242" s="19"/>
      <c r="Z1242" s="19"/>
      <c r="AA1242" s="19"/>
      <c r="AB1242" s="23"/>
    </row>
    <row r="1243" spans="1:28" ht="15.75" customHeight="1" x14ac:dyDescent="0.2">
      <c r="A1243" s="34"/>
      <c r="B1243" s="34"/>
      <c r="C1243" s="34"/>
      <c r="D1243" s="34"/>
      <c r="E1243" s="19"/>
      <c r="F1243" s="19"/>
      <c r="G1243" s="19"/>
      <c r="H1243" s="19"/>
      <c r="I1243" s="19"/>
      <c r="J1243" s="19"/>
      <c r="K1243" s="19"/>
      <c r="L1243" s="19"/>
      <c r="M1243" s="19"/>
      <c r="N1243" s="19"/>
      <c r="O1243" s="19"/>
      <c r="P1243" s="19"/>
      <c r="Q1243" s="19"/>
      <c r="R1243" s="20"/>
      <c r="S1243" s="20"/>
      <c r="T1243" s="22"/>
      <c r="U1243" s="22"/>
      <c r="V1243" s="20"/>
      <c r="W1243" s="20"/>
      <c r="X1243" s="20"/>
      <c r="Y1243" s="19"/>
      <c r="Z1243" s="19"/>
      <c r="AA1243" s="19"/>
      <c r="AB1243" s="23"/>
    </row>
    <row r="1244" spans="1:28" ht="15.75" customHeight="1" x14ac:dyDescent="0.2">
      <c r="A1244" s="34"/>
      <c r="B1244" s="34"/>
      <c r="C1244" s="34"/>
      <c r="D1244" s="34"/>
      <c r="E1244" s="19"/>
      <c r="F1244" s="19"/>
      <c r="G1244" s="19"/>
      <c r="H1244" s="19"/>
      <c r="I1244" s="19"/>
      <c r="J1244" s="19"/>
      <c r="K1244" s="19"/>
      <c r="L1244" s="19"/>
      <c r="M1244" s="19"/>
      <c r="N1244" s="19"/>
      <c r="O1244" s="19"/>
      <c r="P1244" s="19"/>
      <c r="Q1244" s="19"/>
      <c r="R1244" s="20"/>
      <c r="S1244" s="20"/>
      <c r="T1244" s="22"/>
      <c r="U1244" s="22"/>
      <c r="V1244" s="20"/>
      <c r="W1244" s="20"/>
      <c r="X1244" s="20"/>
      <c r="Y1244" s="19"/>
      <c r="Z1244" s="19"/>
      <c r="AA1244" s="19"/>
      <c r="AB1244" s="23"/>
    </row>
    <row r="1245" spans="1:28" ht="15.75" customHeight="1" x14ac:dyDescent="0.2">
      <c r="A1245" s="34"/>
      <c r="B1245" s="34"/>
      <c r="C1245" s="34"/>
      <c r="D1245" s="34"/>
      <c r="E1245" s="19"/>
      <c r="F1245" s="19"/>
      <c r="G1245" s="19"/>
      <c r="H1245" s="19"/>
      <c r="I1245" s="19"/>
      <c r="J1245" s="19"/>
      <c r="K1245" s="19"/>
      <c r="L1245" s="19"/>
      <c r="M1245" s="19"/>
      <c r="N1245" s="19"/>
      <c r="O1245" s="19"/>
      <c r="P1245" s="19"/>
      <c r="Q1245" s="19"/>
      <c r="R1245" s="20"/>
      <c r="S1245" s="20"/>
      <c r="T1245" s="22"/>
      <c r="U1245" s="22"/>
      <c r="V1245" s="20"/>
      <c r="W1245" s="20"/>
      <c r="X1245" s="20"/>
      <c r="Y1245" s="19"/>
      <c r="Z1245" s="19"/>
      <c r="AA1245" s="19"/>
      <c r="AB1245" s="23"/>
    </row>
    <row r="1246" spans="1:28" ht="15.75" customHeight="1" x14ac:dyDescent="0.2">
      <c r="A1246" s="34"/>
      <c r="B1246" s="34"/>
      <c r="C1246" s="34"/>
      <c r="D1246" s="34"/>
      <c r="E1246" s="19"/>
      <c r="F1246" s="19"/>
      <c r="G1246" s="19"/>
      <c r="H1246" s="19"/>
      <c r="I1246" s="19"/>
      <c r="J1246" s="19"/>
      <c r="K1246" s="19"/>
      <c r="L1246" s="19"/>
      <c r="M1246" s="19"/>
      <c r="N1246" s="19"/>
      <c r="O1246" s="19"/>
      <c r="P1246" s="19"/>
      <c r="Q1246" s="19"/>
      <c r="R1246" s="20"/>
      <c r="S1246" s="20"/>
      <c r="T1246" s="22"/>
      <c r="U1246" s="22"/>
      <c r="V1246" s="20"/>
      <c r="W1246" s="20"/>
      <c r="X1246" s="20"/>
      <c r="Y1246" s="19"/>
      <c r="Z1246" s="19"/>
      <c r="AA1246" s="19"/>
      <c r="AB1246" s="23"/>
    </row>
    <row r="1247" spans="1:28" ht="15.75" customHeight="1" x14ac:dyDescent="0.2">
      <c r="A1247" s="34"/>
      <c r="B1247" s="34"/>
      <c r="C1247" s="34"/>
      <c r="D1247" s="34"/>
      <c r="E1247" s="19"/>
      <c r="F1247" s="19"/>
      <c r="G1247" s="19"/>
      <c r="H1247" s="19"/>
      <c r="I1247" s="19"/>
      <c r="J1247" s="19"/>
      <c r="K1247" s="19"/>
      <c r="L1247" s="19"/>
      <c r="M1247" s="19"/>
      <c r="N1247" s="19"/>
      <c r="O1247" s="19"/>
      <c r="P1247" s="19"/>
      <c r="Q1247" s="19"/>
      <c r="R1247" s="20"/>
      <c r="S1247" s="20"/>
      <c r="T1247" s="22"/>
      <c r="U1247" s="22"/>
      <c r="V1247" s="20"/>
      <c r="W1247" s="20"/>
      <c r="X1247" s="20"/>
      <c r="Y1247" s="19"/>
      <c r="Z1247" s="19"/>
      <c r="AA1247" s="19"/>
      <c r="AB1247" s="23"/>
    </row>
    <row r="1248" spans="1:28" ht="15.75" customHeight="1" x14ac:dyDescent="0.2">
      <c r="A1248" s="34"/>
      <c r="B1248" s="34"/>
      <c r="C1248" s="34"/>
      <c r="D1248" s="34"/>
      <c r="E1248" s="19"/>
      <c r="F1248" s="19"/>
      <c r="G1248" s="19"/>
      <c r="H1248" s="19"/>
      <c r="I1248" s="19"/>
      <c r="J1248" s="19"/>
      <c r="K1248" s="19"/>
      <c r="L1248" s="19"/>
      <c r="M1248" s="19"/>
      <c r="N1248" s="19"/>
      <c r="O1248" s="19"/>
      <c r="P1248" s="19"/>
      <c r="Q1248" s="19"/>
      <c r="R1248" s="20"/>
      <c r="S1248" s="20"/>
      <c r="T1248" s="22"/>
      <c r="U1248" s="22"/>
      <c r="V1248" s="20"/>
      <c r="W1248" s="20"/>
      <c r="X1248" s="20"/>
      <c r="Y1248" s="19"/>
      <c r="Z1248" s="19"/>
      <c r="AA1248" s="19"/>
      <c r="AB1248" s="23"/>
    </row>
    <row r="1249" spans="1:28" ht="15.75" customHeight="1" x14ac:dyDescent="0.2">
      <c r="A1249" s="34"/>
      <c r="B1249" s="34"/>
      <c r="C1249" s="34"/>
      <c r="D1249" s="34"/>
      <c r="E1249" s="19"/>
      <c r="F1249" s="19"/>
      <c r="G1249" s="19"/>
      <c r="H1249" s="19"/>
      <c r="I1249" s="19"/>
      <c r="J1249" s="19"/>
      <c r="K1249" s="19"/>
      <c r="L1249" s="19"/>
      <c r="M1249" s="19"/>
      <c r="N1249" s="19"/>
      <c r="O1249" s="19"/>
      <c r="P1249" s="19"/>
      <c r="Q1249" s="19"/>
      <c r="R1249" s="20"/>
      <c r="S1249" s="20"/>
      <c r="T1249" s="22"/>
      <c r="U1249" s="22"/>
      <c r="V1249" s="20"/>
      <c r="W1249" s="20"/>
      <c r="X1249" s="20"/>
      <c r="Y1249" s="19"/>
      <c r="Z1249" s="19"/>
      <c r="AA1249" s="19"/>
      <c r="AB1249" s="23"/>
    </row>
    <row r="1250" spans="1:28" ht="15.75" customHeight="1" x14ac:dyDescent="0.2">
      <c r="A1250" s="34"/>
      <c r="B1250" s="34"/>
      <c r="C1250" s="34"/>
      <c r="D1250" s="34"/>
      <c r="E1250" s="19"/>
      <c r="F1250" s="19"/>
      <c r="G1250" s="19"/>
      <c r="H1250" s="19"/>
      <c r="I1250" s="19"/>
      <c r="J1250" s="19"/>
      <c r="K1250" s="19"/>
      <c r="L1250" s="19"/>
      <c r="M1250" s="19"/>
      <c r="N1250" s="19"/>
      <c r="O1250" s="19"/>
      <c r="P1250" s="19"/>
      <c r="Q1250" s="19"/>
      <c r="R1250" s="20"/>
      <c r="S1250" s="20"/>
      <c r="T1250" s="22"/>
      <c r="U1250" s="22"/>
      <c r="V1250" s="20"/>
      <c r="W1250" s="20"/>
      <c r="X1250" s="20"/>
      <c r="Y1250" s="19"/>
      <c r="Z1250" s="19"/>
      <c r="AA1250" s="19"/>
      <c r="AB1250" s="23"/>
    </row>
    <row r="1251" spans="1:28" ht="15.75" customHeight="1" x14ac:dyDescent="0.2">
      <c r="A1251" s="34"/>
      <c r="B1251" s="34"/>
      <c r="C1251" s="34"/>
      <c r="D1251" s="34"/>
      <c r="E1251" s="19"/>
      <c r="F1251" s="19"/>
      <c r="G1251" s="19"/>
      <c r="H1251" s="19"/>
      <c r="I1251" s="19"/>
      <c r="J1251" s="19"/>
      <c r="K1251" s="19"/>
      <c r="L1251" s="19"/>
      <c r="M1251" s="19"/>
      <c r="N1251" s="19"/>
      <c r="O1251" s="19"/>
      <c r="P1251" s="19"/>
      <c r="Q1251" s="19"/>
      <c r="R1251" s="20"/>
      <c r="S1251" s="20"/>
      <c r="T1251" s="22"/>
      <c r="U1251" s="22"/>
      <c r="V1251" s="20"/>
      <c r="W1251" s="20"/>
      <c r="X1251" s="20"/>
      <c r="Y1251" s="19"/>
      <c r="Z1251" s="19"/>
      <c r="AA1251" s="19"/>
      <c r="AB1251" s="23"/>
    </row>
    <row r="1252" spans="1:28" ht="15.75" customHeight="1" x14ac:dyDescent="0.2">
      <c r="A1252" s="34"/>
      <c r="B1252" s="34"/>
      <c r="C1252" s="34"/>
      <c r="D1252" s="34"/>
      <c r="E1252" s="19"/>
      <c r="F1252" s="19"/>
      <c r="G1252" s="19"/>
      <c r="H1252" s="19"/>
      <c r="I1252" s="19"/>
      <c r="J1252" s="19"/>
      <c r="K1252" s="19"/>
      <c r="L1252" s="19"/>
      <c r="M1252" s="19"/>
      <c r="N1252" s="19"/>
      <c r="O1252" s="19"/>
      <c r="P1252" s="19"/>
      <c r="Q1252" s="19"/>
      <c r="R1252" s="20"/>
      <c r="S1252" s="20"/>
      <c r="T1252" s="22"/>
      <c r="U1252" s="22"/>
      <c r="V1252" s="20"/>
      <c r="W1252" s="20"/>
      <c r="X1252" s="20"/>
      <c r="Y1252" s="19"/>
      <c r="Z1252" s="19"/>
      <c r="AA1252" s="19"/>
      <c r="AB1252" s="23"/>
    </row>
    <row r="1253" spans="1:28" ht="15.75" customHeight="1" x14ac:dyDescent="0.2">
      <c r="A1253" s="34"/>
      <c r="B1253" s="34"/>
      <c r="C1253" s="34"/>
      <c r="D1253" s="34"/>
      <c r="E1253" s="19"/>
      <c r="F1253" s="19"/>
      <c r="G1253" s="19"/>
      <c r="H1253" s="19"/>
      <c r="I1253" s="19"/>
      <c r="J1253" s="19"/>
      <c r="K1253" s="19"/>
      <c r="L1253" s="19"/>
      <c r="M1253" s="19"/>
      <c r="N1253" s="19"/>
      <c r="O1253" s="19"/>
      <c r="P1253" s="19"/>
      <c r="Q1253" s="19"/>
      <c r="R1253" s="20"/>
      <c r="S1253" s="20"/>
      <c r="T1253" s="22"/>
      <c r="U1253" s="22"/>
      <c r="V1253" s="20"/>
      <c r="W1253" s="20"/>
      <c r="X1253" s="20"/>
      <c r="Y1253" s="19"/>
      <c r="Z1253" s="19"/>
      <c r="AA1253" s="19"/>
      <c r="AB1253" s="23"/>
    </row>
    <row r="1254" spans="1:28" ht="15.75" customHeight="1" x14ac:dyDescent="0.2">
      <c r="A1254" s="34"/>
      <c r="B1254" s="34"/>
      <c r="C1254" s="34"/>
      <c r="D1254" s="34"/>
      <c r="E1254" s="19"/>
      <c r="F1254" s="19"/>
      <c r="G1254" s="19"/>
      <c r="H1254" s="19"/>
      <c r="I1254" s="19"/>
      <c r="J1254" s="19"/>
      <c r="K1254" s="19"/>
      <c r="L1254" s="19"/>
      <c r="M1254" s="19"/>
      <c r="N1254" s="19"/>
      <c r="O1254" s="19"/>
      <c r="P1254" s="19"/>
      <c r="Q1254" s="19"/>
      <c r="R1254" s="20"/>
      <c r="S1254" s="20"/>
      <c r="T1254" s="22"/>
      <c r="U1254" s="22"/>
      <c r="V1254" s="20"/>
      <c r="W1254" s="20"/>
      <c r="X1254" s="20"/>
      <c r="Y1254" s="19"/>
      <c r="Z1254" s="19"/>
      <c r="AA1254" s="19"/>
      <c r="AB1254" s="23"/>
    </row>
    <row r="1255" spans="1:28" ht="15.75" customHeight="1" x14ac:dyDescent="0.2">
      <c r="A1255" s="34"/>
      <c r="B1255" s="34"/>
      <c r="C1255" s="34"/>
      <c r="D1255" s="34"/>
      <c r="E1255" s="19"/>
      <c r="F1255" s="19"/>
      <c r="G1255" s="19"/>
      <c r="H1255" s="19"/>
      <c r="I1255" s="19"/>
      <c r="J1255" s="19"/>
      <c r="K1255" s="19"/>
      <c r="L1255" s="19"/>
      <c r="M1255" s="19"/>
      <c r="N1255" s="19"/>
      <c r="O1255" s="19"/>
      <c r="P1255" s="19"/>
      <c r="Q1255" s="19"/>
      <c r="R1255" s="20"/>
      <c r="S1255" s="20"/>
      <c r="T1255" s="22"/>
      <c r="U1255" s="22"/>
      <c r="V1255" s="20"/>
      <c r="W1255" s="20"/>
      <c r="X1255" s="20"/>
      <c r="Y1255" s="19"/>
      <c r="Z1255" s="19"/>
      <c r="AA1255" s="19"/>
      <c r="AB1255" s="23"/>
    </row>
    <row r="1256" spans="1:28" ht="15.75" customHeight="1" x14ac:dyDescent="0.2">
      <c r="A1256" s="34"/>
      <c r="B1256" s="34"/>
      <c r="C1256" s="34"/>
      <c r="D1256" s="34"/>
      <c r="E1256" s="19"/>
      <c r="F1256" s="19"/>
      <c r="G1256" s="19"/>
      <c r="H1256" s="19"/>
      <c r="I1256" s="19"/>
      <c r="J1256" s="19"/>
      <c r="K1256" s="19"/>
      <c r="L1256" s="19"/>
      <c r="M1256" s="19"/>
      <c r="N1256" s="19"/>
      <c r="O1256" s="19"/>
      <c r="P1256" s="19"/>
      <c r="Q1256" s="19"/>
      <c r="R1256" s="20"/>
      <c r="S1256" s="20"/>
      <c r="T1256" s="22"/>
      <c r="U1256" s="22"/>
      <c r="V1256" s="20"/>
      <c r="W1256" s="20"/>
      <c r="X1256" s="20"/>
      <c r="Y1256" s="19"/>
      <c r="Z1256" s="19"/>
      <c r="AA1256" s="19"/>
      <c r="AB1256" s="23"/>
    </row>
    <row r="1257" spans="1:28" ht="15.75" customHeight="1" x14ac:dyDescent="0.2">
      <c r="A1257" s="34"/>
      <c r="B1257" s="34"/>
      <c r="C1257" s="34"/>
      <c r="D1257" s="34"/>
      <c r="E1257" s="19"/>
      <c r="F1257" s="19"/>
      <c r="G1257" s="19"/>
      <c r="H1257" s="19"/>
      <c r="I1257" s="19"/>
      <c r="J1257" s="19"/>
      <c r="K1257" s="19"/>
      <c r="L1257" s="19"/>
      <c r="M1257" s="19"/>
      <c r="N1257" s="19"/>
      <c r="O1257" s="19"/>
      <c r="P1257" s="19"/>
      <c r="Q1257" s="19"/>
      <c r="R1257" s="20"/>
      <c r="S1257" s="20"/>
      <c r="T1257" s="22"/>
      <c r="U1257" s="22"/>
      <c r="V1257" s="20"/>
      <c r="W1257" s="20"/>
      <c r="X1257" s="20"/>
      <c r="Y1257" s="19"/>
      <c r="Z1257" s="19"/>
      <c r="AA1257" s="19"/>
      <c r="AB1257" s="23"/>
    </row>
    <row r="1258" spans="1:28" ht="15.75" customHeight="1" x14ac:dyDescent="0.2">
      <c r="A1258" s="34"/>
      <c r="B1258" s="34"/>
      <c r="C1258" s="34"/>
      <c r="D1258" s="34"/>
      <c r="E1258" s="19"/>
      <c r="F1258" s="19"/>
      <c r="G1258" s="19"/>
      <c r="H1258" s="19"/>
      <c r="I1258" s="19"/>
      <c r="J1258" s="19"/>
      <c r="K1258" s="19"/>
      <c r="L1258" s="19"/>
      <c r="M1258" s="19"/>
      <c r="N1258" s="19"/>
      <c r="O1258" s="19"/>
      <c r="P1258" s="19"/>
      <c r="Q1258" s="19"/>
      <c r="R1258" s="20"/>
      <c r="S1258" s="20"/>
      <c r="T1258" s="22"/>
      <c r="U1258" s="22"/>
      <c r="V1258" s="20"/>
      <c r="W1258" s="20"/>
      <c r="X1258" s="20"/>
      <c r="Y1258" s="19"/>
      <c r="Z1258" s="19"/>
      <c r="AA1258" s="19"/>
      <c r="AB1258" s="23"/>
    </row>
    <row r="1259" spans="1:28" ht="15.75" customHeight="1" x14ac:dyDescent="0.2">
      <c r="A1259" s="34"/>
      <c r="B1259" s="34"/>
      <c r="C1259" s="34"/>
      <c r="D1259" s="34"/>
      <c r="E1259" s="19"/>
      <c r="F1259" s="19"/>
      <c r="G1259" s="19"/>
      <c r="H1259" s="19"/>
      <c r="I1259" s="19"/>
      <c r="J1259" s="19"/>
      <c r="K1259" s="19"/>
      <c r="L1259" s="19"/>
      <c r="M1259" s="19"/>
      <c r="N1259" s="19"/>
      <c r="O1259" s="19"/>
      <c r="P1259" s="19"/>
      <c r="Q1259" s="19"/>
      <c r="R1259" s="20"/>
      <c r="S1259" s="20"/>
      <c r="T1259" s="22"/>
      <c r="U1259" s="22"/>
      <c r="V1259" s="20"/>
      <c r="W1259" s="20"/>
      <c r="X1259" s="20"/>
      <c r="Y1259" s="19"/>
      <c r="Z1259" s="19"/>
      <c r="AA1259" s="19"/>
      <c r="AB1259" s="23"/>
    </row>
    <row r="1260" spans="1:28" ht="15.75" customHeight="1" x14ac:dyDescent="0.2">
      <c r="A1260" s="34"/>
      <c r="B1260" s="34"/>
      <c r="C1260" s="34"/>
      <c r="D1260" s="34"/>
      <c r="E1260" s="19"/>
      <c r="F1260" s="19"/>
      <c r="G1260" s="19"/>
      <c r="H1260" s="19"/>
      <c r="I1260" s="19"/>
      <c r="J1260" s="19"/>
      <c r="K1260" s="19"/>
      <c r="L1260" s="19"/>
      <c r="M1260" s="19"/>
      <c r="N1260" s="19"/>
      <c r="O1260" s="19"/>
      <c r="P1260" s="19"/>
      <c r="Q1260" s="19"/>
      <c r="R1260" s="20"/>
      <c r="S1260" s="20"/>
      <c r="T1260" s="22"/>
      <c r="U1260" s="22"/>
      <c r="V1260" s="20"/>
      <c r="W1260" s="20"/>
      <c r="X1260" s="20"/>
      <c r="Y1260" s="19"/>
      <c r="Z1260" s="19"/>
      <c r="AA1260" s="19"/>
      <c r="AB1260" s="23"/>
    </row>
    <row r="1261" spans="1:28" ht="15.75" customHeight="1" x14ac:dyDescent="0.2">
      <c r="A1261" s="34"/>
      <c r="B1261" s="34"/>
      <c r="C1261" s="34"/>
      <c r="D1261" s="34"/>
      <c r="E1261" s="19"/>
      <c r="F1261" s="19"/>
      <c r="G1261" s="19"/>
      <c r="H1261" s="19"/>
      <c r="I1261" s="19"/>
      <c r="J1261" s="19"/>
      <c r="K1261" s="19"/>
      <c r="L1261" s="19"/>
      <c r="M1261" s="19"/>
      <c r="N1261" s="19"/>
      <c r="O1261" s="19"/>
      <c r="P1261" s="19"/>
      <c r="Q1261" s="19"/>
      <c r="R1261" s="20"/>
      <c r="S1261" s="20"/>
      <c r="T1261" s="22"/>
      <c r="U1261" s="22"/>
      <c r="V1261" s="20"/>
      <c r="W1261" s="20"/>
      <c r="X1261" s="20"/>
      <c r="Y1261" s="19"/>
      <c r="Z1261" s="19"/>
      <c r="AA1261" s="19"/>
      <c r="AB1261" s="23"/>
    </row>
    <row r="1262" spans="1:28" ht="15.75" customHeight="1" x14ac:dyDescent="0.2">
      <c r="A1262" s="34"/>
      <c r="B1262" s="34"/>
      <c r="C1262" s="34"/>
      <c r="D1262" s="34"/>
      <c r="E1262" s="19"/>
      <c r="F1262" s="19"/>
      <c r="G1262" s="19"/>
      <c r="H1262" s="19"/>
      <c r="I1262" s="19"/>
      <c r="J1262" s="19"/>
      <c r="K1262" s="19"/>
      <c r="L1262" s="19"/>
      <c r="M1262" s="19"/>
      <c r="N1262" s="19"/>
      <c r="O1262" s="19"/>
      <c r="P1262" s="19"/>
      <c r="Q1262" s="19"/>
      <c r="R1262" s="20"/>
      <c r="S1262" s="20"/>
      <c r="T1262" s="22"/>
      <c r="U1262" s="22"/>
      <c r="V1262" s="20"/>
      <c r="W1262" s="20"/>
      <c r="X1262" s="20"/>
      <c r="Y1262" s="19"/>
      <c r="Z1262" s="19"/>
      <c r="AA1262" s="19"/>
      <c r="AB1262" s="23"/>
    </row>
    <row r="1263" spans="1:28" ht="15.75" customHeight="1" x14ac:dyDescent="0.2">
      <c r="A1263" s="34"/>
      <c r="B1263" s="34"/>
      <c r="C1263" s="34"/>
      <c r="D1263" s="34"/>
      <c r="E1263" s="19"/>
      <c r="F1263" s="19"/>
      <c r="G1263" s="19"/>
      <c r="H1263" s="19"/>
      <c r="I1263" s="19"/>
      <c r="J1263" s="19"/>
      <c r="K1263" s="19"/>
      <c r="L1263" s="19"/>
      <c r="M1263" s="19"/>
      <c r="N1263" s="19"/>
      <c r="O1263" s="19"/>
      <c r="P1263" s="19"/>
      <c r="Q1263" s="19"/>
      <c r="R1263" s="20"/>
      <c r="S1263" s="20"/>
      <c r="T1263" s="22"/>
      <c r="U1263" s="22"/>
      <c r="V1263" s="20"/>
      <c r="W1263" s="20"/>
      <c r="X1263" s="20"/>
      <c r="Y1263" s="19"/>
      <c r="Z1263" s="19"/>
      <c r="AA1263" s="19"/>
      <c r="AB1263" s="23"/>
    </row>
    <row r="1264" spans="1:28" ht="15.75" customHeight="1" x14ac:dyDescent="0.2">
      <c r="A1264" s="34"/>
      <c r="B1264" s="34"/>
      <c r="C1264" s="34"/>
      <c r="D1264" s="34"/>
      <c r="E1264" s="19"/>
      <c r="F1264" s="19"/>
      <c r="G1264" s="19"/>
      <c r="H1264" s="19"/>
      <c r="I1264" s="19"/>
      <c r="J1264" s="19"/>
      <c r="K1264" s="19"/>
      <c r="L1264" s="19"/>
      <c r="M1264" s="19"/>
      <c r="N1264" s="19"/>
      <c r="O1264" s="19"/>
      <c r="P1264" s="19"/>
      <c r="Q1264" s="19"/>
      <c r="R1264" s="20"/>
      <c r="S1264" s="20"/>
      <c r="T1264" s="22"/>
      <c r="U1264" s="22"/>
      <c r="V1264" s="20"/>
      <c r="W1264" s="20"/>
      <c r="X1264" s="20"/>
      <c r="Y1264" s="19"/>
      <c r="Z1264" s="19"/>
      <c r="AA1264" s="19"/>
      <c r="AB1264" s="23"/>
    </row>
    <row r="1265" spans="1:28" ht="15.75" customHeight="1" x14ac:dyDescent="0.2">
      <c r="A1265" s="34"/>
      <c r="B1265" s="34"/>
      <c r="C1265" s="34"/>
      <c r="D1265" s="34"/>
      <c r="E1265" s="19"/>
      <c r="F1265" s="19"/>
      <c r="G1265" s="19"/>
      <c r="H1265" s="19"/>
      <c r="I1265" s="19"/>
      <c r="J1265" s="19"/>
      <c r="K1265" s="19"/>
      <c r="L1265" s="19"/>
      <c r="M1265" s="19"/>
      <c r="N1265" s="19"/>
      <c r="O1265" s="19"/>
      <c r="P1265" s="19"/>
      <c r="Q1265" s="19"/>
      <c r="R1265" s="20"/>
      <c r="S1265" s="20"/>
      <c r="T1265" s="22"/>
      <c r="U1265" s="22"/>
      <c r="V1265" s="20"/>
      <c r="W1265" s="20"/>
      <c r="X1265" s="20"/>
      <c r="Y1265" s="19"/>
      <c r="Z1265" s="19"/>
      <c r="AA1265" s="19"/>
      <c r="AB1265" s="23"/>
    </row>
    <row r="1266" spans="1:28" ht="15.75" customHeight="1" x14ac:dyDescent="0.2">
      <c r="A1266" s="34"/>
      <c r="B1266" s="34"/>
      <c r="C1266" s="34"/>
      <c r="D1266" s="34"/>
      <c r="E1266" s="19"/>
      <c r="F1266" s="19"/>
      <c r="G1266" s="19"/>
      <c r="H1266" s="19"/>
      <c r="I1266" s="19"/>
      <c r="J1266" s="19"/>
      <c r="K1266" s="19"/>
      <c r="L1266" s="19"/>
      <c r="M1266" s="19"/>
      <c r="N1266" s="19"/>
      <c r="O1266" s="19"/>
      <c r="P1266" s="19"/>
      <c r="Q1266" s="19"/>
      <c r="R1266" s="20"/>
      <c r="S1266" s="20"/>
      <c r="T1266" s="22"/>
      <c r="U1266" s="22"/>
      <c r="V1266" s="20"/>
      <c r="W1266" s="20"/>
      <c r="X1266" s="20"/>
      <c r="Y1266" s="19"/>
      <c r="Z1266" s="19"/>
      <c r="AA1266" s="19"/>
      <c r="AB1266" s="23"/>
    </row>
    <row r="1267" spans="1:28" ht="15.75" customHeight="1" x14ac:dyDescent="0.2">
      <c r="A1267" s="34"/>
      <c r="B1267" s="34"/>
      <c r="C1267" s="34"/>
      <c r="D1267" s="34"/>
      <c r="E1267" s="19"/>
      <c r="F1267" s="19"/>
      <c r="G1267" s="19"/>
      <c r="H1267" s="19"/>
      <c r="I1267" s="19"/>
      <c r="J1267" s="19"/>
      <c r="K1267" s="19"/>
      <c r="L1267" s="19"/>
      <c r="M1267" s="19"/>
      <c r="N1267" s="19"/>
      <c r="O1267" s="19"/>
      <c r="P1267" s="19"/>
      <c r="Q1267" s="19"/>
      <c r="R1267" s="20"/>
      <c r="S1267" s="20"/>
      <c r="T1267" s="22"/>
      <c r="U1267" s="22"/>
      <c r="V1267" s="20"/>
      <c r="W1267" s="20"/>
      <c r="X1267" s="20"/>
      <c r="Y1267" s="19"/>
      <c r="Z1267" s="19"/>
      <c r="AA1267" s="19"/>
      <c r="AB1267" s="23"/>
    </row>
    <row r="1268" spans="1:28" ht="15.75" customHeight="1" x14ac:dyDescent="0.2">
      <c r="A1268" s="34"/>
      <c r="B1268" s="34"/>
      <c r="C1268" s="34"/>
      <c r="D1268" s="34"/>
      <c r="E1268" s="19"/>
      <c r="F1268" s="19"/>
      <c r="G1268" s="19"/>
      <c r="H1268" s="19"/>
      <c r="I1268" s="19"/>
      <c r="J1268" s="19"/>
      <c r="K1268" s="19"/>
      <c r="L1268" s="19"/>
      <c r="M1268" s="19"/>
      <c r="N1268" s="19"/>
      <c r="O1268" s="19"/>
      <c r="P1268" s="19"/>
      <c r="Q1268" s="19"/>
      <c r="R1268" s="20"/>
      <c r="S1268" s="20"/>
      <c r="T1268" s="22"/>
      <c r="U1268" s="22"/>
      <c r="V1268" s="20"/>
      <c r="W1268" s="20"/>
      <c r="X1268" s="20"/>
      <c r="Y1268" s="19"/>
      <c r="Z1268" s="19"/>
      <c r="AA1268" s="19"/>
      <c r="AB1268" s="23"/>
    </row>
    <row r="1269" spans="1:28" ht="15.75" customHeight="1" x14ac:dyDescent="0.2">
      <c r="A1269" s="34"/>
      <c r="B1269" s="34"/>
      <c r="C1269" s="34"/>
      <c r="D1269" s="34"/>
      <c r="E1269" s="19"/>
      <c r="F1269" s="19"/>
      <c r="G1269" s="19"/>
      <c r="H1269" s="19"/>
      <c r="I1269" s="19"/>
      <c r="J1269" s="19"/>
      <c r="K1269" s="19"/>
      <c r="L1269" s="19"/>
      <c r="M1269" s="19"/>
      <c r="N1269" s="19"/>
      <c r="O1269" s="19"/>
      <c r="P1269" s="19"/>
      <c r="Q1269" s="19"/>
      <c r="R1269" s="20"/>
      <c r="S1269" s="20"/>
      <c r="T1269" s="22"/>
      <c r="U1269" s="22"/>
      <c r="V1269" s="20"/>
      <c r="W1269" s="20"/>
      <c r="X1269" s="20"/>
      <c r="Y1269" s="19"/>
      <c r="Z1269" s="19"/>
      <c r="AA1269" s="19"/>
      <c r="AB1269" s="23"/>
    </row>
    <row r="1270" spans="1:28" ht="15.75" customHeight="1" x14ac:dyDescent="0.2">
      <c r="A1270" s="34"/>
      <c r="B1270" s="34"/>
      <c r="C1270" s="34"/>
      <c r="D1270" s="34"/>
      <c r="E1270" s="19"/>
      <c r="F1270" s="19"/>
      <c r="G1270" s="19"/>
      <c r="H1270" s="19"/>
      <c r="I1270" s="19"/>
      <c r="J1270" s="19"/>
      <c r="K1270" s="19"/>
      <c r="L1270" s="19"/>
      <c r="M1270" s="19"/>
      <c r="N1270" s="19"/>
      <c r="O1270" s="19"/>
      <c r="P1270" s="19"/>
      <c r="Q1270" s="19"/>
      <c r="R1270" s="20"/>
      <c r="S1270" s="20"/>
      <c r="T1270" s="22"/>
      <c r="U1270" s="22"/>
      <c r="V1270" s="20"/>
      <c r="W1270" s="20"/>
      <c r="X1270" s="20"/>
      <c r="Y1270" s="19"/>
      <c r="Z1270" s="19"/>
      <c r="AA1270" s="19"/>
      <c r="AB1270" s="23"/>
    </row>
    <row r="1271" spans="1:28" ht="15.75" customHeight="1" x14ac:dyDescent="0.2">
      <c r="A1271" s="34"/>
      <c r="B1271" s="34"/>
      <c r="C1271" s="34"/>
      <c r="D1271" s="34"/>
      <c r="E1271" s="19"/>
      <c r="F1271" s="19"/>
      <c r="G1271" s="19"/>
      <c r="H1271" s="19"/>
      <c r="I1271" s="19"/>
      <c r="J1271" s="19"/>
      <c r="K1271" s="19"/>
      <c r="L1271" s="19"/>
      <c r="M1271" s="19"/>
      <c r="N1271" s="19"/>
      <c r="O1271" s="19"/>
      <c r="P1271" s="19"/>
      <c r="Q1271" s="19"/>
      <c r="R1271" s="20"/>
      <c r="S1271" s="20"/>
      <c r="T1271" s="22"/>
      <c r="U1271" s="22"/>
      <c r="V1271" s="20"/>
      <c r="W1271" s="20"/>
      <c r="X1271" s="20"/>
      <c r="Y1271" s="19"/>
      <c r="Z1271" s="19"/>
      <c r="AA1271" s="19"/>
      <c r="AB1271" s="23"/>
    </row>
    <row r="1272" spans="1:28" ht="15.75" customHeight="1" x14ac:dyDescent="0.2">
      <c r="A1272" s="34"/>
      <c r="B1272" s="34"/>
      <c r="C1272" s="34"/>
      <c r="D1272" s="34"/>
      <c r="E1272" s="19"/>
      <c r="F1272" s="19"/>
      <c r="G1272" s="19"/>
      <c r="H1272" s="19"/>
      <c r="I1272" s="19"/>
      <c r="J1272" s="19"/>
      <c r="K1272" s="19"/>
      <c r="L1272" s="19"/>
      <c r="M1272" s="19"/>
      <c r="N1272" s="19"/>
      <c r="O1272" s="19"/>
      <c r="P1272" s="19"/>
      <c r="Q1272" s="19"/>
      <c r="R1272" s="20"/>
      <c r="S1272" s="20"/>
      <c r="T1272" s="22"/>
      <c r="U1272" s="22"/>
      <c r="V1272" s="20"/>
      <c r="W1272" s="20"/>
      <c r="X1272" s="20"/>
      <c r="Y1272" s="19"/>
      <c r="Z1272" s="19"/>
      <c r="AA1272" s="19"/>
      <c r="AB1272" s="23"/>
    </row>
    <row r="1273" spans="1:28" ht="15.75" customHeight="1" x14ac:dyDescent="0.2">
      <c r="A1273" s="34"/>
      <c r="B1273" s="34"/>
      <c r="C1273" s="34"/>
      <c r="D1273" s="34"/>
      <c r="E1273" s="19"/>
      <c r="F1273" s="19"/>
      <c r="G1273" s="19"/>
      <c r="H1273" s="19"/>
      <c r="I1273" s="19"/>
      <c r="J1273" s="19"/>
      <c r="K1273" s="19"/>
      <c r="L1273" s="19"/>
      <c r="M1273" s="19"/>
      <c r="N1273" s="19"/>
      <c r="O1273" s="19"/>
      <c r="P1273" s="19"/>
      <c r="Q1273" s="19"/>
      <c r="R1273" s="20"/>
      <c r="S1273" s="20"/>
      <c r="T1273" s="22"/>
      <c r="U1273" s="22"/>
      <c r="V1273" s="20"/>
      <c r="W1273" s="20"/>
      <c r="X1273" s="20"/>
      <c r="Y1273" s="19"/>
      <c r="Z1273" s="19"/>
      <c r="AA1273" s="19"/>
      <c r="AB1273" s="23"/>
    </row>
    <row r="1274" spans="1:28" ht="15.75" customHeight="1" x14ac:dyDescent="0.2">
      <c r="A1274" s="34"/>
      <c r="B1274" s="34"/>
      <c r="C1274" s="34"/>
      <c r="D1274" s="34"/>
      <c r="E1274" s="19"/>
      <c r="F1274" s="19"/>
      <c r="G1274" s="19"/>
      <c r="H1274" s="19"/>
      <c r="I1274" s="19"/>
      <c r="J1274" s="19"/>
      <c r="K1274" s="19"/>
      <c r="L1274" s="19"/>
      <c r="M1274" s="19"/>
      <c r="N1274" s="19"/>
      <c r="O1274" s="19"/>
      <c r="P1274" s="19"/>
      <c r="Q1274" s="19"/>
      <c r="R1274" s="20"/>
      <c r="S1274" s="20"/>
      <c r="T1274" s="22"/>
      <c r="U1274" s="22"/>
      <c r="V1274" s="20"/>
      <c r="W1274" s="20"/>
      <c r="X1274" s="20"/>
      <c r="Y1274" s="19"/>
      <c r="Z1274" s="19"/>
      <c r="AA1274" s="19"/>
      <c r="AB1274" s="23"/>
    </row>
    <row r="1275" spans="1:28" ht="15.75" customHeight="1" x14ac:dyDescent="0.2">
      <c r="A1275" s="34"/>
      <c r="B1275" s="34"/>
      <c r="C1275" s="34"/>
      <c r="D1275" s="34"/>
      <c r="E1275" s="19"/>
      <c r="F1275" s="19"/>
      <c r="G1275" s="19"/>
      <c r="H1275" s="19"/>
      <c r="I1275" s="19"/>
      <c r="J1275" s="19"/>
      <c r="K1275" s="19"/>
      <c r="L1275" s="19"/>
      <c r="M1275" s="19"/>
      <c r="N1275" s="19"/>
      <c r="O1275" s="19"/>
      <c r="P1275" s="19"/>
      <c r="Q1275" s="19"/>
      <c r="R1275" s="20"/>
      <c r="S1275" s="20"/>
      <c r="T1275" s="22"/>
      <c r="U1275" s="22"/>
      <c r="V1275" s="20"/>
      <c r="W1275" s="20"/>
      <c r="X1275" s="20"/>
      <c r="Y1275" s="19"/>
      <c r="Z1275" s="19"/>
      <c r="AA1275" s="19"/>
      <c r="AB1275" s="23"/>
    </row>
    <row r="1276" spans="1:28" ht="15.75" customHeight="1" x14ac:dyDescent="0.2">
      <c r="A1276" s="34"/>
      <c r="B1276" s="34"/>
      <c r="C1276" s="34"/>
      <c r="D1276" s="34"/>
      <c r="E1276" s="19"/>
      <c r="F1276" s="19"/>
      <c r="G1276" s="19"/>
      <c r="H1276" s="19"/>
      <c r="I1276" s="19"/>
      <c r="J1276" s="19"/>
      <c r="K1276" s="19"/>
      <c r="L1276" s="19"/>
      <c r="M1276" s="19"/>
      <c r="N1276" s="19"/>
      <c r="O1276" s="19"/>
      <c r="P1276" s="19"/>
      <c r="Q1276" s="19"/>
      <c r="R1276" s="20"/>
      <c r="S1276" s="20"/>
      <c r="T1276" s="22"/>
      <c r="U1276" s="22"/>
      <c r="V1276" s="20"/>
      <c r="W1276" s="20"/>
      <c r="X1276" s="20"/>
      <c r="Y1276" s="19"/>
      <c r="Z1276" s="19"/>
      <c r="AA1276" s="19"/>
      <c r="AB1276" s="23"/>
    </row>
    <row r="1277" spans="1:28" ht="15.75" customHeight="1" x14ac:dyDescent="0.2">
      <c r="A1277" s="34"/>
      <c r="B1277" s="34"/>
      <c r="C1277" s="34"/>
      <c r="D1277" s="34"/>
      <c r="E1277" s="19"/>
      <c r="F1277" s="19"/>
      <c r="G1277" s="19"/>
      <c r="H1277" s="19"/>
      <c r="I1277" s="19"/>
      <c r="J1277" s="19"/>
      <c r="K1277" s="19"/>
      <c r="L1277" s="19"/>
      <c r="M1277" s="19"/>
      <c r="N1277" s="19"/>
      <c r="O1277" s="19"/>
      <c r="P1277" s="19"/>
      <c r="Q1277" s="19"/>
      <c r="R1277" s="20"/>
      <c r="S1277" s="20"/>
      <c r="T1277" s="22"/>
      <c r="U1277" s="22"/>
      <c r="V1277" s="20"/>
      <c r="W1277" s="20"/>
      <c r="X1277" s="20"/>
      <c r="Y1277" s="19"/>
      <c r="Z1277" s="19"/>
      <c r="AA1277" s="19"/>
      <c r="AB1277" s="23"/>
    </row>
    <row r="1278" spans="1:28" ht="15.75" customHeight="1" x14ac:dyDescent="0.2">
      <c r="A1278" s="34"/>
      <c r="B1278" s="34"/>
      <c r="C1278" s="34"/>
      <c r="D1278" s="34"/>
      <c r="E1278" s="19"/>
      <c r="F1278" s="19"/>
      <c r="G1278" s="19"/>
      <c r="H1278" s="19"/>
      <c r="I1278" s="19"/>
      <c r="J1278" s="19"/>
      <c r="K1278" s="19"/>
      <c r="L1278" s="19"/>
      <c r="M1278" s="19"/>
      <c r="N1278" s="19"/>
      <c r="O1278" s="19"/>
      <c r="P1278" s="19"/>
      <c r="Q1278" s="19"/>
      <c r="R1278" s="20"/>
      <c r="S1278" s="20"/>
      <c r="T1278" s="22"/>
      <c r="U1278" s="22"/>
      <c r="V1278" s="20"/>
      <c r="W1278" s="20"/>
      <c r="X1278" s="20"/>
      <c r="Y1278" s="19"/>
      <c r="Z1278" s="19"/>
      <c r="AA1278" s="19"/>
      <c r="AB1278" s="23"/>
    </row>
    <row r="1279" spans="1:28" ht="15.75" customHeight="1" x14ac:dyDescent="0.2">
      <c r="A1279" s="34"/>
      <c r="B1279" s="34"/>
      <c r="C1279" s="34"/>
      <c r="D1279" s="34"/>
      <c r="E1279" s="19"/>
      <c r="F1279" s="19"/>
      <c r="G1279" s="19"/>
      <c r="H1279" s="19"/>
      <c r="I1279" s="19"/>
      <c r="J1279" s="19"/>
      <c r="K1279" s="19"/>
      <c r="L1279" s="19"/>
      <c r="M1279" s="19"/>
      <c r="N1279" s="19"/>
      <c r="O1279" s="19"/>
      <c r="P1279" s="19"/>
      <c r="Q1279" s="19"/>
      <c r="R1279" s="20"/>
      <c r="S1279" s="20"/>
      <c r="T1279" s="22"/>
      <c r="U1279" s="22"/>
      <c r="V1279" s="20"/>
      <c r="W1279" s="20"/>
      <c r="X1279" s="20"/>
      <c r="Y1279" s="19"/>
      <c r="Z1279" s="19"/>
      <c r="AA1279" s="19"/>
      <c r="AB1279" s="23"/>
    </row>
    <row r="1280" spans="1:28" ht="15.75" customHeight="1" x14ac:dyDescent="0.2">
      <c r="A1280" s="34"/>
      <c r="B1280" s="34"/>
      <c r="C1280" s="34"/>
      <c r="D1280" s="34"/>
      <c r="E1280" s="19"/>
      <c r="F1280" s="19"/>
      <c r="G1280" s="19"/>
      <c r="H1280" s="19"/>
      <c r="I1280" s="19"/>
      <c r="J1280" s="19"/>
      <c r="K1280" s="19"/>
      <c r="L1280" s="19"/>
      <c r="M1280" s="19"/>
      <c r="N1280" s="19"/>
      <c r="O1280" s="19"/>
      <c r="P1280" s="19"/>
      <c r="Q1280" s="19"/>
      <c r="R1280" s="20"/>
      <c r="S1280" s="20"/>
      <c r="T1280" s="22"/>
      <c r="U1280" s="22"/>
      <c r="V1280" s="20"/>
      <c r="W1280" s="20"/>
      <c r="X1280" s="20"/>
      <c r="Y1280" s="19"/>
      <c r="Z1280" s="19"/>
      <c r="AA1280" s="19"/>
      <c r="AB1280" s="23"/>
    </row>
    <row r="1281" spans="1:28" ht="15.75" customHeight="1" x14ac:dyDescent="0.2">
      <c r="A1281" s="34"/>
      <c r="B1281" s="34"/>
      <c r="C1281" s="34"/>
      <c r="D1281" s="34"/>
      <c r="E1281" s="19"/>
      <c r="F1281" s="19"/>
      <c r="G1281" s="19"/>
      <c r="H1281" s="19"/>
      <c r="I1281" s="19"/>
      <c r="J1281" s="19"/>
      <c r="K1281" s="19"/>
      <c r="L1281" s="19"/>
      <c r="M1281" s="19"/>
      <c r="N1281" s="19"/>
      <c r="O1281" s="19"/>
      <c r="P1281" s="19"/>
      <c r="Q1281" s="19"/>
      <c r="R1281" s="20"/>
      <c r="S1281" s="20"/>
      <c r="T1281" s="22"/>
      <c r="U1281" s="22"/>
      <c r="V1281" s="20"/>
      <c r="W1281" s="20"/>
      <c r="X1281" s="20"/>
      <c r="Y1281" s="19"/>
      <c r="Z1281" s="19"/>
      <c r="AA1281" s="19"/>
      <c r="AB1281" s="23"/>
    </row>
    <row r="1282" spans="1:28" ht="15.75" customHeight="1" x14ac:dyDescent="0.2">
      <c r="A1282" s="34"/>
      <c r="B1282" s="34"/>
      <c r="C1282" s="34"/>
      <c r="D1282" s="34"/>
      <c r="E1282" s="19"/>
      <c r="F1282" s="19"/>
      <c r="G1282" s="19"/>
      <c r="H1282" s="19"/>
      <c r="I1282" s="19"/>
      <c r="J1282" s="19"/>
      <c r="K1282" s="19"/>
      <c r="L1282" s="19"/>
      <c r="M1282" s="19"/>
      <c r="N1282" s="19"/>
      <c r="O1282" s="19"/>
      <c r="P1282" s="19"/>
      <c r="Q1282" s="19"/>
      <c r="R1282" s="20"/>
      <c r="S1282" s="20"/>
      <c r="T1282" s="22"/>
      <c r="U1282" s="22"/>
      <c r="V1282" s="20"/>
      <c r="W1282" s="20"/>
      <c r="X1282" s="20"/>
      <c r="Y1282" s="19"/>
      <c r="Z1282" s="19"/>
      <c r="AA1282" s="19"/>
      <c r="AB1282" s="23"/>
    </row>
    <row r="1283" spans="1:28" ht="15.75" customHeight="1" x14ac:dyDescent="0.2">
      <c r="A1283" s="34"/>
      <c r="B1283" s="34"/>
      <c r="C1283" s="34"/>
      <c r="D1283" s="34"/>
      <c r="E1283" s="19"/>
      <c r="F1283" s="19"/>
      <c r="G1283" s="19"/>
      <c r="H1283" s="19"/>
      <c r="I1283" s="19"/>
      <c r="J1283" s="19"/>
      <c r="K1283" s="19"/>
      <c r="L1283" s="19"/>
      <c r="M1283" s="19"/>
      <c r="N1283" s="19"/>
      <c r="O1283" s="19"/>
      <c r="P1283" s="19"/>
      <c r="Q1283" s="19"/>
      <c r="R1283" s="20"/>
      <c r="S1283" s="20"/>
      <c r="T1283" s="22"/>
      <c r="U1283" s="22"/>
      <c r="V1283" s="20"/>
      <c r="W1283" s="20"/>
      <c r="X1283" s="20"/>
      <c r="Y1283" s="19"/>
      <c r="Z1283" s="19"/>
      <c r="AA1283" s="19"/>
      <c r="AB1283" s="23"/>
    </row>
    <row r="1284" spans="1:28" ht="15.75" customHeight="1" x14ac:dyDescent="0.2">
      <c r="A1284" s="34"/>
      <c r="B1284" s="34"/>
      <c r="C1284" s="34"/>
      <c r="D1284" s="34"/>
      <c r="E1284" s="19"/>
      <c r="F1284" s="19"/>
      <c r="G1284" s="19"/>
      <c r="H1284" s="19"/>
      <c r="I1284" s="19"/>
      <c r="J1284" s="19"/>
      <c r="K1284" s="19"/>
      <c r="L1284" s="19"/>
      <c r="M1284" s="19"/>
      <c r="N1284" s="19"/>
      <c r="O1284" s="19"/>
      <c r="P1284" s="19"/>
      <c r="Q1284" s="19"/>
      <c r="R1284" s="20"/>
      <c r="S1284" s="20"/>
      <c r="T1284" s="22"/>
      <c r="U1284" s="22"/>
      <c r="V1284" s="20"/>
      <c r="W1284" s="20"/>
      <c r="X1284" s="20"/>
      <c r="Y1284" s="19"/>
      <c r="Z1284" s="19"/>
      <c r="AA1284" s="19"/>
      <c r="AB1284" s="23"/>
    </row>
    <row r="1285" spans="1:28" ht="15.75" customHeight="1" x14ac:dyDescent="0.2">
      <c r="A1285" s="34"/>
      <c r="B1285" s="34"/>
      <c r="C1285" s="34"/>
      <c r="D1285" s="34"/>
      <c r="E1285" s="19"/>
      <c r="F1285" s="19"/>
      <c r="G1285" s="19"/>
      <c r="H1285" s="19"/>
      <c r="I1285" s="19"/>
      <c r="J1285" s="19"/>
      <c r="K1285" s="19"/>
      <c r="L1285" s="19"/>
      <c r="M1285" s="19"/>
      <c r="N1285" s="19"/>
      <c r="O1285" s="19"/>
      <c r="P1285" s="19"/>
      <c r="Q1285" s="19"/>
      <c r="R1285" s="20"/>
      <c r="S1285" s="20"/>
      <c r="T1285" s="22"/>
      <c r="U1285" s="22"/>
      <c r="V1285" s="20"/>
      <c r="W1285" s="20"/>
      <c r="X1285" s="20"/>
      <c r="Y1285" s="19"/>
      <c r="Z1285" s="19"/>
      <c r="AA1285" s="19"/>
      <c r="AB1285" s="23"/>
    </row>
    <row r="1286" spans="1:28" ht="15.75" customHeight="1" x14ac:dyDescent="0.2">
      <c r="A1286" s="34"/>
      <c r="B1286" s="34"/>
      <c r="C1286" s="34"/>
      <c r="D1286" s="34"/>
      <c r="E1286" s="19"/>
      <c r="F1286" s="19"/>
      <c r="G1286" s="19"/>
      <c r="H1286" s="19"/>
      <c r="I1286" s="19"/>
      <c r="J1286" s="19"/>
      <c r="K1286" s="19"/>
      <c r="L1286" s="19"/>
      <c r="M1286" s="19"/>
      <c r="N1286" s="19"/>
      <c r="O1286" s="19"/>
      <c r="P1286" s="19"/>
      <c r="Q1286" s="19"/>
      <c r="R1286" s="20"/>
      <c r="S1286" s="20"/>
      <c r="T1286" s="22"/>
      <c r="U1286" s="22"/>
      <c r="V1286" s="20"/>
      <c r="W1286" s="20"/>
      <c r="X1286" s="20"/>
      <c r="Y1286" s="19"/>
      <c r="Z1286" s="19"/>
      <c r="AA1286" s="19"/>
      <c r="AB1286" s="23"/>
    </row>
    <row r="1287" spans="1:28" ht="15.75" customHeight="1" x14ac:dyDescent="0.2">
      <c r="A1287" s="34"/>
      <c r="B1287" s="34"/>
      <c r="C1287" s="34"/>
      <c r="D1287" s="34"/>
      <c r="E1287" s="19"/>
      <c r="F1287" s="19"/>
      <c r="G1287" s="19"/>
      <c r="H1287" s="19"/>
      <c r="I1287" s="19"/>
      <c r="J1287" s="19"/>
      <c r="K1287" s="19"/>
      <c r="L1287" s="19"/>
      <c r="M1287" s="19"/>
      <c r="N1287" s="19"/>
      <c r="O1287" s="19"/>
      <c r="P1287" s="19"/>
      <c r="Q1287" s="19"/>
      <c r="R1287" s="20"/>
      <c r="S1287" s="20"/>
      <c r="T1287" s="22"/>
      <c r="U1287" s="22"/>
      <c r="V1287" s="20"/>
      <c r="W1287" s="20"/>
      <c r="X1287" s="20"/>
      <c r="Y1287" s="19"/>
      <c r="Z1287" s="19"/>
      <c r="AA1287" s="19"/>
      <c r="AB1287" s="23"/>
    </row>
    <row r="1288" spans="1:28" ht="15.75" customHeight="1" x14ac:dyDescent="0.2">
      <c r="A1288" s="34"/>
      <c r="B1288" s="34"/>
      <c r="C1288" s="34"/>
      <c r="D1288" s="34"/>
      <c r="E1288" s="19"/>
      <c r="F1288" s="19"/>
      <c r="G1288" s="19"/>
      <c r="H1288" s="19"/>
      <c r="I1288" s="19"/>
      <c r="J1288" s="19"/>
      <c r="K1288" s="19"/>
      <c r="L1288" s="19"/>
      <c r="M1288" s="19"/>
      <c r="N1288" s="19"/>
      <c r="O1288" s="19"/>
      <c r="P1288" s="19"/>
      <c r="Q1288" s="19"/>
      <c r="R1288" s="20"/>
      <c r="S1288" s="20"/>
      <c r="T1288" s="22"/>
      <c r="U1288" s="22"/>
      <c r="V1288" s="20"/>
      <c r="W1288" s="20"/>
      <c r="X1288" s="20"/>
      <c r="Y1288" s="19"/>
      <c r="Z1288" s="19"/>
      <c r="AA1288" s="19"/>
      <c r="AB1288" s="23"/>
    </row>
    <row r="1289" spans="1:28" ht="15.75" customHeight="1" x14ac:dyDescent="0.2">
      <c r="A1289" s="34"/>
      <c r="B1289" s="34"/>
      <c r="C1289" s="34"/>
      <c r="D1289" s="34"/>
      <c r="E1289" s="19"/>
      <c r="F1289" s="19"/>
      <c r="G1289" s="19"/>
      <c r="H1289" s="19"/>
      <c r="I1289" s="19"/>
      <c r="J1289" s="19"/>
      <c r="K1289" s="19"/>
      <c r="L1289" s="19"/>
      <c r="M1289" s="19"/>
      <c r="N1289" s="19"/>
      <c r="O1289" s="19"/>
      <c r="P1289" s="19"/>
      <c r="Q1289" s="19"/>
      <c r="R1289" s="20"/>
      <c r="S1289" s="20"/>
      <c r="T1289" s="22"/>
      <c r="U1289" s="22"/>
      <c r="V1289" s="20"/>
      <c r="W1289" s="20"/>
      <c r="X1289" s="20"/>
      <c r="Y1289" s="19"/>
      <c r="Z1289" s="19"/>
      <c r="AA1289" s="19"/>
      <c r="AB1289" s="23"/>
    </row>
    <row r="1290" spans="1:28" ht="15.75" customHeight="1" x14ac:dyDescent="0.2">
      <c r="A1290" s="34"/>
      <c r="B1290" s="34"/>
      <c r="C1290" s="34"/>
      <c r="D1290" s="34"/>
      <c r="E1290" s="19"/>
      <c r="F1290" s="19"/>
      <c r="G1290" s="19"/>
      <c r="H1290" s="19"/>
      <c r="I1290" s="19"/>
      <c r="J1290" s="19"/>
      <c r="K1290" s="19"/>
      <c r="L1290" s="19"/>
      <c r="M1290" s="19"/>
      <c r="N1290" s="19"/>
      <c r="O1290" s="19"/>
      <c r="P1290" s="19"/>
      <c r="Q1290" s="19"/>
      <c r="R1290" s="20"/>
      <c r="S1290" s="20"/>
      <c r="T1290" s="22"/>
      <c r="U1290" s="22"/>
      <c r="V1290" s="20"/>
      <c r="W1290" s="20"/>
      <c r="X1290" s="20"/>
      <c r="Y1290" s="19"/>
      <c r="Z1290" s="19"/>
      <c r="AA1290" s="19"/>
      <c r="AB1290" s="23"/>
    </row>
    <row r="1291" spans="1:28" ht="15.75" customHeight="1" x14ac:dyDescent="0.2">
      <c r="A1291" s="34"/>
      <c r="B1291" s="34"/>
      <c r="C1291" s="34"/>
      <c r="D1291" s="34"/>
      <c r="E1291" s="19"/>
      <c r="F1291" s="19"/>
      <c r="G1291" s="19"/>
      <c r="H1291" s="19"/>
      <c r="I1291" s="19"/>
      <c r="J1291" s="19"/>
      <c r="K1291" s="19"/>
      <c r="L1291" s="19"/>
      <c r="M1291" s="19"/>
      <c r="N1291" s="19"/>
      <c r="O1291" s="19"/>
      <c r="P1291" s="19"/>
      <c r="Q1291" s="19"/>
      <c r="R1291" s="20"/>
      <c r="S1291" s="20"/>
      <c r="T1291" s="22"/>
      <c r="U1291" s="22"/>
      <c r="V1291" s="20"/>
      <c r="W1291" s="20"/>
      <c r="X1291" s="20"/>
      <c r="Y1291" s="19"/>
      <c r="Z1291" s="19"/>
      <c r="AA1291" s="19"/>
      <c r="AB1291" s="23"/>
    </row>
    <row r="1292" spans="1:28" ht="15.75" customHeight="1" x14ac:dyDescent="0.2">
      <c r="A1292" s="34"/>
      <c r="B1292" s="34"/>
      <c r="C1292" s="34"/>
      <c r="D1292" s="34"/>
      <c r="E1292" s="19"/>
      <c r="F1292" s="19"/>
      <c r="G1292" s="19"/>
      <c r="H1292" s="19"/>
      <c r="I1292" s="19"/>
      <c r="J1292" s="19"/>
      <c r="K1292" s="19"/>
      <c r="L1292" s="19"/>
      <c r="M1292" s="19"/>
      <c r="N1292" s="19"/>
      <c r="O1292" s="19"/>
      <c r="P1292" s="19"/>
      <c r="Q1292" s="19"/>
      <c r="R1292" s="20"/>
      <c r="S1292" s="20"/>
      <c r="T1292" s="22"/>
      <c r="U1292" s="22"/>
      <c r="V1292" s="20"/>
      <c r="W1292" s="20"/>
      <c r="X1292" s="20"/>
      <c r="Y1292" s="19"/>
      <c r="Z1292" s="19"/>
      <c r="AA1292" s="19"/>
      <c r="AB1292" s="23"/>
    </row>
    <row r="1293" spans="1:28" ht="15.75" customHeight="1" x14ac:dyDescent="0.2">
      <c r="A1293" s="34"/>
      <c r="B1293" s="34"/>
      <c r="C1293" s="34"/>
      <c r="D1293" s="34"/>
      <c r="E1293" s="19"/>
      <c r="F1293" s="19"/>
      <c r="G1293" s="19"/>
      <c r="H1293" s="19"/>
      <c r="I1293" s="19"/>
      <c r="J1293" s="19"/>
      <c r="K1293" s="19"/>
      <c r="L1293" s="19"/>
      <c r="M1293" s="19"/>
      <c r="N1293" s="19"/>
      <c r="O1293" s="19"/>
      <c r="P1293" s="19"/>
      <c r="Q1293" s="19"/>
      <c r="R1293" s="20"/>
      <c r="S1293" s="20"/>
      <c r="T1293" s="22"/>
      <c r="U1293" s="22"/>
      <c r="V1293" s="20"/>
      <c r="W1293" s="20"/>
      <c r="X1293" s="20"/>
      <c r="Y1293" s="19"/>
      <c r="Z1293" s="19"/>
      <c r="AA1293" s="19"/>
      <c r="AB1293" s="23"/>
    </row>
    <row r="1294" spans="1:28" ht="15.75" customHeight="1" x14ac:dyDescent="0.2">
      <c r="A1294" s="34"/>
      <c r="B1294" s="34"/>
      <c r="C1294" s="34"/>
      <c r="D1294" s="34"/>
      <c r="E1294" s="19"/>
      <c r="F1294" s="19"/>
      <c r="G1294" s="19"/>
      <c r="H1294" s="19"/>
      <c r="I1294" s="19"/>
      <c r="J1294" s="19"/>
      <c r="K1294" s="19"/>
      <c r="L1294" s="19"/>
      <c r="M1294" s="19"/>
      <c r="N1294" s="19"/>
      <c r="O1294" s="19"/>
      <c r="P1294" s="19"/>
      <c r="Q1294" s="19"/>
      <c r="R1294" s="20"/>
      <c r="S1294" s="20"/>
      <c r="T1294" s="22"/>
      <c r="U1294" s="22"/>
      <c r="V1294" s="20"/>
      <c r="W1294" s="20"/>
      <c r="X1294" s="20"/>
      <c r="Y1294" s="19"/>
      <c r="Z1294" s="19"/>
      <c r="AA1294" s="19"/>
      <c r="AB1294" s="23"/>
    </row>
    <row r="1295" spans="1:28" ht="15.75" customHeight="1" x14ac:dyDescent="0.2">
      <c r="A1295" s="34"/>
      <c r="B1295" s="34"/>
      <c r="C1295" s="34"/>
      <c r="D1295" s="34"/>
      <c r="E1295" s="19"/>
      <c r="F1295" s="19"/>
      <c r="G1295" s="19"/>
      <c r="H1295" s="19"/>
      <c r="I1295" s="19"/>
      <c r="J1295" s="19"/>
      <c r="K1295" s="19"/>
      <c r="L1295" s="19"/>
      <c r="M1295" s="19"/>
      <c r="N1295" s="19"/>
      <c r="O1295" s="19"/>
      <c r="P1295" s="19"/>
      <c r="Q1295" s="19"/>
      <c r="R1295" s="20"/>
      <c r="S1295" s="20"/>
      <c r="T1295" s="22"/>
      <c r="U1295" s="22"/>
      <c r="V1295" s="20"/>
      <c r="W1295" s="20"/>
      <c r="X1295" s="20"/>
      <c r="Y1295" s="19"/>
      <c r="Z1295" s="19"/>
      <c r="AA1295" s="19"/>
      <c r="AB1295" s="23"/>
    </row>
    <row r="1296" spans="1:28" ht="15.75" customHeight="1" x14ac:dyDescent="0.2">
      <c r="A1296" s="34"/>
      <c r="B1296" s="34"/>
      <c r="C1296" s="34"/>
      <c r="D1296" s="34"/>
      <c r="E1296" s="19"/>
      <c r="F1296" s="19"/>
      <c r="G1296" s="19"/>
      <c r="H1296" s="19"/>
      <c r="I1296" s="19"/>
      <c r="J1296" s="19"/>
      <c r="K1296" s="19"/>
      <c r="L1296" s="19"/>
      <c r="M1296" s="19"/>
      <c r="N1296" s="19"/>
      <c r="O1296" s="19"/>
      <c r="P1296" s="19"/>
      <c r="Q1296" s="19"/>
      <c r="R1296" s="20"/>
      <c r="S1296" s="20"/>
      <c r="T1296" s="22"/>
      <c r="U1296" s="22"/>
      <c r="V1296" s="20"/>
      <c r="W1296" s="20"/>
      <c r="X1296" s="20"/>
      <c r="Y1296" s="19"/>
      <c r="Z1296" s="19"/>
      <c r="AA1296" s="19"/>
      <c r="AB1296" s="23"/>
    </row>
    <row r="1297" spans="1:28" ht="15.75" customHeight="1" x14ac:dyDescent="0.2">
      <c r="A1297" s="34"/>
      <c r="B1297" s="34"/>
      <c r="C1297" s="34"/>
      <c r="D1297" s="34"/>
      <c r="E1297" s="19"/>
      <c r="F1297" s="19"/>
      <c r="G1297" s="19"/>
      <c r="H1297" s="19"/>
      <c r="I1297" s="19"/>
      <c r="J1297" s="19"/>
      <c r="K1297" s="19"/>
      <c r="L1297" s="19"/>
      <c r="M1297" s="19"/>
      <c r="N1297" s="19"/>
      <c r="O1297" s="19"/>
      <c r="P1297" s="19"/>
      <c r="Q1297" s="19"/>
      <c r="R1297" s="20"/>
      <c r="S1297" s="20"/>
      <c r="T1297" s="22"/>
      <c r="U1297" s="22"/>
      <c r="V1297" s="20"/>
      <c r="W1297" s="20"/>
      <c r="X1297" s="20"/>
      <c r="Y1297" s="19"/>
      <c r="Z1297" s="19"/>
      <c r="AA1297" s="19"/>
      <c r="AB1297" s="23"/>
    </row>
    <row r="1298" spans="1:28" ht="15.75" customHeight="1" x14ac:dyDescent="0.2">
      <c r="A1298" s="34"/>
      <c r="B1298" s="34"/>
      <c r="C1298" s="34"/>
      <c r="D1298" s="34"/>
      <c r="E1298" s="19"/>
      <c r="F1298" s="19"/>
      <c r="G1298" s="19"/>
      <c r="H1298" s="19"/>
      <c r="I1298" s="19"/>
      <c r="J1298" s="19"/>
      <c r="K1298" s="19"/>
      <c r="L1298" s="19"/>
      <c r="M1298" s="19"/>
      <c r="N1298" s="19"/>
      <c r="O1298" s="19"/>
      <c r="P1298" s="19"/>
      <c r="Q1298" s="19"/>
      <c r="R1298" s="20"/>
      <c r="S1298" s="20"/>
      <c r="T1298" s="22"/>
      <c r="U1298" s="22"/>
      <c r="V1298" s="20"/>
      <c r="W1298" s="20"/>
      <c r="X1298" s="20"/>
      <c r="Y1298" s="19"/>
      <c r="Z1298" s="19"/>
      <c r="AA1298" s="19"/>
      <c r="AB1298" s="23"/>
    </row>
    <row r="1299" spans="1:28" ht="15.75" customHeight="1" x14ac:dyDescent="0.2">
      <c r="A1299" s="34"/>
      <c r="B1299" s="34"/>
      <c r="C1299" s="34"/>
      <c r="D1299" s="34"/>
      <c r="E1299" s="19"/>
      <c r="F1299" s="19"/>
      <c r="G1299" s="19"/>
      <c r="H1299" s="19"/>
      <c r="I1299" s="19"/>
      <c r="J1299" s="19"/>
      <c r="K1299" s="19"/>
      <c r="L1299" s="19"/>
      <c r="M1299" s="19"/>
      <c r="N1299" s="19"/>
      <c r="O1299" s="19"/>
      <c r="P1299" s="19"/>
      <c r="Q1299" s="19"/>
      <c r="R1299" s="20"/>
      <c r="S1299" s="20"/>
      <c r="T1299" s="22"/>
      <c r="U1299" s="22"/>
      <c r="V1299" s="20"/>
      <c r="W1299" s="20"/>
      <c r="X1299" s="20"/>
      <c r="Y1299" s="19"/>
      <c r="Z1299" s="19"/>
      <c r="AA1299" s="19"/>
      <c r="AB1299" s="23"/>
    </row>
    <row r="1300" spans="1:28" ht="15.75" customHeight="1" x14ac:dyDescent="0.2">
      <c r="A1300" s="34"/>
      <c r="B1300" s="34"/>
      <c r="C1300" s="34"/>
      <c r="D1300" s="34"/>
      <c r="E1300" s="19"/>
      <c r="F1300" s="19"/>
      <c r="G1300" s="19"/>
      <c r="H1300" s="19"/>
      <c r="I1300" s="19"/>
      <c r="J1300" s="19"/>
      <c r="K1300" s="19"/>
      <c r="L1300" s="19"/>
      <c r="M1300" s="19"/>
      <c r="N1300" s="19"/>
      <c r="O1300" s="19"/>
      <c r="P1300" s="19"/>
      <c r="Q1300" s="19"/>
      <c r="R1300" s="20"/>
      <c r="S1300" s="20"/>
      <c r="T1300" s="22"/>
      <c r="U1300" s="22"/>
      <c r="V1300" s="20"/>
      <c r="W1300" s="20"/>
      <c r="X1300" s="20"/>
      <c r="Y1300" s="19"/>
      <c r="Z1300" s="19"/>
      <c r="AA1300" s="19"/>
      <c r="AB1300" s="23"/>
    </row>
    <row r="1301" spans="1:28" ht="15.75" customHeight="1" x14ac:dyDescent="0.2">
      <c r="A1301" s="34"/>
      <c r="B1301" s="34"/>
      <c r="C1301" s="34"/>
      <c r="D1301" s="34"/>
      <c r="E1301" s="19"/>
      <c r="F1301" s="19"/>
      <c r="G1301" s="19"/>
      <c r="H1301" s="19"/>
      <c r="I1301" s="19"/>
      <c r="J1301" s="19"/>
      <c r="K1301" s="19"/>
      <c r="L1301" s="19"/>
      <c r="M1301" s="19"/>
      <c r="N1301" s="19"/>
      <c r="O1301" s="19"/>
      <c r="P1301" s="19"/>
      <c r="Q1301" s="19"/>
      <c r="R1301" s="20"/>
      <c r="S1301" s="20"/>
      <c r="T1301" s="22"/>
      <c r="U1301" s="22"/>
      <c r="V1301" s="20"/>
      <c r="W1301" s="20"/>
      <c r="X1301" s="20"/>
      <c r="Y1301" s="19"/>
      <c r="Z1301" s="19"/>
      <c r="AA1301" s="19"/>
      <c r="AB1301" s="23"/>
    </row>
    <row r="1302" spans="1:28" ht="15.75" customHeight="1" x14ac:dyDescent="0.2">
      <c r="A1302" s="34"/>
      <c r="B1302" s="34"/>
      <c r="C1302" s="34"/>
      <c r="D1302" s="34"/>
      <c r="E1302" s="19"/>
      <c r="F1302" s="19"/>
      <c r="G1302" s="19"/>
      <c r="H1302" s="19"/>
      <c r="I1302" s="19"/>
      <c r="J1302" s="19"/>
      <c r="K1302" s="19"/>
      <c r="L1302" s="19"/>
      <c r="M1302" s="19"/>
      <c r="N1302" s="19"/>
      <c r="O1302" s="19"/>
      <c r="P1302" s="19"/>
      <c r="Q1302" s="19"/>
      <c r="R1302" s="20"/>
      <c r="S1302" s="20"/>
      <c r="T1302" s="22"/>
      <c r="U1302" s="22"/>
      <c r="V1302" s="20"/>
      <c r="W1302" s="20"/>
      <c r="X1302" s="20"/>
      <c r="Y1302" s="19"/>
      <c r="Z1302" s="19"/>
      <c r="AA1302" s="19"/>
      <c r="AB1302" s="23"/>
    </row>
    <row r="1303" spans="1:28" ht="15.75" customHeight="1" x14ac:dyDescent="0.2">
      <c r="A1303" s="34"/>
      <c r="B1303" s="34"/>
      <c r="C1303" s="34"/>
      <c r="D1303" s="34"/>
      <c r="E1303" s="19"/>
      <c r="F1303" s="19"/>
      <c r="G1303" s="19"/>
      <c r="H1303" s="19"/>
      <c r="I1303" s="19"/>
      <c r="J1303" s="19"/>
      <c r="K1303" s="19"/>
      <c r="L1303" s="19"/>
      <c r="M1303" s="19"/>
      <c r="N1303" s="19"/>
      <c r="O1303" s="19"/>
      <c r="P1303" s="19"/>
      <c r="Q1303" s="19"/>
      <c r="R1303" s="20"/>
      <c r="S1303" s="20"/>
      <c r="T1303" s="22"/>
      <c r="U1303" s="22"/>
      <c r="V1303" s="20"/>
      <c r="W1303" s="20"/>
      <c r="X1303" s="20"/>
      <c r="Y1303" s="19"/>
      <c r="Z1303" s="19"/>
      <c r="AA1303" s="19"/>
      <c r="AB1303" s="23"/>
    </row>
    <row r="1304" spans="1:28" ht="15.75" customHeight="1" x14ac:dyDescent="0.2">
      <c r="A1304" s="34"/>
      <c r="B1304" s="34"/>
      <c r="C1304" s="34"/>
      <c r="D1304" s="34"/>
      <c r="E1304" s="19"/>
      <c r="F1304" s="19"/>
      <c r="G1304" s="19"/>
      <c r="H1304" s="19"/>
      <c r="I1304" s="19"/>
      <c r="J1304" s="19"/>
      <c r="K1304" s="19"/>
      <c r="L1304" s="19"/>
      <c r="M1304" s="19"/>
      <c r="N1304" s="19"/>
      <c r="O1304" s="19"/>
      <c r="P1304" s="19"/>
      <c r="Q1304" s="19"/>
      <c r="R1304" s="20"/>
      <c r="S1304" s="20"/>
      <c r="T1304" s="22"/>
      <c r="U1304" s="22"/>
      <c r="V1304" s="20"/>
      <c r="W1304" s="20"/>
      <c r="X1304" s="20"/>
      <c r="Y1304" s="19"/>
      <c r="Z1304" s="19"/>
      <c r="AA1304" s="19"/>
      <c r="AB1304" s="23"/>
    </row>
    <row r="1305" spans="1:28" ht="15.75" customHeight="1" x14ac:dyDescent="0.2">
      <c r="A1305" s="34"/>
      <c r="B1305" s="34"/>
      <c r="C1305" s="34"/>
      <c r="D1305" s="34"/>
      <c r="E1305" s="19"/>
      <c r="F1305" s="19"/>
      <c r="G1305" s="19"/>
      <c r="H1305" s="19"/>
      <c r="I1305" s="19"/>
      <c r="J1305" s="19"/>
      <c r="K1305" s="19"/>
      <c r="L1305" s="19"/>
      <c r="M1305" s="19"/>
      <c r="N1305" s="19"/>
      <c r="O1305" s="19"/>
      <c r="P1305" s="19"/>
      <c r="Q1305" s="19"/>
      <c r="R1305" s="20"/>
      <c r="S1305" s="20"/>
      <c r="T1305" s="22"/>
      <c r="U1305" s="22"/>
      <c r="V1305" s="20"/>
      <c r="W1305" s="20"/>
      <c r="X1305" s="20"/>
      <c r="Y1305" s="19"/>
      <c r="Z1305" s="19"/>
      <c r="AA1305" s="19"/>
      <c r="AB1305" s="23"/>
    </row>
    <row r="1306" spans="1:28" ht="15.75" customHeight="1" x14ac:dyDescent="0.2">
      <c r="A1306" s="34"/>
      <c r="B1306" s="34"/>
      <c r="C1306" s="34"/>
      <c r="D1306" s="34"/>
      <c r="E1306" s="19"/>
      <c r="F1306" s="19"/>
      <c r="G1306" s="19"/>
      <c r="H1306" s="19"/>
      <c r="I1306" s="19"/>
      <c r="J1306" s="19"/>
      <c r="K1306" s="19"/>
      <c r="L1306" s="19"/>
      <c r="M1306" s="19"/>
      <c r="N1306" s="19"/>
      <c r="O1306" s="19"/>
      <c r="P1306" s="19"/>
      <c r="Q1306" s="19"/>
      <c r="R1306" s="20"/>
      <c r="S1306" s="20"/>
      <c r="T1306" s="22"/>
      <c r="U1306" s="22"/>
      <c r="V1306" s="20"/>
      <c r="W1306" s="20"/>
      <c r="X1306" s="20"/>
      <c r="Y1306" s="19"/>
      <c r="Z1306" s="19"/>
      <c r="AA1306" s="19"/>
      <c r="AB1306" s="23"/>
    </row>
    <row r="1307" spans="1:28" ht="15.75" customHeight="1" x14ac:dyDescent="0.2">
      <c r="A1307" s="34"/>
      <c r="B1307" s="34"/>
      <c r="C1307" s="34"/>
      <c r="D1307" s="34"/>
      <c r="E1307" s="19"/>
      <c r="F1307" s="19"/>
      <c r="G1307" s="19"/>
      <c r="H1307" s="19"/>
      <c r="I1307" s="19"/>
      <c r="J1307" s="19"/>
      <c r="K1307" s="19"/>
      <c r="L1307" s="19"/>
      <c r="M1307" s="19"/>
      <c r="N1307" s="19"/>
      <c r="O1307" s="19"/>
      <c r="P1307" s="19"/>
      <c r="Q1307" s="19"/>
      <c r="R1307" s="20"/>
      <c r="S1307" s="20"/>
      <c r="T1307" s="22"/>
      <c r="U1307" s="22"/>
      <c r="V1307" s="20"/>
      <c r="W1307" s="20"/>
      <c r="X1307" s="20"/>
      <c r="Y1307" s="19"/>
      <c r="Z1307" s="19"/>
      <c r="AA1307" s="19"/>
      <c r="AB1307" s="23"/>
    </row>
    <row r="1308" spans="1:28" ht="15.75" customHeight="1" x14ac:dyDescent="0.2">
      <c r="A1308" s="34"/>
      <c r="B1308" s="34"/>
      <c r="C1308" s="34"/>
      <c r="D1308" s="34"/>
      <c r="E1308" s="19"/>
      <c r="F1308" s="19"/>
      <c r="G1308" s="19"/>
      <c r="H1308" s="19"/>
      <c r="I1308" s="19"/>
      <c r="J1308" s="19"/>
      <c r="K1308" s="19"/>
      <c r="L1308" s="19"/>
      <c r="M1308" s="19"/>
      <c r="N1308" s="19"/>
      <c r="O1308" s="19"/>
      <c r="P1308" s="19"/>
      <c r="Q1308" s="19"/>
      <c r="R1308" s="20"/>
      <c r="S1308" s="20"/>
      <c r="T1308" s="22"/>
      <c r="U1308" s="22"/>
      <c r="V1308" s="20"/>
      <c r="W1308" s="20"/>
      <c r="X1308" s="20"/>
      <c r="Y1308" s="19"/>
      <c r="Z1308" s="19"/>
      <c r="AA1308" s="19"/>
      <c r="AB1308" s="23"/>
    </row>
    <row r="1309" spans="1:28" ht="15.75" customHeight="1" x14ac:dyDescent="0.2">
      <c r="A1309" s="34"/>
      <c r="B1309" s="34"/>
      <c r="C1309" s="34"/>
      <c r="D1309" s="34"/>
      <c r="E1309" s="19"/>
      <c r="F1309" s="19"/>
      <c r="G1309" s="19"/>
      <c r="H1309" s="19"/>
      <c r="I1309" s="19"/>
      <c r="J1309" s="19"/>
      <c r="K1309" s="19"/>
      <c r="L1309" s="19"/>
      <c r="M1309" s="19"/>
      <c r="N1309" s="19"/>
      <c r="O1309" s="19"/>
      <c r="P1309" s="19"/>
      <c r="Q1309" s="19"/>
      <c r="R1309" s="20"/>
      <c r="S1309" s="20"/>
      <c r="T1309" s="22"/>
      <c r="U1309" s="22"/>
      <c r="V1309" s="20"/>
      <c r="W1309" s="20"/>
      <c r="X1309" s="20"/>
      <c r="Y1309" s="19"/>
      <c r="Z1309" s="19"/>
      <c r="AA1309" s="19"/>
      <c r="AB1309" s="23"/>
    </row>
    <row r="1310" spans="1:28" ht="15.75" customHeight="1" x14ac:dyDescent="0.2">
      <c r="A1310" s="34"/>
      <c r="B1310" s="34"/>
      <c r="C1310" s="34"/>
      <c r="D1310" s="34"/>
      <c r="E1310" s="19"/>
      <c r="F1310" s="19"/>
      <c r="G1310" s="19"/>
      <c r="H1310" s="19"/>
      <c r="I1310" s="19"/>
      <c r="J1310" s="19"/>
      <c r="K1310" s="19"/>
      <c r="L1310" s="19"/>
      <c r="M1310" s="19"/>
      <c r="N1310" s="19"/>
      <c r="O1310" s="19"/>
      <c r="P1310" s="19"/>
      <c r="Q1310" s="19"/>
      <c r="R1310" s="20"/>
      <c r="S1310" s="20"/>
      <c r="T1310" s="22"/>
      <c r="U1310" s="22"/>
      <c r="V1310" s="20"/>
      <c r="W1310" s="20"/>
      <c r="X1310" s="20"/>
      <c r="Y1310" s="19"/>
      <c r="Z1310" s="19"/>
      <c r="AA1310" s="19"/>
      <c r="AB1310" s="23"/>
    </row>
    <row r="1311" spans="1:28" ht="15.75" customHeight="1" x14ac:dyDescent="0.2">
      <c r="A1311" s="34"/>
      <c r="B1311" s="34"/>
      <c r="C1311" s="34"/>
      <c r="D1311" s="34"/>
      <c r="E1311" s="19"/>
      <c r="F1311" s="19"/>
      <c r="G1311" s="19"/>
      <c r="H1311" s="19"/>
      <c r="I1311" s="19"/>
      <c r="J1311" s="19"/>
      <c r="K1311" s="19"/>
      <c r="L1311" s="19"/>
      <c r="M1311" s="19"/>
      <c r="N1311" s="19"/>
      <c r="O1311" s="19"/>
      <c r="P1311" s="19"/>
      <c r="Q1311" s="19"/>
      <c r="R1311" s="20"/>
      <c r="S1311" s="20"/>
      <c r="T1311" s="22"/>
      <c r="U1311" s="22"/>
      <c r="V1311" s="20"/>
      <c r="W1311" s="20"/>
      <c r="X1311" s="20"/>
      <c r="Y1311" s="19"/>
      <c r="Z1311" s="19"/>
      <c r="AA1311" s="19"/>
      <c r="AB1311" s="23"/>
    </row>
    <row r="1312" spans="1:28" ht="15.75" customHeight="1" x14ac:dyDescent="0.2">
      <c r="A1312" s="34"/>
      <c r="B1312" s="34"/>
      <c r="C1312" s="34"/>
      <c r="D1312" s="34"/>
      <c r="E1312" s="19"/>
      <c r="F1312" s="19"/>
      <c r="G1312" s="19"/>
      <c r="H1312" s="19"/>
      <c r="I1312" s="19"/>
      <c r="J1312" s="19"/>
      <c r="K1312" s="19"/>
      <c r="L1312" s="19"/>
      <c r="M1312" s="19"/>
      <c r="N1312" s="19"/>
      <c r="O1312" s="19"/>
      <c r="P1312" s="19"/>
      <c r="Q1312" s="19"/>
      <c r="R1312" s="20"/>
      <c r="S1312" s="20"/>
      <c r="T1312" s="22"/>
      <c r="U1312" s="22"/>
      <c r="V1312" s="20"/>
      <c r="W1312" s="20"/>
      <c r="X1312" s="20"/>
      <c r="Y1312" s="19"/>
      <c r="Z1312" s="19"/>
      <c r="AA1312" s="19"/>
      <c r="AB1312" s="23"/>
    </row>
    <row r="1313" spans="1:28" ht="15.75" customHeight="1" x14ac:dyDescent="0.2">
      <c r="A1313" s="34"/>
      <c r="B1313" s="34"/>
      <c r="C1313" s="34"/>
      <c r="D1313" s="34"/>
      <c r="E1313" s="19"/>
      <c r="F1313" s="19"/>
      <c r="G1313" s="19"/>
      <c r="H1313" s="19"/>
      <c r="I1313" s="19"/>
      <c r="J1313" s="19"/>
      <c r="K1313" s="19"/>
      <c r="L1313" s="19"/>
      <c r="M1313" s="19"/>
      <c r="N1313" s="19"/>
      <c r="O1313" s="19"/>
      <c r="P1313" s="19"/>
      <c r="Q1313" s="19"/>
      <c r="R1313" s="20"/>
      <c r="S1313" s="20"/>
      <c r="T1313" s="22"/>
      <c r="U1313" s="22"/>
      <c r="V1313" s="20"/>
      <c r="W1313" s="20"/>
      <c r="X1313" s="20"/>
      <c r="Y1313" s="19"/>
      <c r="Z1313" s="19"/>
      <c r="AA1313" s="19"/>
      <c r="AB1313" s="23"/>
    </row>
    <row r="1314" spans="1:28" ht="15.75" customHeight="1" x14ac:dyDescent="0.2">
      <c r="A1314" s="34"/>
      <c r="B1314" s="34"/>
      <c r="C1314" s="34"/>
      <c r="D1314" s="34"/>
      <c r="E1314" s="19"/>
      <c r="F1314" s="19"/>
      <c r="G1314" s="19"/>
      <c r="H1314" s="19"/>
      <c r="I1314" s="19"/>
      <c r="J1314" s="19"/>
      <c r="K1314" s="19"/>
      <c r="L1314" s="19"/>
      <c r="M1314" s="19"/>
      <c r="N1314" s="19"/>
      <c r="O1314" s="19"/>
      <c r="P1314" s="19"/>
      <c r="Q1314" s="19"/>
      <c r="R1314" s="20"/>
      <c r="S1314" s="20"/>
      <c r="T1314" s="22"/>
      <c r="U1314" s="22"/>
      <c r="V1314" s="20"/>
      <c r="W1314" s="20"/>
      <c r="X1314" s="20"/>
      <c r="Y1314" s="19"/>
      <c r="Z1314" s="19"/>
      <c r="AA1314" s="19"/>
      <c r="AB1314" s="23"/>
    </row>
    <row r="1315" spans="1:28" ht="15.75" customHeight="1" x14ac:dyDescent="0.2">
      <c r="A1315" s="34"/>
      <c r="B1315" s="34"/>
      <c r="C1315" s="34"/>
      <c r="D1315" s="34"/>
      <c r="E1315" s="19"/>
      <c r="F1315" s="19"/>
      <c r="G1315" s="19"/>
      <c r="H1315" s="19"/>
      <c r="I1315" s="19"/>
      <c r="J1315" s="19"/>
      <c r="K1315" s="19"/>
      <c r="L1315" s="19"/>
      <c r="M1315" s="19"/>
      <c r="N1315" s="19"/>
      <c r="O1315" s="19"/>
      <c r="P1315" s="19"/>
      <c r="Q1315" s="19"/>
      <c r="R1315" s="20"/>
      <c r="S1315" s="20"/>
      <c r="T1315" s="22"/>
      <c r="U1315" s="22"/>
      <c r="V1315" s="20"/>
      <c r="W1315" s="20"/>
      <c r="X1315" s="20"/>
      <c r="Y1315" s="19"/>
      <c r="Z1315" s="19"/>
      <c r="AA1315" s="19"/>
      <c r="AB1315" s="23"/>
    </row>
    <row r="1316" spans="1:28" ht="15.75" customHeight="1" x14ac:dyDescent="0.2">
      <c r="A1316" s="34"/>
      <c r="B1316" s="34"/>
      <c r="C1316" s="34"/>
      <c r="D1316" s="34"/>
      <c r="E1316" s="19"/>
      <c r="F1316" s="19"/>
      <c r="G1316" s="19"/>
      <c r="H1316" s="19"/>
      <c r="I1316" s="19"/>
      <c r="J1316" s="19"/>
      <c r="K1316" s="19"/>
      <c r="L1316" s="19"/>
      <c r="M1316" s="19"/>
      <c r="N1316" s="19"/>
      <c r="O1316" s="19"/>
      <c r="P1316" s="19"/>
      <c r="Q1316" s="19"/>
      <c r="R1316" s="20"/>
      <c r="S1316" s="20"/>
      <c r="T1316" s="22"/>
      <c r="U1316" s="22"/>
      <c r="V1316" s="20"/>
      <c r="W1316" s="20"/>
      <c r="X1316" s="20"/>
      <c r="Y1316" s="19"/>
      <c r="Z1316" s="19"/>
      <c r="AA1316" s="19"/>
      <c r="AB1316" s="23"/>
    </row>
    <row r="1317" spans="1:28" ht="15.75" customHeight="1" x14ac:dyDescent="0.2">
      <c r="A1317" s="34"/>
      <c r="B1317" s="34"/>
      <c r="C1317" s="34"/>
      <c r="D1317" s="34"/>
      <c r="E1317" s="19"/>
      <c r="F1317" s="19"/>
      <c r="G1317" s="19"/>
      <c r="H1317" s="19"/>
      <c r="I1317" s="19"/>
      <c r="J1317" s="19"/>
      <c r="K1317" s="19"/>
      <c r="L1317" s="19"/>
      <c r="M1317" s="19"/>
      <c r="N1317" s="19"/>
      <c r="O1317" s="19"/>
      <c r="P1317" s="19"/>
      <c r="Q1317" s="19"/>
      <c r="R1317" s="20"/>
      <c r="S1317" s="20"/>
      <c r="T1317" s="22"/>
      <c r="U1317" s="22"/>
      <c r="V1317" s="20"/>
      <c r="W1317" s="20"/>
      <c r="X1317" s="20"/>
      <c r="Y1317" s="19"/>
      <c r="Z1317" s="19"/>
      <c r="AA1317" s="19"/>
      <c r="AB1317" s="23"/>
    </row>
    <row r="1318" spans="1:28" ht="15.75" customHeight="1" x14ac:dyDescent="0.2">
      <c r="A1318" s="34"/>
      <c r="B1318" s="34"/>
      <c r="C1318" s="34"/>
      <c r="D1318" s="34"/>
      <c r="E1318" s="19"/>
      <c r="F1318" s="19"/>
      <c r="G1318" s="19"/>
      <c r="H1318" s="19"/>
      <c r="I1318" s="19"/>
      <c r="J1318" s="19"/>
      <c r="K1318" s="19"/>
      <c r="L1318" s="19"/>
      <c r="M1318" s="19"/>
      <c r="N1318" s="19"/>
      <c r="O1318" s="19"/>
      <c r="P1318" s="19"/>
      <c r="Q1318" s="19"/>
      <c r="R1318" s="20"/>
      <c r="S1318" s="20"/>
      <c r="T1318" s="22"/>
      <c r="U1318" s="22"/>
      <c r="V1318" s="20"/>
      <c r="W1318" s="20"/>
      <c r="X1318" s="20"/>
      <c r="Y1318" s="19"/>
      <c r="Z1318" s="19"/>
      <c r="AA1318" s="19"/>
      <c r="AB1318" s="23"/>
    </row>
    <row r="1319" spans="1:28" ht="15.75" customHeight="1" x14ac:dyDescent="0.2">
      <c r="A1319" s="34"/>
      <c r="B1319" s="34"/>
      <c r="C1319" s="34"/>
      <c r="D1319" s="34"/>
      <c r="E1319" s="19"/>
      <c r="F1319" s="19"/>
      <c r="G1319" s="19"/>
      <c r="H1319" s="19"/>
      <c r="I1319" s="19"/>
      <c r="J1319" s="19"/>
      <c r="K1319" s="19"/>
      <c r="L1319" s="19"/>
      <c r="M1319" s="19"/>
      <c r="N1319" s="19"/>
      <c r="O1319" s="19"/>
      <c r="P1319" s="19"/>
      <c r="Q1319" s="19"/>
      <c r="R1319" s="20"/>
      <c r="S1319" s="20"/>
      <c r="T1319" s="22"/>
      <c r="U1319" s="22"/>
      <c r="V1319" s="20"/>
      <c r="W1319" s="20"/>
      <c r="X1319" s="20"/>
      <c r="Y1319" s="19"/>
      <c r="Z1319" s="19"/>
      <c r="AA1319" s="19"/>
      <c r="AB1319" s="23"/>
    </row>
    <row r="1320" spans="1:28" ht="15.75" customHeight="1" x14ac:dyDescent="0.2">
      <c r="A1320" s="34"/>
      <c r="B1320" s="34"/>
      <c r="C1320" s="34"/>
      <c r="D1320" s="34"/>
      <c r="E1320" s="19"/>
      <c r="F1320" s="19"/>
      <c r="G1320" s="19"/>
      <c r="H1320" s="19"/>
      <c r="I1320" s="19"/>
      <c r="J1320" s="19"/>
      <c r="K1320" s="19"/>
      <c r="L1320" s="19"/>
      <c r="M1320" s="19"/>
      <c r="N1320" s="19"/>
      <c r="O1320" s="19"/>
      <c r="P1320" s="19"/>
      <c r="Q1320" s="19"/>
      <c r="R1320" s="20"/>
      <c r="S1320" s="20"/>
      <c r="T1320" s="22"/>
      <c r="U1320" s="22"/>
      <c r="V1320" s="20"/>
      <c r="W1320" s="20"/>
      <c r="X1320" s="20"/>
      <c r="Y1320" s="19"/>
      <c r="Z1320" s="19"/>
      <c r="AA1320" s="19"/>
      <c r="AB1320" s="23"/>
    </row>
    <row r="1321" spans="1:28" ht="15.75" customHeight="1" x14ac:dyDescent="0.2">
      <c r="A1321" s="34"/>
      <c r="B1321" s="34"/>
      <c r="C1321" s="34"/>
      <c r="D1321" s="34"/>
      <c r="E1321" s="19"/>
      <c r="F1321" s="19"/>
      <c r="G1321" s="19"/>
      <c r="H1321" s="19"/>
      <c r="I1321" s="19"/>
      <c r="J1321" s="19"/>
      <c r="K1321" s="19"/>
      <c r="L1321" s="19"/>
      <c r="M1321" s="19"/>
      <c r="N1321" s="19"/>
      <c r="O1321" s="19"/>
      <c r="P1321" s="19"/>
      <c r="Q1321" s="19"/>
      <c r="R1321" s="20"/>
      <c r="S1321" s="20"/>
      <c r="T1321" s="22"/>
      <c r="U1321" s="22"/>
      <c r="V1321" s="20"/>
      <c r="W1321" s="20"/>
      <c r="X1321" s="20"/>
      <c r="Y1321" s="19"/>
      <c r="Z1321" s="19"/>
      <c r="AA1321" s="19"/>
      <c r="AB1321" s="23"/>
    </row>
    <row r="1322" spans="1:28" ht="15.75" customHeight="1" x14ac:dyDescent="0.2">
      <c r="A1322" s="34"/>
      <c r="B1322" s="34"/>
      <c r="C1322" s="34"/>
      <c r="D1322" s="34"/>
      <c r="E1322" s="19"/>
      <c r="F1322" s="19"/>
      <c r="G1322" s="19"/>
      <c r="H1322" s="19"/>
      <c r="I1322" s="19"/>
      <c r="J1322" s="19"/>
      <c r="K1322" s="19"/>
      <c r="L1322" s="19"/>
      <c r="M1322" s="19"/>
      <c r="N1322" s="19"/>
      <c r="O1322" s="19"/>
      <c r="P1322" s="19"/>
      <c r="Q1322" s="19"/>
      <c r="R1322" s="20"/>
      <c r="S1322" s="20"/>
      <c r="T1322" s="22"/>
      <c r="U1322" s="22"/>
      <c r="V1322" s="20"/>
      <c r="W1322" s="20"/>
      <c r="X1322" s="20"/>
      <c r="Y1322" s="19"/>
      <c r="Z1322" s="19"/>
      <c r="AA1322" s="19"/>
      <c r="AB1322" s="23"/>
    </row>
    <row r="1323" spans="1:28" ht="15.75" customHeight="1" x14ac:dyDescent="0.2">
      <c r="A1323" s="34"/>
      <c r="B1323" s="34"/>
      <c r="C1323" s="34"/>
      <c r="D1323" s="34"/>
      <c r="E1323" s="19"/>
      <c r="F1323" s="19"/>
      <c r="G1323" s="19"/>
      <c r="H1323" s="19"/>
      <c r="I1323" s="19"/>
      <c r="J1323" s="19"/>
      <c r="K1323" s="19"/>
      <c r="L1323" s="19"/>
      <c r="M1323" s="19"/>
      <c r="N1323" s="19"/>
      <c r="O1323" s="19"/>
      <c r="P1323" s="19"/>
      <c r="Q1323" s="19"/>
      <c r="R1323" s="20"/>
      <c r="S1323" s="20"/>
      <c r="T1323" s="22"/>
      <c r="U1323" s="22"/>
      <c r="V1323" s="20"/>
      <c r="W1323" s="20"/>
      <c r="X1323" s="20"/>
      <c r="Y1323" s="19"/>
      <c r="Z1323" s="19"/>
      <c r="AA1323" s="19"/>
      <c r="AB1323" s="23"/>
    </row>
    <row r="1324" spans="1:28" ht="15.75" customHeight="1" x14ac:dyDescent="0.2">
      <c r="A1324" s="34"/>
      <c r="B1324" s="34"/>
      <c r="C1324" s="34"/>
      <c r="D1324" s="34"/>
      <c r="E1324" s="19"/>
      <c r="F1324" s="19"/>
      <c r="G1324" s="19"/>
      <c r="H1324" s="19"/>
      <c r="I1324" s="19"/>
      <c r="J1324" s="19"/>
      <c r="K1324" s="19"/>
      <c r="L1324" s="19"/>
      <c r="M1324" s="19"/>
      <c r="N1324" s="19"/>
      <c r="O1324" s="19"/>
      <c r="P1324" s="19"/>
      <c r="Q1324" s="19"/>
      <c r="R1324" s="20"/>
      <c r="S1324" s="20"/>
      <c r="T1324" s="22"/>
      <c r="U1324" s="22"/>
      <c r="V1324" s="20"/>
      <c r="W1324" s="20"/>
      <c r="X1324" s="20"/>
      <c r="Y1324" s="19"/>
      <c r="Z1324" s="19"/>
      <c r="AA1324" s="19"/>
      <c r="AB1324" s="23"/>
    </row>
    <row r="1325" spans="1:28" ht="15.75" customHeight="1" x14ac:dyDescent="0.2">
      <c r="A1325" s="34"/>
      <c r="B1325" s="34"/>
      <c r="C1325" s="34"/>
      <c r="D1325" s="34"/>
      <c r="E1325" s="19"/>
      <c r="F1325" s="19"/>
      <c r="G1325" s="19"/>
      <c r="H1325" s="19"/>
      <c r="I1325" s="19"/>
      <c r="J1325" s="19"/>
      <c r="K1325" s="19"/>
      <c r="L1325" s="19"/>
      <c r="M1325" s="19"/>
      <c r="N1325" s="19"/>
      <c r="O1325" s="19"/>
      <c r="P1325" s="19"/>
      <c r="Q1325" s="19"/>
      <c r="R1325" s="20"/>
      <c r="S1325" s="20"/>
      <c r="T1325" s="22"/>
      <c r="U1325" s="22"/>
      <c r="V1325" s="20"/>
      <c r="W1325" s="20"/>
      <c r="X1325" s="20"/>
      <c r="Y1325" s="19"/>
      <c r="Z1325" s="19"/>
      <c r="AA1325" s="19"/>
      <c r="AB1325" s="23"/>
    </row>
    <row r="1326" spans="1:28" ht="15.75" customHeight="1" x14ac:dyDescent="0.2">
      <c r="A1326" s="34"/>
      <c r="B1326" s="34"/>
      <c r="C1326" s="34"/>
      <c r="D1326" s="34"/>
      <c r="E1326" s="19"/>
      <c r="F1326" s="19"/>
      <c r="G1326" s="19"/>
      <c r="H1326" s="19"/>
      <c r="I1326" s="19"/>
      <c r="J1326" s="19"/>
      <c r="K1326" s="19"/>
      <c r="L1326" s="19"/>
      <c r="M1326" s="19"/>
      <c r="N1326" s="19"/>
      <c r="O1326" s="19"/>
      <c r="P1326" s="19"/>
      <c r="Q1326" s="19"/>
      <c r="R1326" s="20"/>
      <c r="S1326" s="20"/>
      <c r="T1326" s="22"/>
      <c r="U1326" s="22"/>
      <c r="V1326" s="20"/>
      <c r="W1326" s="20"/>
      <c r="X1326" s="20"/>
      <c r="Y1326" s="19"/>
      <c r="Z1326" s="19"/>
      <c r="AA1326" s="19"/>
      <c r="AB1326" s="23"/>
    </row>
    <row r="1327" spans="1:28" ht="15.75" customHeight="1" x14ac:dyDescent="0.2">
      <c r="A1327" s="34"/>
      <c r="B1327" s="34"/>
      <c r="C1327" s="34"/>
      <c r="D1327" s="34"/>
      <c r="E1327" s="19"/>
      <c r="F1327" s="19"/>
      <c r="G1327" s="19"/>
      <c r="H1327" s="19"/>
      <c r="I1327" s="19"/>
      <c r="J1327" s="19"/>
      <c r="K1327" s="19"/>
      <c r="L1327" s="19"/>
      <c r="M1327" s="19"/>
      <c r="N1327" s="19"/>
      <c r="O1327" s="19"/>
      <c r="P1327" s="19"/>
      <c r="Q1327" s="19"/>
      <c r="R1327" s="20"/>
      <c r="S1327" s="20"/>
      <c r="T1327" s="22"/>
      <c r="U1327" s="22"/>
      <c r="V1327" s="20"/>
      <c r="W1327" s="20"/>
      <c r="X1327" s="20"/>
      <c r="Y1327" s="19"/>
      <c r="Z1327" s="19"/>
      <c r="AA1327" s="19"/>
      <c r="AB1327" s="23"/>
    </row>
    <row r="1328" spans="1:28" ht="15.75" customHeight="1" x14ac:dyDescent="0.2">
      <c r="A1328" s="34"/>
      <c r="B1328" s="34"/>
      <c r="C1328" s="34"/>
      <c r="D1328" s="34"/>
      <c r="E1328" s="19"/>
      <c r="F1328" s="19"/>
      <c r="G1328" s="19"/>
      <c r="H1328" s="19"/>
      <c r="I1328" s="19"/>
      <c r="J1328" s="19"/>
      <c r="K1328" s="19"/>
      <c r="L1328" s="19"/>
      <c r="M1328" s="19"/>
      <c r="N1328" s="19"/>
      <c r="O1328" s="19"/>
      <c r="P1328" s="19"/>
      <c r="Q1328" s="19"/>
      <c r="R1328" s="20"/>
      <c r="S1328" s="20"/>
      <c r="T1328" s="22"/>
      <c r="U1328" s="22"/>
      <c r="V1328" s="20"/>
      <c r="W1328" s="20"/>
      <c r="X1328" s="20"/>
      <c r="Y1328" s="19"/>
      <c r="Z1328" s="19"/>
      <c r="AA1328" s="19"/>
      <c r="AB1328" s="23"/>
    </row>
    <row r="1329" spans="1:28" ht="15.75" customHeight="1" x14ac:dyDescent="0.2">
      <c r="A1329" s="34"/>
      <c r="B1329" s="34"/>
      <c r="C1329" s="34"/>
      <c r="D1329" s="34"/>
      <c r="E1329" s="19"/>
      <c r="F1329" s="19"/>
      <c r="G1329" s="19"/>
      <c r="H1329" s="19"/>
      <c r="I1329" s="19"/>
      <c r="J1329" s="19"/>
      <c r="K1329" s="19"/>
      <c r="L1329" s="19"/>
      <c r="M1329" s="19"/>
      <c r="N1329" s="19"/>
      <c r="O1329" s="19"/>
      <c r="P1329" s="19"/>
      <c r="Q1329" s="19"/>
      <c r="R1329" s="20"/>
      <c r="S1329" s="20"/>
      <c r="T1329" s="22"/>
      <c r="U1329" s="22"/>
      <c r="V1329" s="20"/>
      <c r="W1329" s="20"/>
      <c r="X1329" s="20"/>
      <c r="Y1329" s="19"/>
      <c r="Z1329" s="19"/>
      <c r="AA1329" s="19"/>
      <c r="AB1329" s="23"/>
    </row>
    <row r="1330" spans="1:28" ht="15.75" customHeight="1" x14ac:dyDescent="0.2">
      <c r="A1330" s="34"/>
      <c r="B1330" s="34"/>
      <c r="C1330" s="34"/>
      <c r="D1330" s="34"/>
      <c r="E1330" s="19"/>
      <c r="F1330" s="19"/>
      <c r="G1330" s="19"/>
      <c r="H1330" s="19"/>
      <c r="I1330" s="19"/>
      <c r="J1330" s="19"/>
      <c r="K1330" s="19"/>
      <c r="L1330" s="19"/>
      <c r="M1330" s="19"/>
      <c r="N1330" s="19"/>
      <c r="O1330" s="19"/>
      <c r="P1330" s="19"/>
      <c r="Q1330" s="19"/>
      <c r="R1330" s="20"/>
      <c r="S1330" s="20"/>
      <c r="T1330" s="22"/>
      <c r="U1330" s="22"/>
      <c r="V1330" s="20"/>
      <c r="W1330" s="20"/>
      <c r="X1330" s="20"/>
      <c r="Y1330" s="19"/>
      <c r="Z1330" s="19"/>
      <c r="AA1330" s="19"/>
      <c r="AB1330" s="23"/>
    </row>
    <row r="1331" spans="1:28" ht="15.75" customHeight="1" x14ac:dyDescent="0.2">
      <c r="A1331" s="34"/>
      <c r="B1331" s="34"/>
      <c r="C1331" s="34"/>
      <c r="D1331" s="34"/>
      <c r="E1331" s="19"/>
      <c r="F1331" s="19"/>
      <c r="G1331" s="19"/>
      <c r="H1331" s="19"/>
      <c r="I1331" s="19"/>
      <c r="J1331" s="19"/>
      <c r="K1331" s="19"/>
      <c r="L1331" s="19"/>
      <c r="M1331" s="19"/>
      <c r="N1331" s="19"/>
      <c r="O1331" s="19"/>
      <c r="P1331" s="19"/>
      <c r="Q1331" s="19"/>
      <c r="R1331" s="20"/>
      <c r="S1331" s="20"/>
      <c r="T1331" s="22"/>
      <c r="U1331" s="22"/>
      <c r="V1331" s="20"/>
      <c r="W1331" s="20"/>
      <c r="X1331" s="20"/>
      <c r="Y1331" s="19"/>
      <c r="Z1331" s="19"/>
      <c r="AA1331" s="19"/>
      <c r="AB1331" s="23"/>
    </row>
    <row r="1332" spans="1:28" ht="15.75" customHeight="1" x14ac:dyDescent="0.2">
      <c r="A1332" s="34"/>
      <c r="B1332" s="34"/>
      <c r="C1332" s="34"/>
      <c r="D1332" s="34"/>
      <c r="E1332" s="19"/>
      <c r="F1332" s="19"/>
      <c r="G1332" s="19"/>
      <c r="H1332" s="19"/>
      <c r="I1332" s="19"/>
      <c r="J1332" s="19"/>
      <c r="K1332" s="19"/>
      <c r="L1332" s="19"/>
      <c r="M1332" s="19"/>
      <c r="N1332" s="19"/>
      <c r="O1332" s="19"/>
      <c r="P1332" s="19"/>
      <c r="Q1332" s="19"/>
      <c r="R1332" s="20"/>
      <c r="S1332" s="20"/>
      <c r="T1332" s="22"/>
      <c r="U1332" s="22"/>
      <c r="V1332" s="20"/>
      <c r="W1332" s="20"/>
      <c r="X1332" s="20"/>
      <c r="Y1332" s="19"/>
      <c r="Z1332" s="19"/>
      <c r="AA1332" s="19"/>
      <c r="AB1332" s="23"/>
    </row>
    <row r="1333" spans="1:28" ht="15.75" customHeight="1" x14ac:dyDescent="0.2">
      <c r="A1333" s="34"/>
      <c r="B1333" s="34"/>
      <c r="C1333" s="34"/>
      <c r="D1333" s="34"/>
      <c r="E1333" s="19"/>
      <c r="F1333" s="19"/>
      <c r="G1333" s="19"/>
      <c r="H1333" s="19"/>
      <c r="I1333" s="19"/>
      <c r="J1333" s="19"/>
      <c r="K1333" s="19"/>
      <c r="L1333" s="19"/>
      <c r="M1333" s="19"/>
      <c r="N1333" s="19"/>
      <c r="O1333" s="19"/>
      <c r="P1333" s="19"/>
      <c r="Q1333" s="19"/>
      <c r="R1333" s="20"/>
      <c r="S1333" s="20"/>
      <c r="T1333" s="22"/>
      <c r="U1333" s="22"/>
      <c r="V1333" s="20"/>
      <c r="W1333" s="20"/>
      <c r="X1333" s="20"/>
      <c r="Y1333" s="19"/>
      <c r="Z1333" s="19"/>
      <c r="AA1333" s="19"/>
      <c r="AB1333" s="23"/>
    </row>
    <row r="1334" spans="1:28" ht="15.75" customHeight="1" x14ac:dyDescent="0.2">
      <c r="A1334" s="34"/>
      <c r="B1334" s="34"/>
      <c r="C1334" s="34"/>
      <c r="D1334" s="34"/>
      <c r="E1334" s="19"/>
      <c r="F1334" s="19"/>
      <c r="G1334" s="19"/>
      <c r="H1334" s="19"/>
      <c r="I1334" s="19"/>
      <c r="J1334" s="19"/>
      <c r="K1334" s="19"/>
      <c r="L1334" s="19"/>
      <c r="M1334" s="19"/>
      <c r="N1334" s="19"/>
      <c r="O1334" s="19"/>
      <c r="P1334" s="19"/>
      <c r="Q1334" s="19"/>
      <c r="R1334" s="20"/>
      <c r="S1334" s="20"/>
      <c r="T1334" s="22"/>
      <c r="U1334" s="22"/>
      <c r="V1334" s="20"/>
      <c r="W1334" s="20"/>
      <c r="X1334" s="20"/>
      <c r="Y1334" s="19"/>
      <c r="Z1334" s="19"/>
      <c r="AA1334" s="19"/>
      <c r="AB1334" s="23"/>
    </row>
    <row r="1335" spans="1:28" ht="15.75" customHeight="1" x14ac:dyDescent="0.2">
      <c r="A1335" s="34"/>
      <c r="B1335" s="34"/>
      <c r="C1335" s="34"/>
      <c r="D1335" s="34"/>
      <c r="E1335" s="19"/>
      <c r="F1335" s="19"/>
      <c r="G1335" s="19"/>
      <c r="H1335" s="19"/>
      <c r="I1335" s="19"/>
      <c r="J1335" s="19"/>
      <c r="K1335" s="19"/>
      <c r="L1335" s="19"/>
      <c r="M1335" s="19"/>
      <c r="N1335" s="19"/>
      <c r="O1335" s="19"/>
      <c r="P1335" s="19"/>
      <c r="Q1335" s="19"/>
      <c r="R1335" s="20"/>
      <c r="S1335" s="20"/>
      <c r="T1335" s="22"/>
      <c r="U1335" s="22"/>
      <c r="V1335" s="20"/>
      <c r="W1335" s="20"/>
      <c r="X1335" s="20"/>
      <c r="Y1335" s="19"/>
      <c r="Z1335" s="19"/>
      <c r="AA1335" s="19"/>
      <c r="AB1335" s="23"/>
    </row>
    <row r="1336" spans="1:28" ht="15.75" customHeight="1" x14ac:dyDescent="0.2">
      <c r="A1336" s="34"/>
      <c r="B1336" s="34"/>
      <c r="C1336" s="34"/>
      <c r="D1336" s="34"/>
      <c r="E1336" s="19"/>
      <c r="F1336" s="19"/>
      <c r="G1336" s="19"/>
      <c r="H1336" s="19"/>
      <c r="I1336" s="19"/>
      <c r="J1336" s="19"/>
      <c r="K1336" s="19"/>
      <c r="L1336" s="19"/>
      <c r="M1336" s="19"/>
      <c r="N1336" s="19"/>
      <c r="O1336" s="19"/>
      <c r="P1336" s="19"/>
      <c r="Q1336" s="19"/>
      <c r="R1336" s="20"/>
      <c r="S1336" s="20"/>
      <c r="T1336" s="22"/>
      <c r="U1336" s="22"/>
      <c r="V1336" s="20"/>
      <c r="W1336" s="20"/>
      <c r="X1336" s="20"/>
      <c r="Y1336" s="19"/>
      <c r="Z1336" s="19"/>
      <c r="AA1336" s="19"/>
      <c r="AB1336" s="23"/>
    </row>
    <row r="1337" spans="1:28" ht="15.75" customHeight="1" x14ac:dyDescent="0.2">
      <c r="A1337" s="34"/>
      <c r="B1337" s="34"/>
      <c r="C1337" s="34"/>
      <c r="D1337" s="34"/>
      <c r="E1337" s="19"/>
      <c r="F1337" s="19"/>
      <c r="G1337" s="19"/>
      <c r="H1337" s="19"/>
      <c r="I1337" s="19"/>
      <c r="J1337" s="19"/>
      <c r="K1337" s="19"/>
      <c r="L1337" s="19"/>
      <c r="M1337" s="19"/>
      <c r="N1337" s="19"/>
      <c r="O1337" s="19"/>
      <c r="P1337" s="19"/>
      <c r="Q1337" s="19"/>
      <c r="R1337" s="20"/>
      <c r="S1337" s="20"/>
      <c r="T1337" s="22"/>
      <c r="U1337" s="22"/>
      <c r="V1337" s="20"/>
      <c r="W1337" s="20"/>
      <c r="X1337" s="20"/>
      <c r="Y1337" s="19"/>
      <c r="Z1337" s="19"/>
      <c r="AA1337" s="19"/>
      <c r="AB1337" s="23"/>
    </row>
    <row r="1338" spans="1:28" ht="15.75" customHeight="1" x14ac:dyDescent="0.2">
      <c r="A1338" s="34"/>
      <c r="B1338" s="34"/>
      <c r="C1338" s="34"/>
      <c r="D1338" s="34"/>
      <c r="E1338" s="19"/>
      <c r="F1338" s="19"/>
      <c r="G1338" s="19"/>
      <c r="H1338" s="19"/>
      <c r="I1338" s="19"/>
      <c r="J1338" s="19"/>
      <c r="K1338" s="19"/>
      <c r="L1338" s="19"/>
      <c r="M1338" s="19"/>
      <c r="N1338" s="19"/>
      <c r="O1338" s="19"/>
      <c r="P1338" s="19"/>
      <c r="Q1338" s="19"/>
      <c r="R1338" s="20"/>
      <c r="S1338" s="20"/>
      <c r="T1338" s="22"/>
      <c r="U1338" s="22"/>
      <c r="V1338" s="20"/>
      <c r="W1338" s="20"/>
      <c r="X1338" s="20"/>
      <c r="Y1338" s="19"/>
      <c r="Z1338" s="19"/>
      <c r="AA1338" s="19"/>
      <c r="AB1338" s="23"/>
    </row>
    <row r="1339" spans="1:28" ht="15.75" customHeight="1" x14ac:dyDescent="0.2">
      <c r="A1339" s="34"/>
      <c r="B1339" s="34"/>
      <c r="C1339" s="34"/>
      <c r="D1339" s="34"/>
      <c r="E1339" s="19"/>
      <c r="F1339" s="19"/>
      <c r="G1339" s="19"/>
      <c r="H1339" s="19"/>
      <c r="I1339" s="19"/>
      <c r="J1339" s="19"/>
      <c r="K1339" s="19"/>
      <c r="L1339" s="19"/>
      <c r="M1339" s="19"/>
      <c r="N1339" s="19"/>
      <c r="O1339" s="19"/>
      <c r="P1339" s="19"/>
      <c r="Q1339" s="19"/>
      <c r="R1339" s="20"/>
      <c r="S1339" s="20"/>
      <c r="T1339" s="22"/>
      <c r="U1339" s="22"/>
      <c r="V1339" s="20"/>
      <c r="W1339" s="20"/>
      <c r="X1339" s="20"/>
      <c r="Y1339" s="19"/>
      <c r="Z1339" s="19"/>
      <c r="AA1339" s="19"/>
      <c r="AB1339" s="23"/>
    </row>
    <row r="1340" spans="1:28" ht="15.75" customHeight="1" x14ac:dyDescent="0.2">
      <c r="A1340" s="34"/>
      <c r="B1340" s="34"/>
      <c r="C1340" s="34"/>
      <c r="D1340" s="34"/>
      <c r="E1340" s="19"/>
      <c r="F1340" s="19"/>
      <c r="G1340" s="19"/>
      <c r="H1340" s="19"/>
      <c r="I1340" s="19"/>
      <c r="J1340" s="19"/>
      <c r="K1340" s="19"/>
      <c r="L1340" s="19"/>
      <c r="M1340" s="19"/>
      <c r="N1340" s="19"/>
      <c r="O1340" s="19"/>
      <c r="P1340" s="19"/>
      <c r="Q1340" s="19"/>
      <c r="R1340" s="20"/>
      <c r="S1340" s="20"/>
      <c r="T1340" s="22"/>
      <c r="U1340" s="22"/>
      <c r="V1340" s="20"/>
      <c r="W1340" s="20"/>
      <c r="X1340" s="20"/>
      <c r="Y1340" s="19"/>
      <c r="Z1340" s="19"/>
      <c r="AA1340" s="19"/>
      <c r="AB1340" s="23"/>
    </row>
    <row r="1341" spans="1:28" ht="15.75" customHeight="1" x14ac:dyDescent="0.2">
      <c r="A1341" s="34"/>
      <c r="B1341" s="34"/>
      <c r="C1341" s="34"/>
      <c r="D1341" s="34"/>
      <c r="E1341" s="19"/>
      <c r="F1341" s="19"/>
      <c r="G1341" s="19"/>
      <c r="H1341" s="19"/>
      <c r="I1341" s="19"/>
      <c r="J1341" s="19"/>
      <c r="K1341" s="19"/>
      <c r="L1341" s="19"/>
      <c r="M1341" s="19"/>
      <c r="N1341" s="19"/>
      <c r="O1341" s="19"/>
      <c r="P1341" s="19"/>
      <c r="Q1341" s="19"/>
      <c r="R1341" s="20"/>
      <c r="S1341" s="20"/>
      <c r="T1341" s="22"/>
      <c r="U1341" s="22"/>
      <c r="V1341" s="20"/>
      <c r="W1341" s="20"/>
      <c r="X1341" s="20"/>
      <c r="Y1341" s="19"/>
      <c r="Z1341" s="19"/>
      <c r="AA1341" s="19"/>
      <c r="AB1341" s="23"/>
    </row>
    <row r="1342" spans="1:28" ht="15.75" customHeight="1" x14ac:dyDescent="0.2">
      <c r="A1342" s="34"/>
      <c r="B1342" s="34"/>
      <c r="C1342" s="34"/>
      <c r="D1342" s="34"/>
      <c r="E1342" s="19"/>
      <c r="F1342" s="19"/>
      <c r="G1342" s="19"/>
      <c r="H1342" s="19"/>
      <c r="I1342" s="19"/>
      <c r="J1342" s="19"/>
      <c r="K1342" s="19"/>
      <c r="L1342" s="19"/>
      <c r="M1342" s="19"/>
      <c r="N1342" s="19"/>
      <c r="O1342" s="19"/>
      <c r="P1342" s="19"/>
      <c r="Q1342" s="19"/>
      <c r="R1342" s="20"/>
      <c r="S1342" s="20"/>
      <c r="T1342" s="22"/>
      <c r="U1342" s="22"/>
      <c r="V1342" s="20"/>
      <c r="W1342" s="20"/>
      <c r="X1342" s="20"/>
      <c r="Y1342" s="19"/>
      <c r="Z1342" s="19"/>
      <c r="AA1342" s="19"/>
      <c r="AB1342" s="23"/>
    </row>
    <row r="1343" spans="1:28" ht="15.75" customHeight="1" x14ac:dyDescent="0.2">
      <c r="A1343" s="34"/>
      <c r="B1343" s="34"/>
      <c r="C1343" s="34"/>
      <c r="D1343" s="34"/>
      <c r="E1343" s="19"/>
      <c r="F1343" s="19"/>
      <c r="G1343" s="19"/>
      <c r="H1343" s="19"/>
      <c r="I1343" s="19"/>
      <c r="J1343" s="19"/>
      <c r="K1343" s="19"/>
      <c r="L1343" s="19"/>
      <c r="M1343" s="19"/>
      <c r="N1343" s="19"/>
      <c r="O1343" s="19"/>
      <c r="P1343" s="19"/>
      <c r="Q1343" s="19"/>
      <c r="R1343" s="20"/>
      <c r="S1343" s="20"/>
      <c r="T1343" s="22"/>
      <c r="U1343" s="22"/>
      <c r="V1343" s="20"/>
      <c r="W1343" s="20"/>
      <c r="X1343" s="20"/>
      <c r="Y1343" s="19"/>
      <c r="Z1343" s="19"/>
      <c r="AA1343" s="19"/>
      <c r="AB1343" s="23"/>
    </row>
    <row r="1344" spans="1:28" ht="15.75" customHeight="1" x14ac:dyDescent="0.2">
      <c r="A1344" s="34"/>
      <c r="B1344" s="34"/>
      <c r="C1344" s="34"/>
      <c r="D1344" s="34"/>
      <c r="E1344" s="19"/>
      <c r="F1344" s="19"/>
      <c r="G1344" s="19"/>
      <c r="H1344" s="19"/>
      <c r="I1344" s="19"/>
      <c r="J1344" s="19"/>
      <c r="K1344" s="19"/>
      <c r="L1344" s="19"/>
      <c r="M1344" s="19"/>
      <c r="N1344" s="19"/>
      <c r="O1344" s="19"/>
      <c r="P1344" s="19"/>
      <c r="Q1344" s="19"/>
      <c r="R1344" s="20"/>
      <c r="S1344" s="20"/>
      <c r="T1344" s="22"/>
      <c r="U1344" s="22"/>
      <c r="V1344" s="20"/>
      <c r="W1344" s="20"/>
      <c r="X1344" s="20"/>
      <c r="Y1344" s="19"/>
      <c r="Z1344" s="19"/>
      <c r="AA1344" s="19"/>
      <c r="AB1344" s="23"/>
    </row>
    <row r="1345" spans="1:28" ht="15.75" customHeight="1" x14ac:dyDescent="0.2">
      <c r="A1345" s="34"/>
      <c r="B1345" s="34"/>
      <c r="C1345" s="34"/>
      <c r="D1345" s="34"/>
      <c r="E1345" s="19"/>
      <c r="F1345" s="19"/>
      <c r="G1345" s="19"/>
      <c r="H1345" s="19"/>
      <c r="I1345" s="19"/>
      <c r="J1345" s="19"/>
      <c r="K1345" s="19"/>
      <c r="L1345" s="19"/>
      <c r="M1345" s="19"/>
      <c r="N1345" s="19"/>
      <c r="O1345" s="19"/>
      <c r="P1345" s="19"/>
      <c r="Q1345" s="19"/>
      <c r="R1345" s="20"/>
      <c r="S1345" s="20"/>
      <c r="T1345" s="22"/>
      <c r="U1345" s="22"/>
      <c r="V1345" s="20"/>
      <c r="W1345" s="20"/>
      <c r="X1345" s="20"/>
      <c r="Y1345" s="19"/>
      <c r="Z1345" s="19"/>
      <c r="AA1345" s="19"/>
      <c r="AB1345" s="23"/>
    </row>
    <row r="1346" spans="1:28" ht="15.75" customHeight="1" x14ac:dyDescent="0.2">
      <c r="A1346" s="34"/>
      <c r="B1346" s="34"/>
      <c r="C1346" s="34"/>
      <c r="D1346" s="34"/>
      <c r="E1346" s="19"/>
      <c r="F1346" s="19"/>
      <c r="G1346" s="19"/>
      <c r="H1346" s="19"/>
      <c r="I1346" s="19"/>
      <c r="J1346" s="19"/>
      <c r="K1346" s="19"/>
      <c r="L1346" s="19"/>
      <c r="M1346" s="19"/>
      <c r="N1346" s="19"/>
      <c r="O1346" s="19"/>
      <c r="P1346" s="19"/>
      <c r="Q1346" s="19"/>
      <c r="R1346" s="20"/>
      <c r="S1346" s="20"/>
      <c r="T1346" s="22"/>
      <c r="U1346" s="22"/>
      <c r="V1346" s="20"/>
      <c r="W1346" s="20"/>
      <c r="X1346" s="20"/>
      <c r="Y1346" s="19"/>
      <c r="Z1346" s="19"/>
      <c r="AA1346" s="19"/>
      <c r="AB1346" s="23"/>
    </row>
    <row r="1347" spans="1:28" ht="15.75" customHeight="1" x14ac:dyDescent="0.2">
      <c r="A1347" s="34"/>
      <c r="B1347" s="34"/>
      <c r="C1347" s="34"/>
      <c r="D1347" s="34"/>
      <c r="E1347" s="19"/>
      <c r="F1347" s="19"/>
      <c r="G1347" s="19"/>
      <c r="H1347" s="19"/>
      <c r="I1347" s="19"/>
      <c r="J1347" s="19"/>
      <c r="K1347" s="19"/>
      <c r="L1347" s="19"/>
      <c r="M1347" s="19"/>
      <c r="N1347" s="19"/>
      <c r="O1347" s="19"/>
      <c r="P1347" s="19"/>
      <c r="Q1347" s="19"/>
      <c r="R1347" s="20"/>
      <c r="S1347" s="20"/>
      <c r="T1347" s="22"/>
      <c r="U1347" s="22"/>
      <c r="V1347" s="20"/>
      <c r="W1347" s="20"/>
      <c r="X1347" s="20"/>
      <c r="Y1347" s="19"/>
      <c r="Z1347" s="19"/>
      <c r="AA1347" s="19"/>
      <c r="AB1347" s="23"/>
    </row>
    <row r="1348" spans="1:28" ht="15.75" customHeight="1" x14ac:dyDescent="0.2">
      <c r="A1348" s="34"/>
      <c r="B1348" s="34"/>
      <c r="C1348" s="34"/>
      <c r="D1348" s="34"/>
      <c r="E1348" s="19"/>
      <c r="F1348" s="19"/>
      <c r="G1348" s="19"/>
      <c r="H1348" s="19"/>
      <c r="I1348" s="19"/>
      <c r="J1348" s="19"/>
      <c r="K1348" s="19"/>
      <c r="L1348" s="19"/>
      <c r="M1348" s="19"/>
      <c r="N1348" s="19"/>
      <c r="O1348" s="19"/>
      <c r="P1348" s="19"/>
      <c r="Q1348" s="19"/>
      <c r="R1348" s="20"/>
      <c r="S1348" s="20"/>
      <c r="T1348" s="22"/>
      <c r="U1348" s="22"/>
      <c r="V1348" s="20"/>
      <c r="W1348" s="20"/>
      <c r="X1348" s="20"/>
      <c r="Y1348" s="19"/>
      <c r="Z1348" s="19"/>
      <c r="AA1348" s="19"/>
      <c r="AB1348" s="23"/>
    </row>
    <row r="1349" spans="1:28" ht="15.75" customHeight="1" x14ac:dyDescent="0.2">
      <c r="A1349" s="34"/>
      <c r="B1349" s="34"/>
      <c r="C1349" s="34"/>
      <c r="D1349" s="34"/>
      <c r="E1349" s="19"/>
      <c r="F1349" s="19"/>
      <c r="G1349" s="19"/>
      <c r="H1349" s="19"/>
      <c r="I1349" s="19"/>
      <c r="J1349" s="19"/>
      <c r="K1349" s="19"/>
      <c r="L1349" s="19"/>
      <c r="M1349" s="19"/>
      <c r="N1349" s="19"/>
      <c r="O1349" s="19"/>
      <c r="P1349" s="19"/>
      <c r="Q1349" s="19"/>
      <c r="R1349" s="20"/>
      <c r="S1349" s="20"/>
      <c r="T1349" s="22"/>
      <c r="U1349" s="22"/>
      <c r="V1349" s="20"/>
      <c r="W1349" s="20"/>
      <c r="X1349" s="20"/>
      <c r="Y1349" s="19"/>
      <c r="Z1349" s="19"/>
      <c r="AA1349" s="19"/>
      <c r="AB1349" s="23"/>
    </row>
    <row r="1350" spans="1:28" ht="15.75" customHeight="1" x14ac:dyDescent="0.2">
      <c r="A1350" s="34"/>
      <c r="B1350" s="34"/>
      <c r="C1350" s="34"/>
      <c r="D1350" s="34"/>
      <c r="E1350" s="19"/>
      <c r="F1350" s="19"/>
      <c r="G1350" s="19"/>
      <c r="H1350" s="19"/>
      <c r="I1350" s="19"/>
      <c r="J1350" s="19"/>
      <c r="K1350" s="19"/>
      <c r="L1350" s="19"/>
      <c r="M1350" s="19"/>
      <c r="N1350" s="19"/>
      <c r="O1350" s="19"/>
      <c r="P1350" s="19"/>
      <c r="Q1350" s="19"/>
      <c r="R1350" s="20"/>
      <c r="S1350" s="20"/>
      <c r="T1350" s="22"/>
      <c r="U1350" s="22"/>
      <c r="V1350" s="20"/>
      <c r="W1350" s="20"/>
      <c r="X1350" s="20"/>
      <c r="Y1350" s="19"/>
      <c r="Z1350" s="19"/>
      <c r="AA1350" s="19"/>
      <c r="AB1350" s="23"/>
    </row>
    <row r="1351" spans="1:28" ht="15.75" customHeight="1" x14ac:dyDescent="0.2">
      <c r="A1351" s="34"/>
      <c r="B1351" s="34"/>
      <c r="C1351" s="34"/>
      <c r="D1351" s="34"/>
      <c r="E1351" s="19"/>
      <c r="F1351" s="19"/>
      <c r="G1351" s="19"/>
      <c r="H1351" s="19"/>
      <c r="I1351" s="19"/>
      <c r="J1351" s="19"/>
      <c r="K1351" s="19"/>
      <c r="L1351" s="19"/>
      <c r="M1351" s="19"/>
      <c r="N1351" s="19"/>
      <c r="O1351" s="19"/>
      <c r="P1351" s="19"/>
      <c r="Q1351" s="19"/>
      <c r="R1351" s="20"/>
      <c r="S1351" s="20"/>
      <c r="T1351" s="22"/>
      <c r="U1351" s="22"/>
      <c r="V1351" s="20"/>
      <c r="W1351" s="20"/>
      <c r="X1351" s="20"/>
      <c r="Y1351" s="19"/>
      <c r="Z1351" s="19"/>
      <c r="AA1351" s="19"/>
      <c r="AB1351" s="23"/>
    </row>
    <row r="1352" spans="1:28" ht="15.75" customHeight="1" x14ac:dyDescent="0.2">
      <c r="A1352" s="34"/>
      <c r="B1352" s="34"/>
      <c r="C1352" s="34"/>
      <c r="D1352" s="34"/>
      <c r="E1352" s="19"/>
      <c r="F1352" s="19"/>
      <c r="G1352" s="19"/>
      <c r="H1352" s="19"/>
      <c r="I1352" s="19"/>
      <c r="J1352" s="19"/>
      <c r="K1352" s="19"/>
      <c r="L1352" s="19"/>
      <c r="M1352" s="19"/>
      <c r="N1352" s="19"/>
      <c r="O1352" s="19"/>
      <c r="P1352" s="19"/>
      <c r="Q1352" s="19"/>
      <c r="R1352" s="20"/>
      <c r="S1352" s="20"/>
      <c r="T1352" s="22"/>
      <c r="U1352" s="22"/>
      <c r="V1352" s="20"/>
      <c r="W1352" s="20"/>
      <c r="X1352" s="20"/>
      <c r="Y1352" s="19"/>
      <c r="Z1352" s="19"/>
      <c r="AA1352" s="19"/>
      <c r="AB1352" s="23"/>
    </row>
    <row r="1353" spans="1:28" ht="15.75" customHeight="1" x14ac:dyDescent="0.2">
      <c r="A1353" s="34"/>
      <c r="B1353" s="34"/>
      <c r="C1353" s="34"/>
      <c r="D1353" s="34"/>
      <c r="E1353" s="19"/>
      <c r="F1353" s="19"/>
      <c r="G1353" s="19"/>
      <c r="H1353" s="19"/>
      <c r="I1353" s="19"/>
      <c r="J1353" s="19"/>
      <c r="K1353" s="19"/>
      <c r="L1353" s="19"/>
      <c r="M1353" s="19"/>
      <c r="N1353" s="19"/>
      <c r="O1353" s="19"/>
      <c r="P1353" s="19"/>
      <c r="Q1353" s="19"/>
      <c r="R1353" s="20"/>
      <c r="S1353" s="20"/>
      <c r="T1353" s="22"/>
      <c r="U1353" s="22"/>
      <c r="V1353" s="20"/>
      <c r="W1353" s="20"/>
      <c r="X1353" s="20"/>
      <c r="Y1353" s="19"/>
      <c r="Z1353" s="19"/>
      <c r="AA1353" s="19"/>
      <c r="AB1353" s="23"/>
    </row>
    <row r="1354" spans="1:28" ht="15.75" customHeight="1" x14ac:dyDescent="0.2">
      <c r="A1354" s="34"/>
      <c r="B1354" s="34"/>
      <c r="C1354" s="34"/>
      <c r="D1354" s="34"/>
      <c r="E1354" s="19"/>
      <c r="F1354" s="19"/>
      <c r="G1354" s="19"/>
      <c r="H1354" s="19"/>
      <c r="I1354" s="19"/>
      <c r="J1354" s="19"/>
      <c r="K1354" s="19"/>
      <c r="L1354" s="19"/>
      <c r="M1354" s="19"/>
      <c r="N1354" s="19"/>
      <c r="O1354" s="19"/>
      <c r="P1354" s="19"/>
      <c r="Q1354" s="19"/>
      <c r="R1354" s="20"/>
      <c r="S1354" s="20"/>
      <c r="T1354" s="22"/>
      <c r="U1354" s="22"/>
      <c r="V1354" s="20"/>
      <c r="W1354" s="20"/>
      <c r="X1354" s="20"/>
      <c r="Y1354" s="19"/>
      <c r="Z1354" s="19"/>
      <c r="AA1354" s="19"/>
      <c r="AB1354" s="23"/>
    </row>
    <row r="1355" spans="1:28" ht="15.75" customHeight="1" x14ac:dyDescent="0.2">
      <c r="A1355" s="34"/>
      <c r="B1355" s="34"/>
      <c r="C1355" s="34"/>
      <c r="D1355" s="34"/>
      <c r="E1355" s="19"/>
      <c r="F1355" s="19"/>
      <c r="G1355" s="19"/>
      <c r="H1355" s="19"/>
      <c r="I1355" s="19"/>
      <c r="J1355" s="19"/>
      <c r="K1355" s="19"/>
      <c r="L1355" s="19"/>
      <c r="M1355" s="19"/>
      <c r="N1355" s="19"/>
      <c r="O1355" s="19"/>
      <c r="P1355" s="19"/>
      <c r="Q1355" s="19"/>
      <c r="R1355" s="20"/>
      <c r="S1355" s="20"/>
      <c r="T1355" s="22"/>
      <c r="U1355" s="22"/>
      <c r="V1355" s="20"/>
      <c r="W1355" s="20"/>
      <c r="X1355" s="20"/>
      <c r="Y1355" s="19"/>
      <c r="Z1355" s="19"/>
      <c r="AA1355" s="19"/>
      <c r="AB1355" s="23"/>
    </row>
    <row r="1356" spans="1:28" ht="15.75" customHeight="1" x14ac:dyDescent="0.2">
      <c r="A1356" s="34"/>
      <c r="B1356" s="34"/>
      <c r="C1356" s="34"/>
      <c r="D1356" s="34"/>
      <c r="E1356" s="19"/>
      <c r="F1356" s="19"/>
      <c r="G1356" s="19"/>
      <c r="H1356" s="19"/>
      <c r="I1356" s="19"/>
      <c r="J1356" s="19"/>
      <c r="K1356" s="19"/>
      <c r="L1356" s="19"/>
      <c r="M1356" s="19"/>
      <c r="N1356" s="19"/>
      <c r="O1356" s="19"/>
      <c r="P1356" s="19"/>
      <c r="Q1356" s="19"/>
      <c r="R1356" s="20"/>
      <c r="S1356" s="20"/>
      <c r="T1356" s="22"/>
      <c r="U1356" s="22"/>
      <c r="V1356" s="20"/>
      <c r="W1356" s="20"/>
      <c r="X1356" s="20"/>
      <c r="Y1356" s="19"/>
      <c r="Z1356" s="19"/>
      <c r="AA1356" s="19"/>
      <c r="AB1356" s="23"/>
    </row>
    <row r="1357" spans="1:28" ht="15.75" customHeight="1" x14ac:dyDescent="0.2">
      <c r="A1357" s="34"/>
      <c r="B1357" s="34"/>
      <c r="C1357" s="34"/>
      <c r="D1357" s="34"/>
      <c r="E1357" s="19"/>
      <c r="F1357" s="19"/>
      <c r="G1357" s="19"/>
      <c r="H1357" s="19"/>
      <c r="I1357" s="19"/>
      <c r="J1357" s="19"/>
      <c r="K1357" s="19"/>
      <c r="L1357" s="19"/>
      <c r="M1357" s="19"/>
      <c r="N1357" s="19"/>
      <c r="O1357" s="19"/>
      <c r="P1357" s="19"/>
      <c r="Q1357" s="19"/>
      <c r="R1357" s="20"/>
      <c r="S1357" s="20"/>
      <c r="T1357" s="22"/>
      <c r="U1357" s="22"/>
      <c r="V1357" s="20"/>
      <c r="W1357" s="20"/>
      <c r="X1357" s="20"/>
      <c r="Y1357" s="19"/>
      <c r="Z1357" s="19"/>
      <c r="AA1357" s="19"/>
      <c r="AB1357" s="23"/>
    </row>
    <row r="1358" spans="1:28" ht="15.75" customHeight="1" x14ac:dyDescent="0.2">
      <c r="A1358" s="34"/>
      <c r="B1358" s="34"/>
      <c r="C1358" s="34"/>
      <c r="D1358" s="34"/>
      <c r="E1358" s="19"/>
      <c r="F1358" s="19"/>
      <c r="G1358" s="19"/>
      <c r="H1358" s="19"/>
      <c r="I1358" s="19"/>
      <c r="J1358" s="19"/>
      <c r="K1358" s="19"/>
      <c r="L1358" s="19"/>
      <c r="M1358" s="19"/>
      <c r="N1358" s="19"/>
      <c r="O1358" s="19"/>
      <c r="P1358" s="19"/>
      <c r="Q1358" s="19"/>
      <c r="R1358" s="20"/>
      <c r="S1358" s="20"/>
      <c r="T1358" s="22"/>
      <c r="U1358" s="22"/>
      <c r="V1358" s="20"/>
      <c r="W1358" s="20"/>
      <c r="X1358" s="20"/>
      <c r="Y1358" s="19"/>
      <c r="Z1358" s="19"/>
      <c r="AA1358" s="19"/>
      <c r="AB1358" s="23"/>
    </row>
    <row r="1359" spans="1:28" ht="15.75" customHeight="1" x14ac:dyDescent="0.2">
      <c r="A1359" s="34"/>
      <c r="B1359" s="34"/>
      <c r="C1359" s="34"/>
      <c r="D1359" s="34"/>
      <c r="E1359" s="19"/>
      <c r="F1359" s="19"/>
      <c r="G1359" s="19"/>
      <c r="H1359" s="19"/>
      <c r="I1359" s="19"/>
      <c r="J1359" s="19"/>
      <c r="K1359" s="19"/>
      <c r="L1359" s="19"/>
      <c r="M1359" s="19"/>
      <c r="N1359" s="19"/>
      <c r="O1359" s="19"/>
      <c r="P1359" s="19"/>
      <c r="Q1359" s="19"/>
      <c r="R1359" s="20"/>
      <c r="S1359" s="20"/>
      <c r="T1359" s="22"/>
      <c r="U1359" s="22"/>
      <c r="V1359" s="20"/>
      <c r="W1359" s="20"/>
      <c r="X1359" s="20"/>
      <c r="Y1359" s="19"/>
      <c r="Z1359" s="19"/>
      <c r="AA1359" s="19"/>
      <c r="AB1359" s="23"/>
    </row>
    <row r="1360" spans="1:28" ht="15.75" customHeight="1" x14ac:dyDescent="0.2">
      <c r="A1360" s="34"/>
      <c r="B1360" s="34"/>
      <c r="C1360" s="34"/>
      <c r="D1360" s="34"/>
      <c r="E1360" s="19"/>
      <c r="F1360" s="19"/>
      <c r="G1360" s="19"/>
      <c r="H1360" s="19"/>
      <c r="I1360" s="19"/>
      <c r="J1360" s="19"/>
      <c r="K1360" s="19"/>
      <c r="L1360" s="19"/>
      <c r="M1360" s="19"/>
      <c r="N1360" s="19"/>
      <c r="O1360" s="19"/>
      <c r="P1360" s="19"/>
      <c r="Q1360" s="19"/>
      <c r="R1360" s="20"/>
      <c r="S1360" s="20"/>
      <c r="T1360" s="22"/>
      <c r="U1360" s="22"/>
      <c r="V1360" s="20"/>
      <c r="W1360" s="20"/>
      <c r="X1360" s="20"/>
      <c r="Y1360" s="19"/>
      <c r="Z1360" s="19"/>
      <c r="AA1360" s="19"/>
      <c r="AB1360" s="23"/>
    </row>
    <row r="1361" spans="1:28" ht="15.75" customHeight="1" x14ac:dyDescent="0.2">
      <c r="A1361" s="34"/>
      <c r="B1361" s="34"/>
      <c r="C1361" s="34"/>
      <c r="D1361" s="34"/>
      <c r="E1361" s="19"/>
      <c r="F1361" s="19"/>
      <c r="G1361" s="19"/>
      <c r="H1361" s="19"/>
      <c r="I1361" s="19"/>
      <c r="J1361" s="19"/>
      <c r="K1361" s="19"/>
      <c r="L1361" s="19"/>
      <c r="M1361" s="19"/>
      <c r="N1361" s="19"/>
      <c r="O1361" s="19"/>
      <c r="P1361" s="19"/>
      <c r="Q1361" s="19"/>
      <c r="R1361" s="20"/>
      <c r="S1361" s="20"/>
      <c r="T1361" s="22"/>
      <c r="U1361" s="22"/>
      <c r="V1361" s="20"/>
      <c r="W1361" s="20"/>
      <c r="X1361" s="20"/>
      <c r="Y1361" s="19"/>
      <c r="Z1361" s="19"/>
      <c r="AA1361" s="19"/>
      <c r="AB1361" s="23"/>
    </row>
    <row r="1362" spans="1:28" ht="15.75" customHeight="1" x14ac:dyDescent="0.2">
      <c r="A1362" s="34"/>
      <c r="B1362" s="34"/>
      <c r="C1362" s="34"/>
      <c r="D1362" s="34"/>
      <c r="E1362" s="19"/>
      <c r="F1362" s="19"/>
      <c r="G1362" s="19"/>
      <c r="H1362" s="19"/>
      <c r="I1362" s="19"/>
      <c r="J1362" s="19"/>
      <c r="K1362" s="19"/>
      <c r="L1362" s="19"/>
      <c r="M1362" s="19"/>
      <c r="N1362" s="19"/>
      <c r="O1362" s="19"/>
      <c r="P1362" s="19"/>
      <c r="Q1362" s="19"/>
      <c r="R1362" s="20"/>
      <c r="S1362" s="20"/>
      <c r="T1362" s="22"/>
      <c r="U1362" s="22"/>
      <c r="V1362" s="20"/>
      <c r="W1362" s="20"/>
      <c r="X1362" s="20"/>
      <c r="Y1362" s="19"/>
      <c r="Z1362" s="19"/>
      <c r="AA1362" s="19"/>
      <c r="AB1362" s="23"/>
    </row>
    <row r="1363" spans="1:28" ht="15.75" customHeight="1" x14ac:dyDescent="0.2">
      <c r="A1363" s="34"/>
      <c r="B1363" s="34"/>
      <c r="C1363" s="34"/>
      <c r="D1363" s="34"/>
      <c r="E1363" s="19"/>
      <c r="F1363" s="19"/>
      <c r="G1363" s="19"/>
      <c r="H1363" s="19"/>
      <c r="I1363" s="19"/>
      <c r="J1363" s="19"/>
      <c r="K1363" s="19"/>
      <c r="L1363" s="19"/>
      <c r="M1363" s="19"/>
      <c r="N1363" s="19"/>
      <c r="O1363" s="19"/>
      <c r="P1363" s="19"/>
      <c r="Q1363" s="19"/>
      <c r="R1363" s="20"/>
      <c r="S1363" s="20"/>
      <c r="T1363" s="22"/>
      <c r="U1363" s="22"/>
      <c r="V1363" s="20"/>
      <c r="W1363" s="20"/>
      <c r="X1363" s="20"/>
      <c r="Y1363" s="19"/>
      <c r="Z1363" s="19"/>
      <c r="AA1363" s="19"/>
      <c r="AB1363" s="23"/>
    </row>
    <row r="1364" spans="1:28" ht="15.75" customHeight="1" x14ac:dyDescent="0.2">
      <c r="A1364" s="34"/>
      <c r="B1364" s="34"/>
      <c r="C1364" s="34"/>
      <c r="D1364" s="34"/>
      <c r="E1364" s="19"/>
      <c r="F1364" s="19"/>
      <c r="G1364" s="19"/>
      <c r="H1364" s="19"/>
      <c r="I1364" s="19"/>
      <c r="J1364" s="19"/>
      <c r="K1364" s="19"/>
      <c r="L1364" s="19"/>
      <c r="M1364" s="19"/>
      <c r="N1364" s="19"/>
      <c r="O1364" s="19"/>
      <c r="P1364" s="19"/>
      <c r="Q1364" s="19"/>
      <c r="R1364" s="20"/>
      <c r="S1364" s="20"/>
      <c r="T1364" s="22"/>
      <c r="U1364" s="22"/>
      <c r="V1364" s="20"/>
      <c r="W1364" s="20"/>
      <c r="X1364" s="20"/>
      <c r="Y1364" s="19"/>
      <c r="Z1364" s="19"/>
      <c r="AA1364" s="19"/>
      <c r="AB1364" s="23"/>
    </row>
    <row r="1365" spans="1:28" ht="15.75" customHeight="1" x14ac:dyDescent="0.2">
      <c r="A1365" s="34"/>
      <c r="B1365" s="34"/>
      <c r="C1365" s="34"/>
      <c r="D1365" s="34"/>
      <c r="E1365" s="19"/>
      <c r="F1365" s="19"/>
      <c r="G1365" s="19"/>
      <c r="H1365" s="19"/>
      <c r="I1365" s="19"/>
      <c r="J1365" s="19"/>
      <c r="K1365" s="19"/>
      <c r="L1365" s="19"/>
      <c r="M1365" s="19"/>
      <c r="N1365" s="19"/>
      <c r="O1365" s="19"/>
      <c r="P1365" s="19"/>
      <c r="Q1365" s="19"/>
      <c r="R1365" s="20"/>
      <c r="S1365" s="20"/>
      <c r="T1365" s="22"/>
      <c r="U1365" s="22"/>
      <c r="V1365" s="20"/>
      <c r="W1365" s="20"/>
      <c r="X1365" s="20"/>
      <c r="Y1365" s="19"/>
      <c r="Z1365" s="19"/>
      <c r="AA1365" s="19"/>
      <c r="AB1365" s="23"/>
    </row>
    <row r="1366" spans="1:28" ht="15.75" customHeight="1" x14ac:dyDescent="0.2">
      <c r="A1366" s="34"/>
      <c r="B1366" s="34"/>
      <c r="C1366" s="34"/>
      <c r="D1366" s="34"/>
      <c r="E1366" s="19"/>
      <c r="F1366" s="19"/>
      <c r="G1366" s="19"/>
      <c r="H1366" s="19"/>
      <c r="I1366" s="19"/>
      <c r="J1366" s="19"/>
      <c r="K1366" s="19"/>
      <c r="L1366" s="19"/>
      <c r="M1366" s="19"/>
      <c r="N1366" s="19"/>
      <c r="O1366" s="19"/>
      <c r="P1366" s="19"/>
      <c r="Q1366" s="19"/>
      <c r="R1366" s="20"/>
      <c r="S1366" s="20"/>
      <c r="T1366" s="22"/>
      <c r="U1366" s="22"/>
      <c r="V1366" s="20"/>
      <c r="W1366" s="20"/>
      <c r="X1366" s="20"/>
      <c r="Y1366" s="19"/>
      <c r="Z1366" s="19"/>
      <c r="AA1366" s="19"/>
      <c r="AB1366" s="23"/>
    </row>
    <row r="1367" spans="1:28" ht="15.75" customHeight="1" x14ac:dyDescent="0.2">
      <c r="A1367" s="34"/>
      <c r="B1367" s="34"/>
      <c r="C1367" s="34"/>
      <c r="D1367" s="34"/>
      <c r="E1367" s="19"/>
      <c r="F1367" s="19"/>
      <c r="G1367" s="19"/>
      <c r="H1367" s="19"/>
      <c r="I1367" s="19"/>
      <c r="J1367" s="19"/>
      <c r="K1367" s="19"/>
      <c r="L1367" s="19"/>
      <c r="M1367" s="19"/>
      <c r="N1367" s="19"/>
      <c r="O1367" s="19"/>
      <c r="P1367" s="19"/>
      <c r="Q1367" s="19"/>
      <c r="R1367" s="20"/>
      <c r="S1367" s="20"/>
      <c r="T1367" s="22"/>
      <c r="U1367" s="22"/>
      <c r="V1367" s="20"/>
      <c r="W1367" s="20"/>
      <c r="X1367" s="20"/>
      <c r="Y1367" s="19"/>
      <c r="Z1367" s="19"/>
      <c r="AA1367" s="19"/>
      <c r="AB1367" s="23"/>
    </row>
    <row r="1368" spans="1:28" ht="15.75" customHeight="1" x14ac:dyDescent="0.2">
      <c r="A1368" s="34"/>
      <c r="B1368" s="34"/>
      <c r="C1368" s="34"/>
      <c r="D1368" s="34"/>
      <c r="E1368" s="19"/>
      <c r="F1368" s="19"/>
      <c r="G1368" s="19"/>
      <c r="H1368" s="19"/>
      <c r="I1368" s="19"/>
      <c r="J1368" s="19"/>
      <c r="K1368" s="19"/>
      <c r="L1368" s="19"/>
      <c r="M1368" s="19"/>
      <c r="N1368" s="19"/>
      <c r="O1368" s="19"/>
      <c r="P1368" s="19"/>
      <c r="Q1368" s="19"/>
      <c r="R1368" s="20"/>
      <c r="S1368" s="20"/>
      <c r="T1368" s="22"/>
      <c r="U1368" s="22"/>
      <c r="V1368" s="20"/>
      <c r="W1368" s="20"/>
      <c r="X1368" s="20"/>
      <c r="Y1368" s="19"/>
      <c r="Z1368" s="19"/>
      <c r="AA1368" s="19"/>
      <c r="AB1368" s="23"/>
    </row>
    <row r="1369" spans="1:28" ht="15.75" customHeight="1" x14ac:dyDescent="0.2">
      <c r="A1369" s="34"/>
      <c r="B1369" s="34"/>
      <c r="C1369" s="34"/>
      <c r="D1369" s="34"/>
      <c r="E1369" s="19"/>
      <c r="F1369" s="19"/>
      <c r="G1369" s="19"/>
      <c r="H1369" s="19"/>
      <c r="I1369" s="19"/>
      <c r="J1369" s="19"/>
      <c r="K1369" s="19"/>
      <c r="L1369" s="19"/>
      <c r="M1369" s="19"/>
      <c r="N1369" s="19"/>
      <c r="O1369" s="19"/>
      <c r="P1369" s="19"/>
      <c r="Q1369" s="19"/>
      <c r="R1369" s="20"/>
      <c r="S1369" s="20"/>
      <c r="T1369" s="22"/>
      <c r="U1369" s="22"/>
      <c r="V1369" s="20"/>
      <c r="W1369" s="20"/>
      <c r="X1369" s="20"/>
      <c r="Y1369" s="19"/>
      <c r="Z1369" s="19"/>
      <c r="AA1369" s="19"/>
      <c r="AB1369" s="23"/>
    </row>
    <row r="1370" spans="1:28" ht="15.75" customHeight="1" x14ac:dyDescent="0.2">
      <c r="A1370" s="34"/>
      <c r="B1370" s="34"/>
      <c r="C1370" s="34"/>
      <c r="D1370" s="34"/>
      <c r="E1370" s="19"/>
      <c r="F1370" s="19"/>
      <c r="G1370" s="19"/>
      <c r="H1370" s="19"/>
      <c r="I1370" s="19"/>
      <c r="J1370" s="19"/>
      <c r="K1370" s="19"/>
      <c r="L1370" s="19"/>
      <c r="M1370" s="19"/>
      <c r="N1370" s="19"/>
      <c r="O1370" s="19"/>
      <c r="P1370" s="19"/>
      <c r="Q1370" s="19"/>
      <c r="R1370" s="20"/>
      <c r="S1370" s="20"/>
      <c r="T1370" s="22"/>
      <c r="U1370" s="22"/>
      <c r="V1370" s="20"/>
      <c r="W1370" s="20"/>
      <c r="X1370" s="20"/>
      <c r="Y1370" s="19"/>
      <c r="Z1370" s="19"/>
      <c r="AA1370" s="19"/>
      <c r="AB1370" s="23"/>
    </row>
    <row r="1371" spans="1:28" ht="15.75" customHeight="1" x14ac:dyDescent="0.2">
      <c r="A1371" s="34"/>
      <c r="B1371" s="34"/>
      <c r="C1371" s="34"/>
      <c r="D1371" s="34"/>
      <c r="E1371" s="19"/>
      <c r="F1371" s="19"/>
      <c r="G1371" s="19"/>
      <c r="H1371" s="19"/>
      <c r="I1371" s="19"/>
      <c r="J1371" s="19"/>
      <c r="K1371" s="19"/>
      <c r="L1371" s="19"/>
      <c r="M1371" s="19"/>
      <c r="N1371" s="19"/>
      <c r="O1371" s="19"/>
      <c r="P1371" s="19"/>
      <c r="Q1371" s="19"/>
      <c r="R1371" s="20"/>
      <c r="S1371" s="20"/>
      <c r="T1371" s="22"/>
      <c r="U1371" s="22"/>
      <c r="V1371" s="20"/>
      <c r="W1371" s="20"/>
      <c r="X1371" s="20"/>
      <c r="Y1371" s="19"/>
      <c r="Z1371" s="19"/>
      <c r="AA1371" s="19"/>
      <c r="AB1371" s="23"/>
    </row>
    <row r="1372" spans="1:28" ht="15.75" customHeight="1" x14ac:dyDescent="0.2">
      <c r="A1372" s="34"/>
      <c r="B1372" s="34"/>
      <c r="C1372" s="34"/>
      <c r="D1372" s="34"/>
      <c r="E1372" s="19"/>
      <c r="F1372" s="19"/>
      <c r="G1372" s="19"/>
      <c r="H1372" s="19"/>
      <c r="I1372" s="19"/>
      <c r="J1372" s="19"/>
      <c r="K1372" s="19"/>
      <c r="L1372" s="19"/>
      <c r="M1372" s="19"/>
      <c r="N1372" s="19"/>
      <c r="O1372" s="19"/>
      <c r="P1372" s="19"/>
      <c r="Q1372" s="19"/>
      <c r="R1372" s="20"/>
      <c r="S1372" s="20"/>
      <c r="T1372" s="22"/>
      <c r="U1372" s="22"/>
      <c r="V1372" s="20"/>
      <c r="W1372" s="20"/>
      <c r="X1372" s="20"/>
      <c r="Y1372" s="19"/>
      <c r="Z1372" s="19"/>
      <c r="AA1372" s="19"/>
      <c r="AB1372" s="23"/>
    </row>
    <row r="1373" spans="1:28" ht="15.75" customHeight="1" x14ac:dyDescent="0.2">
      <c r="A1373" s="34"/>
      <c r="B1373" s="34"/>
      <c r="C1373" s="34"/>
      <c r="D1373" s="34"/>
      <c r="E1373" s="19"/>
      <c r="F1373" s="19"/>
      <c r="G1373" s="19"/>
      <c r="H1373" s="19"/>
      <c r="I1373" s="19"/>
      <c r="J1373" s="19"/>
      <c r="K1373" s="19"/>
      <c r="L1373" s="19"/>
      <c r="M1373" s="19"/>
      <c r="N1373" s="19"/>
      <c r="O1373" s="19"/>
      <c r="P1373" s="19"/>
      <c r="Q1373" s="19"/>
      <c r="R1373" s="20"/>
      <c r="S1373" s="20"/>
      <c r="T1373" s="22"/>
      <c r="U1373" s="22"/>
      <c r="V1373" s="20"/>
      <c r="W1373" s="20"/>
      <c r="X1373" s="20"/>
      <c r="Y1373" s="19"/>
      <c r="Z1373" s="19"/>
      <c r="AA1373" s="19"/>
      <c r="AB1373" s="23"/>
    </row>
    <row r="1374" spans="1:28" ht="15.75" customHeight="1" x14ac:dyDescent="0.2">
      <c r="A1374" s="34"/>
      <c r="B1374" s="34"/>
      <c r="C1374" s="34"/>
      <c r="D1374" s="34"/>
      <c r="E1374" s="19"/>
      <c r="F1374" s="19"/>
      <c r="G1374" s="19"/>
      <c r="H1374" s="19"/>
      <c r="I1374" s="19"/>
      <c r="J1374" s="19"/>
      <c r="K1374" s="19"/>
      <c r="L1374" s="19"/>
      <c r="M1374" s="19"/>
      <c r="N1374" s="19"/>
      <c r="O1374" s="19"/>
      <c r="P1374" s="19"/>
      <c r="Q1374" s="19"/>
      <c r="R1374" s="20"/>
      <c r="S1374" s="20"/>
      <c r="T1374" s="22"/>
      <c r="U1374" s="22"/>
      <c r="V1374" s="20"/>
      <c r="W1374" s="20"/>
      <c r="X1374" s="20"/>
      <c r="Y1374" s="19"/>
      <c r="Z1374" s="19"/>
      <c r="AA1374" s="19"/>
      <c r="AB1374" s="23"/>
    </row>
    <row r="1375" spans="1:28" ht="15.75" customHeight="1" x14ac:dyDescent="0.2">
      <c r="A1375" s="34"/>
      <c r="B1375" s="34"/>
      <c r="C1375" s="34"/>
      <c r="D1375" s="34"/>
      <c r="E1375" s="19"/>
      <c r="F1375" s="19"/>
      <c r="G1375" s="19"/>
      <c r="H1375" s="19"/>
      <c r="I1375" s="19"/>
      <c r="J1375" s="19"/>
      <c r="K1375" s="19"/>
      <c r="L1375" s="19"/>
      <c r="M1375" s="19"/>
      <c r="N1375" s="19"/>
      <c r="O1375" s="19"/>
      <c r="P1375" s="19"/>
      <c r="Q1375" s="19"/>
      <c r="R1375" s="20"/>
      <c r="S1375" s="20"/>
      <c r="T1375" s="22"/>
      <c r="U1375" s="22"/>
      <c r="V1375" s="20"/>
      <c r="W1375" s="20"/>
      <c r="X1375" s="20"/>
      <c r="Y1375" s="19"/>
      <c r="Z1375" s="19"/>
      <c r="AA1375" s="19"/>
      <c r="AB1375" s="23"/>
    </row>
    <row r="1376" spans="1:28" ht="15.75" customHeight="1" x14ac:dyDescent="0.2">
      <c r="A1376" s="34"/>
      <c r="B1376" s="34"/>
      <c r="C1376" s="34"/>
      <c r="D1376" s="34"/>
      <c r="E1376" s="19"/>
      <c r="F1376" s="19"/>
      <c r="G1376" s="19"/>
      <c r="H1376" s="19"/>
      <c r="I1376" s="19"/>
      <c r="J1376" s="19"/>
      <c r="K1376" s="19"/>
      <c r="L1376" s="19"/>
      <c r="M1376" s="19"/>
      <c r="N1376" s="19"/>
      <c r="O1376" s="19"/>
      <c r="P1376" s="19"/>
      <c r="Q1376" s="19"/>
      <c r="R1376" s="20"/>
      <c r="S1376" s="20"/>
      <c r="T1376" s="22"/>
      <c r="U1376" s="22"/>
      <c r="V1376" s="20"/>
      <c r="W1376" s="20"/>
      <c r="X1376" s="20"/>
      <c r="Y1376" s="19"/>
      <c r="Z1376" s="19"/>
      <c r="AA1376" s="19"/>
      <c r="AB1376" s="23"/>
    </row>
    <row r="1377" spans="1:28" ht="15.75" customHeight="1" x14ac:dyDescent="0.2">
      <c r="A1377" s="34"/>
      <c r="B1377" s="34"/>
      <c r="C1377" s="34"/>
      <c r="D1377" s="34"/>
      <c r="E1377" s="19"/>
      <c r="F1377" s="19"/>
      <c r="G1377" s="19"/>
      <c r="H1377" s="19"/>
      <c r="I1377" s="19"/>
      <c r="J1377" s="19"/>
      <c r="K1377" s="19"/>
      <c r="L1377" s="19"/>
      <c r="M1377" s="19"/>
      <c r="N1377" s="19"/>
      <c r="O1377" s="19"/>
      <c r="P1377" s="19"/>
      <c r="Q1377" s="19"/>
      <c r="R1377" s="20"/>
      <c r="S1377" s="20"/>
      <c r="T1377" s="22"/>
      <c r="U1377" s="22"/>
      <c r="V1377" s="20"/>
      <c r="W1377" s="20"/>
      <c r="X1377" s="20"/>
      <c r="Y1377" s="19"/>
      <c r="Z1377" s="19"/>
      <c r="AA1377" s="19"/>
      <c r="AB1377" s="23"/>
    </row>
    <row r="1378" spans="1:28" ht="15.75" customHeight="1" x14ac:dyDescent="0.2">
      <c r="A1378" s="34"/>
      <c r="B1378" s="34"/>
      <c r="C1378" s="34"/>
      <c r="D1378" s="34"/>
      <c r="E1378" s="19"/>
      <c r="F1378" s="19"/>
      <c r="G1378" s="19"/>
      <c r="H1378" s="19"/>
      <c r="I1378" s="19"/>
      <c r="J1378" s="19"/>
      <c r="K1378" s="19"/>
      <c r="L1378" s="19"/>
      <c r="M1378" s="19"/>
      <c r="N1378" s="19"/>
      <c r="O1378" s="19"/>
      <c r="P1378" s="19"/>
      <c r="Q1378" s="19"/>
      <c r="R1378" s="20"/>
      <c r="S1378" s="20"/>
      <c r="T1378" s="22"/>
      <c r="U1378" s="22"/>
      <c r="V1378" s="20"/>
      <c r="W1378" s="20"/>
      <c r="X1378" s="20"/>
      <c r="Y1378" s="19"/>
      <c r="Z1378" s="19"/>
      <c r="AA1378" s="19"/>
      <c r="AB1378" s="23"/>
    </row>
    <row r="1379" spans="1:28" ht="15.75" customHeight="1" x14ac:dyDescent="0.2">
      <c r="A1379" s="34"/>
      <c r="B1379" s="34"/>
      <c r="C1379" s="34"/>
      <c r="D1379" s="34"/>
      <c r="E1379" s="19"/>
      <c r="F1379" s="19"/>
      <c r="G1379" s="19"/>
      <c r="H1379" s="19"/>
      <c r="I1379" s="19"/>
      <c r="J1379" s="19"/>
      <c r="K1379" s="19"/>
      <c r="L1379" s="19"/>
      <c r="M1379" s="19"/>
      <c r="N1379" s="19"/>
      <c r="O1379" s="19"/>
      <c r="P1379" s="19"/>
      <c r="Q1379" s="19"/>
      <c r="R1379" s="20"/>
      <c r="S1379" s="20"/>
      <c r="T1379" s="22"/>
      <c r="U1379" s="22"/>
      <c r="V1379" s="20"/>
      <c r="W1379" s="20"/>
      <c r="X1379" s="20"/>
      <c r="Y1379" s="19"/>
      <c r="Z1379" s="19"/>
      <c r="AA1379" s="19"/>
      <c r="AB1379" s="23"/>
    </row>
    <row r="1380" spans="1:28" ht="15.75" customHeight="1" x14ac:dyDescent="0.2">
      <c r="A1380" s="34"/>
      <c r="B1380" s="34"/>
      <c r="C1380" s="34"/>
      <c r="D1380" s="34"/>
      <c r="E1380" s="19"/>
      <c r="F1380" s="19"/>
      <c r="G1380" s="19"/>
      <c r="H1380" s="19"/>
      <c r="I1380" s="19"/>
      <c r="J1380" s="19"/>
      <c r="K1380" s="19"/>
      <c r="L1380" s="19"/>
      <c r="M1380" s="19"/>
      <c r="N1380" s="19"/>
      <c r="O1380" s="19"/>
      <c r="P1380" s="19"/>
      <c r="Q1380" s="19"/>
      <c r="R1380" s="20"/>
      <c r="S1380" s="20"/>
      <c r="T1380" s="22"/>
      <c r="U1380" s="22"/>
      <c r="V1380" s="20"/>
      <c r="W1380" s="20"/>
      <c r="X1380" s="20"/>
      <c r="Y1380" s="19"/>
      <c r="Z1380" s="19"/>
      <c r="AA1380" s="19"/>
      <c r="AB1380" s="23"/>
    </row>
    <row r="1381" spans="1:28" ht="15.75" customHeight="1" x14ac:dyDescent="0.2">
      <c r="A1381" s="34"/>
      <c r="B1381" s="34"/>
      <c r="C1381" s="34"/>
      <c r="D1381" s="34"/>
      <c r="E1381" s="19"/>
      <c r="F1381" s="19"/>
      <c r="G1381" s="19"/>
      <c r="H1381" s="19"/>
      <c r="I1381" s="19"/>
      <c r="J1381" s="19"/>
      <c r="K1381" s="19"/>
      <c r="L1381" s="19"/>
      <c r="M1381" s="19"/>
      <c r="N1381" s="19"/>
      <c r="O1381" s="19"/>
      <c r="P1381" s="19"/>
      <c r="Q1381" s="19"/>
      <c r="R1381" s="20"/>
      <c r="S1381" s="20"/>
      <c r="T1381" s="22"/>
      <c r="U1381" s="22"/>
      <c r="V1381" s="20"/>
      <c r="W1381" s="20"/>
      <c r="X1381" s="20"/>
      <c r="Y1381" s="19"/>
      <c r="Z1381" s="19"/>
      <c r="AA1381" s="19"/>
      <c r="AB1381" s="23"/>
    </row>
    <row r="1382" spans="1:28" ht="15.75" customHeight="1" x14ac:dyDescent="0.2">
      <c r="A1382" s="34"/>
      <c r="B1382" s="34"/>
      <c r="C1382" s="34"/>
      <c r="D1382" s="34"/>
      <c r="E1382" s="19"/>
      <c r="F1382" s="19"/>
      <c r="G1382" s="19"/>
      <c r="H1382" s="19"/>
      <c r="I1382" s="19"/>
      <c r="J1382" s="19"/>
      <c r="K1382" s="19"/>
      <c r="L1382" s="19"/>
      <c r="M1382" s="19"/>
      <c r="N1382" s="19"/>
      <c r="O1382" s="19"/>
      <c r="P1382" s="19"/>
      <c r="Q1382" s="19"/>
      <c r="R1382" s="20"/>
      <c r="S1382" s="20"/>
      <c r="T1382" s="22"/>
      <c r="U1382" s="22"/>
      <c r="V1382" s="20"/>
      <c r="W1382" s="20"/>
      <c r="X1382" s="20"/>
      <c r="Y1382" s="19"/>
      <c r="Z1382" s="19"/>
      <c r="AA1382" s="19"/>
      <c r="AB1382" s="23"/>
    </row>
    <row r="1383" spans="1:28" ht="15.75" customHeight="1" x14ac:dyDescent="0.2">
      <c r="A1383" s="34"/>
      <c r="B1383" s="34"/>
      <c r="C1383" s="34"/>
      <c r="D1383" s="34"/>
      <c r="E1383" s="19"/>
      <c r="F1383" s="19"/>
      <c r="G1383" s="19"/>
      <c r="H1383" s="19"/>
      <c r="I1383" s="19"/>
      <c r="J1383" s="19"/>
      <c r="K1383" s="19"/>
      <c r="L1383" s="19"/>
      <c r="M1383" s="19"/>
      <c r="N1383" s="19"/>
      <c r="O1383" s="19"/>
      <c r="P1383" s="19"/>
      <c r="Q1383" s="19"/>
      <c r="R1383" s="20"/>
      <c r="S1383" s="20"/>
      <c r="T1383" s="22"/>
      <c r="U1383" s="22"/>
      <c r="V1383" s="20"/>
      <c r="W1383" s="20"/>
      <c r="X1383" s="20"/>
      <c r="Y1383" s="19"/>
      <c r="Z1383" s="19"/>
      <c r="AA1383" s="19"/>
      <c r="AB1383" s="23"/>
    </row>
    <row r="1384" spans="1:28" ht="15.75" customHeight="1" x14ac:dyDescent="0.2">
      <c r="A1384" s="34"/>
      <c r="B1384" s="34"/>
      <c r="C1384" s="34"/>
      <c r="D1384" s="34"/>
      <c r="E1384" s="19"/>
      <c r="F1384" s="19"/>
      <c r="G1384" s="19"/>
      <c r="H1384" s="19"/>
      <c r="I1384" s="19"/>
      <c r="J1384" s="19"/>
      <c r="K1384" s="19"/>
      <c r="L1384" s="19"/>
      <c r="M1384" s="19"/>
      <c r="N1384" s="19"/>
      <c r="O1384" s="19"/>
      <c r="P1384" s="19"/>
      <c r="Q1384" s="19"/>
      <c r="R1384" s="20"/>
      <c r="S1384" s="20"/>
      <c r="T1384" s="22"/>
      <c r="U1384" s="22"/>
      <c r="V1384" s="20"/>
      <c r="W1384" s="20"/>
      <c r="X1384" s="20"/>
      <c r="Y1384" s="19"/>
      <c r="Z1384" s="19"/>
      <c r="AA1384" s="19"/>
      <c r="AB1384" s="23"/>
    </row>
    <row r="1385" spans="1:28" ht="15.75" customHeight="1" x14ac:dyDescent="0.2">
      <c r="A1385" s="34"/>
      <c r="B1385" s="34"/>
      <c r="C1385" s="34"/>
      <c r="D1385" s="34"/>
      <c r="E1385" s="19"/>
      <c r="F1385" s="19"/>
      <c r="G1385" s="19"/>
      <c r="H1385" s="19"/>
      <c r="I1385" s="19"/>
      <c r="J1385" s="19"/>
      <c r="K1385" s="19"/>
      <c r="L1385" s="19"/>
      <c r="M1385" s="19"/>
      <c r="N1385" s="19"/>
      <c r="O1385" s="19"/>
      <c r="P1385" s="19"/>
      <c r="Q1385" s="19"/>
      <c r="R1385" s="20"/>
      <c r="S1385" s="20"/>
      <c r="T1385" s="22"/>
      <c r="U1385" s="22"/>
      <c r="V1385" s="20"/>
      <c r="W1385" s="20"/>
      <c r="X1385" s="20"/>
      <c r="Y1385" s="19"/>
      <c r="Z1385" s="19"/>
      <c r="AA1385" s="19"/>
      <c r="AB1385" s="23"/>
    </row>
    <row r="1386" spans="1:28" ht="15.75" customHeight="1" x14ac:dyDescent="0.2">
      <c r="A1386" s="34"/>
      <c r="B1386" s="34"/>
      <c r="C1386" s="34"/>
      <c r="D1386" s="34"/>
      <c r="E1386" s="19"/>
      <c r="F1386" s="19"/>
      <c r="G1386" s="19"/>
      <c r="H1386" s="19"/>
      <c r="I1386" s="19"/>
      <c r="J1386" s="19"/>
      <c r="K1386" s="19"/>
      <c r="L1386" s="19"/>
      <c r="M1386" s="19"/>
      <c r="N1386" s="19"/>
      <c r="O1386" s="19"/>
      <c r="P1386" s="19"/>
      <c r="Q1386" s="19"/>
      <c r="R1386" s="20"/>
      <c r="S1386" s="20"/>
      <c r="T1386" s="22"/>
      <c r="U1386" s="22"/>
      <c r="V1386" s="20"/>
      <c r="W1386" s="20"/>
      <c r="X1386" s="20"/>
      <c r="Y1386" s="19"/>
      <c r="Z1386" s="19"/>
      <c r="AA1386" s="19"/>
      <c r="AB1386" s="23"/>
    </row>
    <row r="1387" spans="1:28" ht="15.75" customHeight="1" x14ac:dyDescent="0.2">
      <c r="A1387" s="34"/>
      <c r="B1387" s="34"/>
      <c r="C1387" s="34"/>
      <c r="D1387" s="34"/>
      <c r="E1387" s="19"/>
      <c r="F1387" s="19"/>
      <c r="G1387" s="19"/>
      <c r="H1387" s="19"/>
      <c r="I1387" s="19"/>
      <c r="J1387" s="19"/>
      <c r="K1387" s="19"/>
      <c r="L1387" s="19"/>
      <c r="M1387" s="19"/>
      <c r="N1387" s="19"/>
      <c r="O1387" s="19"/>
      <c r="P1387" s="19"/>
      <c r="Q1387" s="19"/>
      <c r="R1387" s="20"/>
      <c r="S1387" s="20"/>
      <c r="T1387" s="22"/>
      <c r="U1387" s="22"/>
      <c r="V1387" s="20"/>
      <c r="W1387" s="20"/>
      <c r="X1387" s="20"/>
      <c r="Y1387" s="19"/>
      <c r="Z1387" s="19"/>
      <c r="AA1387" s="19"/>
      <c r="AB1387" s="23"/>
    </row>
    <row r="1388" spans="1:28" ht="15.75" customHeight="1" x14ac:dyDescent="0.2">
      <c r="A1388" s="34"/>
      <c r="B1388" s="34"/>
      <c r="C1388" s="34"/>
      <c r="D1388" s="34"/>
      <c r="E1388" s="19"/>
      <c r="F1388" s="19"/>
      <c r="G1388" s="19"/>
      <c r="H1388" s="19"/>
      <c r="I1388" s="19"/>
      <c r="J1388" s="19"/>
      <c r="K1388" s="19"/>
      <c r="L1388" s="19"/>
      <c r="M1388" s="19"/>
      <c r="N1388" s="19"/>
      <c r="O1388" s="19"/>
      <c r="P1388" s="19"/>
      <c r="Q1388" s="19"/>
      <c r="R1388" s="20"/>
      <c r="S1388" s="20"/>
      <c r="T1388" s="22"/>
      <c r="U1388" s="22"/>
      <c r="V1388" s="20"/>
      <c r="W1388" s="20"/>
      <c r="X1388" s="20"/>
      <c r="Y1388" s="19"/>
      <c r="Z1388" s="19"/>
      <c r="AA1388" s="19"/>
      <c r="AB1388" s="23"/>
    </row>
    <row r="1389" spans="1:28" ht="15.75" customHeight="1" x14ac:dyDescent="0.2">
      <c r="A1389" s="34"/>
      <c r="B1389" s="34"/>
      <c r="C1389" s="34"/>
      <c r="D1389" s="34"/>
      <c r="E1389" s="19"/>
      <c r="F1389" s="19"/>
      <c r="G1389" s="19"/>
      <c r="H1389" s="19"/>
      <c r="I1389" s="19"/>
      <c r="J1389" s="19"/>
      <c r="K1389" s="19"/>
      <c r="L1389" s="19"/>
      <c r="M1389" s="19"/>
      <c r="N1389" s="19"/>
      <c r="O1389" s="19"/>
      <c r="P1389" s="19"/>
      <c r="Q1389" s="19"/>
      <c r="R1389" s="20"/>
      <c r="S1389" s="20"/>
      <c r="T1389" s="22"/>
      <c r="U1389" s="22"/>
      <c r="V1389" s="20"/>
      <c r="W1389" s="20"/>
      <c r="X1389" s="20"/>
      <c r="Y1389" s="19"/>
      <c r="Z1389" s="19"/>
      <c r="AA1389" s="19"/>
      <c r="AB1389" s="23"/>
    </row>
    <row r="1390" spans="1:28" ht="15.75" customHeight="1" x14ac:dyDescent="0.2">
      <c r="A1390" s="34"/>
      <c r="B1390" s="34"/>
      <c r="C1390" s="34"/>
      <c r="D1390" s="34"/>
      <c r="E1390" s="19"/>
      <c r="F1390" s="19"/>
      <c r="G1390" s="19"/>
      <c r="H1390" s="19"/>
      <c r="I1390" s="19"/>
      <c r="J1390" s="19"/>
      <c r="K1390" s="19"/>
      <c r="L1390" s="19"/>
      <c r="M1390" s="19"/>
      <c r="N1390" s="19"/>
      <c r="O1390" s="19"/>
      <c r="P1390" s="19"/>
      <c r="Q1390" s="19"/>
      <c r="R1390" s="20"/>
      <c r="S1390" s="20"/>
      <c r="T1390" s="22"/>
      <c r="U1390" s="22"/>
      <c r="V1390" s="20"/>
      <c r="W1390" s="20"/>
      <c r="X1390" s="20"/>
      <c r="Y1390" s="19"/>
      <c r="Z1390" s="19"/>
      <c r="AA1390" s="19"/>
      <c r="AB1390" s="23"/>
    </row>
    <row r="1391" spans="1:28" ht="15.75" customHeight="1" x14ac:dyDescent="0.2">
      <c r="A1391" s="34"/>
      <c r="B1391" s="34"/>
      <c r="C1391" s="34"/>
      <c r="D1391" s="34"/>
      <c r="E1391" s="19"/>
      <c r="F1391" s="19"/>
      <c r="G1391" s="19"/>
      <c r="H1391" s="19"/>
      <c r="I1391" s="19"/>
      <c r="J1391" s="19"/>
      <c r="K1391" s="19"/>
      <c r="L1391" s="19"/>
      <c r="M1391" s="19"/>
      <c r="N1391" s="19"/>
      <c r="O1391" s="19"/>
      <c r="P1391" s="19"/>
      <c r="Q1391" s="19"/>
      <c r="R1391" s="20"/>
      <c r="S1391" s="20"/>
      <c r="T1391" s="22"/>
      <c r="U1391" s="22"/>
      <c r="V1391" s="20"/>
      <c r="W1391" s="20"/>
      <c r="X1391" s="20"/>
      <c r="Y1391" s="19"/>
      <c r="Z1391" s="19"/>
      <c r="AA1391" s="19"/>
      <c r="AB1391" s="23"/>
    </row>
    <row r="1392" spans="1:28" ht="15.75" customHeight="1" x14ac:dyDescent="0.2">
      <c r="A1392" s="34"/>
      <c r="B1392" s="34"/>
      <c r="C1392" s="34"/>
      <c r="D1392" s="34"/>
      <c r="E1392" s="19"/>
      <c r="F1392" s="19"/>
      <c r="G1392" s="19"/>
      <c r="H1392" s="19"/>
      <c r="I1392" s="19"/>
      <c r="J1392" s="19"/>
      <c r="K1392" s="19"/>
      <c r="L1392" s="19"/>
      <c r="M1392" s="19"/>
      <c r="N1392" s="19"/>
      <c r="O1392" s="19"/>
      <c r="P1392" s="19"/>
      <c r="Q1392" s="19"/>
      <c r="R1392" s="20"/>
      <c r="S1392" s="20"/>
      <c r="T1392" s="22"/>
      <c r="U1392" s="22"/>
      <c r="V1392" s="20"/>
      <c r="W1392" s="20"/>
      <c r="X1392" s="20"/>
      <c r="Y1392" s="19"/>
      <c r="Z1392" s="19"/>
      <c r="AA1392" s="19"/>
      <c r="AB1392" s="23"/>
    </row>
    <row r="1393" spans="1:28" ht="15.75" customHeight="1" x14ac:dyDescent="0.2">
      <c r="A1393" s="34"/>
      <c r="B1393" s="34"/>
      <c r="C1393" s="34"/>
      <c r="D1393" s="34"/>
      <c r="E1393" s="19"/>
      <c r="F1393" s="19"/>
      <c r="G1393" s="19"/>
      <c r="H1393" s="19"/>
      <c r="I1393" s="19"/>
      <c r="J1393" s="19"/>
      <c r="K1393" s="19"/>
      <c r="L1393" s="19"/>
      <c r="M1393" s="19"/>
      <c r="N1393" s="19"/>
      <c r="O1393" s="19"/>
      <c r="P1393" s="19"/>
      <c r="Q1393" s="19"/>
      <c r="R1393" s="20"/>
      <c r="S1393" s="20"/>
      <c r="T1393" s="22"/>
      <c r="U1393" s="22"/>
      <c r="V1393" s="20"/>
      <c r="W1393" s="20"/>
      <c r="X1393" s="20"/>
      <c r="Y1393" s="19"/>
      <c r="Z1393" s="19"/>
      <c r="AA1393" s="19"/>
      <c r="AB1393" s="23"/>
    </row>
    <row r="1394" spans="1:28" ht="15.75" customHeight="1" x14ac:dyDescent="0.2">
      <c r="A1394" s="34"/>
      <c r="B1394" s="34"/>
      <c r="C1394" s="34"/>
      <c r="D1394" s="34"/>
      <c r="E1394" s="19"/>
      <c r="F1394" s="19"/>
      <c r="G1394" s="19"/>
      <c r="H1394" s="19"/>
      <c r="I1394" s="19"/>
      <c r="J1394" s="19"/>
      <c r="K1394" s="19"/>
      <c r="L1394" s="19"/>
      <c r="M1394" s="19"/>
      <c r="N1394" s="19"/>
      <c r="O1394" s="19"/>
      <c r="P1394" s="19"/>
      <c r="Q1394" s="19"/>
      <c r="R1394" s="20"/>
      <c r="S1394" s="20"/>
      <c r="T1394" s="22"/>
      <c r="U1394" s="22"/>
      <c r="V1394" s="20"/>
      <c r="W1394" s="20"/>
      <c r="X1394" s="20"/>
      <c r="Y1394" s="19"/>
      <c r="Z1394" s="19"/>
      <c r="AA1394" s="19"/>
      <c r="AB1394" s="23"/>
    </row>
    <row r="1395" spans="1:28" ht="15.75" customHeight="1" x14ac:dyDescent="0.2">
      <c r="A1395" s="34"/>
      <c r="B1395" s="34"/>
      <c r="C1395" s="34"/>
      <c r="D1395" s="34"/>
      <c r="E1395" s="19"/>
      <c r="F1395" s="19"/>
      <c r="G1395" s="19"/>
      <c r="H1395" s="19"/>
      <c r="I1395" s="19"/>
      <c r="J1395" s="19"/>
      <c r="K1395" s="19"/>
      <c r="L1395" s="19"/>
      <c r="M1395" s="19"/>
      <c r="N1395" s="19"/>
      <c r="O1395" s="19"/>
      <c r="P1395" s="19"/>
      <c r="Q1395" s="19"/>
      <c r="R1395" s="20"/>
      <c r="S1395" s="20"/>
      <c r="T1395" s="22"/>
      <c r="U1395" s="22"/>
      <c r="V1395" s="20"/>
      <c r="W1395" s="20"/>
      <c r="X1395" s="20"/>
      <c r="Y1395" s="19"/>
      <c r="Z1395" s="19"/>
      <c r="AA1395" s="19"/>
      <c r="AB1395" s="23"/>
    </row>
    <row r="1396" spans="1:28" ht="15.75" customHeight="1" x14ac:dyDescent="0.2">
      <c r="A1396" s="34"/>
      <c r="B1396" s="34"/>
      <c r="C1396" s="34"/>
      <c r="D1396" s="34"/>
      <c r="E1396" s="19"/>
      <c r="F1396" s="19"/>
      <c r="G1396" s="19"/>
      <c r="H1396" s="19"/>
      <c r="I1396" s="19"/>
      <c r="J1396" s="19"/>
      <c r="K1396" s="19"/>
      <c r="L1396" s="19"/>
      <c r="M1396" s="19"/>
      <c r="N1396" s="19"/>
      <c r="O1396" s="19"/>
      <c r="P1396" s="19"/>
      <c r="Q1396" s="19"/>
      <c r="R1396" s="20"/>
      <c r="S1396" s="20"/>
      <c r="T1396" s="22"/>
      <c r="U1396" s="22"/>
      <c r="V1396" s="20"/>
      <c r="W1396" s="20"/>
      <c r="X1396" s="20"/>
      <c r="Y1396" s="19"/>
      <c r="Z1396" s="19"/>
      <c r="AA1396" s="19"/>
      <c r="AB1396" s="23"/>
    </row>
    <row r="1397" spans="1:28" ht="15.75" customHeight="1" x14ac:dyDescent="0.2">
      <c r="A1397" s="34"/>
      <c r="B1397" s="34"/>
      <c r="C1397" s="34"/>
      <c r="D1397" s="34"/>
      <c r="E1397" s="19"/>
      <c r="F1397" s="19"/>
      <c r="G1397" s="19"/>
      <c r="H1397" s="19"/>
      <c r="I1397" s="19"/>
      <c r="J1397" s="19"/>
      <c r="K1397" s="19"/>
      <c r="L1397" s="19"/>
      <c r="M1397" s="19"/>
      <c r="N1397" s="19"/>
      <c r="O1397" s="19"/>
      <c r="P1397" s="19"/>
      <c r="Q1397" s="19"/>
      <c r="R1397" s="20"/>
      <c r="S1397" s="20"/>
      <c r="T1397" s="22"/>
      <c r="U1397" s="22"/>
      <c r="V1397" s="20"/>
      <c r="W1397" s="20"/>
      <c r="X1397" s="20"/>
      <c r="Y1397" s="19"/>
      <c r="Z1397" s="19"/>
      <c r="AA1397" s="19"/>
      <c r="AB1397" s="23"/>
    </row>
    <row r="1398" spans="1:28" ht="15.75" customHeight="1" x14ac:dyDescent="0.2">
      <c r="A1398" s="34"/>
      <c r="B1398" s="34"/>
      <c r="C1398" s="34"/>
      <c r="D1398" s="34"/>
      <c r="E1398" s="19"/>
      <c r="F1398" s="19"/>
      <c r="G1398" s="19"/>
      <c r="H1398" s="19"/>
      <c r="I1398" s="19"/>
      <c r="J1398" s="19"/>
      <c r="K1398" s="19"/>
      <c r="L1398" s="19"/>
      <c r="M1398" s="19"/>
      <c r="N1398" s="19"/>
      <c r="O1398" s="19"/>
      <c r="P1398" s="19"/>
      <c r="Q1398" s="19"/>
      <c r="R1398" s="20"/>
      <c r="S1398" s="20"/>
      <c r="T1398" s="22"/>
      <c r="U1398" s="22"/>
      <c r="V1398" s="20"/>
      <c r="W1398" s="20"/>
      <c r="X1398" s="20"/>
      <c r="Y1398" s="19"/>
      <c r="Z1398" s="19"/>
      <c r="AA1398" s="19"/>
      <c r="AB1398" s="23"/>
    </row>
  </sheetData>
  <autoFilter ref="A2:AB2" xr:uid="{00000000-0009-0000-0000-000007000000}"/>
  <mergeCells count="4">
    <mergeCell ref="E1:F1"/>
    <mergeCell ref="G1:J1"/>
    <mergeCell ref="K1:P1"/>
    <mergeCell ref="R1:X1"/>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287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43.1640625" customWidth="1"/>
    <col min="2" max="2" width="12.1640625" customWidth="1"/>
    <col min="3" max="3" width="7.1640625" customWidth="1"/>
    <col min="4" max="4" width="16.6640625" customWidth="1"/>
    <col min="5" max="5" width="15.1640625" customWidth="1"/>
    <col min="6" max="6" width="16.6640625" customWidth="1"/>
    <col min="7" max="7" width="11.5" customWidth="1"/>
    <col min="8" max="8" width="14.6640625" customWidth="1"/>
    <col min="9" max="9" width="14.33203125" customWidth="1"/>
    <col min="10" max="10" width="16.6640625" customWidth="1"/>
    <col min="11" max="16" width="12.1640625" customWidth="1"/>
    <col min="17" max="17" width="14.1640625" customWidth="1"/>
    <col min="18" max="18" width="12.83203125" customWidth="1"/>
    <col min="19" max="19" width="17.5" customWidth="1"/>
    <col min="20" max="21" width="16.83203125" customWidth="1"/>
    <col min="22" max="22" width="14.33203125" customWidth="1"/>
    <col min="23" max="23" width="17.5" customWidth="1"/>
    <col min="24" max="25" width="10.6640625" customWidth="1"/>
    <col min="26" max="26" width="9.33203125" customWidth="1"/>
    <col min="27" max="27" width="13" customWidth="1"/>
    <col min="28" max="28" width="9.5" customWidth="1"/>
    <col min="29" max="29" width="10" customWidth="1"/>
  </cols>
  <sheetData>
    <row r="1" spans="1:29" x14ac:dyDescent="0.2">
      <c r="A1" s="1" t="s">
        <v>1485</v>
      </c>
      <c r="B1" s="3"/>
      <c r="C1" s="3"/>
      <c r="D1" s="3"/>
      <c r="E1" s="63" t="s">
        <v>1</v>
      </c>
      <c r="F1" s="64"/>
      <c r="G1" s="65" t="s">
        <v>2</v>
      </c>
      <c r="H1" s="66"/>
      <c r="I1" s="66"/>
      <c r="J1" s="64"/>
      <c r="K1" s="67" t="s">
        <v>3</v>
      </c>
      <c r="L1" s="66"/>
      <c r="M1" s="66"/>
      <c r="N1" s="66"/>
      <c r="O1" s="66"/>
      <c r="P1" s="64"/>
      <c r="Q1" s="39"/>
      <c r="R1" s="68" t="s">
        <v>4</v>
      </c>
      <c r="S1" s="66"/>
      <c r="T1" s="66"/>
      <c r="U1" s="66"/>
      <c r="V1" s="66"/>
      <c r="W1" s="66"/>
      <c r="X1" s="64"/>
      <c r="Y1" s="3"/>
      <c r="Z1" s="4"/>
      <c r="AA1" s="3"/>
      <c r="AB1" s="3"/>
      <c r="AC1" s="3"/>
    </row>
    <row r="2" spans="1:29" ht="55.5" customHeight="1" x14ac:dyDescent="0.15">
      <c r="A2" s="5" t="s">
        <v>5</v>
      </c>
      <c r="B2" s="5" t="s">
        <v>6</v>
      </c>
      <c r="C2" s="5" t="s">
        <v>7</v>
      </c>
      <c r="D2" s="5" t="s">
        <v>8</v>
      </c>
      <c r="E2" s="6" t="s">
        <v>9</v>
      </c>
      <c r="F2" s="6" t="s">
        <v>10</v>
      </c>
      <c r="G2" s="7" t="s">
        <v>11</v>
      </c>
      <c r="H2" s="7" t="s">
        <v>12</v>
      </c>
      <c r="I2" s="7" t="s">
        <v>13</v>
      </c>
      <c r="J2" s="7" t="s">
        <v>615</v>
      </c>
      <c r="K2" s="8" t="s">
        <v>14</v>
      </c>
      <c r="L2" s="8" t="s">
        <v>15</v>
      </c>
      <c r="M2" s="8" t="s">
        <v>16</v>
      </c>
      <c r="N2" s="8" t="s">
        <v>17</v>
      </c>
      <c r="O2" s="8" t="s">
        <v>18</v>
      </c>
      <c r="P2" s="8" t="s">
        <v>19</v>
      </c>
      <c r="Q2" s="40" t="s">
        <v>831</v>
      </c>
      <c r="R2" s="9" t="s">
        <v>20</v>
      </c>
      <c r="S2" s="9" t="s">
        <v>21</v>
      </c>
      <c r="T2" s="9" t="s">
        <v>22</v>
      </c>
      <c r="U2" s="9" t="s">
        <v>23</v>
      </c>
      <c r="V2" s="9" t="s">
        <v>24</v>
      </c>
      <c r="W2" s="12" t="s">
        <v>25</v>
      </c>
      <c r="X2" s="13" t="s">
        <v>26</v>
      </c>
      <c r="Y2" s="14" t="s">
        <v>27</v>
      </c>
      <c r="Z2" s="15" t="s">
        <v>29</v>
      </c>
      <c r="AA2" s="15" t="s">
        <v>30</v>
      </c>
      <c r="AB2" s="16" t="s">
        <v>31</v>
      </c>
      <c r="AC2" s="41" t="s">
        <v>1486</v>
      </c>
    </row>
    <row r="3" spans="1:29" x14ac:dyDescent="0.2">
      <c r="A3" s="17" t="str">
        <f>HYPERLINK("https://www.asa.edu", "ASA College")</f>
        <v>ASA College</v>
      </c>
      <c r="B3" s="18" t="s">
        <v>368</v>
      </c>
      <c r="C3" s="18" t="s">
        <v>38</v>
      </c>
      <c r="D3" s="18" t="s">
        <v>593</v>
      </c>
      <c r="E3" s="18" t="s">
        <v>36</v>
      </c>
      <c r="F3" s="18" t="s">
        <v>36</v>
      </c>
      <c r="J3" s="2"/>
      <c r="K3" s="19">
        <v>0.28649999999999998</v>
      </c>
      <c r="L3" s="19">
        <v>0.34350942400000001</v>
      </c>
      <c r="M3" s="19">
        <v>0.2029</v>
      </c>
      <c r="N3" s="19">
        <v>0.32900000000000001</v>
      </c>
      <c r="O3" s="19">
        <v>0.2671</v>
      </c>
      <c r="P3" s="19">
        <v>9.3200000000000005E-2</v>
      </c>
      <c r="Q3" s="19">
        <v>1.3277428000000001E-2</v>
      </c>
      <c r="R3" s="20">
        <v>33051</v>
      </c>
      <c r="S3" s="21" t="str">
        <f>HYPERLINK("https://www.asa.edu/netpricecalculator/npcalc.htm", "$25788")</f>
        <v>$25788</v>
      </c>
      <c r="T3" s="22">
        <v>26253</v>
      </c>
      <c r="U3" s="22">
        <v>31361</v>
      </c>
      <c r="V3" s="20">
        <v>8646</v>
      </c>
      <c r="W3" s="20">
        <v>17142</v>
      </c>
      <c r="Y3" s="19">
        <v>0.65039999999999998</v>
      </c>
      <c r="Z3" s="19">
        <v>0.93620000000000003</v>
      </c>
      <c r="AB3" s="23">
        <v>4674</v>
      </c>
      <c r="AC3" s="18">
        <v>6</v>
      </c>
    </row>
    <row r="4" spans="1:29" x14ac:dyDescent="0.2">
      <c r="A4" s="17" t="str">
        <f>HYPERLINK("https://www.ata.edu", "Beckfield College-Tri-County")</f>
        <v>Beckfield College-Tri-County</v>
      </c>
      <c r="B4" s="18" t="s">
        <v>368</v>
      </c>
      <c r="C4" s="18" t="s">
        <v>75</v>
      </c>
      <c r="D4" s="18" t="s">
        <v>835</v>
      </c>
      <c r="E4" s="18" t="s">
        <v>36</v>
      </c>
      <c r="F4" s="18" t="s">
        <v>36</v>
      </c>
      <c r="J4" s="2"/>
      <c r="K4" s="19">
        <v>0.5</v>
      </c>
      <c r="L4" s="19">
        <v>0.33947772700000001</v>
      </c>
      <c r="M4" s="19">
        <v>0.6875</v>
      </c>
      <c r="N4" s="19">
        <v>0.30769999999999997</v>
      </c>
      <c r="O4" s="19" t="s">
        <v>36</v>
      </c>
      <c r="P4" s="19" t="s">
        <v>36</v>
      </c>
      <c r="Q4" s="19">
        <v>3.5469107999999999E-2</v>
      </c>
      <c r="R4" s="20">
        <v>35808</v>
      </c>
      <c r="S4" s="21" t="str">
        <f>HYPERLINK("https://www.ata.edu/NPC/npcalc.htm", "$29167")</f>
        <v>$29167</v>
      </c>
      <c r="T4" s="22" t="s">
        <v>36</v>
      </c>
      <c r="U4" s="22" t="s">
        <v>36</v>
      </c>
      <c r="V4" s="20">
        <v>9211</v>
      </c>
      <c r="W4" s="20">
        <v>19956</v>
      </c>
      <c r="Y4" s="19">
        <v>0.83330000000000004</v>
      </c>
      <c r="Z4" s="19">
        <v>0.55959999999999999</v>
      </c>
      <c r="AB4" s="23">
        <v>277</v>
      </c>
      <c r="AC4" s="18">
        <v>6</v>
      </c>
    </row>
    <row r="5" spans="1:29" x14ac:dyDescent="0.2">
      <c r="A5" s="17" t="str">
        <f>HYPERLINK("https://www.ancollege.edu", "Aaniiih Nakoda College")</f>
        <v>Aaniiih Nakoda College</v>
      </c>
      <c r="B5" s="18" t="s">
        <v>49</v>
      </c>
      <c r="C5" s="18" t="s">
        <v>421</v>
      </c>
      <c r="D5" s="18" t="s">
        <v>837</v>
      </c>
      <c r="E5" s="18" t="s">
        <v>36</v>
      </c>
      <c r="F5" s="18" t="s">
        <v>36</v>
      </c>
      <c r="J5" s="2"/>
      <c r="K5" s="19">
        <v>0.27589999999999998</v>
      </c>
      <c r="L5" s="19" t="s">
        <v>36</v>
      </c>
      <c r="M5" s="19">
        <v>0</v>
      </c>
      <c r="N5" s="19" t="s">
        <v>36</v>
      </c>
      <c r="O5" s="19" t="s">
        <v>36</v>
      </c>
      <c r="P5" s="19" t="s">
        <v>36</v>
      </c>
      <c r="Q5" s="19" t="s">
        <v>36</v>
      </c>
      <c r="R5" s="20">
        <v>17030</v>
      </c>
      <c r="S5" s="21" t="str">
        <f>HYPERLINK("https://www.ancollege.edu/student_services/financial_aid/npc/npcalc.htm", "$12079")</f>
        <v>$12079</v>
      </c>
      <c r="T5" s="22" t="s">
        <v>36</v>
      </c>
      <c r="U5" s="22">
        <v>14365</v>
      </c>
      <c r="V5" s="20">
        <v>7700</v>
      </c>
      <c r="W5" s="20">
        <v>4379.7142857142862</v>
      </c>
      <c r="Y5" s="19">
        <v>0.65769999999999995</v>
      </c>
      <c r="Z5" s="19">
        <v>0.90159999999999996</v>
      </c>
      <c r="AB5" s="23">
        <v>122</v>
      </c>
      <c r="AC5" s="18">
        <v>6</v>
      </c>
    </row>
    <row r="6" spans="1:29" x14ac:dyDescent="0.2">
      <c r="A6" s="17" t="str">
        <f>HYPERLINK("https://www.acu.edu", "Abilene Christian University")</f>
        <v>Abilene Christian University</v>
      </c>
      <c r="B6" s="18" t="s">
        <v>32</v>
      </c>
      <c r="C6" s="18" t="s">
        <v>146</v>
      </c>
      <c r="D6" s="18" t="s">
        <v>287</v>
      </c>
      <c r="E6" s="18">
        <v>1145</v>
      </c>
      <c r="F6" s="18" t="s">
        <v>35</v>
      </c>
      <c r="J6" s="2"/>
      <c r="K6" s="19">
        <v>0.61480000000000001</v>
      </c>
      <c r="L6" s="19">
        <v>0.34883720899999998</v>
      </c>
      <c r="M6" s="19">
        <v>0.65720000000000001</v>
      </c>
      <c r="N6" s="19">
        <v>0.40629999999999999</v>
      </c>
      <c r="O6" s="19">
        <v>0.495</v>
      </c>
      <c r="P6" s="19">
        <v>0.66669999999999996</v>
      </c>
      <c r="Q6" s="19"/>
      <c r="R6" s="20">
        <v>48300</v>
      </c>
      <c r="S6" s="21" t="str">
        <f>HYPERLINK("https://www.acu.edu/campusoffices/sfs/calculator/freshman.html", "$22698")</f>
        <v>$22698</v>
      </c>
      <c r="T6" s="22">
        <v>24895</v>
      </c>
      <c r="U6" s="22">
        <v>26930</v>
      </c>
      <c r="V6" s="20">
        <v>4592</v>
      </c>
      <c r="W6" s="20">
        <v>18106</v>
      </c>
      <c r="Y6" s="19">
        <v>0.25490000000000002</v>
      </c>
      <c r="Z6" s="19">
        <v>0.36280000000000001</v>
      </c>
      <c r="AB6" s="23">
        <v>3655</v>
      </c>
      <c r="AC6" s="18">
        <v>3</v>
      </c>
    </row>
    <row r="7" spans="1:29" x14ac:dyDescent="0.2">
      <c r="A7" s="17" t="str">
        <f>HYPERLINK("https://www.abac.edu", "Abraham Baldwin Agricultural College")</f>
        <v>Abraham Baldwin Agricultural College</v>
      </c>
      <c r="B7" s="18" t="s">
        <v>49</v>
      </c>
      <c r="C7" s="18" t="s">
        <v>107</v>
      </c>
      <c r="D7" s="18" t="s">
        <v>839</v>
      </c>
      <c r="E7" s="18">
        <v>1013</v>
      </c>
      <c r="F7" s="18" t="s">
        <v>35</v>
      </c>
      <c r="J7" s="2"/>
      <c r="K7" s="19">
        <v>0.22819999999999999</v>
      </c>
      <c r="L7" s="19">
        <v>0.19270072999999999</v>
      </c>
      <c r="M7" s="19">
        <v>0.25869999999999999</v>
      </c>
      <c r="N7" s="19">
        <v>7.4099999999999999E-2</v>
      </c>
      <c r="O7" s="19">
        <v>0.23080000000000001</v>
      </c>
      <c r="P7" s="19">
        <v>0.5</v>
      </c>
      <c r="Q7" s="19">
        <v>9.0487238999999997E-2</v>
      </c>
      <c r="R7" s="20">
        <v>21859</v>
      </c>
      <c r="S7" s="21" t="str">
        <f>HYPERLINK("https://www.abac.edu/NPC/", "$15026")</f>
        <v>$15026</v>
      </c>
      <c r="T7" s="22">
        <v>18307</v>
      </c>
      <c r="U7" s="22">
        <v>19825</v>
      </c>
      <c r="V7" s="20">
        <v>4100</v>
      </c>
      <c r="W7" s="20">
        <v>10926.280373831771</v>
      </c>
      <c r="Y7" s="19">
        <v>0.39419999999999999</v>
      </c>
      <c r="Z7" s="19">
        <v>0.1837</v>
      </c>
      <c r="AB7" s="23">
        <v>3185</v>
      </c>
      <c r="AC7" s="18">
        <v>6</v>
      </c>
    </row>
    <row r="8" spans="1:29" x14ac:dyDescent="0.2">
      <c r="A8" s="17" t="str">
        <f>HYPERLINK("https://www.adams.edu", "Adams State University")</f>
        <v>Adams State University</v>
      </c>
      <c r="B8" s="18" t="s">
        <v>49</v>
      </c>
      <c r="C8" s="18" t="s">
        <v>87</v>
      </c>
      <c r="D8" s="18" t="s">
        <v>544</v>
      </c>
      <c r="E8" s="18">
        <v>1005</v>
      </c>
      <c r="F8" s="18" t="s">
        <v>35</v>
      </c>
      <c r="J8" s="2"/>
      <c r="K8" s="19">
        <v>0.28520000000000001</v>
      </c>
      <c r="L8" s="19">
        <v>9.6153846000000001E-2</v>
      </c>
      <c r="M8" s="19">
        <v>0.2949</v>
      </c>
      <c r="N8" s="19">
        <v>0.14630000000000001</v>
      </c>
      <c r="O8" s="19">
        <v>0.30809999999999998</v>
      </c>
      <c r="P8" s="19">
        <v>0.2</v>
      </c>
      <c r="Q8" s="19"/>
      <c r="R8" s="20">
        <v>33911</v>
      </c>
      <c r="S8" s="21" t="str">
        <f>HYPERLINK("https://www.adams.edu/finaid/costs-to-attend.php", "$23210")</f>
        <v>$23210</v>
      </c>
      <c r="T8" s="22">
        <v>27199</v>
      </c>
      <c r="U8" s="22">
        <v>30946</v>
      </c>
      <c r="V8" s="20">
        <v>4825</v>
      </c>
      <c r="W8" s="20">
        <v>18385.02127659574</v>
      </c>
      <c r="Y8" s="19">
        <v>0.51649999999999996</v>
      </c>
      <c r="Z8" s="19">
        <v>0.58319999999999994</v>
      </c>
      <c r="AB8" s="23">
        <v>1876</v>
      </c>
      <c r="AC8" s="18">
        <v>4</v>
      </c>
    </row>
    <row r="9" spans="1:29" x14ac:dyDescent="0.2">
      <c r="A9" s="17" t="str">
        <f>HYPERLINK("https://www.adelphi.edu/", "Adelphi University")</f>
        <v>Adelphi University</v>
      </c>
      <c r="B9" s="18" t="s">
        <v>32</v>
      </c>
      <c r="C9" s="18" t="s">
        <v>38</v>
      </c>
      <c r="D9" s="18" t="s">
        <v>545</v>
      </c>
      <c r="E9" s="18">
        <v>1164</v>
      </c>
      <c r="F9" s="18" t="s">
        <v>35</v>
      </c>
      <c r="J9" s="2"/>
      <c r="K9" s="19">
        <v>0.67520000000000002</v>
      </c>
      <c r="L9" s="19">
        <v>0.57828282799999997</v>
      </c>
      <c r="M9" s="19">
        <v>0.71650000000000003</v>
      </c>
      <c r="N9" s="19">
        <v>0.52810000000000001</v>
      </c>
      <c r="O9" s="19">
        <v>0.58779999999999999</v>
      </c>
      <c r="P9" s="19">
        <v>0.73529999999999995</v>
      </c>
      <c r="Q9" s="19"/>
      <c r="R9" s="20">
        <v>56358</v>
      </c>
      <c r="S9" s="21" t="str">
        <f>HYPERLINK("https://financial-aid.adelphi.edu/net-price-calculator/", "$24564")</f>
        <v>$24564</v>
      </c>
      <c r="T9" s="22">
        <v>28180</v>
      </c>
      <c r="U9" s="22">
        <v>31759</v>
      </c>
      <c r="V9" s="20">
        <v>4068</v>
      </c>
      <c r="W9" s="20">
        <v>20496</v>
      </c>
      <c r="Y9" s="19">
        <v>0.3226</v>
      </c>
      <c r="Z9" s="19">
        <v>0.48509999999999998</v>
      </c>
      <c r="AB9" s="23">
        <v>5162</v>
      </c>
      <c r="AC9" s="18">
        <v>4</v>
      </c>
    </row>
    <row r="10" spans="1:29" x14ac:dyDescent="0.2">
      <c r="A10" s="17" t="str">
        <f>HYPERLINK("https://www.sunyacc.edu", "SUNY Adirondack Community College")</f>
        <v>SUNY Adirondack Community College</v>
      </c>
      <c r="B10" s="18" t="s">
        <v>49</v>
      </c>
      <c r="C10" s="18" t="s">
        <v>38</v>
      </c>
      <c r="D10" s="18" t="s">
        <v>840</v>
      </c>
      <c r="E10" s="18" t="s">
        <v>36</v>
      </c>
      <c r="F10" s="18" t="s">
        <v>36</v>
      </c>
      <c r="G10" s="18" t="s">
        <v>51</v>
      </c>
      <c r="H10" s="18" t="s">
        <v>459</v>
      </c>
      <c r="I10" s="18" t="s">
        <v>459</v>
      </c>
      <c r="J10" s="2"/>
      <c r="K10" s="19">
        <v>0.25729999999999997</v>
      </c>
      <c r="L10" s="19">
        <v>0.22375215200000001</v>
      </c>
      <c r="M10" s="19">
        <v>0.27400000000000002</v>
      </c>
      <c r="N10" s="19">
        <v>0.12239999999999999</v>
      </c>
      <c r="O10" s="19">
        <v>0.19350000000000001</v>
      </c>
      <c r="P10" s="19">
        <v>0.28570000000000001</v>
      </c>
      <c r="Q10" s="19">
        <v>8.4327086999999995E-2</v>
      </c>
      <c r="R10" s="20">
        <v>21704</v>
      </c>
      <c r="S10" s="21" t="str">
        <f>HYPERLINK("https://www.suny.edu/howmuch/", "$5116")</f>
        <v>$5116</v>
      </c>
      <c r="T10" s="22">
        <v>10161</v>
      </c>
      <c r="U10" s="22">
        <v>12421</v>
      </c>
      <c r="V10" s="20">
        <v>5375</v>
      </c>
      <c r="W10" s="20">
        <v>-259</v>
      </c>
      <c r="Y10" s="19">
        <v>0.36199999999999999</v>
      </c>
      <c r="Z10" s="19">
        <v>0.13250000000000001</v>
      </c>
      <c r="AB10" s="23">
        <v>3034</v>
      </c>
      <c r="AC10" s="18">
        <v>6</v>
      </c>
    </row>
    <row r="11" spans="1:29" x14ac:dyDescent="0.2">
      <c r="A11" s="17" t="str">
        <f>HYPERLINK("https://www.adrian.edu", "Adrian College")</f>
        <v>Adrian College</v>
      </c>
      <c r="B11" s="18" t="s">
        <v>32</v>
      </c>
      <c r="C11" s="18" t="s">
        <v>226</v>
      </c>
      <c r="D11" s="18" t="s">
        <v>546</v>
      </c>
      <c r="E11" s="18">
        <v>1070</v>
      </c>
      <c r="F11" s="18" t="s">
        <v>35</v>
      </c>
      <c r="J11" s="2"/>
      <c r="K11" s="19">
        <v>0.52490000000000003</v>
      </c>
      <c r="L11" s="19">
        <v>0.43877550999999998</v>
      </c>
      <c r="M11" s="19">
        <v>0.56269999999999998</v>
      </c>
      <c r="N11" s="19">
        <v>0.41670000000000001</v>
      </c>
      <c r="O11" s="19">
        <v>0.38100000000000001</v>
      </c>
      <c r="P11" s="19">
        <v>0.5</v>
      </c>
      <c r="Q11" s="19"/>
      <c r="R11" s="20">
        <v>52074</v>
      </c>
      <c r="S11" s="21" t="str">
        <f>HYPERLINK("https://adrian.edu/admissions/financial-aid/financial-aid-calculator/", "$23824")</f>
        <v>$23824</v>
      </c>
      <c r="T11" s="22">
        <v>26197</v>
      </c>
      <c r="U11" s="22">
        <v>29067</v>
      </c>
      <c r="V11" s="20">
        <v>5076</v>
      </c>
      <c r="W11" s="20">
        <v>18748</v>
      </c>
      <c r="Y11" s="19">
        <v>0.35449999999999998</v>
      </c>
      <c r="Z11" s="19">
        <v>0.29270000000000002</v>
      </c>
      <c r="AB11" s="23">
        <v>1609</v>
      </c>
      <c r="AC11" s="18">
        <v>4</v>
      </c>
    </row>
    <row r="12" spans="1:29" x14ac:dyDescent="0.2">
      <c r="A12" s="17" t="str">
        <f>HYPERLINK("https://www.advancedcomputinginstitute.edu", "Advanced Computing Institute")</f>
        <v>Advanced Computing Institute</v>
      </c>
      <c r="B12" s="18" t="s">
        <v>368</v>
      </c>
      <c r="C12" s="18" t="s">
        <v>68</v>
      </c>
      <c r="D12" s="18" t="s">
        <v>140</v>
      </c>
      <c r="E12" s="18" t="s">
        <v>36</v>
      </c>
      <c r="F12" s="18" t="s">
        <v>36</v>
      </c>
      <c r="J12" s="2"/>
      <c r="K12" s="19">
        <v>0.83709999999999996</v>
      </c>
      <c r="L12" s="19" t="s">
        <v>36</v>
      </c>
      <c r="M12" s="19">
        <v>1</v>
      </c>
      <c r="N12" s="19">
        <v>1</v>
      </c>
      <c r="O12" s="19">
        <v>0.84209999999999996</v>
      </c>
      <c r="P12" s="19" t="s">
        <v>36</v>
      </c>
      <c r="Q12" s="19" t="s">
        <v>36</v>
      </c>
      <c r="R12" s="20" t="s">
        <v>36</v>
      </c>
      <c r="S12" s="21" t="str">
        <f>HYPERLINK("https://www.advancedcomputinginstitute.edu/", "Not reported")</f>
        <v>Not reported</v>
      </c>
      <c r="T12" s="22" t="s">
        <v>36</v>
      </c>
      <c r="U12" s="22" t="s">
        <v>36</v>
      </c>
      <c r="V12" s="20" t="s">
        <v>36</v>
      </c>
      <c r="W12" s="20" t="s">
        <v>36</v>
      </c>
      <c r="Y12" s="19">
        <v>0.68089999999999995</v>
      </c>
      <c r="Z12" s="19">
        <v>0.97270000000000001</v>
      </c>
      <c r="AB12" s="23">
        <v>256</v>
      </c>
      <c r="AC12" s="18">
        <v>6</v>
      </c>
    </row>
    <row r="13" spans="1:29" x14ac:dyDescent="0.2">
      <c r="A13" s="17" t="str">
        <f>HYPERLINK("https://www.ahu.edu", "Adventist University of Health Sciences")</f>
        <v>Adventist University of Health Sciences</v>
      </c>
      <c r="B13" s="18" t="s">
        <v>32</v>
      </c>
      <c r="C13" s="18" t="s">
        <v>162</v>
      </c>
      <c r="D13" s="18" t="s">
        <v>501</v>
      </c>
      <c r="E13" s="18">
        <v>1019</v>
      </c>
      <c r="F13" s="18" t="s">
        <v>35</v>
      </c>
      <c r="J13" s="2"/>
      <c r="K13" s="19">
        <v>0.1923</v>
      </c>
      <c r="L13" s="19">
        <v>0.379421222</v>
      </c>
      <c r="M13" s="19">
        <v>0.25</v>
      </c>
      <c r="N13" s="19">
        <v>0.1</v>
      </c>
      <c r="O13" s="19">
        <v>0.28570000000000001</v>
      </c>
      <c r="P13" s="19" t="s">
        <v>36</v>
      </c>
      <c r="Q13" s="19"/>
      <c r="R13" s="20">
        <v>27476</v>
      </c>
      <c r="S13" s="21" t="str">
        <f>HYPERLINK("https://npc.collegeboard.org/student/app/fhchs", "$18059")</f>
        <v>$18059</v>
      </c>
      <c r="T13" s="22">
        <v>21012</v>
      </c>
      <c r="U13" s="22">
        <v>21942</v>
      </c>
      <c r="V13" s="20">
        <v>6950</v>
      </c>
      <c r="W13" s="20">
        <v>11109</v>
      </c>
      <c r="Y13" s="19">
        <v>0.36830000000000002</v>
      </c>
      <c r="Z13" s="19">
        <v>0.6018</v>
      </c>
      <c r="AB13" s="23">
        <v>1316</v>
      </c>
      <c r="AC13" s="18">
        <v>4</v>
      </c>
    </row>
    <row r="14" spans="1:29" x14ac:dyDescent="0.2">
      <c r="A14" s="17" t="str">
        <f>HYPERLINK("https://www.saa.edu", "Advertising Art Educational Services DBA School of Advertising Art")</f>
        <v>Advertising Art Educational Services DBA School of Advertising Art</v>
      </c>
      <c r="B14" s="18" t="s">
        <v>368</v>
      </c>
      <c r="C14" s="18" t="s">
        <v>75</v>
      </c>
      <c r="D14" s="18" t="s">
        <v>844</v>
      </c>
      <c r="E14" s="18" t="s">
        <v>36</v>
      </c>
      <c r="F14" s="18" t="s">
        <v>90</v>
      </c>
      <c r="J14" s="2"/>
      <c r="K14" s="19">
        <v>0.64059999999999995</v>
      </c>
      <c r="L14" s="19" t="s">
        <v>36</v>
      </c>
      <c r="M14" s="19">
        <v>0.6552</v>
      </c>
      <c r="N14" s="19">
        <v>0.33329999999999999</v>
      </c>
      <c r="O14" s="19">
        <v>0.5</v>
      </c>
      <c r="P14" s="19">
        <v>1</v>
      </c>
      <c r="Q14" s="19" t="s">
        <v>36</v>
      </c>
      <c r="R14" s="20">
        <v>37196</v>
      </c>
      <c r="S14" s="21" t="str">
        <f>HYPERLINK("https://www.saa.edu/net-price-calculator/", "$27215")</f>
        <v>$27215</v>
      </c>
      <c r="T14" s="22">
        <v>31233</v>
      </c>
      <c r="U14" s="22">
        <v>33132</v>
      </c>
      <c r="V14" s="20">
        <v>4350</v>
      </c>
      <c r="W14" s="20">
        <v>22865</v>
      </c>
      <c r="Y14" s="19">
        <v>0.41839999999999999</v>
      </c>
      <c r="Z14" s="19">
        <v>8.5300000000000042E-2</v>
      </c>
      <c r="AB14" s="23">
        <v>211</v>
      </c>
      <c r="AC14" s="18">
        <v>6</v>
      </c>
    </row>
    <row r="15" spans="1:29" x14ac:dyDescent="0.2">
      <c r="A15" s="17" t="str">
        <f>HYPERLINK("https://www.agnesscott.edu", "Agnes Scott College")</f>
        <v>Agnes Scott College</v>
      </c>
      <c r="B15" s="18" t="s">
        <v>32</v>
      </c>
      <c r="C15" s="18" t="s">
        <v>107</v>
      </c>
      <c r="D15" s="18" t="s">
        <v>189</v>
      </c>
      <c r="E15" s="18" t="s">
        <v>36</v>
      </c>
      <c r="F15" s="18" t="s">
        <v>90</v>
      </c>
      <c r="J15" s="2"/>
      <c r="K15" s="19">
        <v>0.6623</v>
      </c>
      <c r="L15" s="19">
        <v>0.55263157900000004</v>
      </c>
      <c r="M15" s="19">
        <v>0.66669999999999996</v>
      </c>
      <c r="N15" s="19">
        <v>0.67110000000000003</v>
      </c>
      <c r="O15" s="19">
        <v>0.55000000000000004</v>
      </c>
      <c r="P15" s="19">
        <v>0.71430000000000005</v>
      </c>
      <c r="Q15" s="19"/>
      <c r="R15" s="20">
        <v>54065</v>
      </c>
      <c r="S15" s="21" t="str">
        <f>HYPERLINK("https://www.collegecostcalculator.org/agnesscott", "$17067")</f>
        <v>$17067</v>
      </c>
      <c r="T15" s="22">
        <v>19762</v>
      </c>
      <c r="U15" s="22">
        <v>23178</v>
      </c>
      <c r="V15" s="20">
        <v>2135</v>
      </c>
      <c r="W15" s="20">
        <v>14932</v>
      </c>
      <c r="Y15" s="19">
        <v>0.3765</v>
      </c>
      <c r="Z15" s="19">
        <v>0.65060000000000007</v>
      </c>
      <c r="AA15" s="18" t="s">
        <v>37</v>
      </c>
      <c r="AB15" s="23">
        <v>890</v>
      </c>
      <c r="AC15" s="18">
        <v>2</v>
      </c>
    </row>
    <row r="16" spans="1:29" x14ac:dyDescent="0.2">
      <c r="A16" s="17" t="str">
        <f>HYPERLINK("https://www.aamu.edu/", "Alabama A &amp; M University")</f>
        <v>Alabama A &amp; M University</v>
      </c>
      <c r="B16" s="18" t="s">
        <v>49</v>
      </c>
      <c r="C16" s="18" t="s">
        <v>300</v>
      </c>
      <c r="D16" s="18" t="s">
        <v>383</v>
      </c>
      <c r="E16" s="18">
        <v>929</v>
      </c>
      <c r="F16" s="18" t="s">
        <v>35</v>
      </c>
      <c r="J16" s="2"/>
      <c r="K16" s="19">
        <v>0.23960000000000001</v>
      </c>
      <c r="L16" s="19">
        <v>0.30882352899999999</v>
      </c>
      <c r="M16" s="19">
        <v>0.1875</v>
      </c>
      <c r="N16" s="19">
        <v>0.24160000000000001</v>
      </c>
      <c r="O16" s="19">
        <v>0.16669999999999999</v>
      </c>
      <c r="P16" s="19">
        <v>0</v>
      </c>
      <c r="Q16" s="19"/>
      <c r="R16" s="20">
        <v>31436</v>
      </c>
      <c r="S16" s="21" t="str">
        <f>HYPERLINK("https://galileo.aamu.edu/NetPriceCalculator/npcalc.htm", "$23197")</f>
        <v>$23197</v>
      </c>
      <c r="T16" s="22">
        <v>25296</v>
      </c>
      <c r="U16" s="22">
        <v>25677</v>
      </c>
      <c r="V16" s="20">
        <v>4180</v>
      </c>
      <c r="W16" s="20">
        <v>19017.371772805509</v>
      </c>
      <c r="Y16" s="19">
        <v>0.71</v>
      </c>
      <c r="Z16" s="19">
        <v>0.97470000000000001</v>
      </c>
      <c r="AB16" s="23">
        <v>4824</v>
      </c>
      <c r="AC16" s="18">
        <v>4</v>
      </c>
    </row>
    <row r="17" spans="1:29" x14ac:dyDescent="0.2">
      <c r="A17" s="17" t="str">
        <f>HYPERLINK("https://www.alasu.edu", "Alabama State University")</f>
        <v>Alabama State University</v>
      </c>
      <c r="B17" s="18" t="s">
        <v>49</v>
      </c>
      <c r="C17" s="18" t="s">
        <v>300</v>
      </c>
      <c r="D17" s="18" t="s">
        <v>547</v>
      </c>
      <c r="E17" s="18">
        <v>935</v>
      </c>
      <c r="F17" s="18" t="s">
        <v>35</v>
      </c>
      <c r="J17" s="2"/>
      <c r="K17" s="19">
        <v>0.27689999999999998</v>
      </c>
      <c r="L17" s="19">
        <v>0.22530329299999999</v>
      </c>
      <c r="M17" s="19">
        <v>0.2727</v>
      </c>
      <c r="N17" s="19">
        <v>0.27289999999999998</v>
      </c>
      <c r="O17" s="19">
        <v>0.52939999999999998</v>
      </c>
      <c r="P17" s="19">
        <v>0</v>
      </c>
      <c r="Q17" s="19"/>
      <c r="R17" s="20">
        <v>29810</v>
      </c>
      <c r="S17" s="21" t="str">
        <f>HYPERLINK("https://www.alasu.edu/cost-aid/forms/calculator/index.aspx", "$22694")</f>
        <v>$22694</v>
      </c>
      <c r="T17" s="22">
        <v>26504</v>
      </c>
      <c r="U17" s="22">
        <v>27047</v>
      </c>
      <c r="V17" s="20">
        <v>4992</v>
      </c>
      <c r="W17" s="20">
        <v>17702.667342799188</v>
      </c>
      <c r="Y17" s="19">
        <v>0.73770000000000002</v>
      </c>
      <c r="Z17" s="19">
        <v>0.98540000000000005</v>
      </c>
      <c r="AB17" s="23">
        <v>4189</v>
      </c>
      <c r="AC17" s="18">
        <v>4</v>
      </c>
    </row>
    <row r="18" spans="1:29" x14ac:dyDescent="0.2">
      <c r="A18" s="17" t="str">
        <f>HYPERLINK("https://www.alaskacc.edu", "Alaska Christian College")</f>
        <v>Alaska Christian College</v>
      </c>
      <c r="B18" s="18" t="s">
        <v>32</v>
      </c>
      <c r="C18" s="18" t="s">
        <v>548</v>
      </c>
      <c r="D18" s="18" t="s">
        <v>846</v>
      </c>
      <c r="E18" s="18" t="s">
        <v>36</v>
      </c>
      <c r="F18" s="18" t="s">
        <v>36</v>
      </c>
      <c r="J18" s="2"/>
      <c r="K18" s="19">
        <v>0.22220000000000001</v>
      </c>
      <c r="L18" s="19" t="s">
        <v>36</v>
      </c>
      <c r="M18" s="19" t="s">
        <v>36</v>
      </c>
      <c r="N18" s="19" t="s">
        <v>36</v>
      </c>
      <c r="O18" s="19">
        <v>1</v>
      </c>
      <c r="P18" s="19" t="s">
        <v>36</v>
      </c>
      <c r="Q18" s="19" t="s">
        <v>36</v>
      </c>
      <c r="R18" s="20">
        <v>20544</v>
      </c>
      <c r="S18" s="21" t="str">
        <f>HYPERLINK("https://alaskacc.edu/about/net-price-calculator/", "$4762")</f>
        <v>$4762</v>
      </c>
      <c r="T18" s="22" t="s">
        <v>36</v>
      </c>
      <c r="U18" s="22">
        <v>8153</v>
      </c>
      <c r="V18" s="20">
        <v>1980</v>
      </c>
      <c r="W18" s="20">
        <v>2782</v>
      </c>
      <c r="Y18" s="19">
        <v>0.96200000000000008</v>
      </c>
      <c r="Z18" s="19">
        <v>0.90539999999999998</v>
      </c>
      <c r="AB18" s="23">
        <v>74</v>
      </c>
      <c r="AC18" s="18">
        <v>6</v>
      </c>
    </row>
    <row r="19" spans="1:29" x14ac:dyDescent="0.2">
      <c r="A19" s="17" t="str">
        <f>HYPERLINK("https://www.alaskapacific.edu", "Alaska Pacific University")</f>
        <v>Alaska Pacific University</v>
      </c>
      <c r="B19" s="18" t="s">
        <v>32</v>
      </c>
      <c r="C19" s="18" t="s">
        <v>548</v>
      </c>
      <c r="D19" s="18" t="s">
        <v>549</v>
      </c>
      <c r="E19" s="18" t="s">
        <v>36</v>
      </c>
      <c r="F19" s="18" t="s">
        <v>90</v>
      </c>
      <c r="J19" s="2"/>
      <c r="K19" s="19">
        <v>0.52939999999999998</v>
      </c>
      <c r="L19" s="19" t="s">
        <v>36</v>
      </c>
      <c r="M19" s="19">
        <v>0.61539999999999995</v>
      </c>
      <c r="N19" s="19">
        <v>1</v>
      </c>
      <c r="O19" s="19" t="s">
        <v>36</v>
      </c>
      <c r="P19" s="19" t="s">
        <v>36</v>
      </c>
      <c r="Q19" s="19"/>
      <c r="R19" s="20">
        <v>34210</v>
      </c>
      <c r="S19" s="21" t="str">
        <f>HYPERLINK("https://npc.collegeboard.org/student/app/alaskapacific", "$15017")</f>
        <v>$15017</v>
      </c>
      <c r="T19" s="22">
        <v>21037</v>
      </c>
      <c r="U19" s="22">
        <v>21001</v>
      </c>
      <c r="V19" s="20">
        <v>5550</v>
      </c>
      <c r="W19" s="20">
        <v>9467</v>
      </c>
      <c r="Y19" s="19">
        <v>0.3054</v>
      </c>
      <c r="Z19" s="19">
        <v>0.52229999999999999</v>
      </c>
      <c r="AB19" s="23">
        <v>247</v>
      </c>
      <c r="AC19" s="18">
        <v>4</v>
      </c>
    </row>
    <row r="20" spans="1:29" x14ac:dyDescent="0.2">
      <c r="A20" s="17" t="str">
        <f>HYPERLINK("https://www.acphs.edu", "Albany College of Pharmacy and Health Sciences")</f>
        <v>Albany College of Pharmacy and Health Sciences</v>
      </c>
      <c r="B20" s="18" t="s">
        <v>32</v>
      </c>
      <c r="C20" s="18" t="s">
        <v>38</v>
      </c>
      <c r="D20" s="18" t="s">
        <v>550</v>
      </c>
      <c r="E20" s="18">
        <v>1200</v>
      </c>
      <c r="F20" s="18" t="s">
        <v>35</v>
      </c>
      <c r="J20" s="2"/>
      <c r="K20" s="19">
        <v>0.76190000000000002</v>
      </c>
      <c r="L20" s="19">
        <v>0.73214285700000004</v>
      </c>
      <c r="M20" s="19">
        <v>0.7671</v>
      </c>
      <c r="N20" s="19">
        <v>0.33329999999999999</v>
      </c>
      <c r="O20" s="19">
        <v>0.8</v>
      </c>
      <c r="P20" s="19">
        <v>0.7</v>
      </c>
      <c r="Q20" s="19"/>
      <c r="R20" s="20">
        <v>48019</v>
      </c>
      <c r="S20" s="21" t="str">
        <f>HYPERLINK("https://acphs.edu/net-price-calculator", "$22747")</f>
        <v>$22747</v>
      </c>
      <c r="T20" s="22">
        <v>28801</v>
      </c>
      <c r="U20" s="22">
        <v>32516</v>
      </c>
      <c r="V20" s="20">
        <v>3598</v>
      </c>
      <c r="W20" s="20">
        <v>19149</v>
      </c>
      <c r="Y20" s="19">
        <v>0.24940000000000001</v>
      </c>
      <c r="Z20" s="19">
        <v>0.39500000000000002</v>
      </c>
      <c r="AB20" s="23">
        <v>886</v>
      </c>
      <c r="AC20" s="18">
        <v>4</v>
      </c>
    </row>
    <row r="21" spans="1:29" ht="15.75" customHeight="1" x14ac:dyDescent="0.2">
      <c r="A21" s="17" t="str">
        <f>HYPERLINK("https://www.asurams.edu/", "Albany State University")</f>
        <v>Albany State University</v>
      </c>
      <c r="B21" s="18" t="s">
        <v>49</v>
      </c>
      <c r="C21" s="18" t="s">
        <v>107</v>
      </c>
      <c r="D21" s="18" t="s">
        <v>550</v>
      </c>
      <c r="E21" s="18" t="s">
        <v>36</v>
      </c>
      <c r="F21" s="18" t="s">
        <v>36</v>
      </c>
      <c r="J21" s="2"/>
      <c r="K21" s="19">
        <v>0.2233</v>
      </c>
      <c r="L21" s="19">
        <v>0.306220096</v>
      </c>
      <c r="M21" s="19">
        <v>0.18740000000000001</v>
      </c>
      <c r="N21" s="19">
        <v>0.23069999999999999</v>
      </c>
      <c r="O21" s="19">
        <v>0.1212</v>
      </c>
      <c r="P21" s="19">
        <v>0.15379999999999999</v>
      </c>
      <c r="Q21" s="19"/>
      <c r="R21" s="20">
        <v>29530</v>
      </c>
      <c r="S21" s="21" t="str">
        <f>HYPERLINK("https://gateway.asurams.edu/calculator", "$22995")</f>
        <v>$22995</v>
      </c>
      <c r="T21" s="22">
        <v>27068</v>
      </c>
      <c r="U21" s="22">
        <v>28332</v>
      </c>
      <c r="V21" s="20">
        <v>4520</v>
      </c>
      <c r="W21" s="20">
        <v>18475.970021413279</v>
      </c>
      <c r="Y21" s="19">
        <v>0.58460000000000001</v>
      </c>
      <c r="Z21" s="19">
        <v>0.79530000000000001</v>
      </c>
      <c r="AB21" s="23">
        <v>5761</v>
      </c>
      <c r="AC21" s="18">
        <v>4</v>
      </c>
    </row>
    <row r="22" spans="1:29" ht="15.75" customHeight="1" x14ac:dyDescent="0.2">
      <c r="A22" s="17" t="str">
        <f>HYPERLINK("https://www.albertus.edu", "Albertus Magnus College")</f>
        <v>Albertus Magnus College</v>
      </c>
      <c r="B22" s="18" t="s">
        <v>32</v>
      </c>
      <c r="C22" s="18" t="s">
        <v>94</v>
      </c>
      <c r="D22" s="18" t="s">
        <v>187</v>
      </c>
      <c r="E22" s="18">
        <v>930</v>
      </c>
      <c r="F22" s="18" t="s">
        <v>35</v>
      </c>
      <c r="J22" s="2"/>
      <c r="K22" s="19">
        <v>0.61329999999999996</v>
      </c>
      <c r="L22" s="19">
        <v>0.571428571</v>
      </c>
      <c r="M22" s="19">
        <v>0.68669999999999998</v>
      </c>
      <c r="N22" s="19">
        <v>0.55000000000000004</v>
      </c>
      <c r="O22" s="19">
        <v>0.5</v>
      </c>
      <c r="P22" s="19">
        <v>1</v>
      </c>
      <c r="Q22" s="19"/>
      <c r="R22" s="20">
        <v>51350</v>
      </c>
      <c r="S22" s="21" t="str">
        <f>HYPERLINK("https://www.albertus.edu/admission-aid/financial-aid/net-price-calculator.php", "$23495")</f>
        <v>$23495</v>
      </c>
      <c r="T22" s="22">
        <v>24778</v>
      </c>
      <c r="U22" s="22">
        <v>25490</v>
      </c>
      <c r="V22" s="20">
        <v>7210</v>
      </c>
      <c r="W22" s="20">
        <v>16285</v>
      </c>
      <c r="Y22" s="19">
        <v>0.52949999999999997</v>
      </c>
      <c r="Z22" s="19">
        <v>0.67200000000000004</v>
      </c>
      <c r="AB22" s="23">
        <v>1122</v>
      </c>
      <c r="AC22" s="18">
        <v>5</v>
      </c>
    </row>
    <row r="23" spans="1:29" ht="15.75" customHeight="1" x14ac:dyDescent="0.2">
      <c r="A23" s="17" t="str">
        <f>HYPERLINK("https://www.albion.edu", "Albion College")</f>
        <v>Albion College</v>
      </c>
      <c r="B23" s="18" t="s">
        <v>32</v>
      </c>
      <c r="C23" s="18" t="s">
        <v>226</v>
      </c>
      <c r="D23" s="18" t="s">
        <v>289</v>
      </c>
      <c r="E23" s="18">
        <v>1123</v>
      </c>
      <c r="F23" s="18" t="s">
        <v>35</v>
      </c>
      <c r="J23" s="2"/>
      <c r="K23" s="19">
        <v>0.56879999999999997</v>
      </c>
      <c r="L23" s="19">
        <v>0.43023255799999999</v>
      </c>
      <c r="M23" s="19">
        <v>0.58450000000000002</v>
      </c>
      <c r="N23" s="19">
        <v>0.375</v>
      </c>
      <c r="O23" s="19">
        <v>0.41670000000000001</v>
      </c>
      <c r="P23" s="19">
        <v>0.66669999999999996</v>
      </c>
      <c r="Q23" s="19"/>
      <c r="R23" s="20">
        <v>56750</v>
      </c>
      <c r="S23" s="21" t="str">
        <f>HYPERLINK("https://www.albion.edu/admission/student-financial-services/net-price-calculator", "$12557")</f>
        <v>$12557</v>
      </c>
      <c r="T23" s="22">
        <v>14703</v>
      </c>
      <c r="U23" s="22">
        <v>22069</v>
      </c>
      <c r="V23" s="20">
        <v>1490</v>
      </c>
      <c r="W23" s="20">
        <v>11067</v>
      </c>
      <c r="Y23" s="19">
        <v>0.34699999999999998</v>
      </c>
      <c r="Z23" s="19">
        <v>0.3498</v>
      </c>
      <c r="AB23" s="23">
        <v>1558</v>
      </c>
      <c r="AC23" s="18">
        <v>3</v>
      </c>
    </row>
    <row r="24" spans="1:29" ht="15.75" customHeight="1" x14ac:dyDescent="0.2">
      <c r="A24" s="17" t="str">
        <f>HYPERLINK("https://www.albright.edu", "Albright College")</f>
        <v>Albright College</v>
      </c>
      <c r="B24" s="18" t="s">
        <v>32</v>
      </c>
      <c r="C24" s="18" t="s">
        <v>65</v>
      </c>
      <c r="D24" s="18" t="s">
        <v>551</v>
      </c>
      <c r="E24" s="18" t="s">
        <v>36</v>
      </c>
      <c r="F24" s="18" t="s">
        <v>90</v>
      </c>
      <c r="J24" s="2"/>
      <c r="K24" s="19">
        <v>0.53180000000000005</v>
      </c>
      <c r="L24" s="19">
        <v>0.39607843100000001</v>
      </c>
      <c r="M24" s="19">
        <v>0.59109999999999996</v>
      </c>
      <c r="N24" s="19">
        <v>0.36259999999999998</v>
      </c>
      <c r="O24" s="19">
        <v>0.50849999999999995</v>
      </c>
      <c r="P24" s="19">
        <v>0.90910000000000002</v>
      </c>
      <c r="Q24" s="19"/>
      <c r="R24" s="20">
        <v>58320</v>
      </c>
      <c r="S24" s="21" t="str">
        <f>HYPERLINK("https://albright.studentaidcalculator.com/survey.aspx", "$19769")</f>
        <v>$19769</v>
      </c>
      <c r="T24" s="22">
        <v>21640</v>
      </c>
      <c r="U24" s="22">
        <v>25990</v>
      </c>
      <c r="V24" s="20">
        <v>3260</v>
      </c>
      <c r="W24" s="20">
        <v>16509</v>
      </c>
      <c r="Y24" s="19">
        <v>0.44590000000000002</v>
      </c>
      <c r="Z24" s="19">
        <v>0.48770000000000002</v>
      </c>
      <c r="AB24" s="23">
        <v>1999</v>
      </c>
      <c r="AC24" s="18">
        <v>4</v>
      </c>
    </row>
    <row r="25" spans="1:29" ht="15.75" customHeight="1" x14ac:dyDescent="0.2">
      <c r="A25" s="17" t="str">
        <f>HYPERLINK("https://www.alcorn.edu", "Alcorn State University")</f>
        <v>Alcorn State University</v>
      </c>
      <c r="B25" s="18" t="s">
        <v>49</v>
      </c>
      <c r="C25" s="18" t="s">
        <v>59</v>
      </c>
      <c r="D25" s="18" t="s">
        <v>552</v>
      </c>
      <c r="E25" s="18">
        <v>1005</v>
      </c>
      <c r="F25" s="18" t="s">
        <v>35</v>
      </c>
      <c r="J25" s="2"/>
      <c r="K25" s="19">
        <v>0.32779999999999998</v>
      </c>
      <c r="L25" s="19">
        <v>0.25387870200000001</v>
      </c>
      <c r="M25" s="19">
        <v>0.125</v>
      </c>
      <c r="N25" s="19">
        <v>0.3306</v>
      </c>
      <c r="O25" s="19">
        <v>0</v>
      </c>
      <c r="P25" s="19" t="s">
        <v>36</v>
      </c>
      <c r="Q25" s="19"/>
      <c r="R25" s="20">
        <v>23413</v>
      </c>
      <c r="S25" s="21" t="str">
        <f>HYPERLINK("https://www.alcorn.edu/admissions/financial-aid/consumer-information-disclosures", "$16408")</f>
        <v>$16408</v>
      </c>
      <c r="T25" s="22">
        <v>16153</v>
      </c>
      <c r="U25" s="22">
        <v>16692</v>
      </c>
      <c r="V25" s="20">
        <v>6794</v>
      </c>
      <c r="W25" s="20">
        <v>9614.3239074550147</v>
      </c>
      <c r="Y25" s="19">
        <v>0.75470000000000004</v>
      </c>
      <c r="Z25" s="19">
        <v>0.96779999999999999</v>
      </c>
      <c r="AB25" s="23">
        <v>3172</v>
      </c>
      <c r="AC25" s="18">
        <v>4</v>
      </c>
    </row>
    <row r="26" spans="1:29" ht="15.75" customHeight="1" x14ac:dyDescent="0.2">
      <c r="A26" s="17" t="str">
        <f>HYPERLINK("https://www.alextech.edu", "Alexandria Technical &amp; Community College")</f>
        <v>Alexandria Technical &amp; Community College</v>
      </c>
      <c r="B26" s="18" t="s">
        <v>49</v>
      </c>
      <c r="C26" s="18" t="s">
        <v>72</v>
      </c>
      <c r="D26" s="18" t="s">
        <v>850</v>
      </c>
      <c r="E26" s="18" t="s">
        <v>36</v>
      </c>
      <c r="F26" s="18" t="s">
        <v>36</v>
      </c>
      <c r="J26" s="2"/>
      <c r="K26" s="19">
        <v>0.57479999999999998</v>
      </c>
      <c r="L26" s="19">
        <v>0.38345864699999999</v>
      </c>
      <c r="M26" s="19">
        <v>0.60189999999999999</v>
      </c>
      <c r="N26" s="19">
        <v>0</v>
      </c>
      <c r="O26" s="19">
        <v>0.27779999999999999</v>
      </c>
      <c r="P26" s="19">
        <v>0.33329999999999999</v>
      </c>
      <c r="Q26" s="19">
        <v>3.8461539000000003E-2</v>
      </c>
      <c r="R26" s="20">
        <v>18910</v>
      </c>
      <c r="S26" s="21" t="str">
        <f>HYPERLINK("https://www.alextech.edu/calculator", "$12695")</f>
        <v>$12695</v>
      </c>
      <c r="T26" s="22">
        <v>13948</v>
      </c>
      <c r="U26" s="22">
        <v>16160</v>
      </c>
      <c r="V26" s="20">
        <v>8300</v>
      </c>
      <c r="W26" s="20">
        <v>4395.7567567567567</v>
      </c>
      <c r="Y26" s="19">
        <v>0.23649999999999999</v>
      </c>
      <c r="Z26" s="19">
        <v>9.4899999999999984E-2</v>
      </c>
      <c r="AB26" s="23">
        <v>1496</v>
      </c>
      <c r="AC26" s="18">
        <v>6</v>
      </c>
    </row>
    <row r="27" spans="1:29" ht="15.75" customHeight="1" x14ac:dyDescent="0.2">
      <c r="A27" s="17" t="str">
        <f>HYPERLINK("https://www.alfred.edu", "Alfred University")</f>
        <v>Alfred University</v>
      </c>
      <c r="B27" s="18" t="s">
        <v>32</v>
      </c>
      <c r="C27" s="18" t="s">
        <v>38</v>
      </c>
      <c r="D27" s="18" t="s">
        <v>292</v>
      </c>
      <c r="E27" s="18">
        <v>1116</v>
      </c>
      <c r="F27" s="18" t="s">
        <v>35</v>
      </c>
      <c r="G27" s="18" t="s">
        <v>40</v>
      </c>
      <c r="H27" s="18" t="s">
        <v>293</v>
      </c>
      <c r="I27" s="18" t="s">
        <v>294</v>
      </c>
      <c r="J27" s="2"/>
      <c r="K27" s="19">
        <v>0.53310000000000002</v>
      </c>
      <c r="L27" s="19">
        <v>0.504</v>
      </c>
      <c r="M27" s="19">
        <v>0.58169999999999999</v>
      </c>
      <c r="N27" s="19">
        <v>0.36209999999999998</v>
      </c>
      <c r="O27" s="19">
        <v>0.5</v>
      </c>
      <c r="P27" s="19">
        <v>0.57140000000000002</v>
      </c>
      <c r="Q27" s="19"/>
      <c r="R27" s="20">
        <v>43686</v>
      </c>
      <c r="S27" s="21" t="str">
        <f>HYPERLINK("https://www.collegecostcalculator.org/alfreduniversity", "$18649")</f>
        <v>$18649</v>
      </c>
      <c r="T27" s="22">
        <v>20900</v>
      </c>
      <c r="U27" s="22">
        <v>22847</v>
      </c>
      <c r="V27" s="20">
        <v>3300</v>
      </c>
      <c r="W27" s="20">
        <v>15349</v>
      </c>
      <c r="Y27" s="19">
        <v>0.37519999999999998</v>
      </c>
      <c r="Z27" s="19">
        <v>0.34420000000000001</v>
      </c>
      <c r="AB27" s="23">
        <v>1621</v>
      </c>
      <c r="AC27" s="18">
        <v>3</v>
      </c>
    </row>
    <row r="28" spans="1:29" ht="15.75" customHeight="1" x14ac:dyDescent="0.2">
      <c r="A28" s="17" t="str">
        <f>HYPERLINK("https://www.allstatecareer.edu", "All-State Career School-Allied Health Campus")</f>
        <v>All-State Career School-Allied Health Campus</v>
      </c>
      <c r="B28" s="18" t="s">
        <v>368</v>
      </c>
      <c r="C28" s="18" t="s">
        <v>65</v>
      </c>
      <c r="D28" s="18" t="s">
        <v>852</v>
      </c>
      <c r="E28" s="18" t="s">
        <v>36</v>
      </c>
      <c r="F28" s="18" t="s">
        <v>36</v>
      </c>
      <c r="J28" s="2"/>
      <c r="K28" s="19">
        <v>0.58679999999999999</v>
      </c>
      <c r="L28" s="19">
        <v>0.64685714299999997</v>
      </c>
      <c r="M28" s="19">
        <v>0.77500000000000002</v>
      </c>
      <c r="N28" s="19">
        <v>0.51280000000000003</v>
      </c>
      <c r="O28" s="19">
        <v>0.75</v>
      </c>
      <c r="P28" s="19">
        <v>1</v>
      </c>
      <c r="Q28" s="19" t="s">
        <v>36</v>
      </c>
      <c r="R28" s="20">
        <v>26696</v>
      </c>
      <c r="S28" s="21" t="str">
        <f>HYPERLINK("https://www.allstatecareeredu.info/", "$20593")</f>
        <v>$20593</v>
      </c>
      <c r="T28" s="22">
        <v>21853</v>
      </c>
      <c r="U28" s="22">
        <v>26040</v>
      </c>
      <c r="V28" s="20">
        <v>1900</v>
      </c>
      <c r="W28" s="20">
        <v>18693</v>
      </c>
      <c r="Y28" s="19">
        <v>0.83860000000000001</v>
      </c>
      <c r="Z28" s="19">
        <v>0.79720000000000002</v>
      </c>
      <c r="AB28" s="23">
        <v>355</v>
      </c>
      <c r="AC28" s="18">
        <v>6</v>
      </c>
    </row>
    <row r="29" spans="1:29" ht="15.75" customHeight="1" x14ac:dyDescent="0.2">
      <c r="A29" s="17" t="str">
        <f>HYPERLINK("https://www.hancockcollege.edu/", "Allan Hancock College")</f>
        <v>Allan Hancock College</v>
      </c>
      <c r="B29" s="18" t="s">
        <v>49</v>
      </c>
      <c r="C29" s="18" t="s">
        <v>68</v>
      </c>
      <c r="D29" s="18" t="s">
        <v>855</v>
      </c>
      <c r="E29" s="18" t="s">
        <v>36</v>
      </c>
      <c r="F29" s="18" t="s">
        <v>36</v>
      </c>
      <c r="J29" s="2"/>
      <c r="K29" s="19">
        <v>0.31430000000000002</v>
      </c>
      <c r="L29" s="19">
        <v>7.0034443000000002E-2</v>
      </c>
      <c r="M29" s="19">
        <v>0.41120000000000001</v>
      </c>
      <c r="N29" s="19">
        <v>0.1333</v>
      </c>
      <c r="O29" s="19">
        <v>0.27929999999999999</v>
      </c>
      <c r="P29" s="19">
        <v>0.4516</v>
      </c>
      <c r="Q29" s="19">
        <v>0.107779579</v>
      </c>
      <c r="R29" s="20">
        <v>26164</v>
      </c>
      <c r="S29" s="21" t="str">
        <f>HYPERLINK("https://misweb.cccco.edu/npc/611/npcalc.htm", "$18935")</f>
        <v>$18935</v>
      </c>
      <c r="T29" s="22">
        <v>21366</v>
      </c>
      <c r="U29" s="22">
        <v>23408</v>
      </c>
      <c r="V29" s="20">
        <v>6087</v>
      </c>
      <c r="W29" s="20">
        <v>12848.6918767507</v>
      </c>
      <c r="Y29" s="19">
        <v>0.2102</v>
      </c>
      <c r="Z29" s="19">
        <v>0.7137</v>
      </c>
      <c r="AB29" s="23">
        <v>9282</v>
      </c>
      <c r="AC29" s="18">
        <v>6</v>
      </c>
    </row>
    <row r="30" spans="1:29" ht="15.75" customHeight="1" x14ac:dyDescent="0.2">
      <c r="A30" s="17" t="str">
        <f>HYPERLINK("https://www.allegany.edu", "Allegany College of Maryland")</f>
        <v>Allegany College of Maryland</v>
      </c>
      <c r="B30" s="18" t="s">
        <v>49</v>
      </c>
      <c r="C30" s="18" t="s">
        <v>124</v>
      </c>
      <c r="D30" s="18" t="s">
        <v>857</v>
      </c>
      <c r="E30" s="18" t="s">
        <v>36</v>
      </c>
      <c r="F30" s="18" t="s">
        <v>36</v>
      </c>
      <c r="J30" s="2"/>
      <c r="K30" s="19">
        <v>0.21820000000000001</v>
      </c>
      <c r="L30" s="19">
        <v>0.30243161099999999</v>
      </c>
      <c r="M30" s="19">
        <v>0.28249999999999997</v>
      </c>
      <c r="N30" s="19">
        <v>8.1100000000000005E-2</v>
      </c>
      <c r="O30" s="19">
        <v>0.1429</v>
      </c>
      <c r="P30" s="19">
        <v>1</v>
      </c>
      <c r="Q30" s="19">
        <v>7.6360681999999999E-2</v>
      </c>
      <c r="R30" s="20">
        <v>24524</v>
      </c>
      <c r="S30" s="21" t="str">
        <f>HYPERLINK("https://services.allegany.edu/netprice/", "$19306")</f>
        <v>$19306</v>
      </c>
      <c r="T30" s="22">
        <v>22334</v>
      </c>
      <c r="U30" s="22">
        <v>24157</v>
      </c>
      <c r="V30" s="20">
        <v>5164</v>
      </c>
      <c r="W30" s="20">
        <v>14142.390625</v>
      </c>
      <c r="Y30" s="19">
        <v>0.4294</v>
      </c>
      <c r="Z30" s="19">
        <v>0.20799999999999999</v>
      </c>
      <c r="AB30" s="23">
        <v>1990</v>
      </c>
      <c r="AC30" s="18">
        <v>6</v>
      </c>
    </row>
    <row r="31" spans="1:29" ht="15.75" customHeight="1" x14ac:dyDescent="0.2">
      <c r="A31" s="17" t="str">
        <f>HYPERLINK("https://allegheny.edu", "Allegheny College")</f>
        <v>Allegheny College</v>
      </c>
      <c r="B31" s="18" t="s">
        <v>32</v>
      </c>
      <c r="C31" s="18" t="s">
        <v>65</v>
      </c>
      <c r="D31" s="18" t="s">
        <v>190</v>
      </c>
      <c r="E31" s="18">
        <v>1238</v>
      </c>
      <c r="F31" s="18" t="s">
        <v>115</v>
      </c>
      <c r="J31" s="2"/>
      <c r="K31" s="19">
        <v>0.75490000000000002</v>
      </c>
      <c r="L31" s="19">
        <v>0.704918033</v>
      </c>
      <c r="M31" s="19">
        <v>0.76649999999999996</v>
      </c>
      <c r="N31" s="19">
        <v>0.67859999999999998</v>
      </c>
      <c r="O31" s="19">
        <v>0.77500000000000002</v>
      </c>
      <c r="P31" s="19">
        <v>0.64290000000000003</v>
      </c>
      <c r="Q31" s="19"/>
      <c r="R31" s="20">
        <v>61120</v>
      </c>
      <c r="S31" s="21" t="str">
        <f>HYPERLINK("https://allegheny.edu/npc", "$16984")</f>
        <v>$16984</v>
      </c>
      <c r="T31" s="22">
        <v>20547</v>
      </c>
      <c r="U31" s="22">
        <v>24220</v>
      </c>
      <c r="V31" s="20">
        <v>3500</v>
      </c>
      <c r="W31" s="20">
        <v>13484</v>
      </c>
      <c r="Y31" s="19">
        <v>0.29430000000000001</v>
      </c>
      <c r="Z31" s="19">
        <v>0.30220000000000002</v>
      </c>
      <c r="AB31" s="23">
        <v>1764</v>
      </c>
      <c r="AC31" s="18">
        <v>2</v>
      </c>
    </row>
    <row r="32" spans="1:29" ht="15.75" customHeight="1" x14ac:dyDescent="0.2">
      <c r="A32" s="17" t="str">
        <f>HYPERLINK("https://www.allencc.edu", "Allen County Community College")</f>
        <v>Allen County Community College</v>
      </c>
      <c r="B32" s="18" t="s">
        <v>49</v>
      </c>
      <c r="C32" s="18" t="s">
        <v>307</v>
      </c>
      <c r="D32" s="18" t="s">
        <v>859</v>
      </c>
      <c r="E32" s="18" t="s">
        <v>36</v>
      </c>
      <c r="F32" s="18" t="s">
        <v>36</v>
      </c>
      <c r="J32" s="2"/>
      <c r="K32" s="19">
        <v>0.3014</v>
      </c>
      <c r="L32" s="19">
        <v>0.119922631</v>
      </c>
      <c r="M32" s="19">
        <v>0.33689999999999998</v>
      </c>
      <c r="N32" s="19">
        <v>0.29170000000000001</v>
      </c>
      <c r="O32" s="19">
        <v>0.12820000000000001</v>
      </c>
      <c r="P32" s="19">
        <v>0.1429</v>
      </c>
      <c r="Q32" s="19">
        <v>0.10987791299999999</v>
      </c>
      <c r="R32" s="20">
        <v>12634</v>
      </c>
      <c r="S32" s="21" t="str">
        <f>HYPERLINK("https://www.allencc.edu", "$6661")</f>
        <v>$6661</v>
      </c>
      <c r="T32" s="22">
        <v>9002</v>
      </c>
      <c r="U32" s="22">
        <v>10608</v>
      </c>
      <c r="V32" s="20">
        <v>4100</v>
      </c>
      <c r="W32" s="20">
        <v>2561.504672897197</v>
      </c>
      <c r="Y32" s="19">
        <v>0.21229999999999999</v>
      </c>
      <c r="Z32" s="19">
        <v>0.19889999999999999</v>
      </c>
      <c r="AB32" s="23">
        <v>2423</v>
      </c>
      <c r="AC32" s="18">
        <v>6</v>
      </c>
    </row>
    <row r="33" spans="1:29" ht="15.75" customHeight="1" x14ac:dyDescent="0.2">
      <c r="A33" s="17" t="str">
        <f>HYPERLINK("https://alma.edu", "Alma College")</f>
        <v>Alma College</v>
      </c>
      <c r="B33" s="18" t="s">
        <v>32</v>
      </c>
      <c r="C33" s="18" t="s">
        <v>226</v>
      </c>
      <c r="D33" s="18" t="s">
        <v>296</v>
      </c>
      <c r="E33" s="18">
        <v>1140</v>
      </c>
      <c r="F33" s="18" t="s">
        <v>35</v>
      </c>
      <c r="J33" s="2"/>
      <c r="K33" s="19">
        <v>0.67599999999999993</v>
      </c>
      <c r="L33" s="19">
        <v>0.32967033000000001</v>
      </c>
      <c r="M33" s="19">
        <v>0.69499999999999995</v>
      </c>
      <c r="N33" s="19">
        <v>0.57140000000000002</v>
      </c>
      <c r="O33" s="19">
        <v>0.3846</v>
      </c>
      <c r="P33" s="19">
        <v>0.8</v>
      </c>
      <c r="Q33" s="19"/>
      <c r="R33" s="20">
        <v>52475</v>
      </c>
      <c r="S33" s="21" t="str">
        <f>HYPERLINK("https://alma.edu/admissions/financial-aid/aid-calculators/net-price-calculator.php", "$16870")</f>
        <v>$16870</v>
      </c>
      <c r="T33" s="22">
        <v>20070</v>
      </c>
      <c r="U33" s="22">
        <v>21503</v>
      </c>
      <c r="V33" s="20">
        <v>3065</v>
      </c>
      <c r="W33" s="20">
        <v>13805</v>
      </c>
      <c r="Y33" s="19">
        <v>0.29149999999999998</v>
      </c>
      <c r="Z33" s="19">
        <v>0.222</v>
      </c>
      <c r="AB33" s="23">
        <v>1392</v>
      </c>
      <c r="AC33" s="18">
        <v>3</v>
      </c>
    </row>
    <row r="34" spans="1:29" ht="15.75" customHeight="1" x14ac:dyDescent="0.2">
      <c r="A34" s="17" t="str">
        <f>HYPERLINK("https://www.alpenacc.edu", "Alpena Community College")</f>
        <v>Alpena Community College</v>
      </c>
      <c r="B34" s="18" t="s">
        <v>49</v>
      </c>
      <c r="C34" s="18" t="s">
        <v>226</v>
      </c>
      <c r="D34" s="18" t="s">
        <v>861</v>
      </c>
      <c r="E34" s="18" t="s">
        <v>36</v>
      </c>
      <c r="F34" s="18" t="s">
        <v>36</v>
      </c>
      <c r="J34" s="2"/>
      <c r="K34" s="19">
        <v>0.35210000000000002</v>
      </c>
      <c r="L34" s="19">
        <v>0.27180527399999999</v>
      </c>
      <c r="M34" s="19">
        <v>0.36180000000000001</v>
      </c>
      <c r="N34" s="19">
        <v>0</v>
      </c>
      <c r="O34" s="19">
        <v>0.1429</v>
      </c>
      <c r="P34" s="19">
        <v>0.25</v>
      </c>
      <c r="Q34" s="19">
        <v>4.4198895000000002E-2</v>
      </c>
      <c r="R34" s="20">
        <v>15430</v>
      </c>
      <c r="S34" s="21" t="str">
        <f>HYPERLINK("https://www.alpenacc.edu", "$8518")</f>
        <v>$8518</v>
      </c>
      <c r="T34" s="22">
        <v>11784</v>
      </c>
      <c r="U34" s="22">
        <v>14130</v>
      </c>
      <c r="V34" s="20">
        <v>2600</v>
      </c>
      <c r="W34" s="20">
        <v>5918.8150684931497</v>
      </c>
      <c r="Y34" s="19">
        <v>0.37830000000000003</v>
      </c>
      <c r="Z34" s="19">
        <v>6.0899999999999947E-2</v>
      </c>
      <c r="AB34" s="23">
        <v>1067</v>
      </c>
      <c r="AC34" s="18">
        <v>6</v>
      </c>
    </row>
    <row r="35" spans="1:29" ht="15.75" customHeight="1" x14ac:dyDescent="0.2">
      <c r="A35" s="17" t="str">
        <f>HYPERLINK("https://www.alvernia.edu", "Alvernia University")</f>
        <v>Alvernia University</v>
      </c>
      <c r="B35" s="18" t="s">
        <v>32</v>
      </c>
      <c r="C35" s="18" t="s">
        <v>65</v>
      </c>
      <c r="D35" s="18" t="s">
        <v>551</v>
      </c>
      <c r="E35" s="18">
        <v>1052</v>
      </c>
      <c r="F35" s="18" t="s">
        <v>35</v>
      </c>
      <c r="J35" s="2"/>
      <c r="K35" s="19">
        <v>0.59840000000000004</v>
      </c>
      <c r="L35" s="19">
        <v>0.49549549599999998</v>
      </c>
      <c r="M35" s="19">
        <v>0.63719999999999999</v>
      </c>
      <c r="N35" s="19">
        <v>0.30769999999999997</v>
      </c>
      <c r="O35" s="19">
        <v>0.45450000000000002</v>
      </c>
      <c r="P35" s="19">
        <v>0.66669999999999996</v>
      </c>
      <c r="Q35" s="19"/>
      <c r="R35" s="20">
        <v>49330</v>
      </c>
      <c r="S35" s="21" t="str">
        <f>HYPERLINK("https://www.alvernia.edu/admissions-aid/financial-aid/financial-aid-net-price-calculator", "$21490")</f>
        <v>$21490</v>
      </c>
      <c r="T35" s="22">
        <v>23107</v>
      </c>
      <c r="U35" s="22">
        <v>26618</v>
      </c>
      <c r="V35" s="20">
        <v>4000</v>
      </c>
      <c r="W35" s="20">
        <v>17490</v>
      </c>
      <c r="Y35" s="19">
        <v>0.36420000000000002</v>
      </c>
      <c r="Z35" s="19">
        <v>0.32809999999999989</v>
      </c>
      <c r="AB35" s="23">
        <v>2231</v>
      </c>
      <c r="AC35" s="18">
        <v>4</v>
      </c>
    </row>
    <row r="36" spans="1:29" ht="15.75" customHeight="1" x14ac:dyDescent="0.2">
      <c r="A36" s="17" t="str">
        <f>HYPERLINK("https://www.alverno.edu", "Alverno College")</f>
        <v>Alverno College</v>
      </c>
      <c r="B36" s="18" t="s">
        <v>32</v>
      </c>
      <c r="C36" s="18" t="s">
        <v>196</v>
      </c>
      <c r="D36" s="18" t="s">
        <v>410</v>
      </c>
      <c r="E36" s="18" t="s">
        <v>36</v>
      </c>
      <c r="F36" s="18" t="s">
        <v>90</v>
      </c>
      <c r="J36" s="2"/>
      <c r="K36" s="19">
        <v>0.45079999999999998</v>
      </c>
      <c r="L36" s="19">
        <v>0.38924050599999999</v>
      </c>
      <c r="M36" s="19">
        <v>0.50680000000000003</v>
      </c>
      <c r="N36" s="19">
        <v>0.38300000000000001</v>
      </c>
      <c r="O36" s="19">
        <v>0.44440000000000002</v>
      </c>
      <c r="P36" s="19">
        <v>0.42859999999999998</v>
      </c>
      <c r="Q36" s="19"/>
      <c r="R36" s="20">
        <v>40418</v>
      </c>
      <c r="S36" s="21" t="str">
        <f>HYPERLINK("https://www.alverno.edu/npc", "$15244")</f>
        <v>$15244</v>
      </c>
      <c r="T36" s="22">
        <v>16852</v>
      </c>
      <c r="U36" s="22">
        <v>21892</v>
      </c>
      <c r="V36" s="20">
        <v>3845</v>
      </c>
      <c r="W36" s="20">
        <v>11399</v>
      </c>
      <c r="Y36" s="19">
        <v>0.56330000000000002</v>
      </c>
      <c r="Z36" s="19">
        <v>0.51119999999999999</v>
      </c>
      <c r="AB36" s="23">
        <v>1289</v>
      </c>
      <c r="AC36" s="18">
        <v>4</v>
      </c>
    </row>
    <row r="37" spans="1:29" ht="15.75" customHeight="1" x14ac:dyDescent="0.2">
      <c r="A37" s="17" t="str">
        <f>HYPERLINK("https://www.alvincollege.edu", "Alvin Community College")</f>
        <v>Alvin Community College</v>
      </c>
      <c r="B37" s="18" t="s">
        <v>49</v>
      </c>
      <c r="C37" s="18" t="s">
        <v>146</v>
      </c>
      <c r="D37" s="18" t="s">
        <v>864</v>
      </c>
      <c r="E37" s="18" t="s">
        <v>36</v>
      </c>
      <c r="F37" s="18" t="s">
        <v>36</v>
      </c>
      <c r="J37" s="2"/>
      <c r="K37" s="19">
        <v>0.25080000000000002</v>
      </c>
      <c r="L37" s="19">
        <v>0.17558886500000001</v>
      </c>
      <c r="M37" s="19">
        <v>0.29730000000000001</v>
      </c>
      <c r="N37" s="19">
        <v>0.2</v>
      </c>
      <c r="O37" s="19">
        <v>0.1981</v>
      </c>
      <c r="P37" s="19">
        <v>0.1111</v>
      </c>
      <c r="Q37" s="19">
        <v>8.5314685000000001E-2</v>
      </c>
      <c r="R37" s="20">
        <v>17823</v>
      </c>
      <c r="S37" s="21" t="str">
        <f>HYPERLINK("https://www.alvincollege.edu/Net-Price-Calculator", "$13716")</f>
        <v>$13716</v>
      </c>
      <c r="T37" s="22" t="s">
        <v>36</v>
      </c>
      <c r="U37" s="22" t="s">
        <v>36</v>
      </c>
      <c r="V37" s="20">
        <v>6260</v>
      </c>
      <c r="W37" s="20">
        <v>7456.3870967741932</v>
      </c>
      <c r="Y37" s="19">
        <v>0.16059999999999999</v>
      </c>
      <c r="Z37" s="19">
        <v>0.54390000000000005</v>
      </c>
      <c r="AB37" s="23">
        <v>3705</v>
      </c>
      <c r="AC37" s="18">
        <v>6</v>
      </c>
    </row>
    <row r="38" spans="1:29" ht="15.75" customHeight="1" x14ac:dyDescent="0.2">
      <c r="A38" s="17" t="str">
        <f>HYPERLINK("https://www.actx.edu", "Amarillo College")</f>
        <v>Amarillo College</v>
      </c>
      <c r="B38" s="18" t="s">
        <v>49</v>
      </c>
      <c r="C38" s="18" t="s">
        <v>146</v>
      </c>
      <c r="D38" s="18" t="s">
        <v>866</v>
      </c>
      <c r="E38" s="18" t="s">
        <v>36</v>
      </c>
      <c r="F38" s="18" t="s">
        <v>36</v>
      </c>
      <c r="J38" s="2"/>
      <c r="K38" s="19">
        <v>0.26090000000000002</v>
      </c>
      <c r="L38" s="19">
        <v>0.19643765899999999</v>
      </c>
      <c r="M38" s="19">
        <v>0.27089999999999997</v>
      </c>
      <c r="N38" s="19">
        <v>9.7600000000000006E-2</v>
      </c>
      <c r="O38" s="19">
        <v>0.26769999999999999</v>
      </c>
      <c r="P38" s="19">
        <v>0.25</v>
      </c>
      <c r="Q38" s="19">
        <v>5.4400553999999997E-2</v>
      </c>
      <c r="R38" s="20">
        <v>16855</v>
      </c>
      <c r="S38" s="21" t="str">
        <f>HYPERLINK("https://www.actx.edu/fin/net-price-calculator", "$11758")</f>
        <v>$11758</v>
      </c>
      <c r="T38" s="22">
        <v>13842</v>
      </c>
      <c r="U38" s="22">
        <v>15902</v>
      </c>
      <c r="V38" s="20">
        <v>5637</v>
      </c>
      <c r="W38" s="20">
        <v>6121.1417322834641</v>
      </c>
      <c r="Y38" s="19">
        <v>0.39439999999999997</v>
      </c>
      <c r="Z38" s="19">
        <v>0.55919999999999992</v>
      </c>
      <c r="AB38" s="23">
        <v>7804</v>
      </c>
      <c r="AC38" s="18">
        <v>6</v>
      </c>
    </row>
    <row r="39" spans="1:29" ht="15.75" customHeight="1" x14ac:dyDescent="0.2">
      <c r="A39" s="17" t="str">
        <f>HYPERLINK("https://ambria.edu", "Ambria College of Nursing")</f>
        <v>Ambria College of Nursing</v>
      </c>
      <c r="B39" s="18" t="s">
        <v>368</v>
      </c>
      <c r="C39" s="18" t="s">
        <v>137</v>
      </c>
      <c r="D39" s="18" t="s">
        <v>868</v>
      </c>
      <c r="E39" s="18" t="s">
        <v>36</v>
      </c>
      <c r="F39" s="18" t="s">
        <v>36</v>
      </c>
      <c r="J39" s="2"/>
      <c r="K39" s="19">
        <v>0.66669999999999996</v>
      </c>
      <c r="L39" s="19">
        <v>0.71681415900000001</v>
      </c>
      <c r="M39" s="19">
        <v>0.33329999999999999</v>
      </c>
      <c r="N39" s="19">
        <v>1</v>
      </c>
      <c r="O39" s="19">
        <v>0.8</v>
      </c>
      <c r="P39" s="19">
        <v>0.66669999999999996</v>
      </c>
      <c r="Q39" s="19" t="s">
        <v>36</v>
      </c>
      <c r="R39" s="20" t="s">
        <v>36</v>
      </c>
      <c r="S39" s="21" t="str">
        <f>HYPERLINK("https://ambria.edu/FinancialAid/FinancialAidCalculator/tabid/514/Default.aspx/tabid/514/Default.aspx", "Not reported")</f>
        <v>Not reported</v>
      </c>
      <c r="T39" s="22" t="s">
        <v>36</v>
      </c>
      <c r="U39" s="22" t="s">
        <v>36</v>
      </c>
      <c r="V39" s="20" t="s">
        <v>36</v>
      </c>
      <c r="W39" s="20" t="s">
        <v>36</v>
      </c>
      <c r="Y39" s="19">
        <v>0.38650000000000001</v>
      </c>
      <c r="Z39" s="19">
        <v>0.67510000000000003</v>
      </c>
      <c r="AB39" s="23">
        <v>317</v>
      </c>
      <c r="AC39" s="18">
        <v>6</v>
      </c>
    </row>
    <row r="40" spans="1:29" ht="15.75" customHeight="1" x14ac:dyDescent="0.2">
      <c r="A40" s="17" t="str">
        <f>HYPERLINK("https://www.ameritech.edu", "AmeriTech College-Draper")</f>
        <v>AmeriTech College-Draper</v>
      </c>
      <c r="B40" s="18" t="s">
        <v>368</v>
      </c>
      <c r="C40" s="18" t="s">
        <v>199</v>
      </c>
      <c r="D40" s="18" t="s">
        <v>871</v>
      </c>
      <c r="E40" s="18" t="s">
        <v>36</v>
      </c>
      <c r="F40" s="18" t="s">
        <v>45</v>
      </c>
      <c r="J40" s="2"/>
      <c r="K40" s="19">
        <v>0.44519999999999998</v>
      </c>
      <c r="L40" s="19">
        <v>0.70454545499999999</v>
      </c>
      <c r="M40" s="19">
        <v>0.57689999999999997</v>
      </c>
      <c r="N40" s="19">
        <v>0.22220000000000001</v>
      </c>
      <c r="O40" s="19">
        <v>0.75</v>
      </c>
      <c r="P40" s="19" t="s">
        <v>36</v>
      </c>
      <c r="Q40" s="19" t="s">
        <v>36</v>
      </c>
      <c r="R40" s="20">
        <v>30900</v>
      </c>
      <c r="S40" s="21" t="str">
        <f>HYPERLINK("https://www.ameritech.edu", "$24265")</f>
        <v>$24265</v>
      </c>
      <c r="T40" s="22">
        <v>23954</v>
      </c>
      <c r="U40" s="22">
        <v>29811</v>
      </c>
      <c r="V40" s="20">
        <v>3647</v>
      </c>
      <c r="W40" s="20">
        <v>20618</v>
      </c>
      <c r="Y40" s="19">
        <v>0.52769999999999995</v>
      </c>
      <c r="Z40" s="19">
        <v>0.19869999999999999</v>
      </c>
      <c r="AB40" s="23">
        <v>604</v>
      </c>
      <c r="AC40" s="18">
        <v>6</v>
      </c>
    </row>
    <row r="41" spans="1:29" ht="15.75" customHeight="1" x14ac:dyDescent="0.2">
      <c r="A41" s="17" t="str">
        <f>HYPERLINK("https://www.funeraleducation.org", "American Academy McAllister Institute of Funeral Service")</f>
        <v>American Academy McAllister Institute of Funeral Service</v>
      </c>
      <c r="B41" s="18" t="s">
        <v>32</v>
      </c>
      <c r="C41" s="18" t="s">
        <v>38</v>
      </c>
      <c r="D41" s="18" t="s">
        <v>39</v>
      </c>
      <c r="E41" s="18" t="s">
        <v>36</v>
      </c>
      <c r="F41" s="18" t="s">
        <v>36</v>
      </c>
      <c r="J41" s="2"/>
      <c r="K41" s="19">
        <v>0.1429</v>
      </c>
      <c r="L41" s="19">
        <v>0.41095890400000001</v>
      </c>
      <c r="M41" s="19">
        <v>0.2</v>
      </c>
      <c r="N41" s="19">
        <v>0.1429</v>
      </c>
      <c r="O41" s="19">
        <v>0</v>
      </c>
      <c r="P41" s="19" t="s">
        <v>36</v>
      </c>
      <c r="Q41" s="19" t="s">
        <v>36</v>
      </c>
      <c r="R41" s="20">
        <v>19185</v>
      </c>
      <c r="S41" s="21" t="str">
        <f>HYPERLINK("https://funeraleducation.org/home/net-cost-calculator/", "$20423")</f>
        <v>$20423</v>
      </c>
      <c r="T41" s="22" t="s">
        <v>36</v>
      </c>
      <c r="U41" s="22" t="s">
        <v>36</v>
      </c>
      <c r="V41" s="20">
        <v>2100</v>
      </c>
      <c r="W41" s="20">
        <v>18323</v>
      </c>
      <c r="Y41" s="19">
        <v>0.57909999999999995</v>
      </c>
      <c r="Z41" s="19">
        <v>0.47499999999999998</v>
      </c>
      <c r="AB41" s="23">
        <v>480</v>
      </c>
      <c r="AC41" s="18">
        <v>6</v>
      </c>
    </row>
    <row r="42" spans="1:29" ht="15.75" customHeight="1" x14ac:dyDescent="0.2">
      <c r="A42" s="17" t="str">
        <f>HYPERLINK("https://www.aada.edu", "American Academy of Dramatic Arts-Los Angeles")</f>
        <v>American Academy of Dramatic Arts-Los Angeles</v>
      </c>
      <c r="B42" s="18" t="s">
        <v>32</v>
      </c>
      <c r="C42" s="18" t="s">
        <v>68</v>
      </c>
      <c r="D42" s="18" t="s">
        <v>140</v>
      </c>
      <c r="E42" s="18" t="s">
        <v>36</v>
      </c>
      <c r="F42" s="18" t="s">
        <v>45</v>
      </c>
      <c r="J42" s="2"/>
      <c r="K42" s="19">
        <v>0.69179999999999997</v>
      </c>
      <c r="L42" s="19">
        <v>0.703125</v>
      </c>
      <c r="M42" s="19">
        <v>0.6552</v>
      </c>
      <c r="N42" s="19">
        <v>0.92310000000000003</v>
      </c>
      <c r="O42" s="19">
        <v>0.3846</v>
      </c>
      <c r="P42" s="19">
        <v>0</v>
      </c>
      <c r="Q42" s="19" t="s">
        <v>36</v>
      </c>
      <c r="R42" s="20">
        <v>48990</v>
      </c>
      <c r="S42" s="21" t="str">
        <f>HYPERLINK("https://www.aada.edu/admissions/net-price-calculator/", "$35907")</f>
        <v>$35907</v>
      </c>
      <c r="T42" s="22">
        <v>37634</v>
      </c>
      <c r="U42" s="22">
        <v>40558</v>
      </c>
      <c r="V42" s="20">
        <v>1970</v>
      </c>
      <c r="W42" s="20">
        <v>33937</v>
      </c>
      <c r="Y42" s="19">
        <v>0.30030000000000001</v>
      </c>
      <c r="Z42" s="19">
        <v>0.54289999999999994</v>
      </c>
      <c r="AB42" s="23">
        <v>280</v>
      </c>
      <c r="AC42" s="18">
        <v>6</v>
      </c>
    </row>
    <row r="43" spans="1:29" ht="15.75" customHeight="1" x14ac:dyDescent="0.2">
      <c r="A43" s="17" t="str">
        <f>HYPERLINK("https://www.aada.edu", "American Academy of Dramatic Arts-New York")</f>
        <v>American Academy of Dramatic Arts-New York</v>
      </c>
      <c r="B43" s="18" t="s">
        <v>32</v>
      </c>
      <c r="C43" s="18" t="s">
        <v>38</v>
      </c>
      <c r="D43" s="18" t="s">
        <v>39</v>
      </c>
      <c r="E43" s="18" t="s">
        <v>36</v>
      </c>
      <c r="F43" s="18" t="s">
        <v>45</v>
      </c>
      <c r="J43" s="2"/>
      <c r="K43" s="19">
        <v>0.59219999999999995</v>
      </c>
      <c r="L43" s="19">
        <v>0.703125</v>
      </c>
      <c r="M43" s="19">
        <v>0.71430000000000005</v>
      </c>
      <c r="N43" s="19">
        <v>0.5</v>
      </c>
      <c r="O43" s="19">
        <v>0.4</v>
      </c>
      <c r="P43" s="19" t="s">
        <v>36</v>
      </c>
      <c r="Q43" s="19" t="s">
        <v>36</v>
      </c>
      <c r="R43" s="20">
        <v>56340</v>
      </c>
      <c r="S43" s="21" t="str">
        <f>HYPERLINK("https://www.aada.edu/admissions/calculator.html", "$43262")</f>
        <v>$43262</v>
      </c>
      <c r="T43" s="22">
        <v>44692</v>
      </c>
      <c r="U43" s="22">
        <v>47742</v>
      </c>
      <c r="V43" s="20">
        <v>5250</v>
      </c>
      <c r="W43" s="20">
        <v>38012</v>
      </c>
      <c r="Y43" s="19">
        <v>0.32479999999999998</v>
      </c>
      <c r="Z43" s="19">
        <v>0.56130000000000002</v>
      </c>
      <c r="AB43" s="23">
        <v>269</v>
      </c>
      <c r="AC43" s="18">
        <v>6</v>
      </c>
    </row>
    <row r="44" spans="1:29" ht="15.75" customHeight="1" x14ac:dyDescent="0.2">
      <c r="A44" s="17" t="str">
        <f>HYPERLINK("https://abtu.edu", "American Business and Technology University")</f>
        <v>American Business and Technology University</v>
      </c>
      <c r="B44" s="18" t="s">
        <v>368</v>
      </c>
      <c r="C44" s="18" t="s">
        <v>164</v>
      </c>
      <c r="D44" s="18" t="s">
        <v>879</v>
      </c>
      <c r="E44" s="18" t="s">
        <v>36</v>
      </c>
      <c r="F44" s="18" t="s">
        <v>36</v>
      </c>
      <c r="J44" s="2"/>
      <c r="K44" s="19">
        <v>0.5</v>
      </c>
      <c r="L44" s="19" t="s">
        <v>36</v>
      </c>
      <c r="M44" s="19">
        <v>0.5333</v>
      </c>
      <c r="N44" s="19">
        <v>0.36359999999999998</v>
      </c>
      <c r="O44" s="19">
        <v>0.75</v>
      </c>
      <c r="P44" s="19">
        <v>0</v>
      </c>
      <c r="Q44" s="19" t="s">
        <v>36</v>
      </c>
      <c r="R44" s="20" t="s">
        <v>36</v>
      </c>
      <c r="S44" s="21" t="str">
        <f>HYPERLINK("https://abtu.edu/net-price-calculator/", "$21661")</f>
        <v>$21661</v>
      </c>
      <c r="T44" s="22" t="s">
        <v>36</v>
      </c>
      <c r="U44" s="22" t="s">
        <v>36</v>
      </c>
      <c r="V44" s="20" t="s">
        <v>36</v>
      </c>
      <c r="W44" s="20" t="s">
        <v>36</v>
      </c>
      <c r="Y44" s="19">
        <v>0.54869999999999997</v>
      </c>
      <c r="Z44" s="19">
        <v>0.46300000000000002</v>
      </c>
      <c r="AB44" s="23">
        <v>270</v>
      </c>
      <c r="AC44" s="18">
        <v>6</v>
      </c>
    </row>
    <row r="45" spans="1:29" ht="15.75" customHeight="1" x14ac:dyDescent="0.2">
      <c r="A45" s="17" t="str">
        <f>HYPERLINK("https://www.acmc.edu", "American College for Medical Careers")</f>
        <v>American College for Medical Careers</v>
      </c>
      <c r="B45" s="18" t="s">
        <v>368</v>
      </c>
      <c r="C45" s="18" t="s">
        <v>162</v>
      </c>
      <c r="D45" s="18" t="s">
        <v>501</v>
      </c>
      <c r="E45" s="18" t="s">
        <v>36</v>
      </c>
      <c r="F45" s="18" t="s">
        <v>36</v>
      </c>
      <c r="J45" s="2"/>
      <c r="K45" s="19">
        <v>0.62960000000000005</v>
      </c>
      <c r="L45" s="19">
        <v>0.59111332999999999</v>
      </c>
      <c r="M45" s="19">
        <v>1</v>
      </c>
      <c r="N45" s="19">
        <v>1</v>
      </c>
      <c r="O45" s="19">
        <v>0.4</v>
      </c>
      <c r="P45" s="19" t="s">
        <v>36</v>
      </c>
      <c r="Q45" s="19">
        <v>4.7653959999999999E-3</v>
      </c>
      <c r="R45" s="20" t="s">
        <v>36</v>
      </c>
      <c r="S45" s="21" t="str">
        <f>HYPERLINK("https://schooliya.com/peg/Orlando/netpricecalc.html", "$15087")</f>
        <v>$15087</v>
      </c>
      <c r="T45" s="22">
        <v>16989</v>
      </c>
      <c r="U45" s="22">
        <v>18341</v>
      </c>
      <c r="V45" s="20" t="s">
        <v>36</v>
      </c>
      <c r="W45" s="20" t="s">
        <v>36</v>
      </c>
      <c r="Y45" s="19">
        <v>0.74570000000000003</v>
      </c>
      <c r="Z45" s="19">
        <v>0.85780000000000001</v>
      </c>
      <c r="AB45" s="23">
        <v>457</v>
      </c>
      <c r="AC45" s="18">
        <v>6</v>
      </c>
    </row>
    <row r="46" spans="1:29" ht="15.75" customHeight="1" x14ac:dyDescent="0.2">
      <c r="A46" s="17" t="str">
        <f>HYPERLINK("https://www.aiam.edu", "American Institute of Alternative Medicine")</f>
        <v>American Institute of Alternative Medicine</v>
      </c>
      <c r="B46" s="18" t="s">
        <v>368</v>
      </c>
      <c r="C46" s="18" t="s">
        <v>75</v>
      </c>
      <c r="D46" s="18" t="s">
        <v>237</v>
      </c>
      <c r="E46" s="18" t="s">
        <v>36</v>
      </c>
      <c r="F46" s="18" t="s">
        <v>45</v>
      </c>
      <c r="J46" s="2"/>
      <c r="K46" s="19">
        <v>0.59260000000000002</v>
      </c>
      <c r="L46" s="19">
        <v>0.61111111100000004</v>
      </c>
      <c r="M46" s="19">
        <v>1</v>
      </c>
      <c r="N46" s="19">
        <v>0.4667</v>
      </c>
      <c r="O46" s="19" t="s">
        <v>36</v>
      </c>
      <c r="P46" s="19">
        <v>1</v>
      </c>
      <c r="Q46" s="19" t="s">
        <v>36</v>
      </c>
      <c r="R46" s="20">
        <v>32225</v>
      </c>
      <c r="S46" s="21" t="str">
        <f>HYPERLINK("https://www.aiam.edu/calculator", "$15902")</f>
        <v>$15902</v>
      </c>
      <c r="T46" s="22" t="s">
        <v>36</v>
      </c>
      <c r="U46" s="22" t="s">
        <v>36</v>
      </c>
      <c r="V46" s="20">
        <v>7816</v>
      </c>
      <c r="W46" s="20">
        <v>8086</v>
      </c>
      <c r="Y46" s="19">
        <v>0.58850000000000002</v>
      </c>
      <c r="Z46" s="19">
        <v>0.76350000000000007</v>
      </c>
      <c r="AB46" s="23">
        <v>389</v>
      </c>
      <c r="AC46" s="18">
        <v>6</v>
      </c>
    </row>
    <row r="47" spans="1:29" ht="15.75" customHeight="1" x14ac:dyDescent="0.2">
      <c r="A47" s="17" t="str">
        <f>HYPERLINK("https://www.aic.edu", "American International College")</f>
        <v>American International College</v>
      </c>
      <c r="B47" s="18" t="s">
        <v>32</v>
      </c>
      <c r="C47" s="18" t="s">
        <v>33</v>
      </c>
      <c r="D47" s="18" t="s">
        <v>349</v>
      </c>
      <c r="E47" s="18">
        <v>997</v>
      </c>
      <c r="F47" s="18" t="s">
        <v>115</v>
      </c>
      <c r="J47" s="2"/>
      <c r="K47" s="19">
        <v>0.41410000000000002</v>
      </c>
      <c r="L47" s="19">
        <v>0.47107438000000001</v>
      </c>
      <c r="M47" s="19">
        <v>0.49519999999999997</v>
      </c>
      <c r="N47" s="19">
        <v>0.3659</v>
      </c>
      <c r="O47" s="19">
        <v>0.33329999999999999</v>
      </c>
      <c r="P47" s="19">
        <v>0.75</v>
      </c>
      <c r="Q47" s="19"/>
      <c r="R47" s="20">
        <v>50820</v>
      </c>
      <c r="S47" s="21" t="str">
        <f>HYPERLINK("https://www.aic.edu/admissions/tuition-and-financial-aid/net-price-calculator/", "$20373")</f>
        <v>$20373</v>
      </c>
      <c r="T47" s="22">
        <v>22376</v>
      </c>
      <c r="U47" s="22">
        <v>24170</v>
      </c>
      <c r="V47" s="20">
        <v>2800</v>
      </c>
      <c r="W47" s="20">
        <v>17573</v>
      </c>
      <c r="Y47" s="19">
        <v>0.48089999999999999</v>
      </c>
      <c r="Z47" s="19">
        <v>0.625</v>
      </c>
      <c r="AB47" s="23">
        <v>1336</v>
      </c>
      <c r="AC47" s="18">
        <v>5</v>
      </c>
    </row>
    <row r="48" spans="1:29" ht="15.75" customHeight="1" x14ac:dyDescent="0.2">
      <c r="A48" s="17" t="str">
        <f>HYPERLINK("https://www.an.edu/locations/dayton-oh/", "American National University-Dayton")</f>
        <v>American National University-Dayton</v>
      </c>
      <c r="B48" s="18" t="s">
        <v>368</v>
      </c>
      <c r="C48" s="18" t="s">
        <v>75</v>
      </c>
      <c r="D48" s="18" t="s">
        <v>844</v>
      </c>
      <c r="E48" s="18" t="s">
        <v>36</v>
      </c>
      <c r="F48" s="18" t="s">
        <v>36</v>
      </c>
      <c r="J48" s="2"/>
      <c r="K48" s="19">
        <v>0.33329999999999999</v>
      </c>
      <c r="L48" s="19">
        <v>0.23114147500000001</v>
      </c>
      <c r="M48" s="19">
        <v>1</v>
      </c>
      <c r="N48" s="19">
        <v>0</v>
      </c>
      <c r="O48" s="19" t="s">
        <v>36</v>
      </c>
      <c r="P48" s="19" t="s">
        <v>36</v>
      </c>
      <c r="Q48" s="19">
        <v>1.2263919999999999E-2</v>
      </c>
      <c r="R48" s="20">
        <v>29215</v>
      </c>
      <c r="S48" s="21" t="str">
        <f>HYPERLINK("https://www.an.edu/admissions/financial-assistance/net-price-va/", "Not reported")</f>
        <v>Not reported</v>
      </c>
      <c r="T48" s="22" t="s">
        <v>36</v>
      </c>
      <c r="U48" s="22" t="s">
        <v>36</v>
      </c>
      <c r="V48" s="20">
        <v>8641</v>
      </c>
      <c r="W48" s="20" t="s">
        <v>36</v>
      </c>
      <c r="Y48" s="19">
        <v>0.69700000000000006</v>
      </c>
      <c r="Z48" s="19">
        <v>0.75</v>
      </c>
      <c r="AB48" s="23">
        <v>20</v>
      </c>
      <c r="AC48" s="18">
        <v>6</v>
      </c>
    </row>
    <row r="49" spans="1:29" ht="15.75" customHeight="1" x14ac:dyDescent="0.2">
      <c r="A49" s="17" t="str">
        <f>HYPERLINK("https://www.an.edu/locations/", "American National University-Lexington")</f>
        <v>American National University-Lexington</v>
      </c>
      <c r="B49" s="18" t="s">
        <v>368</v>
      </c>
      <c r="C49" s="18" t="s">
        <v>205</v>
      </c>
      <c r="D49" s="18" t="s">
        <v>180</v>
      </c>
      <c r="E49" s="18" t="s">
        <v>36</v>
      </c>
      <c r="F49" s="18" t="s">
        <v>36</v>
      </c>
      <c r="J49" s="2"/>
      <c r="K49" s="19">
        <v>0.40279999999999999</v>
      </c>
      <c r="L49" s="19">
        <v>0.23764575199999999</v>
      </c>
      <c r="M49" s="19">
        <v>0.44440000000000002</v>
      </c>
      <c r="N49" s="19">
        <v>0.25</v>
      </c>
      <c r="O49" s="19">
        <v>0.42859999999999998</v>
      </c>
      <c r="P49" s="19" t="s">
        <v>36</v>
      </c>
      <c r="Q49" s="19">
        <v>2.4965325999999999E-2</v>
      </c>
      <c r="R49" s="20">
        <v>28791</v>
      </c>
      <c r="S49" s="21" t="str">
        <f>HYPERLINK("https://www.an.edu/admissions/financial-assistance/net-price-ky/", "$18755")</f>
        <v>$18755</v>
      </c>
      <c r="T49" s="22" t="s">
        <v>36</v>
      </c>
      <c r="U49" s="22" t="s">
        <v>36</v>
      </c>
      <c r="V49" s="20">
        <v>8473</v>
      </c>
      <c r="W49" s="20">
        <v>10282</v>
      </c>
      <c r="Y49" s="19">
        <v>0.80179999999999996</v>
      </c>
      <c r="Z49" s="19">
        <v>0.51290000000000002</v>
      </c>
      <c r="AB49" s="23">
        <v>232</v>
      </c>
      <c r="AC49" s="18">
        <v>6</v>
      </c>
    </row>
    <row r="50" spans="1:29" ht="15.75" customHeight="1" x14ac:dyDescent="0.2">
      <c r="A50" s="17" t="str">
        <f>HYPERLINK("https://www.an.edu/locations/youngstown-oh/", "American National University-Youngstown")</f>
        <v>American National University-Youngstown</v>
      </c>
      <c r="B50" s="18" t="s">
        <v>368</v>
      </c>
      <c r="C50" s="18" t="s">
        <v>75</v>
      </c>
      <c r="D50" s="18" t="s">
        <v>889</v>
      </c>
      <c r="E50" s="18" t="s">
        <v>36</v>
      </c>
      <c r="F50" s="18" t="s">
        <v>36</v>
      </c>
      <c r="J50" s="2"/>
      <c r="K50" s="19">
        <v>0.4</v>
      </c>
      <c r="L50" s="19">
        <v>0.23114147500000001</v>
      </c>
      <c r="M50" s="19">
        <v>0.25</v>
      </c>
      <c r="N50" s="19">
        <v>1</v>
      </c>
      <c r="O50" s="19" t="s">
        <v>36</v>
      </c>
      <c r="P50" s="19" t="s">
        <v>36</v>
      </c>
      <c r="Q50" s="19">
        <v>1.2263919999999999E-2</v>
      </c>
      <c r="R50" s="20">
        <v>29215</v>
      </c>
      <c r="S50" s="21" t="str">
        <f>HYPERLINK("https://www.an.edu/admissions/financial-assistance/net-price-va/", "$18239")</f>
        <v>$18239</v>
      </c>
      <c r="T50" s="22" t="s">
        <v>36</v>
      </c>
      <c r="U50" s="22" t="s">
        <v>36</v>
      </c>
      <c r="V50" s="20">
        <v>8641</v>
      </c>
      <c r="W50" s="20">
        <v>9598</v>
      </c>
      <c r="Y50" s="19">
        <v>0.85289999999999999</v>
      </c>
      <c r="Z50" s="19">
        <v>0.39389999999999997</v>
      </c>
      <c r="AB50" s="23">
        <v>33</v>
      </c>
      <c r="AC50" s="18">
        <v>6</v>
      </c>
    </row>
    <row r="51" spans="1:29" ht="15.75" customHeight="1" x14ac:dyDescent="0.2">
      <c r="A51" s="17" t="str">
        <f>HYPERLINK("https://www.amsamoa.edu", "American Samoa Community College")</f>
        <v>American Samoa Community College</v>
      </c>
      <c r="B51" s="18" t="s">
        <v>49</v>
      </c>
      <c r="C51" s="18" t="s">
        <v>891</v>
      </c>
      <c r="D51" s="18" t="s">
        <v>892</v>
      </c>
      <c r="E51" s="18" t="s">
        <v>36</v>
      </c>
      <c r="F51" s="18" t="s">
        <v>36</v>
      </c>
      <c r="J51" s="2"/>
      <c r="K51" s="19">
        <v>0.30099999999999999</v>
      </c>
      <c r="L51" s="19">
        <v>7.3059360999999989E-2</v>
      </c>
      <c r="M51" s="19" t="s">
        <v>36</v>
      </c>
      <c r="N51" s="19" t="s">
        <v>36</v>
      </c>
      <c r="O51" s="19">
        <v>0</v>
      </c>
      <c r="P51" s="19">
        <v>0.375</v>
      </c>
      <c r="Q51" s="19">
        <v>5.7644109999999998E-2</v>
      </c>
      <c r="R51" s="20">
        <v>10850</v>
      </c>
      <c r="S51" s="21" t="str">
        <f>HYPERLINK("https://www.amsamoa.edu/netpricecalc/npcalc.htm", "$8069")</f>
        <v>$8069</v>
      </c>
      <c r="T51" s="22">
        <v>8417</v>
      </c>
      <c r="U51" s="22">
        <v>8467</v>
      </c>
      <c r="V51" s="20">
        <v>3600</v>
      </c>
      <c r="W51" s="20">
        <v>4469.2</v>
      </c>
      <c r="Y51" s="19">
        <v>0.84919999999999995</v>
      </c>
      <c r="Z51" s="19">
        <v>0.99629999999999996</v>
      </c>
      <c r="AB51" s="23">
        <v>1095</v>
      </c>
      <c r="AC51" s="18">
        <v>6</v>
      </c>
    </row>
    <row r="52" spans="1:29" ht="15.75" customHeight="1" x14ac:dyDescent="0.2">
      <c r="A52" s="17" t="str">
        <f>HYPERLINK("https://WWW.AMERICAN.EDU", "American University")</f>
        <v>American University</v>
      </c>
      <c r="B52" s="18" t="s">
        <v>32</v>
      </c>
      <c r="C52" s="18" t="s">
        <v>113</v>
      </c>
      <c r="D52" s="18" t="s">
        <v>114</v>
      </c>
      <c r="E52" s="18">
        <v>1294</v>
      </c>
      <c r="F52" s="18" t="s">
        <v>115</v>
      </c>
      <c r="J52" s="2"/>
      <c r="K52" s="19">
        <v>0.79220000000000002</v>
      </c>
      <c r="L52" s="19">
        <v>0.72580645200000005</v>
      </c>
      <c r="M52" s="19">
        <v>0.80969999999999998</v>
      </c>
      <c r="N52" s="19">
        <v>0.78639999999999999</v>
      </c>
      <c r="O52" s="19">
        <v>0.73839999999999995</v>
      </c>
      <c r="P52" s="19">
        <v>0.83499999999999996</v>
      </c>
      <c r="Q52" s="19"/>
      <c r="R52" s="20">
        <v>64234</v>
      </c>
      <c r="S52" s="21" t="str">
        <f>HYPERLINK("https://www.american.edu/financialaid/Net-Price-Calculator-Form.cfm", "$22590")</f>
        <v>$22590</v>
      </c>
      <c r="T52" s="22">
        <v>26770</v>
      </c>
      <c r="U52" s="22">
        <v>33355</v>
      </c>
      <c r="V52" s="20">
        <v>1721</v>
      </c>
      <c r="W52" s="20">
        <v>20869</v>
      </c>
      <c r="Y52" s="19">
        <v>0.15260000000000001</v>
      </c>
      <c r="Z52" s="19">
        <v>0.43319999999999997</v>
      </c>
      <c r="AB52" s="23">
        <v>7433</v>
      </c>
      <c r="AC52" s="18">
        <v>2</v>
      </c>
    </row>
    <row r="53" spans="1:29" ht="15.75" customHeight="1" x14ac:dyDescent="0.2">
      <c r="A53" s="17" t="str">
        <f>HYPERLINK("https://www.amherst.edu", "Amherst College")</f>
        <v>Amherst College</v>
      </c>
      <c r="B53" s="18" t="s">
        <v>32</v>
      </c>
      <c r="C53" s="18" t="s">
        <v>33</v>
      </c>
      <c r="D53" s="18" t="s">
        <v>34</v>
      </c>
      <c r="E53" s="18">
        <v>1497</v>
      </c>
      <c r="F53" s="18" t="s">
        <v>35</v>
      </c>
      <c r="J53" s="2"/>
      <c r="K53" s="19">
        <v>0.95220000000000005</v>
      </c>
      <c r="L53" s="19" t="s">
        <v>36</v>
      </c>
      <c r="M53" s="19">
        <v>0.95520000000000005</v>
      </c>
      <c r="N53" s="19">
        <v>0.94640000000000002</v>
      </c>
      <c r="O53" s="19">
        <v>0.95240000000000002</v>
      </c>
      <c r="P53" s="19">
        <v>0.96</v>
      </c>
      <c r="Q53" s="19"/>
      <c r="R53" s="20">
        <v>71300</v>
      </c>
      <c r="S53" s="21" t="str">
        <f>HYPERLINK("https://npc.collegeboard.org/student/app/amherst", "$7388")</f>
        <v>$7388</v>
      </c>
      <c r="T53" s="22">
        <v>11372</v>
      </c>
      <c r="U53" s="22">
        <v>19829</v>
      </c>
      <c r="V53" s="20">
        <v>2800</v>
      </c>
      <c r="W53" s="20">
        <v>4588</v>
      </c>
      <c r="X53" s="18" t="s">
        <v>37</v>
      </c>
      <c r="Y53" s="19">
        <v>0.22389999999999999</v>
      </c>
      <c r="Z53" s="19">
        <v>0.56190000000000007</v>
      </c>
      <c r="AA53" s="18" t="s">
        <v>37</v>
      </c>
      <c r="AB53" s="23">
        <v>1835</v>
      </c>
      <c r="AC53" s="18">
        <v>1</v>
      </c>
    </row>
    <row r="54" spans="1:29" ht="15.75" customHeight="1" x14ac:dyDescent="0.2">
      <c r="A54" s="17" t="str">
        <f>HYPERLINK("https://www.ancilla.edu/", "Ancilla College")</f>
        <v>Ancilla College</v>
      </c>
      <c r="B54" s="18" t="s">
        <v>32</v>
      </c>
      <c r="C54" s="18" t="s">
        <v>148</v>
      </c>
      <c r="D54" s="18" t="s">
        <v>895</v>
      </c>
      <c r="E54" s="18" t="s">
        <v>36</v>
      </c>
      <c r="F54" s="18" t="s">
        <v>36</v>
      </c>
      <c r="J54" s="2"/>
      <c r="K54" s="19">
        <v>0.31609999999999999</v>
      </c>
      <c r="L54" s="19">
        <v>0.2</v>
      </c>
      <c r="M54" s="19">
        <v>0.36080000000000001</v>
      </c>
      <c r="N54" s="19">
        <v>0.18179999999999999</v>
      </c>
      <c r="O54" s="19">
        <v>0.26090000000000002</v>
      </c>
      <c r="P54" s="19" t="s">
        <v>36</v>
      </c>
      <c r="Q54" s="19">
        <v>6.4189189000000008E-2</v>
      </c>
      <c r="R54" s="20">
        <v>27910</v>
      </c>
      <c r="S54" s="21" t="str">
        <f>HYPERLINK("https://www.ancilla.edu/enrollment-aid/net-price-calculator/", "$12786")</f>
        <v>$12786</v>
      </c>
      <c r="T54" s="22">
        <v>12353</v>
      </c>
      <c r="U54" s="22">
        <v>13464</v>
      </c>
      <c r="V54" s="20">
        <v>2880</v>
      </c>
      <c r="W54" s="20">
        <v>9906</v>
      </c>
      <c r="Y54" s="19">
        <v>0.64080000000000004</v>
      </c>
      <c r="Z54" s="19">
        <v>0.36470000000000002</v>
      </c>
      <c r="AB54" s="23">
        <v>510</v>
      </c>
      <c r="AC54" s="18">
        <v>6</v>
      </c>
    </row>
    <row r="55" spans="1:29" ht="15.75" customHeight="1" x14ac:dyDescent="0.2">
      <c r="A55" s="17" t="str">
        <f>HYPERLINK("https://anderson.edu", "Anderson University")</f>
        <v>Anderson University</v>
      </c>
      <c r="B55" s="18" t="s">
        <v>32</v>
      </c>
      <c r="C55" s="18" t="s">
        <v>148</v>
      </c>
      <c r="D55" s="18" t="s">
        <v>553</v>
      </c>
      <c r="E55" s="18">
        <v>1045</v>
      </c>
      <c r="F55" s="18" t="s">
        <v>35</v>
      </c>
      <c r="J55" s="2"/>
      <c r="K55" s="19">
        <v>0.5746</v>
      </c>
      <c r="L55" s="19">
        <v>0.37121212100000001</v>
      </c>
      <c r="M55" s="19">
        <v>0.58979999999999999</v>
      </c>
      <c r="N55" s="19">
        <v>0.28000000000000003</v>
      </c>
      <c r="O55" s="19">
        <v>0.6</v>
      </c>
      <c r="P55" s="19">
        <v>0.66669999999999996</v>
      </c>
      <c r="Q55" s="19"/>
      <c r="R55" s="20">
        <v>43450</v>
      </c>
      <c r="S55" s="21" t="str">
        <f>HYPERLINK("https://anderson.edu/net-calculator", "$20770")</f>
        <v>$20770</v>
      </c>
      <c r="T55" s="22">
        <v>21150</v>
      </c>
      <c r="U55" s="22">
        <v>25428</v>
      </c>
      <c r="V55" s="20">
        <v>4000</v>
      </c>
      <c r="W55" s="20">
        <v>16770</v>
      </c>
      <c r="Y55" s="19">
        <v>0.37509999999999999</v>
      </c>
      <c r="Z55" s="19">
        <v>0.19120000000000001</v>
      </c>
      <c r="AB55" s="23">
        <v>1506</v>
      </c>
      <c r="AC55" s="18">
        <v>4</v>
      </c>
    </row>
    <row r="56" spans="1:29" ht="15.75" customHeight="1" x14ac:dyDescent="0.2">
      <c r="A56" s="17" t="str">
        <f>HYPERLINK("https://www.andersonuniversity.edu", "Anderson University")</f>
        <v>Anderson University</v>
      </c>
      <c r="B56" s="18" t="s">
        <v>32</v>
      </c>
      <c r="C56" s="18" t="s">
        <v>208</v>
      </c>
      <c r="D56" s="18" t="s">
        <v>553</v>
      </c>
      <c r="E56" s="18">
        <v>1149</v>
      </c>
      <c r="F56" s="18" t="s">
        <v>35</v>
      </c>
      <c r="J56" s="2"/>
      <c r="K56" s="19">
        <v>0.56730000000000003</v>
      </c>
      <c r="L56" s="19">
        <v>0.40437158499999998</v>
      </c>
      <c r="M56" s="19">
        <v>0.58479999999999999</v>
      </c>
      <c r="N56" s="19">
        <v>0.48149999999999998</v>
      </c>
      <c r="O56" s="19">
        <v>0.57140000000000002</v>
      </c>
      <c r="P56" s="19">
        <v>0</v>
      </c>
      <c r="Q56" s="19"/>
      <c r="R56" s="20">
        <v>42550</v>
      </c>
      <c r="S56" s="21" t="str">
        <f>HYPERLINK("https://au-sc.com/calculator/", "$18104")</f>
        <v>$18104</v>
      </c>
      <c r="T56" s="22">
        <v>21246</v>
      </c>
      <c r="U56" s="22">
        <v>22951</v>
      </c>
      <c r="V56" s="20">
        <v>5900</v>
      </c>
      <c r="W56" s="20">
        <v>12204</v>
      </c>
      <c r="Y56" s="19">
        <v>0.29399999999999998</v>
      </c>
      <c r="Z56" s="19">
        <v>0.15780000000000011</v>
      </c>
      <c r="AB56" s="23">
        <v>2776</v>
      </c>
      <c r="AC56" s="18">
        <v>4</v>
      </c>
    </row>
    <row r="57" spans="1:29" ht="15.75" customHeight="1" x14ac:dyDescent="0.2">
      <c r="A57" s="17" t="str">
        <f>HYPERLINK("https://www.andrewcollege.edu", "Andrew College")</f>
        <v>Andrew College</v>
      </c>
      <c r="B57" s="18" t="s">
        <v>32</v>
      </c>
      <c r="C57" s="18" t="s">
        <v>107</v>
      </c>
      <c r="D57" s="18" t="s">
        <v>897</v>
      </c>
      <c r="E57" s="18">
        <v>930</v>
      </c>
      <c r="F57" s="18" t="s">
        <v>35</v>
      </c>
      <c r="J57" s="2"/>
      <c r="K57" s="19">
        <v>0.1711</v>
      </c>
      <c r="L57" s="19">
        <v>0.144736842</v>
      </c>
      <c r="M57" s="19">
        <v>0.2099</v>
      </c>
      <c r="N57" s="19">
        <v>0.1154</v>
      </c>
      <c r="O57" s="19">
        <v>0.1429</v>
      </c>
      <c r="P57" s="19">
        <v>1</v>
      </c>
      <c r="Q57" s="19">
        <v>0.18124999999999999</v>
      </c>
      <c r="R57" s="20">
        <v>35621</v>
      </c>
      <c r="S57" s="21" t="str">
        <f>HYPERLINK("https://npc.collegeboard.org/student/app/andrew?iframe=true", "$27750")</f>
        <v>$27750</v>
      </c>
      <c r="T57" s="22">
        <v>26390</v>
      </c>
      <c r="U57" s="22">
        <v>31009</v>
      </c>
      <c r="V57" s="20">
        <v>8931</v>
      </c>
      <c r="W57" s="20">
        <v>18819</v>
      </c>
      <c r="Y57" s="19">
        <v>0.69200000000000006</v>
      </c>
      <c r="Z57" s="19">
        <v>0.6038</v>
      </c>
      <c r="AB57" s="23">
        <v>265</v>
      </c>
      <c r="AC57" s="18">
        <v>6</v>
      </c>
    </row>
    <row r="58" spans="1:29" ht="15.75" customHeight="1" x14ac:dyDescent="0.2">
      <c r="A58" s="17" t="str">
        <f>HYPERLINK("https://www.andrews.edu", "Andrews University")</f>
        <v>Andrews University</v>
      </c>
      <c r="B58" s="18" t="s">
        <v>32</v>
      </c>
      <c r="C58" s="18" t="s">
        <v>226</v>
      </c>
      <c r="D58" s="18" t="s">
        <v>554</v>
      </c>
      <c r="E58" s="18">
        <v>1203</v>
      </c>
      <c r="F58" s="18" t="s">
        <v>35</v>
      </c>
      <c r="J58" s="2"/>
      <c r="K58" s="19">
        <v>0.54859999999999998</v>
      </c>
      <c r="L58" s="19">
        <v>0.47945205499999999</v>
      </c>
      <c r="M58" s="19">
        <v>0.5524</v>
      </c>
      <c r="N58" s="19">
        <v>0.4945</v>
      </c>
      <c r="O58" s="19">
        <v>0.4375</v>
      </c>
      <c r="P58" s="19">
        <v>0.77780000000000005</v>
      </c>
      <c r="Q58" s="19"/>
      <c r="R58" s="20">
        <v>39714</v>
      </c>
      <c r="S58" s="21" t="str">
        <f>HYPERLINK("https://www.andrews.edu/go/npc", "$18140")</f>
        <v>$18140</v>
      </c>
      <c r="T58" s="22">
        <v>19836</v>
      </c>
      <c r="U58" s="22">
        <v>21995</v>
      </c>
      <c r="V58" s="20">
        <v>2200</v>
      </c>
      <c r="W58" s="20">
        <v>15940</v>
      </c>
      <c r="Y58" s="19">
        <v>0.26900000000000002</v>
      </c>
      <c r="Z58" s="19">
        <v>0.73309999999999997</v>
      </c>
      <c r="AB58" s="23">
        <v>1439</v>
      </c>
      <c r="AC58" s="18">
        <v>4</v>
      </c>
    </row>
    <row r="59" spans="1:29" ht="15.75" customHeight="1" x14ac:dyDescent="0.2">
      <c r="A59" s="17" t="str">
        <f>HYPERLINK("https://www.angelo.edu", "Angelo State University")</f>
        <v>Angelo State University</v>
      </c>
      <c r="B59" s="18" t="s">
        <v>49</v>
      </c>
      <c r="C59" s="18" t="s">
        <v>146</v>
      </c>
      <c r="D59" s="18" t="s">
        <v>620</v>
      </c>
      <c r="E59" s="18">
        <v>1003</v>
      </c>
      <c r="F59" s="18" t="s">
        <v>35</v>
      </c>
      <c r="J59" s="2"/>
      <c r="K59" s="19">
        <v>0.36580000000000001</v>
      </c>
      <c r="L59" s="19">
        <v>0.33521923599999998</v>
      </c>
      <c r="M59" s="19">
        <v>0.42249999999999999</v>
      </c>
      <c r="N59" s="19">
        <v>0.24809999999999999</v>
      </c>
      <c r="O59" s="19">
        <v>0.30370000000000003</v>
      </c>
      <c r="P59" s="19">
        <v>0.36359999999999998</v>
      </c>
      <c r="Q59" s="19"/>
      <c r="R59" s="20">
        <v>29507</v>
      </c>
      <c r="S59" s="21" t="str">
        <f>HYPERLINK("https://www.collegeforalltexans.com/apps/CollegeMoney/", "$20793")</f>
        <v>$20793</v>
      </c>
      <c r="T59" s="22">
        <v>25241</v>
      </c>
      <c r="U59" s="22">
        <v>28256</v>
      </c>
      <c r="V59" s="20">
        <v>4680</v>
      </c>
      <c r="W59" s="20">
        <v>16113.57724957555</v>
      </c>
      <c r="Y59" s="19">
        <v>0.30759999999999998</v>
      </c>
      <c r="Z59" s="19">
        <v>0.5101</v>
      </c>
      <c r="AB59" s="23">
        <v>5726</v>
      </c>
      <c r="AC59" s="18">
        <v>5</v>
      </c>
    </row>
    <row r="60" spans="1:29" ht="15.75" customHeight="1" x14ac:dyDescent="0.2">
      <c r="A60" s="17" t="str">
        <f>HYPERLINK("https://www.annamaria.edu", "Anna Maria College")</f>
        <v>Anna Maria College</v>
      </c>
      <c r="B60" s="18" t="s">
        <v>32</v>
      </c>
      <c r="C60" s="18" t="s">
        <v>33</v>
      </c>
      <c r="D60" s="18" t="s">
        <v>622</v>
      </c>
      <c r="E60" s="18" t="s">
        <v>36</v>
      </c>
      <c r="F60" s="18" t="s">
        <v>45</v>
      </c>
      <c r="J60" s="2"/>
      <c r="K60" s="19">
        <v>0.41260000000000002</v>
      </c>
      <c r="L60" s="19">
        <v>0.27007299299999998</v>
      </c>
      <c r="M60" s="19">
        <v>0.46539999999999998</v>
      </c>
      <c r="N60" s="19">
        <v>0.1154</v>
      </c>
      <c r="O60" s="19">
        <v>0.47370000000000001</v>
      </c>
      <c r="P60" s="19">
        <v>0.33329999999999999</v>
      </c>
      <c r="Q60" s="19"/>
      <c r="R60" s="20">
        <v>53020</v>
      </c>
      <c r="S60" s="21" t="str">
        <f>HYPERLINK("https://annamaria.studentaidcalculator.com/survey.aspx", "$20869")</f>
        <v>$20869</v>
      </c>
      <c r="T60" s="22">
        <v>24034</v>
      </c>
      <c r="U60" s="22">
        <v>25852</v>
      </c>
      <c r="V60" s="20">
        <v>2000</v>
      </c>
      <c r="W60" s="20">
        <v>18869</v>
      </c>
      <c r="Y60" s="19">
        <v>0.35</v>
      </c>
      <c r="Z60" s="19">
        <v>0.35870000000000002</v>
      </c>
      <c r="AB60" s="23">
        <v>1118</v>
      </c>
      <c r="AC60" s="18">
        <v>5</v>
      </c>
    </row>
    <row r="61" spans="1:29" ht="15.75" customHeight="1" x14ac:dyDescent="0.2">
      <c r="A61" s="17" t="str">
        <f>HYPERLINK("https://www.aacc.edu", "Anne Arundel Community College")</f>
        <v>Anne Arundel Community College</v>
      </c>
      <c r="B61" s="18" t="s">
        <v>49</v>
      </c>
      <c r="C61" s="18" t="s">
        <v>124</v>
      </c>
      <c r="D61" s="18" t="s">
        <v>902</v>
      </c>
      <c r="E61" s="18" t="s">
        <v>36</v>
      </c>
      <c r="F61" s="18" t="s">
        <v>36</v>
      </c>
      <c r="J61" s="2"/>
      <c r="K61" s="19">
        <v>0.2024</v>
      </c>
      <c r="L61" s="19">
        <v>0.16224986499999999</v>
      </c>
      <c r="M61" s="19">
        <v>0.21679999999999999</v>
      </c>
      <c r="N61" s="19">
        <v>0.1106</v>
      </c>
      <c r="O61" s="19">
        <v>0.17480000000000001</v>
      </c>
      <c r="P61" s="19">
        <v>0.30769999999999997</v>
      </c>
      <c r="Q61" s="19">
        <v>6.9006544000000003E-2</v>
      </c>
      <c r="R61" s="20">
        <v>29188</v>
      </c>
      <c r="S61" s="21" t="str">
        <f>HYPERLINK("https://webapps.aacc.edu/sp/NetPriceCal/npcalc.htm", "$24572")</f>
        <v>$24572</v>
      </c>
      <c r="T61" s="22">
        <v>26923</v>
      </c>
      <c r="U61" s="22">
        <v>28993</v>
      </c>
      <c r="V61" s="20">
        <v>6092</v>
      </c>
      <c r="W61" s="20">
        <v>18480.698113207549</v>
      </c>
      <c r="Y61" s="19">
        <v>0.20449999999999999</v>
      </c>
      <c r="Z61" s="19">
        <v>0.43380000000000002</v>
      </c>
      <c r="AB61" s="23">
        <v>11294</v>
      </c>
      <c r="AC61" s="18">
        <v>6</v>
      </c>
    </row>
    <row r="62" spans="1:29" ht="15.75" customHeight="1" x14ac:dyDescent="0.2">
      <c r="A62" s="17" t="str">
        <f>HYPERLINK("https://www.anokaramsey.edu", "Anoka-Ramsey Community College")</f>
        <v>Anoka-Ramsey Community College</v>
      </c>
      <c r="B62" s="18" t="s">
        <v>49</v>
      </c>
      <c r="C62" s="18" t="s">
        <v>72</v>
      </c>
      <c r="D62" s="18" t="s">
        <v>904</v>
      </c>
      <c r="E62" s="18" t="s">
        <v>36</v>
      </c>
      <c r="F62" s="18" t="s">
        <v>36</v>
      </c>
      <c r="J62" s="2"/>
      <c r="K62" s="19">
        <v>0.2424</v>
      </c>
      <c r="L62" s="19">
        <v>0.15122723699999999</v>
      </c>
      <c r="M62" s="19">
        <v>0.2747</v>
      </c>
      <c r="N62" s="19">
        <v>5.7700000000000001E-2</v>
      </c>
      <c r="O62" s="19">
        <v>0.1389</v>
      </c>
      <c r="P62" s="19">
        <v>0.23400000000000001</v>
      </c>
      <c r="Q62" s="19">
        <v>0.12673200400000001</v>
      </c>
      <c r="R62" s="20">
        <v>20603</v>
      </c>
      <c r="S62" s="21" t="str">
        <f>HYPERLINK("https://www.anokaramsey.edu/cost-aid/net-price-calculator/", "$15408")</f>
        <v>$15408</v>
      </c>
      <c r="T62" s="22">
        <v>17191</v>
      </c>
      <c r="U62" s="22">
        <v>19608</v>
      </c>
      <c r="V62" s="20">
        <v>7968</v>
      </c>
      <c r="W62" s="20">
        <v>7440.3043478260879</v>
      </c>
      <c r="Y62" s="19">
        <v>0.24049999999999999</v>
      </c>
      <c r="Z62" s="19">
        <v>0.26679999999999998</v>
      </c>
      <c r="AB62" s="23">
        <v>5364</v>
      </c>
      <c r="AC62" s="18">
        <v>6</v>
      </c>
    </row>
    <row r="63" spans="1:29" ht="15.75" customHeight="1" x14ac:dyDescent="0.2">
      <c r="A63" s="17" t="str">
        <f>HYPERLINK("https://www.avc.edu", "Antelope Valley College")</f>
        <v>Antelope Valley College</v>
      </c>
      <c r="B63" s="18" t="s">
        <v>49</v>
      </c>
      <c r="C63" s="18" t="s">
        <v>68</v>
      </c>
      <c r="D63" s="18" t="s">
        <v>112</v>
      </c>
      <c r="E63" s="18" t="s">
        <v>36</v>
      </c>
      <c r="F63" s="18" t="s">
        <v>36</v>
      </c>
      <c r="J63" s="2"/>
      <c r="K63" s="19">
        <v>0.23810000000000001</v>
      </c>
      <c r="L63" s="19">
        <v>9.8816979999999999E-2</v>
      </c>
      <c r="M63" s="19">
        <v>0.29210000000000003</v>
      </c>
      <c r="N63" s="19">
        <v>0.12670000000000001</v>
      </c>
      <c r="O63" s="19">
        <v>0.24</v>
      </c>
      <c r="P63" s="19">
        <v>0.3548</v>
      </c>
      <c r="Q63" s="19">
        <v>8.2500000000000004E-2</v>
      </c>
      <c r="R63" s="20">
        <v>20275</v>
      </c>
      <c r="S63" s="21" t="str">
        <f>HYPERLINK("https://misweb.cccco.edu/npc/621/npcalc.htm", "$13039")</f>
        <v>$13039</v>
      </c>
      <c r="T63" s="22">
        <v>15916</v>
      </c>
      <c r="U63" s="22">
        <v>16866</v>
      </c>
      <c r="V63" s="20">
        <v>3775</v>
      </c>
      <c r="W63" s="20">
        <v>9264.0820512820501</v>
      </c>
      <c r="Y63" s="19">
        <v>0.45639999999999997</v>
      </c>
      <c r="Z63" s="19">
        <v>0.78849999999999998</v>
      </c>
      <c r="AB63" s="23">
        <v>11868</v>
      </c>
      <c r="AC63" s="18">
        <v>6</v>
      </c>
    </row>
    <row r="64" spans="1:29" ht="15.75" customHeight="1" x14ac:dyDescent="0.2">
      <c r="A64" s="17" t="str">
        <f>HYPERLINK("https://www.antonellicollege.edu", "Antonelli College-Jackson")</f>
        <v>Antonelli College-Jackson</v>
      </c>
      <c r="B64" s="18" t="s">
        <v>368</v>
      </c>
      <c r="C64" s="18" t="s">
        <v>59</v>
      </c>
      <c r="D64" s="18" t="s">
        <v>419</v>
      </c>
      <c r="E64" s="18" t="s">
        <v>36</v>
      </c>
      <c r="F64" s="18" t="s">
        <v>36</v>
      </c>
      <c r="J64" s="2"/>
      <c r="K64" s="19">
        <v>0.43240000000000001</v>
      </c>
      <c r="L64" s="19">
        <v>0.250259605</v>
      </c>
      <c r="M64" s="19">
        <v>0.4118</v>
      </c>
      <c r="N64" s="19">
        <v>0.45</v>
      </c>
      <c r="O64" s="19" t="s">
        <v>36</v>
      </c>
      <c r="P64" s="19" t="s">
        <v>36</v>
      </c>
      <c r="Q64" s="19">
        <v>3.2171581999999997E-2</v>
      </c>
      <c r="R64" s="20">
        <v>27669</v>
      </c>
      <c r="S64" s="21" t="str">
        <f>HYPERLINK("https://www.antonellicollege.edu/financial-aid/net-price-calculator", "$22207")</f>
        <v>$22207</v>
      </c>
      <c r="T64" s="22" t="s">
        <v>36</v>
      </c>
      <c r="U64" s="22" t="s">
        <v>36</v>
      </c>
      <c r="V64" s="20" t="s">
        <v>36</v>
      </c>
      <c r="W64" s="20" t="s">
        <v>36</v>
      </c>
      <c r="Y64" s="19">
        <v>0.92689999999999995</v>
      </c>
      <c r="Z64" s="19">
        <v>0.81479999999999997</v>
      </c>
      <c r="AB64" s="23">
        <v>270</v>
      </c>
      <c r="AC64" s="18">
        <v>6</v>
      </c>
    </row>
    <row r="65" spans="1:29" ht="15.75" customHeight="1" x14ac:dyDescent="0.2">
      <c r="A65" s="17" t="str">
        <f>HYPERLINK("https://www.antonelli.edu", "Antonelli Institute")</f>
        <v>Antonelli Institute</v>
      </c>
      <c r="B65" s="18" t="s">
        <v>368</v>
      </c>
      <c r="C65" s="18" t="s">
        <v>65</v>
      </c>
      <c r="D65" s="18" t="s">
        <v>912</v>
      </c>
      <c r="E65" s="18" t="s">
        <v>36</v>
      </c>
      <c r="F65" s="18" t="s">
        <v>36</v>
      </c>
      <c r="J65" s="2"/>
      <c r="K65" s="19">
        <v>0.76470000000000005</v>
      </c>
      <c r="L65" s="19" t="s">
        <v>36</v>
      </c>
      <c r="M65" s="19">
        <v>0.73440000000000005</v>
      </c>
      <c r="N65" s="19">
        <v>0.85709999999999997</v>
      </c>
      <c r="O65" s="19">
        <v>0.5</v>
      </c>
      <c r="P65" s="19">
        <v>1</v>
      </c>
      <c r="Q65" s="19" t="s">
        <v>36</v>
      </c>
      <c r="R65" s="20">
        <v>34090</v>
      </c>
      <c r="S65" s="21" t="str">
        <f>HYPERLINK("https://www.antonelli.edu/npcalc.html", "$24959")</f>
        <v>$24959</v>
      </c>
      <c r="T65" s="22">
        <v>28966</v>
      </c>
      <c r="U65" s="22">
        <v>32867</v>
      </c>
      <c r="V65" s="20">
        <v>3320</v>
      </c>
      <c r="W65" s="20">
        <v>21639</v>
      </c>
      <c r="Y65" s="19">
        <v>0.4128</v>
      </c>
      <c r="Z65" s="19">
        <v>0.25349999999999989</v>
      </c>
      <c r="AB65" s="23">
        <v>71</v>
      </c>
      <c r="AC65" s="18">
        <v>6</v>
      </c>
    </row>
    <row r="66" spans="1:29" ht="15.75" customHeight="1" x14ac:dyDescent="0.2">
      <c r="A66" s="17" t="str">
        <f>HYPERLINK("https://www.appstate.edu/", "Appalachian State University")</f>
        <v>Appalachian State University</v>
      </c>
      <c r="B66" s="18" t="s">
        <v>49</v>
      </c>
      <c r="C66" s="18" t="s">
        <v>103</v>
      </c>
      <c r="D66" s="18" t="s">
        <v>298</v>
      </c>
      <c r="E66" s="18">
        <v>1198</v>
      </c>
      <c r="F66" s="18" t="s">
        <v>35</v>
      </c>
      <c r="J66" s="2"/>
      <c r="K66" s="19">
        <v>0.73440000000000005</v>
      </c>
      <c r="L66" s="19">
        <v>0.57665260200000001</v>
      </c>
      <c r="M66" s="19">
        <v>0.74250000000000005</v>
      </c>
      <c r="N66" s="19">
        <v>0.69010000000000005</v>
      </c>
      <c r="O66" s="19">
        <v>0.67310000000000003</v>
      </c>
      <c r="P66" s="19">
        <v>0.65629999999999999</v>
      </c>
      <c r="Q66" s="19"/>
      <c r="R66" s="20">
        <v>33819</v>
      </c>
      <c r="S66" s="21" t="str">
        <f>HYPERLINK("https://appstate.edu/npc/", "$23085")</f>
        <v>$23085</v>
      </c>
      <c r="T66" s="22">
        <v>28745</v>
      </c>
      <c r="U66" s="22">
        <v>32915</v>
      </c>
      <c r="V66" s="20">
        <v>3537</v>
      </c>
      <c r="W66" s="20">
        <v>19548.023255813951</v>
      </c>
      <c r="Y66" s="19">
        <v>0.28449999999999998</v>
      </c>
      <c r="Z66" s="19">
        <v>0.16850000000000001</v>
      </c>
      <c r="AB66" s="23">
        <v>16888</v>
      </c>
      <c r="AC66" s="18">
        <v>3</v>
      </c>
    </row>
    <row r="67" spans="1:29" ht="15.75" customHeight="1" x14ac:dyDescent="0.2">
      <c r="A67" s="17" t="str">
        <f>HYPERLINK("https://www.aquinas.edu", "Aquinas College")</f>
        <v>Aquinas College</v>
      </c>
      <c r="B67" s="18" t="s">
        <v>32</v>
      </c>
      <c r="C67" s="18" t="s">
        <v>226</v>
      </c>
      <c r="D67" s="18" t="s">
        <v>321</v>
      </c>
      <c r="E67" s="18">
        <v>1143</v>
      </c>
      <c r="F67" s="18" t="s">
        <v>35</v>
      </c>
      <c r="J67" s="2"/>
      <c r="K67" s="19">
        <v>0.59470000000000001</v>
      </c>
      <c r="L67" s="19">
        <v>0.270676692</v>
      </c>
      <c r="M67" s="19">
        <v>0.6149</v>
      </c>
      <c r="N67" s="19">
        <v>0.30769999999999997</v>
      </c>
      <c r="O67" s="19">
        <v>0.45450000000000002</v>
      </c>
      <c r="P67" s="19">
        <v>0.6</v>
      </c>
      <c r="Q67" s="19"/>
      <c r="R67" s="20">
        <v>42952</v>
      </c>
      <c r="S67" s="21" t="str">
        <f>HYPERLINK("https://www.aquinas.edu/resources/student-resources/financial-aid/net-price-calculator", "$12587")</f>
        <v>$12587</v>
      </c>
      <c r="T67" s="22">
        <v>15560</v>
      </c>
      <c r="U67" s="22">
        <v>18870</v>
      </c>
      <c r="V67" s="20">
        <v>2638</v>
      </c>
      <c r="W67" s="20">
        <v>9949</v>
      </c>
      <c r="Y67" s="19">
        <v>0.30049999999999999</v>
      </c>
      <c r="Z67" s="19">
        <v>0.24410000000000001</v>
      </c>
      <c r="AB67" s="23">
        <v>1434</v>
      </c>
      <c r="AC67" s="18">
        <v>4</v>
      </c>
    </row>
    <row r="68" spans="1:29" ht="15.75" customHeight="1" x14ac:dyDescent="0.2">
      <c r="A68" s="17" t="str">
        <f>HYPERLINK("https://www.arapahoe.edu", "Arapahoe Community College")</f>
        <v>Arapahoe Community College</v>
      </c>
      <c r="B68" s="18" t="s">
        <v>49</v>
      </c>
      <c r="C68" s="18" t="s">
        <v>87</v>
      </c>
      <c r="D68" s="18" t="s">
        <v>913</v>
      </c>
      <c r="E68" s="18" t="s">
        <v>36</v>
      </c>
      <c r="F68" s="18" t="s">
        <v>36</v>
      </c>
      <c r="J68" s="2"/>
      <c r="K68" s="19">
        <v>0.25819999999999999</v>
      </c>
      <c r="L68" s="19">
        <v>0.160220995</v>
      </c>
      <c r="M68" s="19">
        <v>0.2707</v>
      </c>
      <c r="N68" s="19">
        <v>0</v>
      </c>
      <c r="O68" s="19">
        <v>0.23330000000000001</v>
      </c>
      <c r="P68" s="19">
        <v>0.23080000000000001</v>
      </c>
      <c r="Q68" s="19">
        <v>0.110479285</v>
      </c>
      <c r="R68" s="20">
        <v>32027</v>
      </c>
      <c r="S68" s="21" t="str">
        <f>HYPERLINK("https://www.arapahoe.edu/netpricecalculator/npcalc.htm", "$25106")</f>
        <v>$25106</v>
      </c>
      <c r="T68" s="22">
        <v>27394</v>
      </c>
      <c r="U68" s="22">
        <v>30523</v>
      </c>
      <c r="V68" s="20">
        <v>7254</v>
      </c>
      <c r="W68" s="20">
        <v>17852.875</v>
      </c>
      <c r="Y68" s="19">
        <v>0.16689999999999999</v>
      </c>
      <c r="Z68" s="19">
        <v>0.54360000000000008</v>
      </c>
      <c r="AB68" s="23">
        <v>8409</v>
      </c>
      <c r="AC68" s="18">
        <v>6</v>
      </c>
    </row>
    <row r="69" spans="1:29" ht="15.75" customHeight="1" x14ac:dyDescent="0.2">
      <c r="A69" s="17" t="str">
        <f>HYPERLINK("https://www.arcadia.edu", "Arcadia University")</f>
        <v>Arcadia University</v>
      </c>
      <c r="B69" s="18" t="s">
        <v>32</v>
      </c>
      <c r="C69" s="18" t="s">
        <v>65</v>
      </c>
      <c r="D69" s="18" t="s">
        <v>555</v>
      </c>
      <c r="E69" s="18">
        <v>1160</v>
      </c>
      <c r="F69" s="18" t="s">
        <v>35</v>
      </c>
      <c r="J69" s="2"/>
      <c r="K69" s="19">
        <v>0.66269999999999996</v>
      </c>
      <c r="L69" s="19">
        <v>0.49714285699999999</v>
      </c>
      <c r="M69" s="19">
        <v>0.71200000000000008</v>
      </c>
      <c r="N69" s="19">
        <v>0.51519999999999999</v>
      </c>
      <c r="O69" s="19">
        <v>0.57140000000000002</v>
      </c>
      <c r="P69" s="19">
        <v>0.5484</v>
      </c>
      <c r="Q69" s="19"/>
      <c r="R69" s="20">
        <v>58590</v>
      </c>
      <c r="S69" s="21" t="str">
        <f>HYPERLINK("https://arcadia.studentaidcalculator.com/welcome.aspx", "$21019")</f>
        <v>$21019</v>
      </c>
      <c r="T69" s="22">
        <v>26942</v>
      </c>
      <c r="U69" s="22">
        <v>27112</v>
      </c>
      <c r="V69" s="20">
        <v>2600</v>
      </c>
      <c r="W69" s="20">
        <v>18419</v>
      </c>
      <c r="Y69" s="19">
        <v>0.33360000000000001</v>
      </c>
      <c r="Z69" s="19">
        <v>0.32200000000000012</v>
      </c>
      <c r="AB69" s="23">
        <v>2233</v>
      </c>
      <c r="AC69" s="18">
        <v>4</v>
      </c>
    </row>
    <row r="70" spans="1:29" ht="15.75" customHeight="1" x14ac:dyDescent="0.2">
      <c r="A70" s="17" t="str">
        <f>HYPERLINK("https://www.artinstitutes.edu/inlandempire", "Argosy University-The Art Institute of California-Inland Empire")</f>
        <v>Argosy University-The Art Institute of California-Inland Empire</v>
      </c>
      <c r="B70" s="18" t="s">
        <v>368</v>
      </c>
      <c r="C70" s="18" t="s">
        <v>68</v>
      </c>
      <c r="D70" s="18" t="s">
        <v>610</v>
      </c>
      <c r="E70" s="18" t="s">
        <v>36</v>
      </c>
      <c r="F70" s="18" t="s">
        <v>36</v>
      </c>
      <c r="J70" s="2"/>
      <c r="K70" s="19">
        <v>0.3826</v>
      </c>
      <c r="L70" s="19">
        <v>0.13049492800000001</v>
      </c>
      <c r="M70" s="19">
        <v>0.39129999999999998</v>
      </c>
      <c r="N70" s="19">
        <v>0.36730000000000002</v>
      </c>
      <c r="O70" s="19">
        <v>0.44259999999999999</v>
      </c>
      <c r="P70" s="19">
        <v>0.42859999999999998</v>
      </c>
      <c r="Q70" s="19">
        <v>5.3151100999999999E-2</v>
      </c>
      <c r="R70" s="20">
        <v>35028</v>
      </c>
      <c r="S70" s="21" t="str">
        <f>HYPERLINK("https://www.artinstitutes.edu/inland-empire/tuition-aid/net-price-calculator", "$18850")</f>
        <v>$18850</v>
      </c>
      <c r="T70" s="22">
        <v>21259</v>
      </c>
      <c r="U70" s="22">
        <v>27560</v>
      </c>
      <c r="V70" s="20">
        <v>7112</v>
      </c>
      <c r="W70" s="20">
        <v>11738</v>
      </c>
      <c r="Y70" s="19">
        <v>0.74360000000000004</v>
      </c>
      <c r="Z70" s="19">
        <v>0.79</v>
      </c>
      <c r="AB70" s="23">
        <v>824</v>
      </c>
      <c r="AC70" s="18">
        <v>6</v>
      </c>
    </row>
    <row r="71" spans="1:29" ht="15.75" customHeight="1" x14ac:dyDescent="0.2">
      <c r="A71" s="17" t="str">
        <f>HYPERLINK("https://www.argosy.edu/twincities/", "Argosy University-Twin Cities")</f>
        <v>Argosy University-Twin Cities</v>
      </c>
      <c r="B71" s="18" t="s">
        <v>368</v>
      </c>
      <c r="C71" s="18" t="s">
        <v>72</v>
      </c>
      <c r="D71" s="18" t="s">
        <v>918</v>
      </c>
      <c r="E71" s="18" t="s">
        <v>36</v>
      </c>
      <c r="F71" s="18" t="s">
        <v>36</v>
      </c>
      <c r="J71" s="2"/>
      <c r="K71" s="19">
        <v>0.31580000000000003</v>
      </c>
      <c r="L71" s="19">
        <v>0.13049492800000001</v>
      </c>
      <c r="M71" s="19">
        <v>0.36359999999999998</v>
      </c>
      <c r="N71" s="19">
        <v>0</v>
      </c>
      <c r="O71" s="19">
        <v>0</v>
      </c>
      <c r="P71" s="19">
        <v>0</v>
      </c>
      <c r="Q71" s="19">
        <v>5.3151100999999999E-2</v>
      </c>
      <c r="R71" s="20">
        <v>26878</v>
      </c>
      <c r="S71" s="21" t="str">
        <f>HYPERLINK("https://www.argosy.edu/locations/twin-cities/net-price-calculator", "$18473")</f>
        <v>$18473</v>
      </c>
      <c r="T71" s="22">
        <v>24238</v>
      </c>
      <c r="U71" s="22">
        <v>22723</v>
      </c>
      <c r="V71" s="20">
        <v>7112</v>
      </c>
      <c r="W71" s="20">
        <v>11361</v>
      </c>
      <c r="Y71" s="19">
        <v>0.48480000000000001</v>
      </c>
      <c r="Z71" s="19">
        <v>0.246</v>
      </c>
      <c r="AB71" s="23">
        <v>1065</v>
      </c>
      <c r="AC71" s="18">
        <v>6</v>
      </c>
    </row>
    <row r="72" spans="1:29" ht="15.75" customHeight="1" x14ac:dyDescent="0.2">
      <c r="A72" s="17" t="str">
        <f>HYPERLINK("https://www.asu.edu/", "Arizona State University-Downtown Phoenix")</f>
        <v>Arizona State University-Downtown Phoenix</v>
      </c>
      <c r="B72" s="18" t="s">
        <v>49</v>
      </c>
      <c r="C72" s="18" t="s">
        <v>354</v>
      </c>
      <c r="D72" s="18" t="s">
        <v>369</v>
      </c>
      <c r="E72" s="18">
        <v>1165</v>
      </c>
      <c r="F72" s="18" t="s">
        <v>35</v>
      </c>
      <c r="J72" s="2"/>
      <c r="K72" s="19">
        <v>0.65599999999999992</v>
      </c>
      <c r="L72" s="19">
        <v>0.57497716899999995</v>
      </c>
      <c r="M72" s="19">
        <v>0.7036</v>
      </c>
      <c r="N72" s="19">
        <v>0.47370000000000001</v>
      </c>
      <c r="O72" s="19">
        <v>0.60360000000000003</v>
      </c>
      <c r="P72" s="19">
        <v>0.77359999999999995</v>
      </c>
      <c r="Q72" s="19"/>
      <c r="R72" s="20">
        <v>45743</v>
      </c>
      <c r="S72" s="21" t="str">
        <f>HYPERLINK("https://students.asu.edu/financialaid/net-price", "$27847")</f>
        <v>$27847</v>
      </c>
      <c r="T72" s="22">
        <v>34602</v>
      </c>
      <c r="U72" s="22">
        <v>37194</v>
      </c>
      <c r="V72" s="20">
        <v>4529</v>
      </c>
      <c r="W72" s="20">
        <v>23318.812307692311</v>
      </c>
      <c r="Y72" s="19">
        <v>0.3921</v>
      </c>
      <c r="Z72" s="19">
        <v>0.51170000000000004</v>
      </c>
      <c r="AB72" s="23">
        <v>8898</v>
      </c>
      <c r="AC72" s="18">
        <v>4</v>
      </c>
    </row>
    <row r="73" spans="1:29" ht="15.75" customHeight="1" x14ac:dyDescent="0.2">
      <c r="A73" s="17" t="str">
        <f>HYPERLINK("https://www.asu.edu/", "Arizona State University-Polytechnic")</f>
        <v>Arizona State University-Polytechnic</v>
      </c>
      <c r="B73" s="18" t="s">
        <v>49</v>
      </c>
      <c r="C73" s="18" t="s">
        <v>354</v>
      </c>
      <c r="D73" s="18" t="s">
        <v>556</v>
      </c>
      <c r="E73" s="18">
        <v>1193</v>
      </c>
      <c r="F73" s="18" t="s">
        <v>35</v>
      </c>
      <c r="J73" s="2"/>
      <c r="K73" s="19">
        <v>0.59060000000000001</v>
      </c>
      <c r="L73" s="19">
        <v>0.57497716899999995</v>
      </c>
      <c r="M73" s="19">
        <v>0.65259999999999996</v>
      </c>
      <c r="N73" s="19">
        <v>0.23530000000000001</v>
      </c>
      <c r="O73" s="19">
        <v>0.5</v>
      </c>
      <c r="P73" s="19">
        <v>0.77780000000000005</v>
      </c>
      <c r="Q73" s="19"/>
      <c r="R73" s="20">
        <v>42660</v>
      </c>
      <c r="S73" s="21" t="str">
        <f>HYPERLINK("https://students.asu.edu/financialaid/net-price", "$27412")</f>
        <v>$27412</v>
      </c>
      <c r="T73" s="22">
        <v>32496</v>
      </c>
      <c r="U73" s="22">
        <v>35806</v>
      </c>
      <c r="V73" s="20">
        <v>4529</v>
      </c>
      <c r="W73" s="20">
        <v>22883.196261682238</v>
      </c>
      <c r="Y73" s="19">
        <v>0.35930000000000001</v>
      </c>
      <c r="Z73" s="19">
        <v>0.47210000000000002</v>
      </c>
      <c r="AB73" s="23">
        <v>4224</v>
      </c>
      <c r="AC73" s="18">
        <v>4</v>
      </c>
    </row>
    <row r="74" spans="1:29" ht="15.75" customHeight="1" x14ac:dyDescent="0.2">
      <c r="A74" s="17" t="str">
        <f>HYPERLINK("https://www.asu.edu/", "Arizona State University-Skysong")</f>
        <v>Arizona State University-Skysong</v>
      </c>
      <c r="B74" s="18" t="s">
        <v>49</v>
      </c>
      <c r="C74" s="18" t="s">
        <v>354</v>
      </c>
      <c r="D74" s="18" t="s">
        <v>557</v>
      </c>
      <c r="E74" s="18" t="s">
        <v>36</v>
      </c>
      <c r="F74" s="18" t="s">
        <v>90</v>
      </c>
      <c r="J74" s="2"/>
      <c r="K74" s="19">
        <v>0.1389</v>
      </c>
      <c r="L74" s="19">
        <v>0.57497716899999995</v>
      </c>
      <c r="M74" s="19">
        <v>0.15379999999999999</v>
      </c>
      <c r="N74" s="19">
        <v>0.33329999999999999</v>
      </c>
      <c r="O74" s="19">
        <v>0</v>
      </c>
      <c r="P74" s="19">
        <v>0</v>
      </c>
      <c r="Q74" s="19"/>
      <c r="R74" s="20">
        <v>32275</v>
      </c>
      <c r="S74" s="21" t="str">
        <f>HYPERLINK("https://students.asu.edu/financialaid/net-price", "$20235")</f>
        <v>$20235</v>
      </c>
      <c r="T74" s="22">
        <v>23444</v>
      </c>
      <c r="U74" s="22">
        <v>29290</v>
      </c>
      <c r="V74" s="20">
        <v>4529</v>
      </c>
      <c r="W74" s="20">
        <v>15706.051575931229</v>
      </c>
      <c r="Y74" s="19">
        <v>0.39600000000000002</v>
      </c>
      <c r="Z74" s="19">
        <v>0.3619</v>
      </c>
      <c r="AB74" s="23">
        <v>24244</v>
      </c>
      <c r="AC74" s="18">
        <v>4</v>
      </c>
    </row>
    <row r="75" spans="1:29" ht="15.75" customHeight="1" x14ac:dyDescent="0.2">
      <c r="A75" s="17" t="str">
        <f>HYPERLINK("https://www.asu.edu/", "Arizona State University-Tempe")</f>
        <v>Arizona State University-Tempe</v>
      </c>
      <c r="B75" s="18" t="s">
        <v>49</v>
      </c>
      <c r="C75" s="18" t="s">
        <v>354</v>
      </c>
      <c r="D75" s="18" t="s">
        <v>558</v>
      </c>
      <c r="E75" s="18">
        <v>1235</v>
      </c>
      <c r="F75" s="18" t="s">
        <v>35</v>
      </c>
      <c r="J75" s="2"/>
      <c r="K75" s="19">
        <v>0.63349999999999995</v>
      </c>
      <c r="L75" s="19">
        <v>0.57497716899999995</v>
      </c>
      <c r="M75" s="19">
        <v>0.65849999999999997</v>
      </c>
      <c r="N75" s="19">
        <v>0.44519999999999998</v>
      </c>
      <c r="O75" s="19">
        <v>0.55310000000000004</v>
      </c>
      <c r="P75" s="19">
        <v>0.7732</v>
      </c>
      <c r="Q75" s="19"/>
      <c r="R75" s="20">
        <v>44110</v>
      </c>
      <c r="S75" s="21" t="str">
        <f>HYPERLINK("https://students.asu.edu/financialaid/net-price", "$26976")</f>
        <v>$26976</v>
      </c>
      <c r="T75" s="22">
        <v>32726</v>
      </c>
      <c r="U75" s="22">
        <v>35684</v>
      </c>
      <c r="V75" s="20">
        <v>4529</v>
      </c>
      <c r="W75" s="20">
        <v>22447.829787234041</v>
      </c>
      <c r="Y75" s="19">
        <v>0.2928</v>
      </c>
      <c r="Z75" s="19">
        <v>0.5</v>
      </c>
      <c r="AB75" s="23">
        <v>42181</v>
      </c>
      <c r="AC75" s="18">
        <v>4</v>
      </c>
    </row>
    <row r="76" spans="1:29" ht="15.75" customHeight="1" x14ac:dyDescent="0.2">
      <c r="A76" s="17" t="str">
        <f>HYPERLINK("https://www.asu.edu/", "Arizona State University-West")</f>
        <v>Arizona State University-West</v>
      </c>
      <c r="B76" s="18" t="s">
        <v>49</v>
      </c>
      <c r="C76" s="18" t="s">
        <v>354</v>
      </c>
      <c r="D76" s="18" t="s">
        <v>559</v>
      </c>
      <c r="E76" s="18">
        <v>1132</v>
      </c>
      <c r="F76" s="18" t="s">
        <v>35</v>
      </c>
      <c r="J76" s="2"/>
      <c r="K76" s="19">
        <v>0.57720000000000005</v>
      </c>
      <c r="L76" s="19">
        <v>0.57497716899999995</v>
      </c>
      <c r="M76" s="19">
        <v>0.6</v>
      </c>
      <c r="N76" s="19">
        <v>0.35289999999999999</v>
      </c>
      <c r="O76" s="19">
        <v>0.56520000000000004</v>
      </c>
      <c r="P76" s="19">
        <v>0.75</v>
      </c>
      <c r="Q76" s="19"/>
      <c r="R76" s="20">
        <v>41779</v>
      </c>
      <c r="S76" s="21" t="str">
        <f>HYPERLINK("https://students.asu.edu/financialaid/net-price", "$26324")</f>
        <v>$26324</v>
      </c>
      <c r="T76" s="22">
        <v>30688</v>
      </c>
      <c r="U76" s="22">
        <v>34143</v>
      </c>
      <c r="V76" s="20">
        <v>4529</v>
      </c>
      <c r="W76" s="20">
        <v>21795.983050847459</v>
      </c>
      <c r="Y76" s="19">
        <v>0.46510000000000001</v>
      </c>
      <c r="Z76" s="19">
        <v>0.53439999999999999</v>
      </c>
      <c r="AB76" s="23">
        <v>3563</v>
      </c>
      <c r="AC76" s="18">
        <v>4</v>
      </c>
    </row>
    <row r="77" spans="1:29" ht="15.75" customHeight="1" x14ac:dyDescent="0.2">
      <c r="A77" s="17" t="str">
        <f>HYPERLINK("https://www.arkansasbaptist.edu", "Arkansas Baptist College")</f>
        <v>Arkansas Baptist College</v>
      </c>
      <c r="B77" s="18" t="s">
        <v>32</v>
      </c>
      <c r="C77" s="18" t="s">
        <v>371</v>
      </c>
      <c r="D77" s="18" t="s">
        <v>810</v>
      </c>
      <c r="E77" s="18" t="s">
        <v>36</v>
      </c>
      <c r="F77" s="18" t="s">
        <v>36</v>
      </c>
      <c r="J77" s="2"/>
      <c r="K77" s="19">
        <v>0.1933</v>
      </c>
      <c r="L77" s="19">
        <v>0.12721893500000001</v>
      </c>
      <c r="M77" s="19">
        <v>0.5</v>
      </c>
      <c r="N77" s="19">
        <v>0.1797</v>
      </c>
      <c r="O77" s="19">
        <v>0</v>
      </c>
      <c r="P77" s="19" t="s">
        <v>36</v>
      </c>
      <c r="Q77" s="19">
        <v>4.4186046999999999E-2</v>
      </c>
      <c r="R77" s="20">
        <v>23060</v>
      </c>
      <c r="S77" s="21" t="str">
        <f>HYPERLINK("https://www.arkansasbaptist.edu/financial-aid/net-price-calculator/", "$17526")</f>
        <v>$17526</v>
      </c>
      <c r="T77" s="22">
        <v>19941</v>
      </c>
      <c r="U77" s="22">
        <v>20555</v>
      </c>
      <c r="V77" s="20">
        <v>5474</v>
      </c>
      <c r="W77" s="20">
        <v>12052</v>
      </c>
      <c r="Y77" s="19">
        <v>0.80979999999999996</v>
      </c>
      <c r="Z77" s="19">
        <v>0.94769999999999999</v>
      </c>
      <c r="AB77" s="23">
        <v>593</v>
      </c>
      <c r="AC77" s="18">
        <v>6</v>
      </c>
    </row>
    <row r="78" spans="1:29" ht="15.75" customHeight="1" x14ac:dyDescent="0.2">
      <c r="A78" s="17" t="str">
        <f>HYPERLINK("https://www.astate.edu/", "Arkansas State University-Main Campus")</f>
        <v>Arkansas State University-Main Campus</v>
      </c>
      <c r="B78" s="18" t="s">
        <v>49</v>
      </c>
      <c r="C78" s="18" t="s">
        <v>371</v>
      </c>
      <c r="D78" s="18" t="s">
        <v>560</v>
      </c>
      <c r="E78" s="18">
        <v>1165</v>
      </c>
      <c r="F78" s="18" t="s">
        <v>35</v>
      </c>
      <c r="J78" s="2"/>
      <c r="K78" s="19">
        <v>0.47499999999999998</v>
      </c>
      <c r="L78" s="19">
        <v>0.34322642399999997</v>
      </c>
      <c r="M78" s="19">
        <v>0.50090000000000001</v>
      </c>
      <c r="N78" s="19">
        <v>0.39340000000000003</v>
      </c>
      <c r="O78" s="19">
        <v>0.43480000000000002</v>
      </c>
      <c r="P78" s="19">
        <v>0.5</v>
      </c>
      <c r="Q78" s="19"/>
      <c r="R78" s="20">
        <v>28786</v>
      </c>
      <c r="S78" s="21" t="str">
        <f>HYPERLINK("https://www.astate.edu/a/finaid/tuition-fees/net-price-calculator/index.dot", "$19524")</f>
        <v>$19524</v>
      </c>
      <c r="T78" s="22">
        <v>22531</v>
      </c>
      <c r="U78" s="22">
        <v>24169</v>
      </c>
      <c r="V78" s="20">
        <v>5268</v>
      </c>
      <c r="W78" s="20">
        <v>14256.78145695364</v>
      </c>
      <c r="Y78" s="19">
        <v>0.41199999999999998</v>
      </c>
      <c r="Z78" s="19">
        <v>0.25359999999999999</v>
      </c>
      <c r="AB78" s="23">
        <v>8856</v>
      </c>
      <c r="AC78" s="18">
        <v>4</v>
      </c>
    </row>
    <row r="79" spans="1:29" ht="15.75" customHeight="1" x14ac:dyDescent="0.2">
      <c r="A79" s="17" t="str">
        <f>HYPERLINK("https://www.atu.edu", "Arkansas Tech University")</f>
        <v>Arkansas Tech University</v>
      </c>
      <c r="B79" s="18" t="s">
        <v>49</v>
      </c>
      <c r="C79" s="18" t="s">
        <v>371</v>
      </c>
      <c r="D79" s="18" t="s">
        <v>561</v>
      </c>
      <c r="E79" s="18" t="s">
        <v>36</v>
      </c>
      <c r="F79" s="18" t="s">
        <v>90</v>
      </c>
      <c r="J79" s="2"/>
      <c r="K79" s="19">
        <v>0.39</v>
      </c>
      <c r="L79" s="19">
        <v>0.35735294099999998</v>
      </c>
      <c r="M79" s="19">
        <v>0.40960000000000002</v>
      </c>
      <c r="N79" s="19">
        <v>0.189</v>
      </c>
      <c r="O79" s="19">
        <v>0.2833</v>
      </c>
      <c r="P79" s="19">
        <v>0.46150000000000002</v>
      </c>
      <c r="Q79" s="19"/>
      <c r="R79" s="20">
        <v>24129</v>
      </c>
      <c r="S79" s="21" t="str">
        <f>HYPERLINK("https://www.atu.edu/finaid/npcalc.htm", "$16917")</f>
        <v>$16917</v>
      </c>
      <c r="T79" s="22">
        <v>19048</v>
      </c>
      <c r="U79" s="22">
        <v>20117</v>
      </c>
      <c r="V79" s="20">
        <v>3947</v>
      </c>
      <c r="W79" s="20">
        <v>12970.483061480551</v>
      </c>
      <c r="Y79" s="19">
        <v>0.3931</v>
      </c>
      <c r="Z79" s="19">
        <v>0.24809999999999999</v>
      </c>
      <c r="AB79" s="23">
        <v>8247</v>
      </c>
      <c r="AC79" s="18">
        <v>4</v>
      </c>
    </row>
    <row r="80" spans="1:29" ht="15.75" customHeight="1" x14ac:dyDescent="0.2">
      <c r="A80" s="17" t="str">
        <f>HYPERLINK("https://www.georgiasouthern.edu/", "Armstrong State University")</f>
        <v>Armstrong State University</v>
      </c>
      <c r="B80" s="18" t="s">
        <v>49</v>
      </c>
      <c r="C80" s="18" t="s">
        <v>107</v>
      </c>
      <c r="D80" s="18" t="s">
        <v>562</v>
      </c>
      <c r="E80" s="18">
        <v>1054</v>
      </c>
      <c r="F80" s="18" t="s">
        <v>35</v>
      </c>
      <c r="J80" s="2"/>
      <c r="K80" s="19">
        <v>0.32079999999999997</v>
      </c>
      <c r="L80" s="19">
        <v>0.34386973199999998</v>
      </c>
      <c r="M80" s="19">
        <v>0.31330000000000002</v>
      </c>
      <c r="N80" s="19">
        <v>0.32679999999999998</v>
      </c>
      <c r="O80" s="19">
        <v>0.32940000000000003</v>
      </c>
      <c r="P80" s="19">
        <v>0.29630000000000001</v>
      </c>
      <c r="Q80" s="19"/>
      <c r="R80" s="20">
        <v>31236</v>
      </c>
      <c r="S80" s="21" t="str">
        <f>HYPERLINK("https://em.georgiasouthern.edu/finaid/how-to-apply/estimated-cost-of-attendance/", "$23324")</f>
        <v>$23324</v>
      </c>
      <c r="T80" s="22">
        <v>26406</v>
      </c>
      <c r="U80" s="22">
        <v>28352</v>
      </c>
      <c r="V80" s="20">
        <v>5160</v>
      </c>
      <c r="W80" s="20">
        <v>18164.811074918569</v>
      </c>
      <c r="Y80" s="19">
        <v>0.43909999999999999</v>
      </c>
      <c r="Z80" s="19">
        <v>0.46489999999999998</v>
      </c>
      <c r="AB80" s="23">
        <v>5965</v>
      </c>
      <c r="AC80" s="18">
        <v>4</v>
      </c>
    </row>
    <row r="81" spans="1:29" ht="15.75" customHeight="1" x14ac:dyDescent="0.2">
      <c r="A81" s="17" t="str">
        <f>HYPERLINK("https://www.artcenter.edu", "Art Center College of Design")</f>
        <v>Art Center College of Design</v>
      </c>
      <c r="B81" s="18" t="s">
        <v>32</v>
      </c>
      <c r="C81" s="18" t="s">
        <v>68</v>
      </c>
      <c r="D81" s="18" t="s">
        <v>69</v>
      </c>
      <c r="E81" s="18" t="s">
        <v>36</v>
      </c>
      <c r="F81" s="18" t="s">
        <v>90</v>
      </c>
      <c r="J81" s="2"/>
      <c r="K81" s="19">
        <v>0.67589999999999995</v>
      </c>
      <c r="L81" s="19">
        <v>0.66860465099999999</v>
      </c>
      <c r="M81" s="19">
        <v>0.6</v>
      </c>
      <c r="N81" s="19">
        <v>0</v>
      </c>
      <c r="O81" s="19">
        <v>0.73909999999999998</v>
      </c>
      <c r="P81" s="19">
        <v>0.63490000000000002</v>
      </c>
      <c r="Q81" s="19"/>
      <c r="R81" s="20">
        <v>66030</v>
      </c>
      <c r="S81" s="21" t="str">
        <f>HYPERLINK("https://www.artcenter.edu/admissions/tuition-and-aid/net-price-calculator.html", "$39277")</f>
        <v>$39277</v>
      </c>
      <c r="T81" s="22">
        <v>43172</v>
      </c>
      <c r="U81" s="22">
        <v>44962</v>
      </c>
      <c r="V81" s="20">
        <v>10492</v>
      </c>
      <c r="W81" s="20">
        <v>28785</v>
      </c>
      <c r="Y81" s="19">
        <v>0.32550000000000001</v>
      </c>
      <c r="Z81" s="19">
        <v>0.83589999999999998</v>
      </c>
      <c r="AB81" s="23">
        <v>1974</v>
      </c>
      <c r="AC81" s="18">
        <v>4</v>
      </c>
    </row>
    <row r="82" spans="1:29" ht="15.75" customHeight="1" x14ac:dyDescent="0.2">
      <c r="A82" s="17" t="str">
        <f>HYPERLINK("https://www.asher.edu", "Asher College")</f>
        <v>Asher College</v>
      </c>
      <c r="B82" s="18" t="s">
        <v>368</v>
      </c>
      <c r="C82" s="18" t="s">
        <v>68</v>
      </c>
      <c r="D82" s="18" t="s">
        <v>609</v>
      </c>
      <c r="E82" s="18" t="s">
        <v>36</v>
      </c>
      <c r="F82" s="18" t="s">
        <v>36</v>
      </c>
      <c r="J82" s="2"/>
      <c r="K82" s="19">
        <v>0.62960000000000005</v>
      </c>
      <c r="L82" s="19">
        <v>0.58854166699999999</v>
      </c>
      <c r="M82" s="19">
        <v>0.61539999999999995</v>
      </c>
      <c r="N82" s="19">
        <v>0.71430000000000005</v>
      </c>
      <c r="O82" s="19">
        <v>0.75</v>
      </c>
      <c r="P82" s="19">
        <v>0</v>
      </c>
      <c r="Q82" s="19" t="s">
        <v>36</v>
      </c>
      <c r="R82" s="20" t="s">
        <v>36</v>
      </c>
      <c r="S82" s="21" t="str">
        <f>HYPERLINK("https://www.asher.edu", "$20827")</f>
        <v>$20827</v>
      </c>
      <c r="T82" s="22">
        <v>23874</v>
      </c>
      <c r="U82" s="22" t="s">
        <v>36</v>
      </c>
      <c r="V82" s="20" t="s">
        <v>36</v>
      </c>
      <c r="W82" s="20" t="s">
        <v>36</v>
      </c>
      <c r="Y82" s="19">
        <v>0.46029999999999999</v>
      </c>
      <c r="Z82" s="19">
        <v>0.7087</v>
      </c>
      <c r="AB82" s="23">
        <v>587</v>
      </c>
      <c r="AC82" s="18">
        <v>6</v>
      </c>
    </row>
    <row r="83" spans="1:29" ht="15.75" customHeight="1" x14ac:dyDescent="0.2">
      <c r="A83" s="17" t="str">
        <f>HYPERLINK("https://www.abtech.edu", "Asheville-Buncombe Technical Community College")</f>
        <v>Asheville-Buncombe Technical Community College</v>
      </c>
      <c r="B83" s="18" t="s">
        <v>49</v>
      </c>
      <c r="C83" s="18" t="s">
        <v>103</v>
      </c>
      <c r="D83" s="18" t="s">
        <v>518</v>
      </c>
      <c r="E83" s="18" t="s">
        <v>36</v>
      </c>
      <c r="F83" s="18" t="s">
        <v>36</v>
      </c>
      <c r="J83" s="2"/>
      <c r="K83" s="19">
        <v>0.3327</v>
      </c>
      <c r="L83" s="19">
        <v>0.24960380400000001</v>
      </c>
      <c r="M83" s="19">
        <v>0.34589999999999999</v>
      </c>
      <c r="N83" s="19">
        <v>0.28570000000000001</v>
      </c>
      <c r="O83" s="19">
        <v>0.31580000000000003</v>
      </c>
      <c r="P83" s="19">
        <v>0</v>
      </c>
      <c r="Q83" s="19">
        <v>5.9952037999999999E-2</v>
      </c>
      <c r="R83" s="20">
        <v>23248</v>
      </c>
      <c r="S83" s="21" t="str">
        <f>HYPERLINK("https://www.abtech.edu/sites/npcalc/", "$17876")</f>
        <v>$17876</v>
      </c>
      <c r="T83" s="22">
        <v>18935</v>
      </c>
      <c r="U83" s="22">
        <v>21238</v>
      </c>
      <c r="V83" s="20">
        <v>7626</v>
      </c>
      <c r="W83" s="20">
        <v>10250.19157088123</v>
      </c>
      <c r="Y83" s="19">
        <v>0.41449999999999998</v>
      </c>
      <c r="Z83" s="19">
        <v>0.223</v>
      </c>
      <c r="AB83" s="23">
        <v>4744</v>
      </c>
      <c r="AC83" s="18">
        <v>6</v>
      </c>
    </row>
    <row r="84" spans="1:29" ht="15.75" customHeight="1" x14ac:dyDescent="0.2">
      <c r="A84" s="17" t="str">
        <f>HYPERLINK("https://www.ashford.edu", "Ashford University")</f>
        <v>Ashford University</v>
      </c>
      <c r="B84" s="18" t="s">
        <v>368</v>
      </c>
      <c r="C84" s="18" t="s">
        <v>68</v>
      </c>
      <c r="D84" s="18" t="s">
        <v>288</v>
      </c>
      <c r="E84" s="18" t="s">
        <v>36</v>
      </c>
      <c r="F84" s="18" t="s">
        <v>36</v>
      </c>
      <c r="J84" s="2"/>
      <c r="K84" s="19">
        <v>7.6499999999999999E-2</v>
      </c>
      <c r="L84" s="19">
        <v>0.19486094500000001</v>
      </c>
      <c r="M84" s="19">
        <v>9.6799999999999997E-2</v>
      </c>
      <c r="N84" s="19">
        <v>3.9100000000000003E-2</v>
      </c>
      <c r="O84" s="19">
        <v>9.4399999999999998E-2</v>
      </c>
      <c r="P84" s="19">
        <v>0.17499999999999999</v>
      </c>
      <c r="Q84" s="19"/>
      <c r="R84" s="20">
        <v>23787</v>
      </c>
      <c r="S84" s="21" t="str">
        <f>HYPERLINK("https://ashford.studentaidcalculator.com/survey.aspx", "$18590")</f>
        <v>$18590</v>
      </c>
      <c r="T84" s="22">
        <v>20724</v>
      </c>
      <c r="U84" s="22">
        <v>20425</v>
      </c>
      <c r="V84" s="20">
        <v>5430</v>
      </c>
      <c r="W84" s="20">
        <v>13160</v>
      </c>
      <c r="Y84" s="19">
        <v>0.59189999999999998</v>
      </c>
      <c r="Z84" s="19">
        <v>0.57630000000000003</v>
      </c>
      <c r="AB84" s="23">
        <v>31046</v>
      </c>
      <c r="AC84" s="18">
        <v>4</v>
      </c>
    </row>
    <row r="85" spans="1:29" ht="15.75" customHeight="1" x14ac:dyDescent="0.2">
      <c r="A85" s="17" t="str">
        <f>HYPERLINK("https://www.ashland.edu", "Ashland University")</f>
        <v>Ashland University</v>
      </c>
      <c r="B85" s="18" t="s">
        <v>32</v>
      </c>
      <c r="C85" s="18" t="s">
        <v>75</v>
      </c>
      <c r="D85" s="18" t="s">
        <v>563</v>
      </c>
      <c r="E85" s="18">
        <v>1121</v>
      </c>
      <c r="F85" s="18" t="s">
        <v>35</v>
      </c>
      <c r="J85" s="19"/>
      <c r="K85" s="19">
        <v>0.59870000000000001</v>
      </c>
      <c r="L85" s="19">
        <v>0.30670926500000001</v>
      </c>
      <c r="M85" s="19">
        <v>0.63239999999999996</v>
      </c>
      <c r="N85" s="19">
        <v>0.35420000000000001</v>
      </c>
      <c r="O85" s="19">
        <v>0.3</v>
      </c>
      <c r="P85" s="19">
        <v>1</v>
      </c>
      <c r="Q85" s="19"/>
      <c r="R85" s="20">
        <v>33954</v>
      </c>
      <c r="S85" s="33" t="str">
        <f>HYPERLINK("https://www.ashland.edu/administration/financial-aid/future-undergraduates/calculate-your-costs", "$16063")</f>
        <v>$16063</v>
      </c>
      <c r="T85" s="22">
        <v>20248</v>
      </c>
      <c r="U85" s="22">
        <v>22852</v>
      </c>
      <c r="V85" s="20">
        <v>3508</v>
      </c>
      <c r="W85" s="20">
        <v>12555</v>
      </c>
      <c r="Y85" s="19">
        <v>0.30549999999999999</v>
      </c>
      <c r="Z85" s="19">
        <v>0.22839999999999999</v>
      </c>
      <c r="AB85" s="18">
        <v>3660</v>
      </c>
      <c r="AC85" s="18">
        <v>4</v>
      </c>
    </row>
    <row r="86" spans="1:29" ht="15.75" customHeight="1" x14ac:dyDescent="0.2">
      <c r="A86" s="17" t="str">
        <f>HYPERLINK("https://www.assumption.edu", "Assumption College")</f>
        <v>Assumption College</v>
      </c>
      <c r="B86" s="18" t="s">
        <v>32</v>
      </c>
      <c r="C86" s="18" t="s">
        <v>33</v>
      </c>
      <c r="D86" s="18" t="s">
        <v>86</v>
      </c>
      <c r="E86" s="18" t="s">
        <v>36</v>
      </c>
      <c r="F86" s="18" t="s">
        <v>45</v>
      </c>
      <c r="J86" s="19"/>
      <c r="K86" s="19">
        <v>0.71</v>
      </c>
      <c r="L86" s="19">
        <v>0.712121212</v>
      </c>
      <c r="M86" s="19">
        <v>0.73050000000000004</v>
      </c>
      <c r="N86" s="19">
        <v>0.5</v>
      </c>
      <c r="O86" s="19">
        <v>0.72919999999999996</v>
      </c>
      <c r="P86" s="19">
        <v>0.75</v>
      </c>
      <c r="Q86" s="19"/>
      <c r="R86" s="20">
        <v>54594</v>
      </c>
      <c r="S86" s="33" t="str">
        <f>HYPERLINK("https://www.assumption.edu/admissions/financial-aid/value", "$23851")</f>
        <v>$23851</v>
      </c>
      <c r="T86" s="22">
        <v>25566</v>
      </c>
      <c r="U86" s="22">
        <v>27493</v>
      </c>
      <c r="V86" s="20">
        <v>2800</v>
      </c>
      <c r="W86" s="20">
        <v>21051</v>
      </c>
      <c r="Y86" s="19">
        <v>0.20330000000000001</v>
      </c>
      <c r="Z86" s="19">
        <v>0.25750000000000001</v>
      </c>
      <c r="AB86" s="18">
        <v>2058</v>
      </c>
      <c r="AC86" s="18">
        <v>3</v>
      </c>
    </row>
    <row r="87" spans="1:29" ht="15.75" customHeight="1" x14ac:dyDescent="0.2">
      <c r="A87" s="17" t="str">
        <f>HYPERLINK("https://www.atenascollege.edu", "Atenas College")</f>
        <v>Atenas College</v>
      </c>
      <c r="B87" s="18" t="s">
        <v>32</v>
      </c>
      <c r="C87" s="18" t="s">
        <v>284</v>
      </c>
      <c r="D87" s="18" t="s">
        <v>925</v>
      </c>
      <c r="E87" s="18" t="s">
        <v>36</v>
      </c>
      <c r="F87" s="18" t="s">
        <v>36</v>
      </c>
      <c r="J87" s="19"/>
      <c r="K87" s="19">
        <v>0.50449999999999995</v>
      </c>
      <c r="L87" s="19" t="s">
        <v>36</v>
      </c>
      <c r="M87" s="19" t="s">
        <v>36</v>
      </c>
      <c r="N87" s="19" t="s">
        <v>36</v>
      </c>
      <c r="O87" s="19">
        <v>0.50449999999999995</v>
      </c>
      <c r="P87" s="19" t="s">
        <v>36</v>
      </c>
      <c r="Q87" s="19">
        <v>4.5848822999999997E-2</v>
      </c>
      <c r="R87" s="20">
        <v>18181</v>
      </c>
      <c r="S87" s="33" t="str">
        <f>HYPERLINK("https://www.atenascollege.edu", "$6247")</f>
        <v>$6247</v>
      </c>
      <c r="T87" s="22">
        <v>7621</v>
      </c>
      <c r="U87" s="22" t="s">
        <v>36</v>
      </c>
      <c r="V87" s="20">
        <v>5069</v>
      </c>
      <c r="W87" s="20">
        <v>1178</v>
      </c>
      <c r="Y87" s="19">
        <v>0.96519999999999995</v>
      </c>
      <c r="Z87" s="19">
        <v>1</v>
      </c>
      <c r="AB87" s="18">
        <v>932</v>
      </c>
      <c r="AC87" s="18">
        <v>6</v>
      </c>
    </row>
    <row r="88" spans="1:29" ht="15.75" customHeight="1" x14ac:dyDescent="0.2">
      <c r="A88" s="17" t="str">
        <f>HYPERLINK("https://www.atlm.edu", "Atlanta Metropolitan State College")</f>
        <v>Atlanta Metropolitan State College</v>
      </c>
      <c r="B88" s="18" t="s">
        <v>49</v>
      </c>
      <c r="C88" s="18" t="s">
        <v>107</v>
      </c>
      <c r="D88" s="18" t="s">
        <v>108</v>
      </c>
      <c r="E88" s="18" t="s">
        <v>36</v>
      </c>
      <c r="F88" s="18" t="s">
        <v>36</v>
      </c>
      <c r="J88" s="19"/>
      <c r="K88" s="19">
        <v>9.0200000000000002E-2</v>
      </c>
      <c r="L88" s="19">
        <v>0.14987298900000001</v>
      </c>
      <c r="M88" s="19">
        <v>0</v>
      </c>
      <c r="N88" s="19">
        <v>7.5800000000000006E-2</v>
      </c>
      <c r="O88" s="19">
        <v>0.25</v>
      </c>
      <c r="P88" s="19">
        <v>0.5</v>
      </c>
      <c r="Q88" s="19">
        <v>9.685863900000001E-2</v>
      </c>
      <c r="R88" s="20">
        <v>20060</v>
      </c>
      <c r="S88" s="33" t="str">
        <f>HYPERLINK("https://www.atlm.edu/students/Net%20Price%20Calculator/npcalc.htm", "$13667")</f>
        <v>$13667</v>
      </c>
      <c r="T88" s="22">
        <v>17798</v>
      </c>
      <c r="U88" s="22">
        <v>19295</v>
      </c>
      <c r="V88" s="20">
        <v>3880</v>
      </c>
      <c r="W88" s="20">
        <v>9787.3250000000007</v>
      </c>
      <c r="Y88" s="19">
        <v>0.65939999999999999</v>
      </c>
      <c r="Z88" s="19">
        <v>0.98480000000000001</v>
      </c>
      <c r="AB88" s="18">
        <v>2238</v>
      </c>
      <c r="AC88" s="18">
        <v>6</v>
      </c>
    </row>
    <row r="89" spans="1:29" ht="15.75" customHeight="1" x14ac:dyDescent="0.2">
      <c r="A89" s="17" t="str">
        <f>HYPERLINK("https://www.atlantic.edu", "Atlantic Cape Community College")</f>
        <v>Atlantic Cape Community College</v>
      </c>
      <c r="B89" s="18" t="s">
        <v>49</v>
      </c>
      <c r="C89" s="18" t="s">
        <v>141</v>
      </c>
      <c r="D89" s="18" t="s">
        <v>928</v>
      </c>
      <c r="E89" s="18" t="s">
        <v>36</v>
      </c>
      <c r="F89" s="18" t="s">
        <v>36</v>
      </c>
      <c r="J89" s="19"/>
      <c r="K89" s="19">
        <v>0.1754</v>
      </c>
      <c r="L89" s="19">
        <v>0.109090909</v>
      </c>
      <c r="M89" s="19">
        <v>0.2311</v>
      </c>
      <c r="N89" s="19">
        <v>6.5799999999999997E-2</v>
      </c>
      <c r="O89" s="19">
        <v>0.1515</v>
      </c>
      <c r="P89" s="19">
        <v>0.18179999999999999</v>
      </c>
      <c r="Q89" s="19">
        <v>7.4970714999999993E-2</v>
      </c>
      <c r="R89" s="20">
        <v>34051</v>
      </c>
      <c r="S89" s="33" t="str">
        <f>HYPERLINK("https://atlantic.edu/finaid/npcalc.htm", "$28393")</f>
        <v>$28393</v>
      </c>
      <c r="T89" s="22">
        <v>30841</v>
      </c>
      <c r="U89" s="22">
        <v>32906</v>
      </c>
      <c r="V89" s="20">
        <v>6600</v>
      </c>
      <c r="W89" s="20">
        <v>21793.326923076918</v>
      </c>
      <c r="Y89" s="19">
        <v>0.51839999999999997</v>
      </c>
      <c r="Z89" s="19">
        <v>0.56519999999999992</v>
      </c>
      <c r="AB89" s="18">
        <v>5191</v>
      </c>
      <c r="AC89" s="18">
        <v>6</v>
      </c>
    </row>
    <row r="90" spans="1:29" ht="15.75" customHeight="1" x14ac:dyDescent="0.2">
      <c r="A90" s="17" t="str">
        <f>HYPERLINK("https://www.auburn.edu", "Auburn University")</f>
        <v>Auburn University</v>
      </c>
      <c r="B90" s="18" t="s">
        <v>49</v>
      </c>
      <c r="C90" s="18" t="s">
        <v>300</v>
      </c>
      <c r="D90" s="18" t="s">
        <v>301</v>
      </c>
      <c r="E90" s="18">
        <v>1282</v>
      </c>
      <c r="F90" s="18" t="s">
        <v>35</v>
      </c>
      <c r="J90" s="19"/>
      <c r="K90" s="19">
        <v>0.76580000000000004</v>
      </c>
      <c r="L90" s="19">
        <v>0.52</v>
      </c>
      <c r="M90" s="19">
        <v>0.78249999999999997</v>
      </c>
      <c r="N90" s="19">
        <v>0.6038</v>
      </c>
      <c r="O90" s="19">
        <v>0.72499999999999998</v>
      </c>
      <c r="P90" s="19">
        <v>0.74629999999999996</v>
      </c>
      <c r="Q90" s="19"/>
      <c r="R90" s="20">
        <v>49954</v>
      </c>
      <c r="S90" s="33" t="str">
        <f>HYPERLINK("https://www.auburn.edu/admissions/costcalc/freshman.html", "$38236")</f>
        <v>$38236</v>
      </c>
      <c r="T90" s="22">
        <v>43056</v>
      </c>
      <c r="U90" s="22">
        <v>45401</v>
      </c>
      <c r="V90" s="20">
        <v>6982</v>
      </c>
      <c r="W90" s="20">
        <v>31254.76470588235</v>
      </c>
      <c r="Y90" s="19">
        <v>0.1489</v>
      </c>
      <c r="Z90" s="19">
        <v>0.18200000000000011</v>
      </c>
      <c r="AB90" s="18">
        <v>23391</v>
      </c>
      <c r="AC90" s="18">
        <v>3</v>
      </c>
    </row>
    <row r="91" spans="1:29" ht="15.75" customHeight="1" x14ac:dyDescent="0.2">
      <c r="A91" s="17" t="str">
        <f>HYPERLINK("https://www.aum.edu", "Auburn University at Montgomery")</f>
        <v>Auburn University at Montgomery</v>
      </c>
      <c r="B91" s="18" t="s">
        <v>49</v>
      </c>
      <c r="C91" s="18" t="s">
        <v>300</v>
      </c>
      <c r="D91" s="18" t="s">
        <v>547</v>
      </c>
      <c r="E91" s="18">
        <v>1083</v>
      </c>
      <c r="F91" s="18" t="s">
        <v>35</v>
      </c>
      <c r="J91" s="19"/>
      <c r="K91" s="19">
        <v>0.27650000000000002</v>
      </c>
      <c r="L91" s="19">
        <v>0.229508197</v>
      </c>
      <c r="M91" s="19">
        <v>0.32479999999999998</v>
      </c>
      <c r="N91" s="19">
        <v>0.22700000000000001</v>
      </c>
      <c r="O91" s="19">
        <v>0.2</v>
      </c>
      <c r="P91" s="19">
        <v>0.21429999999999999</v>
      </c>
      <c r="Q91" s="19"/>
      <c r="R91" s="20">
        <v>28910</v>
      </c>
      <c r="S91" s="33" t="str">
        <f>HYPERLINK("https://www.aum.edu/current-students/financial-information/net-price-calculator", "$23085")</f>
        <v>$23085</v>
      </c>
      <c r="T91" s="22">
        <v>25953</v>
      </c>
      <c r="U91" s="22">
        <v>27074</v>
      </c>
      <c r="V91" s="20">
        <v>4790</v>
      </c>
      <c r="W91" s="20">
        <v>18295.663934426229</v>
      </c>
      <c r="Y91" s="19">
        <v>0.44159999999999999</v>
      </c>
      <c r="Z91" s="19">
        <v>0.50370000000000004</v>
      </c>
      <c r="AB91" s="18">
        <v>4211</v>
      </c>
      <c r="AC91" s="18">
        <v>4</v>
      </c>
    </row>
    <row r="92" spans="1:29" ht="15.75" customHeight="1" x14ac:dyDescent="0.2">
      <c r="A92" s="17" t="str">
        <f>HYPERLINK("https://www.augsburg.edu", "Augsburg College")</f>
        <v>Augsburg College</v>
      </c>
      <c r="B92" s="18" t="s">
        <v>32</v>
      </c>
      <c r="C92" s="18" t="s">
        <v>72</v>
      </c>
      <c r="D92" s="18" t="s">
        <v>283</v>
      </c>
      <c r="E92" s="18">
        <v>1085</v>
      </c>
      <c r="F92" s="18" t="s">
        <v>35</v>
      </c>
      <c r="J92" s="19"/>
      <c r="K92" s="19">
        <v>0.62109999999999999</v>
      </c>
      <c r="L92" s="19">
        <v>0.40684410700000001</v>
      </c>
      <c r="M92" s="19">
        <v>0.64129999999999998</v>
      </c>
      <c r="N92" s="19">
        <v>0.53659999999999997</v>
      </c>
      <c r="O92" s="19">
        <v>0.5625</v>
      </c>
      <c r="P92" s="19">
        <v>0.6409999999999999</v>
      </c>
      <c r="Q92" s="19"/>
      <c r="R92" s="20">
        <v>51254</v>
      </c>
      <c r="S92" s="33" t="str">
        <f>HYPERLINK("https://augsburg.studentaidcalculator.com/survey.aspx", "$18895")</f>
        <v>$18895</v>
      </c>
      <c r="T92" s="22">
        <v>20858</v>
      </c>
      <c r="U92" s="22">
        <v>25176</v>
      </c>
      <c r="V92" s="20">
        <v>3700</v>
      </c>
      <c r="W92" s="20">
        <v>15195</v>
      </c>
      <c r="Y92" s="19">
        <v>0.42430000000000001</v>
      </c>
      <c r="Z92" s="19">
        <v>0.53760000000000008</v>
      </c>
      <c r="AB92" s="18">
        <v>2405</v>
      </c>
      <c r="AC92" s="18">
        <v>4</v>
      </c>
    </row>
    <row r="93" spans="1:29" ht="15.75" customHeight="1" x14ac:dyDescent="0.2">
      <c r="A93" s="17" t="str">
        <f>HYPERLINK("https://www.augie.edu", "Augustana University")</f>
        <v>Augustana University</v>
      </c>
      <c r="B93" s="18" t="s">
        <v>32</v>
      </c>
      <c r="C93" s="18" t="s">
        <v>302</v>
      </c>
      <c r="D93" s="18" t="s">
        <v>303</v>
      </c>
      <c r="E93" s="18">
        <v>1245</v>
      </c>
      <c r="F93" s="18" t="s">
        <v>35</v>
      </c>
      <c r="J93" s="19"/>
      <c r="K93" s="19">
        <v>0.71030000000000004</v>
      </c>
      <c r="L93" s="19">
        <v>0.54022988500000002</v>
      </c>
      <c r="M93" s="19">
        <v>0.7409</v>
      </c>
      <c r="N93" s="19">
        <v>0.5</v>
      </c>
      <c r="O93" s="19">
        <v>0.42859999999999998</v>
      </c>
      <c r="P93" s="19">
        <v>0.66669999999999996</v>
      </c>
      <c r="Q93" s="19"/>
      <c r="R93" s="20">
        <v>45458</v>
      </c>
      <c r="S93" s="33" t="str">
        <f>HYPERLINK("https://www.augie.edu/npc", "$15407")</f>
        <v>$15407</v>
      </c>
      <c r="T93" s="22">
        <v>15385</v>
      </c>
      <c r="U93" s="22">
        <v>18507</v>
      </c>
      <c r="V93" s="20">
        <v>5490</v>
      </c>
      <c r="W93" s="20">
        <v>9917</v>
      </c>
      <c r="Y93" s="19">
        <v>0.18920000000000001</v>
      </c>
      <c r="Z93" s="19">
        <v>0.15260000000000001</v>
      </c>
      <c r="AB93" s="18">
        <v>1704</v>
      </c>
      <c r="AC93" s="18">
        <v>3</v>
      </c>
    </row>
    <row r="94" spans="1:29" ht="15.75" customHeight="1" x14ac:dyDescent="0.2">
      <c r="A94" s="17" t="str">
        <f>HYPERLINK("https://www.aultmancollege.edu", "Aultman College of Nursing and Health Sciences")</f>
        <v>Aultman College of Nursing and Health Sciences</v>
      </c>
      <c r="B94" s="18" t="s">
        <v>32</v>
      </c>
      <c r="C94" s="18" t="s">
        <v>75</v>
      </c>
      <c r="D94" s="18" t="s">
        <v>249</v>
      </c>
      <c r="E94" s="18">
        <v>1085</v>
      </c>
      <c r="F94" s="18" t="s">
        <v>35</v>
      </c>
      <c r="J94" s="19"/>
      <c r="K94" s="19">
        <v>0.5</v>
      </c>
      <c r="L94" s="19">
        <v>0.59677419399999998</v>
      </c>
      <c r="M94" s="19">
        <v>0.5</v>
      </c>
      <c r="N94" s="19" t="s">
        <v>36</v>
      </c>
      <c r="O94" s="19" t="s">
        <v>36</v>
      </c>
      <c r="P94" s="19" t="s">
        <v>36</v>
      </c>
      <c r="Q94" s="19">
        <v>9.6774194000000008E-2</v>
      </c>
      <c r="R94" s="20">
        <v>28190</v>
      </c>
      <c r="S94" s="33" t="str">
        <f>HYPERLINK("https://www.aultmancollege.edu/netprice/npcalc.htm", "$13373")</f>
        <v>$13373</v>
      </c>
      <c r="T94" s="22" t="s">
        <v>36</v>
      </c>
      <c r="U94" s="22">
        <v>20701</v>
      </c>
      <c r="V94" s="20">
        <v>4160</v>
      </c>
      <c r="W94" s="20">
        <v>9213</v>
      </c>
      <c r="Y94" s="19">
        <v>0.42030000000000001</v>
      </c>
      <c r="Z94" s="19">
        <v>0.10400000000000011</v>
      </c>
      <c r="AB94" s="18">
        <v>375</v>
      </c>
      <c r="AC94" s="18">
        <v>6</v>
      </c>
    </row>
    <row r="95" spans="1:29" ht="15.75" customHeight="1" x14ac:dyDescent="0.2">
      <c r="A95" s="17" t="str">
        <f>HYPERLINK("https://aurora.edu", "Aurora University")</f>
        <v>Aurora University</v>
      </c>
      <c r="B95" s="18" t="s">
        <v>32</v>
      </c>
      <c r="C95" s="18" t="s">
        <v>137</v>
      </c>
      <c r="D95" s="18" t="s">
        <v>537</v>
      </c>
      <c r="E95" s="18">
        <v>1062</v>
      </c>
      <c r="F95" s="18" t="s">
        <v>35</v>
      </c>
      <c r="J95" s="19"/>
      <c r="K95" s="19">
        <v>0.5323</v>
      </c>
      <c r="L95" s="19">
        <v>0.57414448699999998</v>
      </c>
      <c r="M95" s="19">
        <v>0.58560000000000001</v>
      </c>
      <c r="N95" s="19">
        <v>0.21740000000000001</v>
      </c>
      <c r="O95" s="19">
        <v>0.52439999999999998</v>
      </c>
      <c r="P95" s="19">
        <v>0.625</v>
      </c>
      <c r="Q95" s="19"/>
      <c r="R95" s="20">
        <v>37028</v>
      </c>
      <c r="S95" s="33" t="str">
        <f>HYPERLINK("https://aurora.edu/admission/financialaid/calculator", "$14111")</f>
        <v>$14111</v>
      </c>
      <c r="T95" s="22">
        <v>16260</v>
      </c>
      <c r="U95" s="22">
        <v>19289</v>
      </c>
      <c r="V95" s="20">
        <v>3872</v>
      </c>
      <c r="W95" s="20">
        <v>10239</v>
      </c>
      <c r="Y95" s="19">
        <v>0.41620000000000001</v>
      </c>
      <c r="Z95" s="19">
        <v>0.50150000000000006</v>
      </c>
      <c r="AB95" s="18">
        <v>3912</v>
      </c>
      <c r="AC95" s="18">
        <v>4</v>
      </c>
    </row>
    <row r="96" spans="1:29" ht="15.75" customHeight="1" x14ac:dyDescent="0.2">
      <c r="A96" s="17" t="str">
        <f>HYPERLINK("https://www.austincollege.edu", "Austin College")</f>
        <v>Austin College</v>
      </c>
      <c r="B96" s="18" t="s">
        <v>32</v>
      </c>
      <c r="C96" s="18" t="s">
        <v>146</v>
      </c>
      <c r="D96" s="18" t="s">
        <v>304</v>
      </c>
      <c r="E96" s="18">
        <v>1255</v>
      </c>
      <c r="F96" s="18" t="s">
        <v>35</v>
      </c>
      <c r="J96" s="19"/>
      <c r="K96" s="19">
        <v>0.67320000000000002</v>
      </c>
      <c r="L96" s="19">
        <v>0.70588235300000002</v>
      </c>
      <c r="M96" s="19">
        <v>0.69120000000000004</v>
      </c>
      <c r="N96" s="19">
        <v>0.73680000000000001</v>
      </c>
      <c r="O96" s="19">
        <v>0.74139999999999995</v>
      </c>
      <c r="P96" s="19">
        <v>0.59519999999999995</v>
      </c>
      <c r="Q96" s="19"/>
      <c r="R96" s="20">
        <v>53784</v>
      </c>
      <c r="S96" s="33" t="str">
        <f>HYPERLINK("https://artemis.austincollege.edu/photos/finaid_calc/npcalc.htm", "$14896")</f>
        <v>$14896</v>
      </c>
      <c r="T96" s="22">
        <v>18059</v>
      </c>
      <c r="U96" s="22">
        <v>22561</v>
      </c>
      <c r="V96" s="20">
        <v>2650</v>
      </c>
      <c r="W96" s="20">
        <v>12246</v>
      </c>
      <c r="Y96" s="19">
        <v>0.31059999999999999</v>
      </c>
      <c r="Z96" s="19">
        <v>0.50580000000000003</v>
      </c>
      <c r="AB96" s="18">
        <v>1214</v>
      </c>
      <c r="AC96" s="18">
        <v>3</v>
      </c>
    </row>
    <row r="97" spans="1:29" ht="15.75" customHeight="1" x14ac:dyDescent="0.2">
      <c r="A97" s="36" t="str">
        <f>HYPERLINK("https://www.austincc.edu", "Austin Community College District")</f>
        <v>Austin Community College District</v>
      </c>
      <c r="B97" s="18" t="s">
        <v>49</v>
      </c>
      <c r="C97" s="18" t="s">
        <v>146</v>
      </c>
      <c r="D97" s="18" t="s">
        <v>264</v>
      </c>
      <c r="E97" s="18" t="s">
        <v>36</v>
      </c>
      <c r="F97" s="18" t="s">
        <v>36</v>
      </c>
      <c r="J97" s="19"/>
      <c r="K97" s="19">
        <v>0.10970000000000001</v>
      </c>
      <c r="L97" s="19">
        <v>8.3503055000000007E-2</v>
      </c>
      <c r="M97" s="19">
        <v>0.1086</v>
      </c>
      <c r="N97" s="19">
        <v>0.1053</v>
      </c>
      <c r="O97" s="19">
        <v>0.1086</v>
      </c>
      <c r="P97" s="19">
        <v>0.1167</v>
      </c>
      <c r="Q97" s="19">
        <v>0.12238961</v>
      </c>
      <c r="R97" s="20">
        <v>27560</v>
      </c>
      <c r="S97" s="21" t="str">
        <f>HYPERLINK("https://www.austincc.edu/students/financial-aid/explore-your-financial-aid/cost-of-attendance/net-price-calculator", "$21716")</f>
        <v>$21716</v>
      </c>
      <c r="T97" s="20">
        <v>25262</v>
      </c>
      <c r="U97" s="20">
        <v>27320</v>
      </c>
      <c r="V97" s="20">
        <v>5008</v>
      </c>
      <c r="W97" s="20">
        <v>16708.101508916319</v>
      </c>
      <c r="Y97" s="19">
        <v>0.21190000000000001</v>
      </c>
      <c r="Z97" s="19">
        <v>0.58030000000000004</v>
      </c>
      <c r="AB97" s="18">
        <v>30716</v>
      </c>
      <c r="AC97" s="18">
        <v>6</v>
      </c>
    </row>
    <row r="98" spans="1:29" ht="15.75" customHeight="1" x14ac:dyDescent="0.2">
      <c r="A98" s="36" t="str">
        <f>HYPERLINK("https://www.apsu.edu", "Austin Peay State University")</f>
        <v>Austin Peay State University</v>
      </c>
      <c r="B98" s="18" t="s">
        <v>49</v>
      </c>
      <c r="C98" s="18" t="s">
        <v>174</v>
      </c>
      <c r="D98" s="18" t="s">
        <v>564</v>
      </c>
      <c r="E98" s="18">
        <v>1085</v>
      </c>
      <c r="F98" s="18" t="s">
        <v>35</v>
      </c>
      <c r="J98" s="19"/>
      <c r="K98" s="19">
        <v>0.37519999999999998</v>
      </c>
      <c r="L98" s="19">
        <v>0.26098360700000001</v>
      </c>
      <c r="M98" s="19">
        <v>0.39610000000000001</v>
      </c>
      <c r="N98" s="19">
        <v>0.3034</v>
      </c>
      <c r="O98" s="19">
        <v>0.42</v>
      </c>
      <c r="P98" s="19">
        <v>0.5</v>
      </c>
      <c r="Q98" s="19"/>
      <c r="R98" s="20">
        <v>39464</v>
      </c>
      <c r="S98" s="21" t="str">
        <f>HYPERLINK("https://www.apsu.edu/financialaid/cost-of-attendance/net-price-calculator/", "$28755")</f>
        <v>$28755</v>
      </c>
      <c r="T98" s="20">
        <v>33689</v>
      </c>
      <c r="U98" s="20">
        <v>35183</v>
      </c>
      <c r="V98" s="20">
        <v>6088</v>
      </c>
      <c r="W98" s="20">
        <v>22667.15820029028</v>
      </c>
      <c r="Y98" s="19">
        <v>0.51149999999999995</v>
      </c>
      <c r="Z98" s="19">
        <v>0.40460000000000002</v>
      </c>
      <c r="AB98" s="18">
        <v>9090</v>
      </c>
      <c r="AC98" s="18">
        <v>4</v>
      </c>
    </row>
    <row r="99" spans="1:29" ht="15.75" customHeight="1" x14ac:dyDescent="0.2">
      <c r="A99" s="36" t="str">
        <f>HYPERLINK("https://www.avemaria.edu", "Ave Maria University")</f>
        <v>Ave Maria University</v>
      </c>
      <c r="B99" s="18" t="s">
        <v>32</v>
      </c>
      <c r="C99" s="18" t="s">
        <v>162</v>
      </c>
      <c r="D99" s="18" t="s">
        <v>565</v>
      </c>
      <c r="E99" s="18">
        <v>1142</v>
      </c>
      <c r="F99" s="18" t="s">
        <v>35</v>
      </c>
      <c r="J99" s="19"/>
      <c r="K99" s="19">
        <v>0.54590000000000005</v>
      </c>
      <c r="L99" s="19">
        <v>0.221238938</v>
      </c>
      <c r="M99" s="19">
        <v>0.54600000000000004</v>
      </c>
      <c r="N99" s="19">
        <v>0.5</v>
      </c>
      <c r="O99" s="19">
        <v>0.55559999999999998</v>
      </c>
      <c r="P99" s="19">
        <v>0</v>
      </c>
      <c r="Q99" s="19"/>
      <c r="R99" s="20">
        <v>34901</v>
      </c>
      <c r="S99" s="21" t="str">
        <f>HYPERLINK("https://avemaria.studentaidcalculator.com/survey.aspx", "$16071")</f>
        <v>$16071</v>
      </c>
      <c r="T99" s="20">
        <v>17217</v>
      </c>
      <c r="U99" s="20">
        <v>19846</v>
      </c>
      <c r="V99" s="20">
        <v>3976</v>
      </c>
      <c r="W99" s="20">
        <v>12095</v>
      </c>
      <c r="Y99" s="19">
        <v>0.24049999999999999</v>
      </c>
      <c r="Z99" s="19">
        <v>0.36980000000000002</v>
      </c>
      <c r="AB99" s="18">
        <v>1052</v>
      </c>
      <c r="AC99" s="18">
        <v>4</v>
      </c>
    </row>
    <row r="100" spans="1:29" ht="15.75" customHeight="1" x14ac:dyDescent="0.2">
      <c r="A100" s="36" t="str">
        <f>HYPERLINK("https://www.averett.edu", "Averett University-Non-Traditional Programs")</f>
        <v>Averett University-Non-Traditional Programs</v>
      </c>
      <c r="B100" s="18" t="s">
        <v>32</v>
      </c>
      <c r="C100" s="18" t="s">
        <v>83</v>
      </c>
      <c r="D100" s="18" t="s">
        <v>206</v>
      </c>
      <c r="E100" s="18">
        <v>959</v>
      </c>
      <c r="F100" s="18" t="s">
        <v>35</v>
      </c>
      <c r="J100" s="19"/>
      <c r="K100" s="19">
        <v>0.40479999999999999</v>
      </c>
      <c r="L100" s="19">
        <v>0.39366515800000002</v>
      </c>
      <c r="M100" s="19">
        <v>0.43330000000000002</v>
      </c>
      <c r="N100" s="19">
        <v>0.30359999999999998</v>
      </c>
      <c r="O100" s="19">
        <v>0.25</v>
      </c>
      <c r="P100" s="19">
        <v>0</v>
      </c>
      <c r="Q100" s="19"/>
      <c r="R100" s="20">
        <v>46344</v>
      </c>
      <c r="S100" s="21" t="str">
        <f>HYPERLINK("https://www.averett.edu/financial-aid/netprice-calculator/", "$19124")</f>
        <v>$19124</v>
      </c>
      <c r="T100" s="20">
        <v>23159</v>
      </c>
      <c r="U100" s="20">
        <v>21513</v>
      </c>
      <c r="V100" s="20">
        <v>3310</v>
      </c>
      <c r="W100" s="20">
        <v>15814</v>
      </c>
      <c r="Y100" s="19">
        <v>0.48080000000000001</v>
      </c>
      <c r="Z100" s="19">
        <v>0.43940000000000001</v>
      </c>
      <c r="AB100" s="18">
        <v>908</v>
      </c>
      <c r="AC100" s="18">
        <v>4</v>
      </c>
    </row>
    <row r="101" spans="1:29" ht="15.75" customHeight="1" x14ac:dyDescent="0.2">
      <c r="A101" s="36" t="str">
        <f>HYPERLINK("https://gps.averett.edu", "Averett University")</f>
        <v>Averett University</v>
      </c>
      <c r="B101" s="18" t="s">
        <v>32</v>
      </c>
      <c r="C101" s="18" t="s">
        <v>83</v>
      </c>
      <c r="D101" s="18" t="s">
        <v>206</v>
      </c>
      <c r="E101" s="18" t="s">
        <v>36</v>
      </c>
      <c r="F101" s="18" t="s">
        <v>45</v>
      </c>
      <c r="J101" s="19"/>
      <c r="K101" s="19" t="s">
        <v>36</v>
      </c>
      <c r="L101" s="19">
        <v>0.39366515800000002</v>
      </c>
      <c r="M101" s="19" t="s">
        <v>36</v>
      </c>
      <c r="N101" s="19" t="s">
        <v>36</v>
      </c>
      <c r="O101" s="19" t="s">
        <v>36</v>
      </c>
      <c r="P101" s="19" t="s">
        <v>36</v>
      </c>
      <c r="Q101" s="19"/>
      <c r="R101" s="20">
        <v>28650</v>
      </c>
      <c r="S101" s="21" t="str">
        <f>HYPERLINK("https://www.averett.edu/financial-aid/netprice-calculator/", "$19810")</f>
        <v>$19810</v>
      </c>
      <c r="T101" s="20" t="s">
        <v>36</v>
      </c>
      <c r="U101" s="20" t="s">
        <v>36</v>
      </c>
      <c r="V101" s="20">
        <v>1450</v>
      </c>
      <c r="W101" s="20">
        <v>18360</v>
      </c>
      <c r="Y101" s="19">
        <v>0.3367</v>
      </c>
      <c r="Z101" s="19">
        <v>0.51449999999999996</v>
      </c>
      <c r="AB101" s="18">
        <v>344</v>
      </c>
      <c r="AC101" s="18">
        <v>4</v>
      </c>
    </row>
    <row r="102" spans="1:29" ht="15.75" customHeight="1" x14ac:dyDescent="0.2">
      <c r="A102" s="36" t="str">
        <f>HYPERLINK("https://www.aviationmaintenance.edu", "Aviation Institute of Maintenance-Philadelphia")</f>
        <v>Aviation Institute of Maintenance-Philadelphia</v>
      </c>
      <c r="B102" s="18" t="s">
        <v>368</v>
      </c>
      <c r="C102" s="18" t="s">
        <v>65</v>
      </c>
      <c r="D102" s="18" t="s">
        <v>168</v>
      </c>
      <c r="E102" s="18" t="s">
        <v>36</v>
      </c>
      <c r="F102" s="18" t="s">
        <v>36</v>
      </c>
      <c r="J102" s="19"/>
      <c r="K102" s="19">
        <v>0.66669999999999996</v>
      </c>
      <c r="L102" s="19">
        <v>0.30821917799999998</v>
      </c>
      <c r="M102" s="19">
        <v>0.57140000000000002</v>
      </c>
      <c r="N102" s="19">
        <v>0.66669999999999996</v>
      </c>
      <c r="O102" s="19">
        <v>0.54549999999999998</v>
      </c>
      <c r="P102" s="19" t="s">
        <v>36</v>
      </c>
      <c r="Q102" s="19" t="s">
        <v>36</v>
      </c>
      <c r="R102" s="20">
        <v>31324</v>
      </c>
      <c r="S102" s="21" t="str">
        <f>HYPERLINK("https://www.aviationmaintenance.edu/Your_Rights/price_calc.html", "$19991")</f>
        <v>$19991</v>
      </c>
      <c r="T102" s="20">
        <v>24346</v>
      </c>
      <c r="U102" s="20">
        <v>24346</v>
      </c>
      <c r="V102" s="20">
        <v>7217</v>
      </c>
      <c r="W102" s="20">
        <v>12774</v>
      </c>
      <c r="Y102" s="19">
        <v>0.20519999999999999</v>
      </c>
      <c r="Z102" s="19">
        <v>0.77010000000000001</v>
      </c>
      <c r="AB102" s="18">
        <v>274</v>
      </c>
      <c r="AC102" s="18">
        <v>6</v>
      </c>
    </row>
    <row r="103" spans="1:29" ht="15.75" customHeight="1" x14ac:dyDescent="0.2">
      <c r="A103" s="36" t="str">
        <f>HYPERLINK("https://www.Avila.edu", "Avila University")</f>
        <v>Avila University</v>
      </c>
      <c r="B103" s="18" t="s">
        <v>32</v>
      </c>
      <c r="C103" s="18" t="s">
        <v>164</v>
      </c>
      <c r="D103" s="18" t="s">
        <v>515</v>
      </c>
      <c r="E103" s="18">
        <v>1060</v>
      </c>
      <c r="F103" s="18" t="s">
        <v>35</v>
      </c>
      <c r="J103" s="19"/>
      <c r="K103" s="19">
        <v>0.41610000000000003</v>
      </c>
      <c r="L103" s="19">
        <v>0.42622950799999998</v>
      </c>
      <c r="M103" s="19">
        <v>0.50600000000000001</v>
      </c>
      <c r="N103" s="19">
        <v>0.15629999999999999</v>
      </c>
      <c r="O103" s="19">
        <v>0.57140000000000002</v>
      </c>
      <c r="P103" s="19">
        <v>0.5</v>
      </c>
      <c r="Q103" s="19"/>
      <c r="R103" s="20">
        <v>39656</v>
      </c>
      <c r="S103" s="21" t="str">
        <f>HYPERLINK("https://www.avila.edu/admission-aid/financial-aid/npc", "$21042")</f>
        <v>$21042</v>
      </c>
      <c r="T103" s="20">
        <v>19890</v>
      </c>
      <c r="U103" s="20">
        <v>20817</v>
      </c>
      <c r="V103" s="20">
        <v>3090</v>
      </c>
      <c r="W103" s="20">
        <v>17952</v>
      </c>
      <c r="Y103" s="19">
        <v>0.3826</v>
      </c>
      <c r="Z103" s="19">
        <v>0.45400000000000001</v>
      </c>
      <c r="AB103" s="18">
        <v>1229</v>
      </c>
      <c r="AC103" s="18">
        <v>4</v>
      </c>
    </row>
    <row r="104" spans="1:29" ht="15.75" customHeight="1" x14ac:dyDescent="0.2">
      <c r="A104" s="36" t="str">
        <f>HYPERLINK("https://www.apu.edu", "Azusa Pacific University")</f>
        <v>Azusa Pacific University</v>
      </c>
      <c r="B104" s="18" t="s">
        <v>32</v>
      </c>
      <c r="C104" s="18" t="s">
        <v>68</v>
      </c>
      <c r="D104" s="18" t="s">
        <v>566</v>
      </c>
      <c r="E104" s="18">
        <v>1131</v>
      </c>
      <c r="F104" s="18" t="s">
        <v>35</v>
      </c>
      <c r="J104" s="19"/>
      <c r="K104" s="19">
        <v>0.66810000000000003</v>
      </c>
      <c r="L104" s="19">
        <v>0.27482678999999999</v>
      </c>
      <c r="M104" s="19">
        <v>0.68479999999999996</v>
      </c>
      <c r="N104" s="19">
        <v>0.3659</v>
      </c>
      <c r="O104" s="19">
        <v>0.66379999999999995</v>
      </c>
      <c r="P104" s="19">
        <v>0.71589999999999998</v>
      </c>
      <c r="Q104" s="19"/>
      <c r="R104" s="20">
        <v>52396</v>
      </c>
      <c r="S104" s="21" t="str">
        <f>HYPERLINK("https://tcc.noellevitz.com/(S(iix2icgohagysn3bimk03d2z))/Azusa%20Pacific%20University/Freshman%20Students", "$23387")</f>
        <v>$23387</v>
      </c>
      <c r="T104" s="20">
        <v>24761</v>
      </c>
      <c r="U104" s="20">
        <v>28843</v>
      </c>
      <c r="V104" s="20">
        <v>5096</v>
      </c>
      <c r="W104" s="20">
        <v>18291</v>
      </c>
      <c r="Y104" s="19">
        <v>0.33739999999999998</v>
      </c>
      <c r="Z104" s="19">
        <v>0.60499999999999998</v>
      </c>
      <c r="AB104" s="18">
        <v>5560</v>
      </c>
      <c r="AC104" s="18">
        <v>4</v>
      </c>
    </row>
    <row r="105" spans="1:29" ht="15.75" customHeight="1" x14ac:dyDescent="0.2">
      <c r="A105" s="36" t="str">
        <f>HYPERLINK("https://www.babson.edu", "Babson College")</f>
        <v>Babson College</v>
      </c>
      <c r="B105" s="18" t="s">
        <v>32</v>
      </c>
      <c r="C105" s="18" t="s">
        <v>33</v>
      </c>
      <c r="D105" s="18" t="s">
        <v>191</v>
      </c>
      <c r="E105" s="18">
        <v>1347</v>
      </c>
      <c r="F105" s="18" t="s">
        <v>35</v>
      </c>
      <c r="J105" s="19"/>
      <c r="K105" s="19">
        <v>0.92149999999999999</v>
      </c>
      <c r="L105" s="19">
        <v>0.78688524599999998</v>
      </c>
      <c r="M105" s="19">
        <v>0.92749999999999999</v>
      </c>
      <c r="N105" s="19">
        <v>0.82609999999999995</v>
      </c>
      <c r="O105" s="19">
        <v>0.88639999999999997</v>
      </c>
      <c r="P105" s="19">
        <v>0.875</v>
      </c>
      <c r="Q105" s="19"/>
      <c r="R105" s="20">
        <v>68432</v>
      </c>
      <c r="S105" s="21" t="str">
        <f>HYPERLINK("https://npc.collegeboard.org/student/app/babson", "$20013")</f>
        <v>$20013</v>
      </c>
      <c r="T105" s="20">
        <v>21990</v>
      </c>
      <c r="U105" s="20">
        <v>28937</v>
      </c>
      <c r="V105" s="20">
        <v>2930</v>
      </c>
      <c r="W105" s="20">
        <v>17083</v>
      </c>
      <c r="Y105" s="19">
        <v>0.14280000000000001</v>
      </c>
      <c r="Z105" s="19">
        <v>0.63359999999999994</v>
      </c>
      <c r="AB105" s="18">
        <v>2342</v>
      </c>
      <c r="AC105" s="18">
        <v>2</v>
      </c>
    </row>
    <row r="106" spans="1:29" ht="15.75" customHeight="1" x14ac:dyDescent="0.2">
      <c r="A106" s="36" t="str">
        <f>HYPERLINK("https://www.baker.edu", "Baker College")</f>
        <v>Baker College</v>
      </c>
      <c r="B106" s="18" t="s">
        <v>32</v>
      </c>
      <c r="C106" s="18" t="s">
        <v>226</v>
      </c>
      <c r="D106" s="18" t="s">
        <v>228</v>
      </c>
      <c r="E106" s="18" t="s">
        <v>36</v>
      </c>
      <c r="F106" s="18" t="s">
        <v>36</v>
      </c>
      <c r="J106" s="19"/>
      <c r="K106" s="19">
        <v>0.12609999999999999</v>
      </c>
      <c r="L106" s="19">
        <v>0.173313783</v>
      </c>
      <c r="M106" s="19">
        <v>0.1585</v>
      </c>
      <c r="N106" s="19">
        <v>4.0099999999999997E-2</v>
      </c>
      <c r="O106" s="19">
        <v>7.7499999999999999E-2</v>
      </c>
      <c r="P106" s="19">
        <v>7.1400000000000005E-2</v>
      </c>
      <c r="Q106" s="19">
        <v>2.2789822000000001E-2</v>
      </c>
      <c r="R106" s="20">
        <v>21360</v>
      </c>
      <c r="S106" s="21" t="str">
        <f>HYPERLINK("https://baker.studentaidcalculator.com/survey.aspx", "$11964")</f>
        <v>$11964</v>
      </c>
      <c r="T106" s="20">
        <v>13813</v>
      </c>
      <c r="U106" s="20">
        <v>15270</v>
      </c>
      <c r="V106" s="20">
        <v>6600</v>
      </c>
      <c r="W106" s="20">
        <v>5364</v>
      </c>
      <c r="Y106" s="19">
        <v>0.49330000000000002</v>
      </c>
      <c r="Z106" s="19">
        <v>0.20369999999999999</v>
      </c>
      <c r="AB106" s="18">
        <v>11431</v>
      </c>
      <c r="AC106" s="18">
        <v>6</v>
      </c>
    </row>
    <row r="107" spans="1:29" ht="15.75" customHeight="1" x14ac:dyDescent="0.2">
      <c r="A107" s="36" t="str">
        <f>HYPERLINK("https://www.baker.edu", "Baker College of Allen Park")</f>
        <v>Baker College of Allen Park</v>
      </c>
      <c r="B107" s="18" t="s">
        <v>32</v>
      </c>
      <c r="C107" s="18" t="s">
        <v>226</v>
      </c>
      <c r="D107" s="18" t="s">
        <v>624</v>
      </c>
      <c r="E107" s="18" t="s">
        <v>36</v>
      </c>
      <c r="F107" s="18" t="s">
        <v>36</v>
      </c>
      <c r="J107" s="19"/>
      <c r="K107" s="19" t="s">
        <v>36</v>
      </c>
      <c r="L107" s="19">
        <v>0.173313783</v>
      </c>
      <c r="M107" s="19" t="s">
        <v>36</v>
      </c>
      <c r="N107" s="19" t="s">
        <v>36</v>
      </c>
      <c r="O107" s="19" t="s">
        <v>36</v>
      </c>
      <c r="P107" s="19" t="s">
        <v>36</v>
      </c>
      <c r="Q107" s="19"/>
      <c r="R107" s="20" t="s">
        <v>36</v>
      </c>
      <c r="S107" s="35" t="s">
        <v>36</v>
      </c>
      <c r="T107" s="20" t="s">
        <v>36</v>
      </c>
      <c r="U107" s="20" t="s">
        <v>36</v>
      </c>
      <c r="V107" s="20" t="s">
        <v>36</v>
      </c>
      <c r="W107" s="20" t="s">
        <v>36</v>
      </c>
      <c r="Y107" s="19" t="s">
        <v>36</v>
      </c>
      <c r="Z107" s="19" t="s">
        <v>36</v>
      </c>
      <c r="AB107" s="18" t="s">
        <v>36</v>
      </c>
      <c r="AC107" s="18">
        <v>5</v>
      </c>
    </row>
    <row r="108" spans="1:29" ht="15.75" customHeight="1" x14ac:dyDescent="0.2">
      <c r="A108" s="36" t="str">
        <f>HYPERLINK("https://www.baker.edu", "Baker College of Auburn Hills")</f>
        <v>Baker College of Auburn Hills</v>
      </c>
      <c r="B108" s="18" t="s">
        <v>32</v>
      </c>
      <c r="C108" s="18" t="s">
        <v>226</v>
      </c>
      <c r="D108" s="18" t="s">
        <v>627</v>
      </c>
      <c r="E108" s="18" t="s">
        <v>36</v>
      </c>
      <c r="F108" s="18" t="s">
        <v>36</v>
      </c>
      <c r="J108" s="19"/>
      <c r="K108" s="19" t="s">
        <v>36</v>
      </c>
      <c r="L108" s="19">
        <v>0.173313783</v>
      </c>
      <c r="M108" s="19" t="s">
        <v>36</v>
      </c>
      <c r="N108" s="19" t="s">
        <v>36</v>
      </c>
      <c r="O108" s="19" t="s">
        <v>36</v>
      </c>
      <c r="P108" s="19" t="s">
        <v>36</v>
      </c>
      <c r="Q108" s="19"/>
      <c r="R108" s="20" t="s">
        <v>36</v>
      </c>
      <c r="S108" s="35" t="s">
        <v>36</v>
      </c>
      <c r="T108" s="20" t="s">
        <v>36</v>
      </c>
      <c r="U108" s="20" t="s">
        <v>36</v>
      </c>
      <c r="V108" s="20" t="s">
        <v>36</v>
      </c>
      <c r="W108" s="20" t="s">
        <v>36</v>
      </c>
      <c r="Y108" s="19" t="s">
        <v>36</v>
      </c>
      <c r="Z108" s="19" t="s">
        <v>36</v>
      </c>
      <c r="AB108" s="18" t="s">
        <v>36</v>
      </c>
      <c r="AC108" s="18">
        <v>5</v>
      </c>
    </row>
    <row r="109" spans="1:29" ht="15.75" customHeight="1" x14ac:dyDescent="0.2">
      <c r="A109" s="36" t="str">
        <f>HYPERLINK("https://www.baker.edu", "Baker College of Cadillac")</f>
        <v>Baker College of Cadillac</v>
      </c>
      <c r="B109" s="18" t="s">
        <v>32</v>
      </c>
      <c r="C109" s="18" t="s">
        <v>226</v>
      </c>
      <c r="D109" s="18" t="s">
        <v>628</v>
      </c>
      <c r="E109" s="18" t="s">
        <v>36</v>
      </c>
      <c r="F109" s="18" t="s">
        <v>36</v>
      </c>
      <c r="J109" s="19"/>
      <c r="K109" s="19" t="s">
        <v>36</v>
      </c>
      <c r="L109" s="19">
        <v>0.173313783</v>
      </c>
      <c r="M109" s="19" t="s">
        <v>36</v>
      </c>
      <c r="N109" s="19" t="s">
        <v>36</v>
      </c>
      <c r="O109" s="19" t="s">
        <v>36</v>
      </c>
      <c r="P109" s="19" t="s">
        <v>36</v>
      </c>
      <c r="Q109" s="19"/>
      <c r="R109" s="20" t="s">
        <v>36</v>
      </c>
      <c r="S109" s="35" t="s">
        <v>36</v>
      </c>
      <c r="T109" s="20" t="s">
        <v>36</v>
      </c>
      <c r="U109" s="20" t="s">
        <v>36</v>
      </c>
      <c r="V109" s="20" t="s">
        <v>36</v>
      </c>
      <c r="W109" s="20" t="s">
        <v>36</v>
      </c>
      <c r="Y109" s="19" t="s">
        <v>36</v>
      </c>
      <c r="Z109" s="19" t="s">
        <v>36</v>
      </c>
      <c r="AB109" s="18" t="s">
        <v>36</v>
      </c>
      <c r="AC109" s="18">
        <v>5</v>
      </c>
    </row>
    <row r="110" spans="1:29" ht="15.75" customHeight="1" x14ac:dyDescent="0.2">
      <c r="A110" s="36" t="str">
        <f>HYPERLINK("https://www.baker.edu", "Baker College of Clinton Township")</f>
        <v>Baker College of Clinton Township</v>
      </c>
      <c r="B110" s="18" t="s">
        <v>32</v>
      </c>
      <c r="C110" s="18" t="s">
        <v>226</v>
      </c>
      <c r="D110" s="18" t="s">
        <v>632</v>
      </c>
      <c r="E110" s="18" t="s">
        <v>36</v>
      </c>
      <c r="F110" s="18" t="s">
        <v>36</v>
      </c>
      <c r="J110" s="19"/>
      <c r="K110" s="19" t="s">
        <v>36</v>
      </c>
      <c r="L110" s="19">
        <v>0.173313783</v>
      </c>
      <c r="M110" s="19" t="s">
        <v>36</v>
      </c>
      <c r="N110" s="19" t="s">
        <v>36</v>
      </c>
      <c r="O110" s="19" t="s">
        <v>36</v>
      </c>
      <c r="P110" s="19" t="s">
        <v>36</v>
      </c>
      <c r="Q110" s="19"/>
      <c r="R110" s="20" t="s">
        <v>36</v>
      </c>
      <c r="S110" s="35" t="s">
        <v>36</v>
      </c>
      <c r="T110" s="20" t="s">
        <v>36</v>
      </c>
      <c r="U110" s="20" t="s">
        <v>36</v>
      </c>
      <c r="V110" s="20" t="s">
        <v>36</v>
      </c>
      <c r="W110" s="20" t="s">
        <v>36</v>
      </c>
      <c r="Y110" s="19" t="s">
        <v>36</v>
      </c>
      <c r="Z110" s="19" t="s">
        <v>36</v>
      </c>
      <c r="AB110" s="18" t="s">
        <v>36</v>
      </c>
      <c r="AC110" s="18">
        <v>5</v>
      </c>
    </row>
    <row r="111" spans="1:29" ht="15.75" customHeight="1" x14ac:dyDescent="0.2">
      <c r="A111" s="36" t="str">
        <f>HYPERLINK("https://www.baker.edu", "Baker College of Jackson")</f>
        <v>Baker College of Jackson</v>
      </c>
      <c r="B111" s="18" t="s">
        <v>32</v>
      </c>
      <c r="C111" s="18" t="s">
        <v>226</v>
      </c>
      <c r="D111" s="18" t="s">
        <v>419</v>
      </c>
      <c r="E111" s="18" t="s">
        <v>36</v>
      </c>
      <c r="F111" s="18" t="s">
        <v>36</v>
      </c>
      <c r="J111" s="19"/>
      <c r="K111" s="19" t="s">
        <v>36</v>
      </c>
      <c r="L111" s="19">
        <v>0.173313783</v>
      </c>
      <c r="M111" s="19" t="s">
        <v>36</v>
      </c>
      <c r="N111" s="19" t="s">
        <v>36</v>
      </c>
      <c r="O111" s="19" t="s">
        <v>36</v>
      </c>
      <c r="P111" s="19" t="s">
        <v>36</v>
      </c>
      <c r="Q111" s="19"/>
      <c r="R111" s="20" t="s">
        <v>36</v>
      </c>
      <c r="S111" s="35" t="s">
        <v>36</v>
      </c>
      <c r="T111" s="20" t="s">
        <v>36</v>
      </c>
      <c r="U111" s="20" t="s">
        <v>36</v>
      </c>
      <c r="V111" s="20" t="s">
        <v>36</v>
      </c>
      <c r="W111" s="20" t="s">
        <v>36</v>
      </c>
      <c r="Y111" s="19" t="s">
        <v>36</v>
      </c>
      <c r="Z111" s="19" t="s">
        <v>36</v>
      </c>
      <c r="AB111" s="18" t="s">
        <v>36</v>
      </c>
      <c r="AC111" s="18">
        <v>5</v>
      </c>
    </row>
    <row r="112" spans="1:29" ht="15.75" customHeight="1" x14ac:dyDescent="0.2">
      <c r="A112" s="36" t="str">
        <f>HYPERLINK("https://www.baker.edu", "Baker College of Muskegon")</f>
        <v>Baker College of Muskegon</v>
      </c>
      <c r="B112" s="18" t="s">
        <v>32</v>
      </c>
      <c r="C112" s="18" t="s">
        <v>226</v>
      </c>
      <c r="D112" s="18" t="s">
        <v>634</v>
      </c>
      <c r="E112" s="18" t="s">
        <v>36</v>
      </c>
      <c r="F112" s="18" t="s">
        <v>36</v>
      </c>
      <c r="J112" s="19"/>
      <c r="K112" s="19" t="s">
        <v>36</v>
      </c>
      <c r="L112" s="19">
        <v>0.173313783</v>
      </c>
      <c r="M112" s="19" t="s">
        <v>36</v>
      </c>
      <c r="N112" s="19" t="s">
        <v>36</v>
      </c>
      <c r="O112" s="19" t="s">
        <v>36</v>
      </c>
      <c r="P112" s="19" t="s">
        <v>36</v>
      </c>
      <c r="Q112" s="19"/>
      <c r="R112" s="20" t="s">
        <v>36</v>
      </c>
      <c r="S112" s="35" t="s">
        <v>36</v>
      </c>
      <c r="T112" s="20" t="s">
        <v>36</v>
      </c>
      <c r="U112" s="20" t="s">
        <v>36</v>
      </c>
      <c r="V112" s="20" t="s">
        <v>36</v>
      </c>
      <c r="W112" s="20" t="s">
        <v>36</v>
      </c>
      <c r="Y112" s="19" t="s">
        <v>36</v>
      </c>
      <c r="Z112" s="19" t="s">
        <v>36</v>
      </c>
      <c r="AB112" s="18" t="s">
        <v>36</v>
      </c>
      <c r="AC112" s="18">
        <v>5</v>
      </c>
    </row>
    <row r="113" spans="1:29" ht="15.75" customHeight="1" x14ac:dyDescent="0.2">
      <c r="A113" s="36" t="str">
        <f>HYPERLINK("https://www.baker.edu", "Baker College of Owosso")</f>
        <v>Baker College of Owosso</v>
      </c>
      <c r="B113" s="18" t="s">
        <v>32</v>
      </c>
      <c r="C113" s="18" t="s">
        <v>226</v>
      </c>
      <c r="D113" s="18" t="s">
        <v>636</v>
      </c>
      <c r="E113" s="18" t="s">
        <v>36</v>
      </c>
      <c r="F113" s="18" t="s">
        <v>36</v>
      </c>
      <c r="J113" s="19"/>
      <c r="K113" s="19" t="s">
        <v>36</v>
      </c>
      <c r="L113" s="19">
        <v>0.173313783</v>
      </c>
      <c r="M113" s="19" t="s">
        <v>36</v>
      </c>
      <c r="N113" s="19" t="s">
        <v>36</v>
      </c>
      <c r="O113" s="19" t="s">
        <v>36</v>
      </c>
      <c r="P113" s="19" t="s">
        <v>36</v>
      </c>
      <c r="Q113" s="19"/>
      <c r="R113" s="20" t="s">
        <v>36</v>
      </c>
      <c r="S113" s="35" t="s">
        <v>36</v>
      </c>
      <c r="T113" s="20" t="s">
        <v>36</v>
      </c>
      <c r="U113" s="20" t="s">
        <v>36</v>
      </c>
      <c r="V113" s="20" t="s">
        <v>36</v>
      </c>
      <c r="W113" s="20" t="s">
        <v>36</v>
      </c>
      <c r="Y113" s="19" t="s">
        <v>36</v>
      </c>
      <c r="Z113" s="19" t="s">
        <v>36</v>
      </c>
      <c r="AB113" s="18" t="s">
        <v>36</v>
      </c>
      <c r="AC113" s="18">
        <v>5</v>
      </c>
    </row>
    <row r="114" spans="1:29" ht="15.75" customHeight="1" x14ac:dyDescent="0.2">
      <c r="A114" s="36" t="str">
        <f>HYPERLINK("https://www.baker.edu/", "Baker College of Port Huron")</f>
        <v>Baker College of Port Huron</v>
      </c>
      <c r="B114" s="18" t="s">
        <v>32</v>
      </c>
      <c r="C114" s="18" t="s">
        <v>226</v>
      </c>
      <c r="D114" s="18" t="s">
        <v>637</v>
      </c>
      <c r="E114" s="18" t="s">
        <v>36</v>
      </c>
      <c r="F114" s="18" t="s">
        <v>36</v>
      </c>
      <c r="J114" s="19"/>
      <c r="K114" s="19" t="s">
        <v>36</v>
      </c>
      <c r="L114" s="19">
        <v>0.173313783</v>
      </c>
      <c r="M114" s="19" t="s">
        <v>36</v>
      </c>
      <c r="N114" s="19" t="s">
        <v>36</v>
      </c>
      <c r="O114" s="19" t="s">
        <v>36</v>
      </c>
      <c r="P114" s="19" t="s">
        <v>36</v>
      </c>
      <c r="Q114" s="19"/>
      <c r="R114" s="20" t="s">
        <v>36</v>
      </c>
      <c r="S114" s="35" t="s">
        <v>36</v>
      </c>
      <c r="T114" s="20" t="s">
        <v>36</v>
      </c>
      <c r="U114" s="20" t="s">
        <v>36</v>
      </c>
      <c r="V114" s="20" t="s">
        <v>36</v>
      </c>
      <c r="W114" s="20" t="s">
        <v>36</v>
      </c>
      <c r="Y114" s="19" t="s">
        <v>36</v>
      </c>
      <c r="Z114" s="19" t="s">
        <v>36</v>
      </c>
      <c r="AB114" s="18" t="s">
        <v>36</v>
      </c>
      <c r="AC114" s="18">
        <v>5</v>
      </c>
    </row>
    <row r="115" spans="1:29" ht="15.75" customHeight="1" x14ac:dyDescent="0.2">
      <c r="A115" s="36" t="str">
        <f>HYPERLINK("https://www.bakeru.edu", "Baker University")</f>
        <v>Baker University</v>
      </c>
      <c r="B115" s="18" t="s">
        <v>32</v>
      </c>
      <c r="C115" s="18" t="s">
        <v>307</v>
      </c>
      <c r="D115" s="18" t="s">
        <v>567</v>
      </c>
      <c r="E115" s="18">
        <v>1137</v>
      </c>
      <c r="F115" s="18" t="s">
        <v>35</v>
      </c>
      <c r="J115" s="19"/>
      <c r="K115" s="19">
        <v>0.56779999999999997</v>
      </c>
      <c r="L115" s="19">
        <v>0.48823529399999999</v>
      </c>
      <c r="M115" s="19">
        <v>0.60870000000000002</v>
      </c>
      <c r="N115" s="19">
        <v>0.4667</v>
      </c>
      <c r="O115" s="19">
        <v>0.33329999999999999</v>
      </c>
      <c r="P115" s="19">
        <v>1</v>
      </c>
      <c r="Q115" s="19"/>
      <c r="R115" s="20">
        <v>43444</v>
      </c>
      <c r="S115" s="21" t="str">
        <f>HYPERLINK("https://www.bakeru.edu/fa-calculator/npcalc.htm", "$18083")</f>
        <v>$18083</v>
      </c>
      <c r="T115" s="20">
        <v>18836</v>
      </c>
      <c r="U115" s="20">
        <v>23782</v>
      </c>
      <c r="V115" s="20">
        <v>6174</v>
      </c>
      <c r="W115" s="20">
        <v>11909</v>
      </c>
      <c r="Y115" s="19">
        <v>0.27210000000000001</v>
      </c>
      <c r="Z115" s="19">
        <v>0.28939999999999999</v>
      </c>
      <c r="AB115" s="18">
        <v>1465</v>
      </c>
      <c r="AC115" s="18">
        <v>4</v>
      </c>
    </row>
    <row r="116" spans="1:29" ht="15.75" customHeight="1" x14ac:dyDescent="0.2">
      <c r="A116" s="36" t="str">
        <f>HYPERLINK("https://www.bakersfieldcollege.edu/", "Bakersfield College")</f>
        <v>Bakersfield College</v>
      </c>
      <c r="B116" s="18" t="s">
        <v>49</v>
      </c>
      <c r="C116" s="18" t="s">
        <v>68</v>
      </c>
      <c r="D116" s="18" t="s">
        <v>669</v>
      </c>
      <c r="E116" s="18" t="s">
        <v>36</v>
      </c>
      <c r="F116" s="18" t="s">
        <v>36</v>
      </c>
      <c r="J116" s="19"/>
      <c r="K116" s="19">
        <v>0.22770000000000001</v>
      </c>
      <c r="L116" s="19">
        <v>2.7593818999999999E-2</v>
      </c>
      <c r="M116" s="19">
        <v>0.3357</v>
      </c>
      <c r="N116" s="19">
        <v>0.1618</v>
      </c>
      <c r="O116" s="19">
        <v>0.19339999999999999</v>
      </c>
      <c r="P116" s="19">
        <v>0.23400000000000001</v>
      </c>
      <c r="Q116" s="19">
        <v>8.3694710000000005E-2</v>
      </c>
      <c r="R116" s="20">
        <v>26649</v>
      </c>
      <c r="S116" s="21" t="str">
        <f>HYPERLINK("https://misweb.cccco.edu/npc/521/npcalc.htm", "$20046")</f>
        <v>$20046</v>
      </c>
      <c r="T116" s="20">
        <v>23588</v>
      </c>
      <c r="U116" s="20">
        <v>25171</v>
      </c>
      <c r="V116" s="20">
        <v>6095</v>
      </c>
      <c r="W116" s="20">
        <v>13951.92179863148</v>
      </c>
      <c r="Y116" s="19">
        <v>0.34179999999999999</v>
      </c>
      <c r="Z116" s="19">
        <v>0.77790000000000004</v>
      </c>
      <c r="AB116" s="18">
        <v>18695</v>
      </c>
      <c r="AC116" s="18">
        <v>6</v>
      </c>
    </row>
    <row r="117" spans="1:29" ht="15.75" customHeight="1" x14ac:dyDescent="0.2">
      <c r="A117" s="36" t="str">
        <f>HYPERLINK("https://www.bw.edu", "Baldwin Wallace University")</f>
        <v>Baldwin Wallace University</v>
      </c>
      <c r="B117" s="18" t="s">
        <v>32</v>
      </c>
      <c r="C117" s="18" t="s">
        <v>75</v>
      </c>
      <c r="D117" s="18" t="s">
        <v>305</v>
      </c>
      <c r="E117" s="18" t="s">
        <v>36</v>
      </c>
      <c r="F117" s="18" t="s">
        <v>45</v>
      </c>
      <c r="J117" s="19"/>
      <c r="K117" s="19">
        <v>0.67369999999999997</v>
      </c>
      <c r="L117" s="19">
        <v>0.48706896599999999</v>
      </c>
      <c r="M117" s="19">
        <v>0.70169999999999999</v>
      </c>
      <c r="N117" s="19">
        <v>0.59650000000000003</v>
      </c>
      <c r="O117" s="19">
        <v>0.6129</v>
      </c>
      <c r="P117" s="19">
        <v>0.5</v>
      </c>
      <c r="Q117" s="19"/>
      <c r="R117" s="20">
        <v>46004</v>
      </c>
      <c r="S117" s="21" t="str">
        <f>HYPERLINK("https://bw.studentaidcalculator.com/survey.aspx", "$18051")</f>
        <v>$18051</v>
      </c>
      <c r="T117" s="20">
        <v>22018</v>
      </c>
      <c r="U117" s="20">
        <v>25567</v>
      </c>
      <c r="V117" s="20">
        <v>5194</v>
      </c>
      <c r="W117" s="20">
        <v>12857</v>
      </c>
      <c r="Y117" s="19">
        <v>0.29970000000000002</v>
      </c>
      <c r="Z117" s="19">
        <v>0.222</v>
      </c>
      <c r="AB117" s="18">
        <v>3131</v>
      </c>
      <c r="AC117" s="18">
        <v>3</v>
      </c>
    </row>
    <row r="118" spans="1:29" ht="15.75" customHeight="1" x14ac:dyDescent="0.2">
      <c r="A118" s="36" t="str">
        <f>HYPERLINK("https://www.bsu.edu", "Ball State University")</f>
        <v>Ball State University</v>
      </c>
      <c r="B118" s="18" t="s">
        <v>49</v>
      </c>
      <c r="C118" s="18" t="s">
        <v>148</v>
      </c>
      <c r="D118" s="18" t="s">
        <v>568</v>
      </c>
      <c r="E118" s="18">
        <v>1138</v>
      </c>
      <c r="F118" s="18" t="s">
        <v>35</v>
      </c>
      <c r="J118" s="19"/>
      <c r="K118" s="19">
        <v>0.61570000000000003</v>
      </c>
      <c r="L118" s="19">
        <v>0.45706371200000001</v>
      </c>
      <c r="M118" s="19">
        <v>0.63119999999999998</v>
      </c>
      <c r="N118" s="19">
        <v>0.53480000000000005</v>
      </c>
      <c r="O118" s="19">
        <v>0.51019999999999999</v>
      </c>
      <c r="P118" s="19">
        <v>0.63639999999999997</v>
      </c>
      <c r="Q118" s="19"/>
      <c r="R118" s="20">
        <v>40448</v>
      </c>
      <c r="S118" s="21" t="str">
        <f>HYPERLINK("https://bsu.studentaidcalculator.com/survey.aspx", "$26359")</f>
        <v>$26359</v>
      </c>
      <c r="T118" s="20">
        <v>32009</v>
      </c>
      <c r="U118" s="20">
        <v>35608</v>
      </c>
      <c r="V118" s="20">
        <v>4472</v>
      </c>
      <c r="W118" s="20">
        <v>21887.558011049721</v>
      </c>
      <c r="Y118" s="19">
        <v>0.3286</v>
      </c>
      <c r="Z118" s="19">
        <v>0.2054</v>
      </c>
      <c r="AB118" s="18">
        <v>16277</v>
      </c>
      <c r="AC118" s="18">
        <v>4</v>
      </c>
    </row>
    <row r="119" spans="1:29" ht="15.75" customHeight="1" x14ac:dyDescent="0.2">
      <c r="A119" s="36" t="str">
        <f>HYPERLINK("https://www.bccc.edu", "Baltimore City Community College")</f>
        <v>Baltimore City Community College</v>
      </c>
      <c r="B119" s="18" t="s">
        <v>49</v>
      </c>
      <c r="C119" s="18" t="s">
        <v>124</v>
      </c>
      <c r="D119" s="18" t="s">
        <v>125</v>
      </c>
      <c r="E119" s="18" t="s">
        <v>36</v>
      </c>
      <c r="F119" s="18" t="s">
        <v>36</v>
      </c>
      <c r="J119" s="19"/>
      <c r="K119" s="19">
        <v>0.13100000000000001</v>
      </c>
      <c r="L119" s="19">
        <v>4.9024511999999999E-2</v>
      </c>
      <c r="M119" s="19">
        <v>0.1905</v>
      </c>
      <c r="N119" s="19">
        <v>0.1166</v>
      </c>
      <c r="O119" s="19">
        <v>0.16669999999999999</v>
      </c>
      <c r="P119" s="19">
        <v>0.375</v>
      </c>
      <c r="Q119" s="19">
        <v>6.2292359000000012E-2</v>
      </c>
      <c r="R119" s="20">
        <v>19119</v>
      </c>
      <c r="S119" s="21" t="str">
        <f>HYPERLINK("https://www.bccc.edu/cms/lib05/MD11000285/Centricity/domain/1/netpricecalculator/npcalc.htm", "$13922")</f>
        <v>$13922</v>
      </c>
      <c r="T119" s="20">
        <v>16198</v>
      </c>
      <c r="U119" s="20">
        <v>15595</v>
      </c>
      <c r="V119" s="20">
        <v>5601</v>
      </c>
      <c r="W119" s="20">
        <v>8321.6956521739121</v>
      </c>
      <c r="Y119" s="19">
        <v>0.46879999999999999</v>
      </c>
      <c r="Z119" s="19">
        <v>0.95</v>
      </c>
      <c r="AB119" s="18">
        <v>3797</v>
      </c>
      <c r="AC119" s="18">
        <v>6</v>
      </c>
    </row>
    <row r="120" spans="1:29" ht="15.75" customHeight="1" x14ac:dyDescent="0.2">
      <c r="A120" s="36" t="str">
        <f>HYPERLINK("https://www.bhclr.edu", "Baptist Health College-Little Rock")</f>
        <v>Baptist Health College-Little Rock</v>
      </c>
      <c r="B120" s="18" t="s">
        <v>32</v>
      </c>
      <c r="C120" s="18" t="s">
        <v>371</v>
      </c>
      <c r="D120" s="18" t="s">
        <v>810</v>
      </c>
      <c r="E120" s="18">
        <v>1125</v>
      </c>
      <c r="F120" s="18" t="s">
        <v>35</v>
      </c>
      <c r="J120" s="19"/>
      <c r="K120" s="19">
        <v>0.40739999999999998</v>
      </c>
      <c r="L120" s="19">
        <v>0.60399999999999998</v>
      </c>
      <c r="M120" s="19">
        <v>0.39129999999999998</v>
      </c>
      <c r="N120" s="19">
        <v>1</v>
      </c>
      <c r="O120" s="19" t="s">
        <v>36</v>
      </c>
      <c r="P120" s="19">
        <v>0</v>
      </c>
      <c r="Q120" s="19">
        <v>7.0981211000000002E-2</v>
      </c>
      <c r="R120" s="20">
        <v>30782</v>
      </c>
      <c r="S120" s="21" t="str">
        <f>HYPERLINK("https://www.bhclr.edu/student-services/accounts/netprice/npcalc.htm", "$20037")</f>
        <v>$20037</v>
      </c>
      <c r="T120" s="20">
        <v>21502</v>
      </c>
      <c r="U120" s="20" t="s">
        <v>36</v>
      </c>
      <c r="V120" s="20">
        <v>11452</v>
      </c>
      <c r="W120" s="20">
        <v>8585</v>
      </c>
      <c r="Y120" s="19">
        <v>0.78669999999999995</v>
      </c>
      <c r="Z120" s="19">
        <v>0.26040000000000002</v>
      </c>
      <c r="AB120" s="18">
        <v>676</v>
      </c>
      <c r="AC120" s="18">
        <v>6</v>
      </c>
    </row>
    <row r="121" spans="1:29" ht="15.75" customHeight="1" x14ac:dyDescent="0.2">
      <c r="A121" s="36" t="str">
        <f>HYPERLINK("https://www.bshp.edu", "Baptist Health System School of Health Professions")</f>
        <v>Baptist Health System School of Health Professions</v>
      </c>
      <c r="B121" s="18" t="s">
        <v>368</v>
      </c>
      <c r="C121" s="18" t="s">
        <v>146</v>
      </c>
      <c r="D121" s="18" t="s">
        <v>268</v>
      </c>
      <c r="E121" s="18" t="s">
        <v>36</v>
      </c>
      <c r="F121" s="18" t="s">
        <v>36</v>
      </c>
      <c r="J121" s="19"/>
      <c r="K121" s="19" t="s">
        <v>36</v>
      </c>
      <c r="L121" s="19">
        <v>0.84662576700000003</v>
      </c>
      <c r="M121" s="19" t="s">
        <v>36</v>
      </c>
      <c r="N121" s="19" t="s">
        <v>36</v>
      </c>
      <c r="O121" s="19" t="s">
        <v>36</v>
      </c>
      <c r="P121" s="19" t="s">
        <v>36</v>
      </c>
      <c r="Q121" s="19" t="s">
        <v>36</v>
      </c>
      <c r="R121" s="20" t="s">
        <v>36</v>
      </c>
      <c r="S121" s="21" t="str">
        <f>HYPERLINK("https://www.bshp.edu/future-students/admissions/tuition-fees", "Not reported")</f>
        <v>Not reported</v>
      </c>
      <c r="T121" s="20" t="s">
        <v>36</v>
      </c>
      <c r="U121" s="20" t="s">
        <v>36</v>
      </c>
      <c r="V121" s="20" t="s">
        <v>36</v>
      </c>
      <c r="W121" s="20" t="s">
        <v>36</v>
      </c>
      <c r="Y121" s="19">
        <v>0.45100000000000001</v>
      </c>
      <c r="Z121" s="19">
        <v>0.62609999999999999</v>
      </c>
      <c r="AB121" s="18">
        <v>658</v>
      </c>
      <c r="AC121" s="18">
        <v>6</v>
      </c>
    </row>
    <row r="122" spans="1:29" ht="15.75" customHeight="1" x14ac:dyDescent="0.2">
      <c r="A122" s="36" t="str">
        <f>HYPERLINK("https://www.bard.edu", "Bard College")</f>
        <v>Bard College</v>
      </c>
      <c r="B122" s="18" t="s">
        <v>32</v>
      </c>
      <c r="C122" s="18" t="s">
        <v>38</v>
      </c>
      <c r="D122" s="18" t="s">
        <v>192</v>
      </c>
      <c r="E122" s="18" t="s">
        <v>36</v>
      </c>
      <c r="F122" s="18" t="s">
        <v>45</v>
      </c>
      <c r="G122" s="18" t="s">
        <v>40</v>
      </c>
      <c r="H122" s="18" t="s">
        <v>193</v>
      </c>
      <c r="I122" s="18" t="s">
        <v>194</v>
      </c>
      <c r="J122" s="19"/>
      <c r="K122" s="19">
        <v>0.74019999999999997</v>
      </c>
      <c r="L122" s="19">
        <v>0.768115942</v>
      </c>
      <c r="M122" s="19">
        <v>0.72450000000000003</v>
      </c>
      <c r="N122" s="19">
        <v>0.76470000000000005</v>
      </c>
      <c r="O122" s="19">
        <v>0.6875</v>
      </c>
      <c r="P122" s="19">
        <v>0.73909999999999998</v>
      </c>
      <c r="Q122" s="19"/>
      <c r="R122" s="20">
        <v>70562</v>
      </c>
      <c r="S122" s="21" t="str">
        <f>HYPERLINK("https://npc.collegeboard.org/student/app/bard", "$14392")</f>
        <v>$14392</v>
      </c>
      <c r="T122" s="20">
        <v>26466</v>
      </c>
      <c r="U122" s="20">
        <v>28430</v>
      </c>
      <c r="V122" s="20">
        <v>2590</v>
      </c>
      <c r="W122" s="20">
        <v>11802</v>
      </c>
      <c r="Y122" s="19">
        <v>0.21929999999999999</v>
      </c>
      <c r="Z122" s="19">
        <v>0.40360000000000001</v>
      </c>
      <c r="AB122" s="18">
        <v>1846</v>
      </c>
      <c r="AC122" s="18">
        <v>2</v>
      </c>
    </row>
    <row r="123" spans="1:29" ht="15.75" customHeight="1" x14ac:dyDescent="0.2">
      <c r="A123" s="36" t="str">
        <f>HYPERLINK("https://www.simons-rock.edu/", "Bard College at Simon's Rock")</f>
        <v>Bard College at Simon's Rock</v>
      </c>
      <c r="B123" s="18" t="s">
        <v>32</v>
      </c>
      <c r="C123" s="18" t="s">
        <v>33</v>
      </c>
      <c r="D123" s="18" t="s">
        <v>941</v>
      </c>
      <c r="E123" s="18" t="s">
        <v>36</v>
      </c>
      <c r="F123" s="18" t="s">
        <v>45</v>
      </c>
      <c r="J123" s="19"/>
      <c r="K123" s="19">
        <v>0.6</v>
      </c>
      <c r="L123" s="19">
        <v>0.428571429</v>
      </c>
      <c r="M123" s="19">
        <v>0.56359999999999999</v>
      </c>
      <c r="N123" s="19">
        <v>0.5333</v>
      </c>
      <c r="O123" s="19">
        <v>0.42859999999999998</v>
      </c>
      <c r="P123" s="19">
        <v>0.76919999999999999</v>
      </c>
      <c r="Q123" s="19">
        <v>0.22033898299999999</v>
      </c>
      <c r="R123" s="20">
        <v>69900</v>
      </c>
      <c r="S123" s="21" t="str">
        <f>HYPERLINK("https://npc.collegeboard.org/app/simonsrock", "$25761")</f>
        <v>$25761</v>
      </c>
      <c r="T123" s="20">
        <v>34164</v>
      </c>
      <c r="U123" s="20">
        <v>34544</v>
      </c>
      <c r="V123" s="20">
        <v>2000</v>
      </c>
      <c r="W123" s="20">
        <v>23761</v>
      </c>
      <c r="Y123" s="19">
        <v>0.2157</v>
      </c>
      <c r="Z123" s="19">
        <v>0.43730000000000002</v>
      </c>
      <c r="AB123" s="18">
        <v>391</v>
      </c>
      <c r="AC123" s="18">
        <v>6</v>
      </c>
    </row>
    <row r="124" spans="1:29" ht="15.75" customHeight="1" x14ac:dyDescent="0.2">
      <c r="A124" s="36" t="str">
        <f>HYPERLINK("https://www.barnard.edu", "Barnard College")</f>
        <v>Barnard College</v>
      </c>
      <c r="B124" s="18" t="s">
        <v>32</v>
      </c>
      <c r="C124" s="18" t="s">
        <v>38</v>
      </c>
      <c r="D124" s="18" t="s">
        <v>39</v>
      </c>
      <c r="E124" s="18">
        <v>1430</v>
      </c>
      <c r="F124" s="18" t="s">
        <v>35</v>
      </c>
      <c r="G124" s="18" t="s">
        <v>40</v>
      </c>
      <c r="H124" s="18" t="s">
        <v>41</v>
      </c>
      <c r="I124" s="18" t="s">
        <v>42</v>
      </c>
      <c r="J124" s="19"/>
      <c r="K124" s="19">
        <v>0.9274</v>
      </c>
      <c r="L124" s="19" t="s">
        <v>36</v>
      </c>
      <c r="M124" s="19">
        <v>0.91720000000000002</v>
      </c>
      <c r="N124" s="19">
        <v>0.91890000000000005</v>
      </c>
      <c r="O124" s="19">
        <v>0.93940000000000001</v>
      </c>
      <c r="P124" s="19">
        <v>0.94789999999999996</v>
      </c>
      <c r="Q124" s="19"/>
      <c r="R124" s="20">
        <v>71282</v>
      </c>
      <c r="S124" s="21" t="str">
        <f>HYPERLINK("https://npc.collegeboard.org/student/app/barnard", "$6212")</f>
        <v>$6212</v>
      </c>
      <c r="T124" s="20">
        <v>8078</v>
      </c>
      <c r="U124" s="20">
        <v>19445</v>
      </c>
      <c r="V124" s="20">
        <v>2520</v>
      </c>
      <c r="W124" s="20">
        <v>3692</v>
      </c>
      <c r="X124" s="18" t="s">
        <v>37</v>
      </c>
      <c r="Y124" s="19">
        <v>0.17330000000000001</v>
      </c>
      <c r="Z124" s="19">
        <v>0.48430000000000001</v>
      </c>
      <c r="AA124" s="18" t="s">
        <v>37</v>
      </c>
      <c r="AB124" s="18">
        <v>2540</v>
      </c>
      <c r="AC124" s="18">
        <v>1</v>
      </c>
    </row>
    <row r="125" spans="1:29" ht="15.75" customHeight="1" x14ac:dyDescent="0.2">
      <c r="A125" s="36" t="str">
        <f>HYPERLINK("https://www.barry.edu", "Barry University")</f>
        <v>Barry University</v>
      </c>
      <c r="B125" s="18" t="s">
        <v>32</v>
      </c>
      <c r="C125" s="18" t="s">
        <v>162</v>
      </c>
      <c r="D125" s="18" t="s">
        <v>359</v>
      </c>
      <c r="E125" s="18">
        <v>970</v>
      </c>
      <c r="F125" s="18" t="s">
        <v>35</v>
      </c>
      <c r="J125" s="19"/>
      <c r="K125" s="19">
        <v>0.34889999999999999</v>
      </c>
      <c r="L125" s="19">
        <v>0.46765039700000011</v>
      </c>
      <c r="M125" s="19">
        <v>0.33329999999999999</v>
      </c>
      <c r="N125" s="19">
        <v>0.4667</v>
      </c>
      <c r="O125" s="19">
        <v>0.30769999999999997</v>
      </c>
      <c r="P125" s="19" t="s">
        <v>36</v>
      </c>
      <c r="Q125" s="19"/>
      <c r="R125" s="20">
        <v>46734</v>
      </c>
      <c r="S125" s="21" t="str">
        <f>HYPERLINK("https://www.barry.edu/netpricecalculator/default.htm", "$18293")</f>
        <v>$18293</v>
      </c>
      <c r="T125" s="20">
        <v>20273</v>
      </c>
      <c r="U125" s="20">
        <v>23970</v>
      </c>
      <c r="V125" s="20">
        <v>5784</v>
      </c>
      <c r="W125" s="20">
        <v>12509</v>
      </c>
      <c r="Y125" s="19">
        <v>0.46260000000000001</v>
      </c>
      <c r="Z125" s="19">
        <v>0.80569999999999997</v>
      </c>
      <c r="AB125" s="18">
        <v>3459</v>
      </c>
      <c r="AC125" s="18">
        <v>4</v>
      </c>
    </row>
    <row r="126" spans="1:29" ht="15.75" customHeight="1" x14ac:dyDescent="0.2">
      <c r="A126" s="36" t="str">
        <f>HYPERLINK("https://www.barry.edu/law/", "Barry University Law School")</f>
        <v>Barry University Law School</v>
      </c>
      <c r="B126" s="18" t="s">
        <v>32</v>
      </c>
      <c r="C126" s="18" t="s">
        <v>162</v>
      </c>
      <c r="D126" s="18" t="s">
        <v>501</v>
      </c>
      <c r="E126" s="18" t="s">
        <v>36</v>
      </c>
      <c r="F126" s="18" t="s">
        <v>36</v>
      </c>
      <c r="J126" s="19"/>
      <c r="K126" s="19" t="s">
        <v>36</v>
      </c>
      <c r="L126" s="19">
        <v>0.46765039700000011</v>
      </c>
      <c r="M126" s="19" t="s">
        <v>36</v>
      </c>
      <c r="N126" s="19" t="s">
        <v>36</v>
      </c>
      <c r="O126" s="19" t="s">
        <v>36</v>
      </c>
      <c r="P126" s="19" t="s">
        <v>36</v>
      </c>
      <c r="Q126" s="19"/>
      <c r="R126" s="20" t="s">
        <v>36</v>
      </c>
      <c r="S126" s="35" t="s">
        <v>36</v>
      </c>
      <c r="T126" s="20" t="s">
        <v>36</v>
      </c>
      <c r="U126" s="20" t="s">
        <v>36</v>
      </c>
      <c r="V126" s="20" t="s">
        <v>36</v>
      </c>
      <c r="W126" s="20" t="s">
        <v>36</v>
      </c>
      <c r="Y126" s="19" t="s">
        <v>36</v>
      </c>
      <c r="Z126" s="19" t="s">
        <v>36</v>
      </c>
      <c r="AB126" s="18" t="s">
        <v>36</v>
      </c>
      <c r="AC126" s="18">
        <v>4</v>
      </c>
    </row>
    <row r="127" spans="1:29" ht="15.75" customHeight="1" x14ac:dyDescent="0.2">
      <c r="A127" s="36" t="str">
        <f>HYPERLINK("https://www.barstow.edu", "Barstow Community College")</f>
        <v>Barstow Community College</v>
      </c>
      <c r="B127" s="18" t="s">
        <v>49</v>
      </c>
      <c r="C127" s="18" t="s">
        <v>68</v>
      </c>
      <c r="D127" s="18" t="s">
        <v>942</v>
      </c>
      <c r="E127" s="18" t="s">
        <v>36</v>
      </c>
      <c r="F127" s="18" t="s">
        <v>36</v>
      </c>
      <c r="J127" s="19"/>
      <c r="K127" s="19">
        <v>0.15579999999999999</v>
      </c>
      <c r="L127" s="19">
        <v>1.1971831E-2</v>
      </c>
      <c r="M127" s="19">
        <v>4.1700000000000001E-2</v>
      </c>
      <c r="N127" s="19">
        <v>7.1400000000000005E-2</v>
      </c>
      <c r="O127" s="19">
        <v>0.21740000000000001</v>
      </c>
      <c r="P127" s="19">
        <v>0.16669999999999999</v>
      </c>
      <c r="Q127" s="19">
        <v>9.5102505999999989E-2</v>
      </c>
      <c r="R127" s="20">
        <v>26106</v>
      </c>
      <c r="S127" s="21" t="str">
        <f>HYPERLINK("https://misweb.cccco.edu/npc/911/npcalc.htm", "$19628")</f>
        <v>$19628</v>
      </c>
      <c r="T127" s="20">
        <v>21312</v>
      </c>
      <c r="U127" s="20" t="s">
        <v>36</v>
      </c>
      <c r="V127" s="20">
        <v>6093</v>
      </c>
      <c r="W127" s="20">
        <v>13535.375</v>
      </c>
      <c r="Y127" s="19">
        <v>0.49619999999999997</v>
      </c>
      <c r="Z127" s="19">
        <v>0.68859999999999999</v>
      </c>
      <c r="AB127" s="18">
        <v>2762</v>
      </c>
      <c r="AC127" s="18">
        <v>6</v>
      </c>
    </row>
    <row r="128" spans="1:29" ht="15.75" customHeight="1" x14ac:dyDescent="0.2">
      <c r="A128" s="36" t="str">
        <f>HYPERLINK("https://www.barton.edu/", "Barton College")</f>
        <v>Barton College</v>
      </c>
      <c r="B128" s="18" t="s">
        <v>32</v>
      </c>
      <c r="C128" s="18" t="s">
        <v>103</v>
      </c>
      <c r="D128" s="18" t="s">
        <v>569</v>
      </c>
      <c r="E128" s="18">
        <v>1045</v>
      </c>
      <c r="F128" s="18" t="s">
        <v>35</v>
      </c>
      <c r="J128" s="19"/>
      <c r="K128" s="19">
        <v>0.52559999999999996</v>
      </c>
      <c r="L128" s="19">
        <v>0.41242937899999998</v>
      </c>
      <c r="M128" s="19">
        <v>0.59709999999999996</v>
      </c>
      <c r="N128" s="19">
        <v>0.42309999999999998</v>
      </c>
      <c r="O128" s="19">
        <v>0.5</v>
      </c>
      <c r="P128" s="19">
        <v>1</v>
      </c>
      <c r="Q128" s="19"/>
      <c r="R128" s="20">
        <v>45454</v>
      </c>
      <c r="S128" s="21" t="str">
        <f>HYPERLINK("https://www.barton.edu/financial-aid/calculator/", "$21669")</f>
        <v>$21669</v>
      </c>
      <c r="T128" s="20">
        <v>24400</v>
      </c>
      <c r="U128" s="20">
        <v>25536</v>
      </c>
      <c r="V128" s="20">
        <v>5600</v>
      </c>
      <c r="W128" s="20">
        <v>16069</v>
      </c>
      <c r="Y128" s="19">
        <v>0.5081</v>
      </c>
      <c r="Z128" s="19">
        <v>0.44929999999999998</v>
      </c>
      <c r="AB128" s="18">
        <v>877</v>
      </c>
      <c r="AC128" s="18">
        <v>4</v>
      </c>
    </row>
    <row r="129" spans="1:29" ht="15.75" customHeight="1" x14ac:dyDescent="0.2">
      <c r="A129" s="36" t="str">
        <f>HYPERLINK("https://www.bartonccc.edu", "Barton County Community College")</f>
        <v>Barton County Community College</v>
      </c>
      <c r="B129" s="18" t="s">
        <v>49</v>
      </c>
      <c r="C129" s="18" t="s">
        <v>307</v>
      </c>
      <c r="D129" s="18" t="s">
        <v>945</v>
      </c>
      <c r="E129" s="18" t="s">
        <v>36</v>
      </c>
      <c r="F129" s="18" t="s">
        <v>36</v>
      </c>
      <c r="J129" s="19"/>
      <c r="K129" s="19">
        <v>0.31</v>
      </c>
      <c r="L129" s="19">
        <v>0.23015873000000001</v>
      </c>
      <c r="M129" s="19">
        <v>0.30919999999999997</v>
      </c>
      <c r="N129" s="19">
        <v>0.2273</v>
      </c>
      <c r="O129" s="19">
        <v>0.59379999999999999</v>
      </c>
      <c r="P129" s="19">
        <v>0.25</v>
      </c>
      <c r="Q129" s="19">
        <v>9.308885800000001E-2</v>
      </c>
      <c r="R129" s="20">
        <v>16936</v>
      </c>
      <c r="S129" s="21" t="str">
        <f>HYPERLINK("https://bartonccc.edu/financialaid/studentconsumerinfo/netpricecalc", "$9059")</f>
        <v>$9059</v>
      </c>
      <c r="T129" s="20">
        <v>11370</v>
      </c>
      <c r="U129" s="20">
        <v>13718</v>
      </c>
      <c r="V129" s="20">
        <v>5420</v>
      </c>
      <c r="W129" s="20">
        <v>3639.542857142857</v>
      </c>
      <c r="Y129" s="19">
        <v>0.13100000000000001</v>
      </c>
      <c r="Z129" s="19">
        <v>0.39950000000000002</v>
      </c>
      <c r="AB129" s="18">
        <v>2180</v>
      </c>
      <c r="AC129" s="18">
        <v>6</v>
      </c>
    </row>
    <row r="130" spans="1:29" ht="15.75" customHeight="1" x14ac:dyDescent="0.2">
      <c r="A130" s="36" t="str">
        <f>HYPERLINK("https://www.bates.edu/", "Bates College")</f>
        <v>Bates College</v>
      </c>
      <c r="B130" s="18" t="s">
        <v>32</v>
      </c>
      <c r="C130" s="18" t="s">
        <v>43</v>
      </c>
      <c r="D130" s="18" t="s">
        <v>44</v>
      </c>
      <c r="E130" s="18" t="s">
        <v>36</v>
      </c>
      <c r="F130" s="18" t="s">
        <v>45</v>
      </c>
      <c r="J130" s="19"/>
      <c r="K130" s="19">
        <v>0.92400000000000004</v>
      </c>
      <c r="L130" s="19" t="s">
        <v>36</v>
      </c>
      <c r="M130" s="19">
        <v>0.92179999999999995</v>
      </c>
      <c r="N130" s="19">
        <v>0.88890000000000002</v>
      </c>
      <c r="O130" s="19">
        <v>0.93940000000000001</v>
      </c>
      <c r="P130" s="19">
        <v>0.95650000000000002</v>
      </c>
      <c r="Q130" s="19"/>
      <c r="R130" s="20">
        <v>68870</v>
      </c>
      <c r="S130" s="21" t="str">
        <f>HYPERLINK("https://npc.collegeboard.org/student/app/bates", "$5345")</f>
        <v>$5345</v>
      </c>
      <c r="T130" s="20">
        <v>13753</v>
      </c>
      <c r="U130" s="20">
        <v>18327</v>
      </c>
      <c r="V130" s="20">
        <v>2150</v>
      </c>
      <c r="W130" s="20">
        <v>3195</v>
      </c>
      <c r="X130" s="18" t="s">
        <v>37</v>
      </c>
      <c r="Y130" s="19">
        <v>0.1079</v>
      </c>
      <c r="Z130" s="19">
        <v>0.29549999999999998</v>
      </c>
      <c r="AA130" s="18" t="s">
        <v>37</v>
      </c>
      <c r="AB130" s="18">
        <v>1787</v>
      </c>
      <c r="AC130" s="18">
        <v>1</v>
      </c>
    </row>
    <row r="131" spans="1:29" ht="15.75" customHeight="1" x14ac:dyDescent="0.2">
      <c r="A131" s="36" t="str">
        <f>HYPERLINK("https://www.baypath.edu", "Bay Path University")</f>
        <v>Bay Path University</v>
      </c>
      <c r="B131" s="18" t="s">
        <v>32</v>
      </c>
      <c r="C131" s="18" t="s">
        <v>33</v>
      </c>
      <c r="D131" s="18" t="s">
        <v>570</v>
      </c>
      <c r="E131" s="18">
        <v>1086</v>
      </c>
      <c r="F131" s="18" t="s">
        <v>115</v>
      </c>
      <c r="J131" s="19"/>
      <c r="K131" s="19">
        <v>0.56759999999999999</v>
      </c>
      <c r="L131" s="19">
        <v>0.55609756099999996</v>
      </c>
      <c r="M131" s="19">
        <v>0.6</v>
      </c>
      <c r="N131" s="19">
        <v>0.47370000000000001</v>
      </c>
      <c r="O131" s="19">
        <v>0.4783</v>
      </c>
      <c r="P131" s="19">
        <v>0.25</v>
      </c>
      <c r="Q131" s="19"/>
      <c r="R131" s="20">
        <v>49356</v>
      </c>
      <c r="S131" s="21" t="str">
        <f>HYPERLINK("https://www.baypath.edu/undergraduate-experience/financial-aid/net-price-calculator", "$19289")</f>
        <v>$19289</v>
      </c>
      <c r="T131" s="20">
        <v>20105</v>
      </c>
      <c r="U131" s="20">
        <v>26899</v>
      </c>
      <c r="V131" s="20">
        <v>3000</v>
      </c>
      <c r="W131" s="20">
        <v>16289</v>
      </c>
      <c r="Y131" s="19">
        <v>0.63129999999999997</v>
      </c>
      <c r="Z131" s="19">
        <v>0.42749999999999999</v>
      </c>
      <c r="AB131" s="18">
        <v>1944</v>
      </c>
      <c r="AC131" s="18">
        <v>4</v>
      </c>
    </row>
    <row r="132" spans="1:29" ht="15.75" customHeight="1" x14ac:dyDescent="0.2">
      <c r="A132" s="36" t="str">
        <f>HYPERLINK("https://www.baycollege.edu", "Bay de Noc Community College")</f>
        <v>Bay de Noc Community College</v>
      </c>
      <c r="B132" s="18" t="s">
        <v>49</v>
      </c>
      <c r="C132" s="18" t="s">
        <v>226</v>
      </c>
      <c r="D132" s="18" t="s">
        <v>947</v>
      </c>
      <c r="E132" s="18" t="s">
        <v>36</v>
      </c>
      <c r="F132" s="18" t="s">
        <v>36</v>
      </c>
      <c r="J132" s="19"/>
      <c r="K132" s="19">
        <v>0.30099999999999999</v>
      </c>
      <c r="L132" s="19">
        <v>0.23704866599999999</v>
      </c>
      <c r="M132" s="19">
        <v>0.32300000000000001</v>
      </c>
      <c r="N132" s="19">
        <v>0</v>
      </c>
      <c r="O132" s="19">
        <v>0.125</v>
      </c>
      <c r="P132" s="19" t="s">
        <v>36</v>
      </c>
      <c r="Q132" s="19">
        <v>6.6801619000000007E-2</v>
      </c>
      <c r="R132" s="20">
        <v>20516</v>
      </c>
      <c r="S132" s="21" t="str">
        <f>HYPERLINK("https://mybay.baycollege.edu//ics/ClientConfig/CustomContent/NetPriceCalculator/npcalc.htm", "$14478")</f>
        <v>$14478</v>
      </c>
      <c r="T132" s="20">
        <v>16557</v>
      </c>
      <c r="U132" s="20">
        <v>19896</v>
      </c>
      <c r="V132" s="20">
        <v>5050</v>
      </c>
      <c r="W132" s="20">
        <v>9428.7662337662332</v>
      </c>
      <c r="Y132" s="19">
        <v>0.33729999999999999</v>
      </c>
      <c r="Z132" s="19">
        <v>0.1234</v>
      </c>
      <c r="AB132" s="18">
        <v>1386</v>
      </c>
      <c r="AC132" s="18">
        <v>6</v>
      </c>
    </row>
    <row r="133" spans="1:29" ht="15.75" customHeight="1" x14ac:dyDescent="0.2">
      <c r="A133" s="36" t="str">
        <f>HYPERLINK("https://www.baylor.edu", "Baylor University")</f>
        <v>Baylor University</v>
      </c>
      <c r="B133" s="18" t="s">
        <v>32</v>
      </c>
      <c r="C133" s="18" t="s">
        <v>146</v>
      </c>
      <c r="D133" s="18" t="s">
        <v>195</v>
      </c>
      <c r="E133" s="18">
        <v>1320</v>
      </c>
      <c r="F133" s="18" t="s">
        <v>35</v>
      </c>
      <c r="J133" s="19"/>
      <c r="K133" s="19">
        <v>0.76590000000000003</v>
      </c>
      <c r="L133" s="19">
        <v>0.56346749200000001</v>
      </c>
      <c r="M133" s="19">
        <v>0.79279999999999995</v>
      </c>
      <c r="N133" s="19">
        <v>0.66669999999999996</v>
      </c>
      <c r="O133" s="19">
        <v>0.69620000000000004</v>
      </c>
      <c r="P133" s="19">
        <v>0.78390000000000004</v>
      </c>
      <c r="Q133" s="19"/>
      <c r="R133" s="20">
        <v>60233</v>
      </c>
      <c r="S133" s="21" t="str">
        <f>HYPERLINK("https://www.baylor.edu/sfs/netpricecalculator/npcalc.htm", "$27077")</f>
        <v>$27077</v>
      </c>
      <c r="T133" s="20">
        <v>31484</v>
      </c>
      <c r="U133" s="20">
        <v>33706</v>
      </c>
      <c r="V133" s="20">
        <v>4280</v>
      </c>
      <c r="W133" s="20">
        <v>22797</v>
      </c>
      <c r="Y133" s="19">
        <v>0.1825</v>
      </c>
      <c r="Z133" s="19">
        <v>0.36580000000000001</v>
      </c>
      <c r="AB133" s="18">
        <v>14284</v>
      </c>
      <c r="AC133" s="18">
        <v>2</v>
      </c>
    </row>
    <row r="134" spans="1:29" ht="15.75" customHeight="1" x14ac:dyDescent="0.2">
      <c r="A134" s="36" t="str">
        <f>HYPERLINK("https://www.bealcollege.edu/", "Beal College")</f>
        <v>Beal College</v>
      </c>
      <c r="B134" s="18" t="s">
        <v>368</v>
      </c>
      <c r="C134" s="18" t="s">
        <v>43</v>
      </c>
      <c r="D134" s="18" t="s">
        <v>750</v>
      </c>
      <c r="E134" s="18" t="s">
        <v>36</v>
      </c>
      <c r="F134" s="18" t="s">
        <v>36</v>
      </c>
      <c r="J134" s="19"/>
      <c r="K134" s="19">
        <v>0.37190000000000001</v>
      </c>
      <c r="L134" s="19">
        <v>0.4</v>
      </c>
      <c r="M134" s="19">
        <v>0.36359999999999998</v>
      </c>
      <c r="N134" s="19" t="s">
        <v>36</v>
      </c>
      <c r="O134" s="19">
        <v>0</v>
      </c>
      <c r="P134" s="19" t="s">
        <v>36</v>
      </c>
      <c r="Q134" s="19" t="s">
        <v>36</v>
      </c>
      <c r="R134" s="20" t="s">
        <v>36</v>
      </c>
      <c r="S134" s="21" t="str">
        <f>HYPERLINK("https://www.bealcollege.edu", "$16348")</f>
        <v>$16348</v>
      </c>
      <c r="T134" s="20">
        <v>13892</v>
      </c>
      <c r="U134" s="20">
        <v>19008</v>
      </c>
      <c r="V134" s="20" t="s">
        <v>36</v>
      </c>
      <c r="W134" s="20" t="s">
        <v>36</v>
      </c>
      <c r="Y134" s="19">
        <v>0.58779999999999999</v>
      </c>
      <c r="Z134" s="19">
        <v>0.27639999999999998</v>
      </c>
      <c r="AB134" s="18">
        <v>246</v>
      </c>
      <c r="AC134" s="18">
        <v>6</v>
      </c>
    </row>
    <row r="135" spans="1:29" ht="15.75" customHeight="1" x14ac:dyDescent="0.2">
      <c r="A135" s="36" t="str">
        <f>HYPERLINK("https://www.beaufortccc.edu", "Beaufort County Community College")</f>
        <v>Beaufort County Community College</v>
      </c>
      <c r="B135" s="18" t="s">
        <v>49</v>
      </c>
      <c r="C135" s="18" t="s">
        <v>103</v>
      </c>
      <c r="D135" s="18" t="s">
        <v>114</v>
      </c>
      <c r="E135" s="18" t="s">
        <v>36</v>
      </c>
      <c r="F135" s="18" t="s">
        <v>36</v>
      </c>
      <c r="J135" s="19"/>
      <c r="K135" s="19">
        <v>0.2671</v>
      </c>
      <c r="L135" s="19">
        <v>0.173996176</v>
      </c>
      <c r="M135" s="19">
        <v>0.34939999999999999</v>
      </c>
      <c r="N135" s="19">
        <v>0.15379999999999999</v>
      </c>
      <c r="O135" s="19">
        <v>0.2</v>
      </c>
      <c r="P135" s="19" t="s">
        <v>36</v>
      </c>
      <c r="Q135" s="19">
        <v>4.0723981999999999E-2</v>
      </c>
      <c r="R135" s="20">
        <v>23518</v>
      </c>
      <c r="S135" s="21" t="str">
        <f>HYPERLINK("https://www.beaufortccc.edu/financial-aid/net-price-calculator", "$17894")</f>
        <v>$17894</v>
      </c>
      <c r="T135" s="20">
        <v>20733</v>
      </c>
      <c r="U135" s="20">
        <v>21020</v>
      </c>
      <c r="V135" s="20">
        <v>5334</v>
      </c>
      <c r="W135" s="20">
        <v>12560.767441860469</v>
      </c>
      <c r="Y135" s="19">
        <v>0.3226</v>
      </c>
      <c r="Z135" s="19">
        <v>0.40939999999999999</v>
      </c>
      <c r="AB135" s="18">
        <v>1390</v>
      </c>
      <c r="AC135" s="18">
        <v>6</v>
      </c>
    </row>
    <row r="136" spans="1:29" ht="15.75" customHeight="1" x14ac:dyDescent="0.2">
      <c r="A136" s="36" t="str">
        <f>HYPERLINK("https://www.becker.edu", "Becker College")</f>
        <v>Becker College</v>
      </c>
      <c r="B136" s="18" t="s">
        <v>32</v>
      </c>
      <c r="C136" s="18" t="s">
        <v>33</v>
      </c>
      <c r="D136" s="18" t="s">
        <v>86</v>
      </c>
      <c r="E136" s="18">
        <v>1078</v>
      </c>
      <c r="F136" s="18" t="s">
        <v>35</v>
      </c>
      <c r="J136" s="19"/>
      <c r="K136" s="19">
        <v>0.3846</v>
      </c>
      <c r="L136" s="19">
        <v>0.15068493199999999</v>
      </c>
      <c r="M136" s="19">
        <v>0.42470000000000002</v>
      </c>
      <c r="N136" s="19">
        <v>0.21820000000000001</v>
      </c>
      <c r="O136" s="19">
        <v>0.3</v>
      </c>
      <c r="P136" s="19">
        <v>0.5</v>
      </c>
      <c r="Q136" s="19"/>
      <c r="R136" s="20">
        <v>55710</v>
      </c>
      <c r="S136" s="21" t="str">
        <f>HYPERLINK("https://www.becker.edu/net-price-calculator/", "$29078")</f>
        <v>$29078</v>
      </c>
      <c r="T136" s="20">
        <v>31467</v>
      </c>
      <c r="U136" s="20">
        <v>34191</v>
      </c>
      <c r="V136" s="20">
        <v>4160</v>
      </c>
      <c r="W136" s="20">
        <v>24918</v>
      </c>
      <c r="Y136" s="19">
        <v>0.32969999999999999</v>
      </c>
      <c r="Z136" s="19">
        <v>0.28889999999999999</v>
      </c>
      <c r="AB136" s="18">
        <v>1800</v>
      </c>
      <c r="AC136" s="18">
        <v>5</v>
      </c>
    </row>
    <row r="137" spans="1:29" ht="15.75" customHeight="1" x14ac:dyDescent="0.2">
      <c r="A137" s="36" t="str">
        <f>HYPERLINK("https://www.beckfield.edu", "Beckfield College-Florence")</f>
        <v>Beckfield College-Florence</v>
      </c>
      <c r="B137" s="18" t="s">
        <v>368</v>
      </c>
      <c r="C137" s="18" t="s">
        <v>205</v>
      </c>
      <c r="D137" s="18" t="s">
        <v>772</v>
      </c>
      <c r="E137" s="18" t="s">
        <v>36</v>
      </c>
      <c r="F137" s="18" t="s">
        <v>36</v>
      </c>
      <c r="J137" s="19"/>
      <c r="K137" s="19">
        <v>0.20250000000000001</v>
      </c>
      <c r="L137" s="19">
        <v>0.33947772700000001</v>
      </c>
      <c r="M137" s="19">
        <v>0.21740000000000001</v>
      </c>
      <c r="N137" s="19">
        <v>0</v>
      </c>
      <c r="O137" s="19">
        <v>1</v>
      </c>
      <c r="P137" s="19">
        <v>0</v>
      </c>
      <c r="Q137" s="19">
        <v>3.5469107999999999E-2</v>
      </c>
      <c r="R137" s="20">
        <v>35808</v>
      </c>
      <c r="S137" s="21" t="str">
        <f>HYPERLINK("https://www.beckfield.edu/NPC/npcalc.htm", "$29364")</f>
        <v>$29364</v>
      </c>
      <c r="T137" s="20">
        <v>30212</v>
      </c>
      <c r="U137" s="20" t="s">
        <v>36</v>
      </c>
      <c r="V137" s="20">
        <v>9211</v>
      </c>
      <c r="W137" s="20">
        <v>20153</v>
      </c>
      <c r="Y137" s="19">
        <v>0.86509999999999998</v>
      </c>
      <c r="Z137" s="19">
        <v>0.1459</v>
      </c>
      <c r="AB137" s="18">
        <v>617</v>
      </c>
      <c r="AC137" s="18">
        <v>6</v>
      </c>
    </row>
    <row r="138" spans="1:29" ht="15.75" customHeight="1" x14ac:dyDescent="0.2">
      <c r="A138" s="36" t="str">
        <f>HYPERLINK("https://www.bel-rea.com", "Bel-Rea Institute of Animal Technology")</f>
        <v>Bel-Rea Institute of Animal Technology</v>
      </c>
      <c r="B138" s="18" t="s">
        <v>368</v>
      </c>
      <c r="C138" s="18" t="s">
        <v>87</v>
      </c>
      <c r="D138" s="18" t="s">
        <v>508</v>
      </c>
      <c r="E138" s="18" t="s">
        <v>36</v>
      </c>
      <c r="F138" s="18" t="s">
        <v>45</v>
      </c>
      <c r="J138" s="19"/>
      <c r="K138" s="19">
        <v>0.30359999999999998</v>
      </c>
      <c r="L138" s="19">
        <v>0.54185022000000005</v>
      </c>
      <c r="M138" s="19">
        <v>0.27910000000000001</v>
      </c>
      <c r="N138" s="19">
        <v>1</v>
      </c>
      <c r="O138" s="19">
        <v>0.2</v>
      </c>
      <c r="P138" s="19" t="s">
        <v>36</v>
      </c>
      <c r="Q138" s="19">
        <v>4.2735043E-2</v>
      </c>
      <c r="R138" s="20">
        <v>28713</v>
      </c>
      <c r="S138" s="21" t="str">
        <f>HYPERLINK("https://www.bel-rea.com/?q=degreeProgram", "$19838")</f>
        <v>$19838</v>
      </c>
      <c r="T138" s="20">
        <v>23189</v>
      </c>
      <c r="U138" s="20">
        <v>24515</v>
      </c>
      <c r="V138" s="20">
        <v>6418</v>
      </c>
      <c r="W138" s="20">
        <v>13420</v>
      </c>
      <c r="Y138" s="19">
        <v>0.4486</v>
      </c>
      <c r="Z138" s="19">
        <v>0.29599999999999987</v>
      </c>
      <c r="AB138" s="18">
        <v>321</v>
      </c>
      <c r="AC138" s="18">
        <v>6</v>
      </c>
    </row>
    <row r="139" spans="1:29" ht="15.75" customHeight="1" x14ac:dyDescent="0.2">
      <c r="A139" s="36" t="str">
        <f>HYPERLINK("https://www.ellisbelangerschoolofnursing.org", "Belanger School of Nursing")</f>
        <v>Belanger School of Nursing</v>
      </c>
      <c r="B139" s="18" t="s">
        <v>32</v>
      </c>
      <c r="C139" s="18" t="s">
        <v>38</v>
      </c>
      <c r="D139" s="18" t="s">
        <v>270</v>
      </c>
      <c r="E139" s="18" t="s">
        <v>36</v>
      </c>
      <c r="F139" s="18" t="s">
        <v>115</v>
      </c>
      <c r="J139" s="19"/>
      <c r="K139" s="19">
        <v>0</v>
      </c>
      <c r="L139" s="19" t="s">
        <v>36</v>
      </c>
      <c r="M139" s="19">
        <v>0</v>
      </c>
      <c r="N139" s="19" t="s">
        <v>36</v>
      </c>
      <c r="O139" s="19" t="s">
        <v>36</v>
      </c>
      <c r="P139" s="19" t="s">
        <v>36</v>
      </c>
      <c r="Q139" s="19" t="s">
        <v>36</v>
      </c>
      <c r="R139" s="20">
        <v>22214</v>
      </c>
      <c r="S139" s="21" t="str">
        <f>HYPERLINK("https://www.ellisbelangerschoolofnursing.org", "Not reported")</f>
        <v>Not reported</v>
      </c>
      <c r="T139" s="20" t="s">
        <v>36</v>
      </c>
      <c r="U139" s="20">
        <v>16145</v>
      </c>
      <c r="V139" s="20">
        <v>5900</v>
      </c>
      <c r="W139" s="20" t="s">
        <v>36</v>
      </c>
      <c r="Y139" s="19">
        <v>0.4622</v>
      </c>
      <c r="Z139" s="19">
        <v>0.35089999999999999</v>
      </c>
      <c r="AB139" s="18">
        <v>114</v>
      </c>
      <c r="AC139" s="18">
        <v>6</v>
      </c>
    </row>
    <row r="140" spans="1:29" ht="15.75" customHeight="1" x14ac:dyDescent="0.2">
      <c r="A140" s="36" t="str">
        <f>HYPERLINK("https://www.belhaven.edu", "Belhaven University")</f>
        <v>Belhaven University</v>
      </c>
      <c r="B140" s="18" t="s">
        <v>32</v>
      </c>
      <c r="C140" s="18" t="s">
        <v>59</v>
      </c>
      <c r="D140" s="18" t="s">
        <v>419</v>
      </c>
      <c r="E140" s="18" t="s">
        <v>36</v>
      </c>
      <c r="F140" s="18" t="s">
        <v>90</v>
      </c>
      <c r="J140" s="19"/>
      <c r="K140" s="19">
        <v>0.49320000000000003</v>
      </c>
      <c r="L140" s="19">
        <v>0.46280991700000002</v>
      </c>
      <c r="M140" s="19">
        <v>0.58930000000000005</v>
      </c>
      <c r="N140" s="19">
        <v>0.27939999999999998</v>
      </c>
      <c r="O140" s="19">
        <v>0.33329999999999999</v>
      </c>
      <c r="P140" s="19">
        <v>1</v>
      </c>
      <c r="Q140" s="19"/>
      <c r="R140" s="20">
        <v>34400</v>
      </c>
      <c r="S140" s="21" t="str">
        <f>HYPERLINK("https://www.belhaven.edu/admission/high_school.htm", "$15033")</f>
        <v>$15033</v>
      </c>
      <c r="T140" s="20">
        <v>17522</v>
      </c>
      <c r="U140" s="20">
        <v>21523</v>
      </c>
      <c r="V140" s="20">
        <v>2150</v>
      </c>
      <c r="W140" s="20">
        <v>12883</v>
      </c>
      <c r="Y140" s="19">
        <v>0.58620000000000005</v>
      </c>
      <c r="Z140" s="19">
        <v>0.61739999999999995</v>
      </c>
      <c r="AB140" s="18">
        <v>2410</v>
      </c>
      <c r="AC140" s="18">
        <v>4</v>
      </c>
    </row>
    <row r="141" spans="1:29" ht="15.75" customHeight="1" x14ac:dyDescent="0.2">
      <c r="A141" s="36" t="str">
        <f>HYPERLINK("https://www.bellarmine.edu", "Bellarmine University")</f>
        <v>Bellarmine University</v>
      </c>
      <c r="B141" s="18" t="s">
        <v>32</v>
      </c>
      <c r="C141" s="18" t="s">
        <v>205</v>
      </c>
      <c r="D141" s="18" t="s">
        <v>306</v>
      </c>
      <c r="E141" s="18">
        <v>1189</v>
      </c>
      <c r="F141" s="18" t="s">
        <v>35</v>
      </c>
      <c r="J141" s="19"/>
      <c r="K141" s="19">
        <v>0.64539999999999997</v>
      </c>
      <c r="L141" s="19">
        <v>0.56291390699999999</v>
      </c>
      <c r="M141" s="19">
        <v>0.65029999999999999</v>
      </c>
      <c r="N141" s="19">
        <v>0.57140000000000002</v>
      </c>
      <c r="O141" s="19">
        <v>0.60709999999999997</v>
      </c>
      <c r="P141" s="19">
        <v>0.66669999999999996</v>
      </c>
      <c r="Q141" s="19"/>
      <c r="R141" s="20">
        <v>59306</v>
      </c>
      <c r="S141" s="21" t="str">
        <f>HYPERLINK("https://bellarmine.studentaidcalculator.com/survey.aspx", "$21584")</f>
        <v>$21584</v>
      </c>
      <c r="T141" s="20">
        <v>24684</v>
      </c>
      <c r="U141" s="20">
        <v>26783</v>
      </c>
      <c r="V141" s="20">
        <v>6374</v>
      </c>
      <c r="W141" s="20">
        <v>15210</v>
      </c>
      <c r="Y141" s="19">
        <v>0.25009999999999999</v>
      </c>
      <c r="Z141" s="19">
        <v>0.18709999999999999</v>
      </c>
      <c r="AB141" s="18">
        <v>2474</v>
      </c>
      <c r="AC141" s="18">
        <v>3</v>
      </c>
    </row>
    <row r="142" spans="1:29" ht="15.75" customHeight="1" x14ac:dyDescent="0.2">
      <c r="A142" s="36" t="str">
        <f>HYPERLINK("https://bellevuecollege.edu", "Bellevue College")</f>
        <v>Bellevue College</v>
      </c>
      <c r="B142" s="18" t="s">
        <v>49</v>
      </c>
      <c r="C142" s="18" t="s">
        <v>184</v>
      </c>
      <c r="D142" s="18" t="s">
        <v>640</v>
      </c>
      <c r="E142" s="18" t="s">
        <v>36</v>
      </c>
      <c r="F142" s="18" t="s">
        <v>36</v>
      </c>
      <c r="J142" s="19"/>
      <c r="K142" s="19">
        <v>0.2412</v>
      </c>
      <c r="L142" s="19">
        <v>0.248826291</v>
      </c>
      <c r="M142" s="19">
        <v>0.23569999999999999</v>
      </c>
      <c r="N142" s="19">
        <v>6.6699999999999995E-2</v>
      </c>
      <c r="O142" s="19">
        <v>0.18920000000000001</v>
      </c>
      <c r="P142" s="19">
        <v>0.33929999999999999</v>
      </c>
      <c r="Q142" s="19">
        <v>0.13551401900000001</v>
      </c>
      <c r="R142" s="20">
        <v>23602</v>
      </c>
      <c r="S142" s="21" t="str">
        <f>HYPERLINK("https://bellevuecollege.edu/calculator/npcalc.htm", "$17803")</f>
        <v>$17803</v>
      </c>
      <c r="T142" s="20">
        <v>19892</v>
      </c>
      <c r="U142" s="20">
        <v>22495</v>
      </c>
      <c r="V142" s="20">
        <v>4290</v>
      </c>
      <c r="W142" s="20">
        <v>13513.7131147541</v>
      </c>
      <c r="Y142" s="19">
        <v>0.1163</v>
      </c>
      <c r="Z142" s="19">
        <v>0.59440000000000004</v>
      </c>
      <c r="AB142" s="18">
        <v>7150</v>
      </c>
      <c r="AC142" s="18">
        <v>6</v>
      </c>
    </row>
    <row r="143" spans="1:29" ht="15.75" customHeight="1" x14ac:dyDescent="0.2">
      <c r="A143" s="36" t="str">
        <f>HYPERLINK("https://www.bellevue.edu", "Bellevue University")</f>
        <v>Bellevue University</v>
      </c>
      <c r="B143" s="18" t="s">
        <v>32</v>
      </c>
      <c r="C143" s="18" t="s">
        <v>341</v>
      </c>
      <c r="D143" s="18" t="s">
        <v>640</v>
      </c>
      <c r="E143" s="18" t="s">
        <v>36</v>
      </c>
      <c r="F143" s="18" t="s">
        <v>36</v>
      </c>
      <c r="J143" s="19"/>
      <c r="K143" s="19">
        <v>0.16669999999999999</v>
      </c>
      <c r="L143" s="19">
        <v>0.375</v>
      </c>
      <c r="M143" s="19">
        <v>0.25</v>
      </c>
      <c r="N143" s="19" t="s">
        <v>36</v>
      </c>
      <c r="O143" s="19" t="s">
        <v>36</v>
      </c>
      <c r="P143" s="19" t="s">
        <v>36</v>
      </c>
      <c r="Q143" s="19"/>
      <c r="R143" s="20">
        <v>20334</v>
      </c>
      <c r="S143" s="21" t="str">
        <f>HYPERLINK("https://www.bellevue.edu/admissions-tuition/financing-options/net-price-calculator/npcalc.htm", "$10576")</f>
        <v>$10576</v>
      </c>
      <c r="T143" s="20">
        <v>13898</v>
      </c>
      <c r="U143" s="20" t="s">
        <v>36</v>
      </c>
      <c r="V143" s="20">
        <v>4050</v>
      </c>
      <c r="W143" s="20">
        <v>6526</v>
      </c>
      <c r="Y143" s="19">
        <v>0.29170000000000001</v>
      </c>
      <c r="Z143" s="19">
        <v>0.51580000000000004</v>
      </c>
      <c r="AB143" s="18">
        <v>5665</v>
      </c>
      <c r="AC143" s="18">
        <v>5</v>
      </c>
    </row>
    <row r="144" spans="1:29" ht="15.75" customHeight="1" x14ac:dyDescent="0.2">
      <c r="A144" s="36" t="str">
        <f>HYPERLINK("https://www.belmontabbeycollege.edu", "Belmont Abbey College")</f>
        <v>Belmont Abbey College</v>
      </c>
      <c r="B144" s="18" t="s">
        <v>32</v>
      </c>
      <c r="C144" s="18" t="s">
        <v>103</v>
      </c>
      <c r="D144" s="18" t="s">
        <v>571</v>
      </c>
      <c r="E144" s="18">
        <v>1065</v>
      </c>
      <c r="F144" s="18" t="s">
        <v>115</v>
      </c>
      <c r="J144" s="19"/>
      <c r="K144" s="19">
        <v>0.42920000000000003</v>
      </c>
      <c r="L144" s="19">
        <v>0.39097744400000001</v>
      </c>
      <c r="M144" s="19">
        <v>0.16669999999999999</v>
      </c>
      <c r="N144" s="19">
        <v>9.0899999999999995E-2</v>
      </c>
      <c r="O144" s="19" t="s">
        <v>36</v>
      </c>
      <c r="P144" s="19">
        <v>0</v>
      </c>
      <c r="Q144" s="19"/>
      <c r="R144" s="20">
        <v>32894</v>
      </c>
      <c r="S144" s="21" t="str">
        <f>HYPERLINK("https://belmontabbeycollege.edu/admissions/apply-for-financial-aid/net-price-calculator/", "$19591")</f>
        <v>$19591</v>
      </c>
      <c r="T144" s="20">
        <v>21112</v>
      </c>
      <c r="U144" s="20">
        <v>23627</v>
      </c>
      <c r="V144" s="20">
        <v>4100</v>
      </c>
      <c r="W144" s="20">
        <v>15491</v>
      </c>
      <c r="Y144" s="19">
        <v>0.40379999999999999</v>
      </c>
      <c r="Z144" s="19">
        <v>0.47770000000000001</v>
      </c>
      <c r="AB144" s="18">
        <v>1501</v>
      </c>
      <c r="AC144" s="18">
        <v>4</v>
      </c>
    </row>
    <row r="145" spans="1:29" ht="15.75" customHeight="1" x14ac:dyDescent="0.2">
      <c r="A145" s="36" t="str">
        <f>HYPERLINK("https://www.belmontcollege.edu", "Belmont College")</f>
        <v>Belmont College</v>
      </c>
      <c r="B145" s="18" t="s">
        <v>49</v>
      </c>
      <c r="C145" s="18" t="s">
        <v>75</v>
      </c>
      <c r="D145" s="18" t="s">
        <v>952</v>
      </c>
      <c r="E145" s="18" t="s">
        <v>36</v>
      </c>
      <c r="F145" s="18" t="s">
        <v>36</v>
      </c>
      <c r="J145" s="19"/>
      <c r="K145" s="19">
        <v>0.32200000000000001</v>
      </c>
      <c r="L145" s="19">
        <v>0.17607973399999999</v>
      </c>
      <c r="M145" s="19">
        <v>0.31530000000000002</v>
      </c>
      <c r="N145" s="19" t="s">
        <v>36</v>
      </c>
      <c r="O145" s="19" t="s">
        <v>36</v>
      </c>
      <c r="P145" s="19" t="s">
        <v>36</v>
      </c>
      <c r="Q145" s="19">
        <v>2.1097046000000001E-2</v>
      </c>
      <c r="R145" s="20">
        <v>13538</v>
      </c>
      <c r="S145" s="21" t="str">
        <f>HYPERLINK("https://www.belmontcollege.edu/current-students/financial-aid/net-price-calculator/", "$9481")</f>
        <v>$9481</v>
      </c>
      <c r="T145" s="20">
        <v>10768</v>
      </c>
      <c r="U145" s="20">
        <v>11805</v>
      </c>
      <c r="V145" s="20">
        <v>4374</v>
      </c>
      <c r="W145" s="20">
        <v>5107.194029850747</v>
      </c>
      <c r="Y145" s="19">
        <v>0.52749999999999997</v>
      </c>
      <c r="Z145" s="19">
        <v>9.4899999999999984E-2</v>
      </c>
      <c r="AB145" s="18">
        <v>780</v>
      </c>
      <c r="AC145" s="18">
        <v>6</v>
      </c>
    </row>
    <row r="146" spans="1:29" ht="15.75" customHeight="1" x14ac:dyDescent="0.2">
      <c r="A146" s="36" t="str">
        <f>HYPERLINK("https://www.belmont.edu", "Belmont University")</f>
        <v>Belmont University</v>
      </c>
      <c r="B146" s="18" t="s">
        <v>32</v>
      </c>
      <c r="C146" s="18" t="s">
        <v>174</v>
      </c>
      <c r="D146" s="18" t="s">
        <v>175</v>
      </c>
      <c r="E146" s="18">
        <v>1256</v>
      </c>
      <c r="F146" s="18" t="s">
        <v>35</v>
      </c>
      <c r="J146" s="19"/>
      <c r="K146" s="19">
        <v>0.69620000000000004</v>
      </c>
      <c r="L146" s="19">
        <v>0.61751152100000006</v>
      </c>
      <c r="M146" s="19">
        <v>0.7097</v>
      </c>
      <c r="N146" s="19">
        <v>0.58700000000000008</v>
      </c>
      <c r="O146" s="19">
        <v>0.67569999999999997</v>
      </c>
      <c r="P146" s="19">
        <v>0.82350000000000001</v>
      </c>
      <c r="Q146" s="19"/>
      <c r="R146" s="20">
        <v>50740</v>
      </c>
      <c r="S146" s="21" t="str">
        <f>HYPERLINK("https://belmont.studentaidcalculator.com/survey.aspx", "$27100")</f>
        <v>$27100</v>
      </c>
      <c r="T146" s="20">
        <v>31422</v>
      </c>
      <c r="U146" s="20">
        <v>34112</v>
      </c>
      <c r="V146" s="20">
        <v>6240</v>
      </c>
      <c r="W146" s="20">
        <v>20860</v>
      </c>
      <c r="Y146" s="19">
        <v>0.1648</v>
      </c>
      <c r="Z146" s="19">
        <v>0.19350000000000001</v>
      </c>
      <c r="AB146" s="18">
        <v>6443</v>
      </c>
      <c r="AC146" s="18">
        <v>3</v>
      </c>
    </row>
    <row r="147" spans="1:29" ht="15.75" customHeight="1" x14ac:dyDescent="0.2">
      <c r="A147" s="36" t="str">
        <f>HYPERLINK("https://www.beloit.edu", "Beloit College")</f>
        <v>Beloit College</v>
      </c>
      <c r="B147" s="18" t="s">
        <v>32</v>
      </c>
      <c r="C147" s="18" t="s">
        <v>196</v>
      </c>
      <c r="D147" s="18" t="s">
        <v>197</v>
      </c>
      <c r="E147" s="18" t="s">
        <v>36</v>
      </c>
      <c r="F147" s="18" t="s">
        <v>115</v>
      </c>
      <c r="J147" s="19"/>
      <c r="K147" s="19">
        <v>0.85709999999999997</v>
      </c>
      <c r="L147" s="19">
        <v>0.75925925900000002</v>
      </c>
      <c r="M147" s="19">
        <v>0.86429999999999996</v>
      </c>
      <c r="N147" s="19">
        <v>0.88890000000000002</v>
      </c>
      <c r="O147" s="19">
        <v>1</v>
      </c>
      <c r="P147" s="19">
        <v>0.54549999999999998</v>
      </c>
      <c r="Q147" s="19"/>
      <c r="R147" s="20">
        <v>59442</v>
      </c>
      <c r="S147" s="21" t="str">
        <f>HYPERLINK("https://www.beloit.edu/prospective/npcalc.php", "$8918")</f>
        <v>$8918</v>
      </c>
      <c r="T147" s="20">
        <v>12691</v>
      </c>
      <c r="U147" s="20">
        <v>15940</v>
      </c>
      <c r="V147" s="20">
        <v>2300</v>
      </c>
      <c r="W147" s="20">
        <v>6618</v>
      </c>
      <c r="Y147" s="19">
        <v>0.22700000000000001</v>
      </c>
      <c r="Z147" s="19">
        <v>0.44490000000000002</v>
      </c>
      <c r="AB147" s="18">
        <v>1324</v>
      </c>
      <c r="AC147" s="18">
        <v>2</v>
      </c>
    </row>
    <row r="148" spans="1:29" ht="15.75" customHeight="1" x14ac:dyDescent="0.2">
      <c r="A148" s="36" t="str">
        <f>HYPERLINK("https://www.bemidjistate.edu", "Bemidji State University")</f>
        <v>Bemidji State University</v>
      </c>
      <c r="B148" s="18" t="s">
        <v>49</v>
      </c>
      <c r="C148" s="18" t="s">
        <v>72</v>
      </c>
      <c r="D148" s="18" t="s">
        <v>572</v>
      </c>
      <c r="E148" s="18">
        <v>1105</v>
      </c>
      <c r="F148" s="18" t="s">
        <v>35</v>
      </c>
      <c r="J148" s="19"/>
      <c r="K148" s="19">
        <v>0.46600000000000003</v>
      </c>
      <c r="L148" s="19">
        <v>0.36818181799999999</v>
      </c>
      <c r="M148" s="19">
        <v>0.4803</v>
      </c>
      <c r="N148" s="19">
        <v>0.4</v>
      </c>
      <c r="O148" s="19">
        <v>0.375</v>
      </c>
      <c r="P148" s="19">
        <v>0.4</v>
      </c>
      <c r="Q148" s="19"/>
      <c r="R148" s="20">
        <v>20729</v>
      </c>
      <c r="S148" s="21" t="str">
        <f>HYPERLINK("https://www.mnscu.edu/admissions/calculator/bemidji.html", "$11261")</f>
        <v>$11261</v>
      </c>
      <c r="T148" s="20">
        <v>14661</v>
      </c>
      <c r="U148" s="20">
        <v>18300</v>
      </c>
      <c r="V148" s="20">
        <v>3890</v>
      </c>
      <c r="W148" s="20">
        <v>7371.461538461539</v>
      </c>
      <c r="Y148" s="19">
        <v>0.3105</v>
      </c>
      <c r="Z148" s="19">
        <v>0.15840000000000001</v>
      </c>
      <c r="AB148" s="18">
        <v>4399</v>
      </c>
      <c r="AC148" s="18">
        <v>4</v>
      </c>
    </row>
    <row r="149" spans="1:29" ht="15.75" customHeight="1" x14ac:dyDescent="0.2">
      <c r="A149" s="36" t="str">
        <f>HYPERLINK("https://www.benedict.edu", "Benedict College")</f>
        <v>Benedict College</v>
      </c>
      <c r="B149" s="18" t="s">
        <v>32</v>
      </c>
      <c r="C149" s="18" t="s">
        <v>208</v>
      </c>
      <c r="D149" s="18" t="s">
        <v>165</v>
      </c>
      <c r="E149" s="18" t="s">
        <v>36</v>
      </c>
      <c r="F149" s="18" t="s">
        <v>36</v>
      </c>
      <c r="J149" s="19"/>
      <c r="K149" s="19">
        <v>0.26500000000000001</v>
      </c>
      <c r="L149" s="19">
        <v>0.24753694600000001</v>
      </c>
      <c r="M149" s="19">
        <v>0.375</v>
      </c>
      <c r="N149" s="19">
        <v>0.26379999999999998</v>
      </c>
      <c r="O149" s="19">
        <v>0.25</v>
      </c>
      <c r="P149" s="19">
        <v>0</v>
      </c>
      <c r="Q149" s="19"/>
      <c r="R149" s="20">
        <v>32982</v>
      </c>
      <c r="S149" s="21" t="str">
        <f>HYPERLINK("https://www.benedict.edu/cms/?q=financial_aid", "$18526")</f>
        <v>$18526</v>
      </c>
      <c r="T149" s="20">
        <v>22458</v>
      </c>
      <c r="U149" s="20">
        <v>23429</v>
      </c>
      <c r="V149" s="20">
        <v>4100</v>
      </c>
      <c r="W149" s="20">
        <v>14426</v>
      </c>
      <c r="Y149" s="19">
        <v>0.81459999999999999</v>
      </c>
      <c r="Z149" s="19">
        <v>0.97940000000000005</v>
      </c>
      <c r="AB149" s="18">
        <v>2090</v>
      </c>
      <c r="AC149" s="18">
        <v>5</v>
      </c>
    </row>
    <row r="150" spans="1:29" ht="15.75" customHeight="1" x14ac:dyDescent="0.2">
      <c r="A150" s="36" t="str">
        <f>HYPERLINK("https://www.benedictine.edu", "Benedictine College")</f>
        <v>Benedictine College</v>
      </c>
      <c r="B150" s="18" t="s">
        <v>32</v>
      </c>
      <c r="C150" s="18" t="s">
        <v>307</v>
      </c>
      <c r="D150" s="18" t="s">
        <v>308</v>
      </c>
      <c r="E150" s="18">
        <v>1215</v>
      </c>
      <c r="F150" s="18" t="s">
        <v>35</v>
      </c>
      <c r="J150" s="19"/>
      <c r="K150" s="19">
        <v>0.62709999999999999</v>
      </c>
      <c r="L150" s="19">
        <v>0.38333333299999989</v>
      </c>
      <c r="M150" s="19">
        <v>0.67959999999999998</v>
      </c>
      <c r="N150" s="19">
        <v>0.17860000000000001</v>
      </c>
      <c r="O150" s="19">
        <v>0.43330000000000002</v>
      </c>
      <c r="P150" s="19">
        <v>0.5</v>
      </c>
      <c r="Q150" s="19"/>
      <c r="R150" s="20">
        <v>43700</v>
      </c>
      <c r="S150" s="21" t="str">
        <f>HYPERLINK("https://www.benedictine.edu/calculator", "$19950")</f>
        <v>$19950</v>
      </c>
      <c r="T150" s="20">
        <v>22243</v>
      </c>
      <c r="U150" s="20">
        <v>24890</v>
      </c>
      <c r="V150" s="20">
        <v>5320</v>
      </c>
      <c r="W150" s="20">
        <v>14630</v>
      </c>
      <c r="Y150" s="19">
        <v>0.1784</v>
      </c>
      <c r="Z150" s="19">
        <v>0.21360000000000001</v>
      </c>
      <c r="AB150" s="18">
        <v>1826</v>
      </c>
      <c r="AC150" s="18">
        <v>3</v>
      </c>
    </row>
    <row r="151" spans="1:29" ht="15.75" customHeight="1" x14ac:dyDescent="0.2">
      <c r="A151" s="36" t="str">
        <f>HYPERLINK("https://www.ben.edu", "Benedictine University")</f>
        <v>Benedictine University</v>
      </c>
      <c r="B151" s="18" t="s">
        <v>32</v>
      </c>
      <c r="C151" s="18" t="s">
        <v>137</v>
      </c>
      <c r="D151" s="18" t="s">
        <v>573</v>
      </c>
      <c r="E151" s="18">
        <v>1093</v>
      </c>
      <c r="F151" s="18" t="s">
        <v>35</v>
      </c>
      <c r="J151" s="19"/>
      <c r="K151" s="19">
        <v>0.49809999999999999</v>
      </c>
      <c r="L151" s="19">
        <v>0.28482972099999998</v>
      </c>
      <c r="M151" s="19">
        <v>0.50419999999999998</v>
      </c>
      <c r="N151" s="19">
        <v>0.2041</v>
      </c>
      <c r="O151" s="19">
        <v>0.45240000000000002</v>
      </c>
      <c r="P151" s="19">
        <v>0.63329999999999997</v>
      </c>
      <c r="Q151" s="19"/>
      <c r="R151" s="20">
        <v>48016</v>
      </c>
      <c r="S151" s="21" t="str">
        <f>HYPERLINK("https://www.ben.edu/admissions/undergraduate/freshman/net-price.cfm", "$20604")</f>
        <v>$20604</v>
      </c>
      <c r="T151" s="20">
        <v>23334</v>
      </c>
      <c r="U151" s="20">
        <v>26008</v>
      </c>
      <c r="V151" s="20">
        <v>4110</v>
      </c>
      <c r="W151" s="20">
        <v>16494</v>
      </c>
      <c r="Y151" s="19">
        <v>0.37090000000000001</v>
      </c>
      <c r="Z151" s="19">
        <v>0.56079999999999997</v>
      </c>
      <c r="AB151" s="18">
        <v>2864</v>
      </c>
      <c r="AC151" s="18">
        <v>4</v>
      </c>
    </row>
    <row r="152" spans="1:29" ht="15.75" customHeight="1" x14ac:dyDescent="0.2">
      <c r="A152" s="36" t="str">
        <f>HYPERLINK("https://www.bfit.edu/", "Benjamin Franklin Institute of Technology")</f>
        <v>Benjamin Franklin Institute of Technology</v>
      </c>
      <c r="B152" s="18" t="s">
        <v>49</v>
      </c>
      <c r="C152" s="18" t="s">
        <v>33</v>
      </c>
      <c r="D152" s="18" t="s">
        <v>136</v>
      </c>
      <c r="E152" s="18" t="s">
        <v>36</v>
      </c>
      <c r="F152" s="18" t="s">
        <v>36</v>
      </c>
      <c r="J152" s="19"/>
      <c r="K152" s="19">
        <v>0.4773</v>
      </c>
      <c r="L152" s="19">
        <v>0.39613526599999999</v>
      </c>
      <c r="M152" s="19">
        <v>0.64810000000000001</v>
      </c>
      <c r="N152" s="19">
        <v>0.3548</v>
      </c>
      <c r="O152" s="19">
        <v>0.37930000000000003</v>
      </c>
      <c r="P152" s="19">
        <v>0.85709999999999997</v>
      </c>
      <c r="Q152" s="19"/>
      <c r="R152" s="20">
        <v>40250</v>
      </c>
      <c r="S152" s="21" t="str">
        <f>HYPERLINK("https://www.bfit.edu/_forms/npcalc.htm", "$27895")</f>
        <v>$27895</v>
      </c>
      <c r="T152" s="20">
        <v>29637</v>
      </c>
      <c r="U152" s="20">
        <v>34379</v>
      </c>
      <c r="V152" s="20">
        <v>3000</v>
      </c>
      <c r="W152" s="20">
        <v>24895.191666666669</v>
      </c>
      <c r="Y152" s="19">
        <v>0.52610000000000001</v>
      </c>
      <c r="Z152" s="19">
        <v>0.75639999999999996</v>
      </c>
      <c r="AB152" s="18">
        <v>550</v>
      </c>
      <c r="AC152" s="18">
        <v>4</v>
      </c>
    </row>
    <row r="153" spans="1:29" ht="15.75" customHeight="1" x14ac:dyDescent="0.2">
      <c r="A153" s="36" t="str">
        <f>HYPERLINK("https://www.bennett.edu/", "Bennett College")</f>
        <v>Bennett College</v>
      </c>
      <c r="B153" s="18" t="s">
        <v>32</v>
      </c>
      <c r="C153" s="18" t="s">
        <v>103</v>
      </c>
      <c r="D153" s="18" t="s">
        <v>643</v>
      </c>
      <c r="E153" s="18">
        <v>851</v>
      </c>
      <c r="F153" s="18" t="s">
        <v>35</v>
      </c>
      <c r="J153" s="19"/>
      <c r="K153" s="19">
        <v>0.36709999999999998</v>
      </c>
      <c r="L153" s="19">
        <v>0.35251798600000001</v>
      </c>
      <c r="M153" s="19" t="s">
        <v>36</v>
      </c>
      <c r="N153" s="19">
        <v>0.35809999999999997</v>
      </c>
      <c r="O153" s="19">
        <v>0.75</v>
      </c>
      <c r="P153" s="19">
        <v>0</v>
      </c>
      <c r="Q153" s="19"/>
      <c r="R153" s="20">
        <v>32817</v>
      </c>
      <c r="S153" s="21" t="str">
        <f>HYPERLINK("https://www.bennett.edu/_bennettedu/netpricecalculator/npcalc.htm", "$21822")</f>
        <v>$21822</v>
      </c>
      <c r="T153" s="20">
        <v>23615</v>
      </c>
      <c r="U153" s="20">
        <v>28429</v>
      </c>
      <c r="V153" s="20">
        <v>6190</v>
      </c>
      <c r="W153" s="20">
        <v>15632</v>
      </c>
      <c r="Y153" s="19">
        <v>0.67510000000000003</v>
      </c>
      <c r="Z153" s="19">
        <v>1</v>
      </c>
      <c r="AB153" s="18">
        <v>409</v>
      </c>
      <c r="AC153" s="18">
        <v>5</v>
      </c>
    </row>
    <row r="154" spans="1:29" ht="15.75" customHeight="1" x14ac:dyDescent="0.2">
      <c r="A154" s="36" t="str">
        <f>HYPERLINK("https://www.bennington.edu", "Bennington College")</f>
        <v>Bennington College</v>
      </c>
      <c r="B154" s="18" t="s">
        <v>32</v>
      </c>
      <c r="C154" s="18" t="s">
        <v>47</v>
      </c>
      <c r="D154" s="18" t="s">
        <v>48</v>
      </c>
      <c r="E154" s="18" t="s">
        <v>36</v>
      </c>
      <c r="F154" s="18" t="s">
        <v>45</v>
      </c>
      <c r="J154" s="19"/>
      <c r="K154" s="19">
        <v>0.67449999999999999</v>
      </c>
      <c r="L154" s="19">
        <v>0.71794871799999993</v>
      </c>
      <c r="M154" s="19">
        <v>0.67259999999999998</v>
      </c>
      <c r="N154" s="19">
        <v>1</v>
      </c>
      <c r="O154" s="19">
        <v>0.69230000000000003</v>
      </c>
      <c r="P154" s="19">
        <v>1</v>
      </c>
      <c r="Q154" s="19"/>
      <c r="R154" s="20">
        <v>70760</v>
      </c>
      <c r="S154" s="21" t="str">
        <f>HYPERLINK("https://www.bennington.edu/admissions-aid/financing-your-education/tuition-and-fees/net-price-calculator", "$24046")</f>
        <v>$24046</v>
      </c>
      <c r="T154" s="20">
        <v>26606</v>
      </c>
      <c r="U154" s="20">
        <v>25455</v>
      </c>
      <c r="V154" s="20">
        <v>3800</v>
      </c>
      <c r="W154" s="20">
        <v>20246</v>
      </c>
      <c r="Y154" s="19">
        <v>0.2039</v>
      </c>
      <c r="Z154" s="19">
        <v>0.41639999999999999</v>
      </c>
      <c r="AB154" s="18">
        <v>742</v>
      </c>
      <c r="AC154" s="18">
        <v>1</v>
      </c>
    </row>
    <row r="155" spans="1:29" ht="15.75" customHeight="1" x14ac:dyDescent="0.2">
      <c r="A155" s="36" t="str">
        <f>HYPERLINK("https://www.bentley.edu", "Bentley University")</f>
        <v>Bentley University</v>
      </c>
      <c r="B155" s="18" t="s">
        <v>32</v>
      </c>
      <c r="C155" s="18" t="s">
        <v>33</v>
      </c>
      <c r="D155" s="18" t="s">
        <v>62</v>
      </c>
      <c r="E155" s="18">
        <v>1319</v>
      </c>
      <c r="F155" s="18" t="s">
        <v>35</v>
      </c>
      <c r="J155" s="19"/>
      <c r="K155" s="19">
        <v>0.91279999999999994</v>
      </c>
      <c r="L155" s="19">
        <v>0.83185840700000002</v>
      </c>
      <c r="M155" s="19">
        <v>0.91959999999999997</v>
      </c>
      <c r="N155" s="19">
        <v>0.81820000000000004</v>
      </c>
      <c r="O155" s="19">
        <v>0.81669999999999998</v>
      </c>
      <c r="P155" s="19">
        <v>0.97330000000000005</v>
      </c>
      <c r="Q155" s="19"/>
      <c r="R155" s="20">
        <v>66180</v>
      </c>
      <c r="S155" s="21" t="str">
        <f>HYPERLINK("https://npc.collegeboard.org/student/app/bentley", "$21245")</f>
        <v>$21245</v>
      </c>
      <c r="T155" s="20">
        <v>26484</v>
      </c>
      <c r="U155" s="20">
        <v>30968</v>
      </c>
      <c r="V155" s="20">
        <v>2460</v>
      </c>
      <c r="W155" s="20">
        <v>18785</v>
      </c>
      <c r="Y155" s="19">
        <v>0.13120000000000001</v>
      </c>
      <c r="Z155" s="19">
        <v>0.38519999999999999</v>
      </c>
      <c r="AB155" s="18">
        <v>4203</v>
      </c>
      <c r="AC155" s="18">
        <v>2</v>
      </c>
    </row>
    <row r="156" spans="1:29" ht="15.75" customHeight="1" x14ac:dyDescent="0.2">
      <c r="A156" s="36" t="str">
        <f>HYPERLINK("https://www.berea.edu", "Berea College")</f>
        <v>Berea College</v>
      </c>
      <c r="B156" s="18" t="s">
        <v>32</v>
      </c>
      <c r="C156" s="18" t="s">
        <v>205</v>
      </c>
      <c r="D156" s="18" t="s">
        <v>305</v>
      </c>
      <c r="E156" s="18">
        <v>1188</v>
      </c>
      <c r="F156" s="18" t="s">
        <v>35</v>
      </c>
      <c r="J156" s="19"/>
      <c r="K156" s="19">
        <v>0.65949999999999998</v>
      </c>
      <c r="L156" s="19">
        <v>0.58149779700000004</v>
      </c>
      <c r="M156" s="19">
        <v>0.65910000000000002</v>
      </c>
      <c r="N156" s="19">
        <v>0.57330000000000003</v>
      </c>
      <c r="O156" s="19">
        <v>0.61539999999999995</v>
      </c>
      <c r="P156" s="19">
        <v>0.85709999999999997</v>
      </c>
      <c r="Q156" s="19"/>
      <c r="R156" s="20">
        <v>35394</v>
      </c>
      <c r="S156" s="21" t="str">
        <f>HYPERLINK("https://berea.studentaidcalculator.com/survey.aspx", "$838")</f>
        <v>$838</v>
      </c>
      <c r="T156" s="20">
        <v>2536</v>
      </c>
      <c r="U156" s="20">
        <v>9141</v>
      </c>
      <c r="V156" s="20">
        <v>3100</v>
      </c>
      <c r="W156" s="20">
        <v>-2262</v>
      </c>
      <c r="X156" s="18" t="s">
        <v>37</v>
      </c>
      <c r="Y156" s="19">
        <v>0.82040000000000002</v>
      </c>
      <c r="Z156" s="19">
        <v>0.43790000000000001</v>
      </c>
      <c r="AB156" s="18">
        <v>1610</v>
      </c>
      <c r="AC156" s="18">
        <v>3</v>
      </c>
    </row>
    <row r="157" spans="1:29" ht="15.75" customHeight="1" x14ac:dyDescent="0.2">
      <c r="A157" s="36" t="str">
        <f>HYPERLINK("https://www.bergen.edu", "Bergen Community College")</f>
        <v>Bergen Community College</v>
      </c>
      <c r="B157" s="18" t="s">
        <v>49</v>
      </c>
      <c r="C157" s="18" t="s">
        <v>141</v>
      </c>
      <c r="D157" s="18" t="s">
        <v>953</v>
      </c>
      <c r="E157" s="18" t="s">
        <v>36</v>
      </c>
      <c r="F157" s="18" t="s">
        <v>36</v>
      </c>
      <c r="J157" s="19"/>
      <c r="K157" s="19">
        <v>0.216</v>
      </c>
      <c r="L157" s="19">
        <v>0.23768272900000001</v>
      </c>
      <c r="M157" s="19">
        <v>0.29270000000000002</v>
      </c>
      <c r="N157" s="19">
        <v>0.15740000000000001</v>
      </c>
      <c r="O157" s="19">
        <v>0.1946</v>
      </c>
      <c r="P157" s="19">
        <v>0.29859999999999998</v>
      </c>
      <c r="Q157" s="19">
        <v>0.105212664</v>
      </c>
      <c r="R157" s="20">
        <v>26438</v>
      </c>
      <c r="S157" s="21" t="str">
        <f>HYPERLINK("https://bergen.edu/price_calculator/npcalc.htm", "$21513")</f>
        <v>$21513</v>
      </c>
      <c r="T157" s="20">
        <v>26438</v>
      </c>
      <c r="U157" s="20">
        <v>26438</v>
      </c>
      <c r="V157" s="20">
        <v>5320</v>
      </c>
      <c r="W157" s="20">
        <v>16193.895031490551</v>
      </c>
      <c r="Y157" s="19">
        <v>0.32279999999999998</v>
      </c>
      <c r="Z157" s="19">
        <v>0.68930000000000002</v>
      </c>
      <c r="AB157" s="18">
        <v>12933</v>
      </c>
      <c r="AC157" s="18">
        <v>6</v>
      </c>
    </row>
    <row r="158" spans="1:29" ht="15.75" customHeight="1" x14ac:dyDescent="0.2">
      <c r="A158" s="36" t="str">
        <f>HYPERLINK("https://www.berginu.edu", "Bergin University of Canine Studies")</f>
        <v>Bergin University of Canine Studies</v>
      </c>
      <c r="B158" s="18" t="s">
        <v>32</v>
      </c>
      <c r="C158" s="18" t="s">
        <v>68</v>
      </c>
      <c r="D158" s="18" t="s">
        <v>955</v>
      </c>
      <c r="E158" s="18" t="s">
        <v>36</v>
      </c>
      <c r="F158" s="18" t="s">
        <v>36</v>
      </c>
      <c r="J158" s="19"/>
      <c r="K158" s="19" t="s">
        <v>36</v>
      </c>
      <c r="L158" s="19" t="s">
        <v>36</v>
      </c>
      <c r="M158" s="19" t="s">
        <v>36</v>
      </c>
      <c r="N158" s="19" t="s">
        <v>36</v>
      </c>
      <c r="O158" s="19" t="s">
        <v>36</v>
      </c>
      <c r="P158" s="19" t="s">
        <v>36</v>
      </c>
      <c r="Q158" s="19" t="s">
        <v>36</v>
      </c>
      <c r="R158" s="20" t="s">
        <v>36</v>
      </c>
      <c r="S158" s="21" t="str">
        <f>HYPERLINK("https://www.berginu.edu/net-price-calculator.html", "Not reported")</f>
        <v>Not reported</v>
      </c>
      <c r="T158" s="20" t="s">
        <v>36</v>
      </c>
      <c r="U158" s="20" t="s">
        <v>36</v>
      </c>
      <c r="V158" s="20" t="s">
        <v>36</v>
      </c>
      <c r="W158" s="20" t="s">
        <v>36</v>
      </c>
      <c r="Y158" s="19">
        <v>0.26190000000000002</v>
      </c>
      <c r="Z158" s="19">
        <v>0.24390000000000001</v>
      </c>
      <c r="AB158" s="18">
        <v>41</v>
      </c>
      <c r="AC158" s="18">
        <v>6</v>
      </c>
    </row>
    <row r="159" spans="1:29" ht="15.75" customHeight="1" x14ac:dyDescent="0.2">
      <c r="A159" s="36" t="str">
        <f>HYPERLINK("https://www.berkeleycitycollege.edu/wp/", "Berkeley City College")</f>
        <v>Berkeley City College</v>
      </c>
      <c r="B159" s="18" t="s">
        <v>49</v>
      </c>
      <c r="C159" s="18" t="s">
        <v>68</v>
      </c>
      <c r="D159" s="18" t="s">
        <v>160</v>
      </c>
      <c r="E159" s="18" t="s">
        <v>36</v>
      </c>
      <c r="F159" s="18" t="s">
        <v>36</v>
      </c>
      <c r="J159" s="19"/>
      <c r="K159" s="19">
        <v>0.2462</v>
      </c>
      <c r="L159" s="19" t="s">
        <v>36</v>
      </c>
      <c r="M159" s="19">
        <v>0.27779999999999999</v>
      </c>
      <c r="N159" s="19">
        <v>9.8400000000000001E-2</v>
      </c>
      <c r="O159" s="19">
        <v>0.15240000000000001</v>
      </c>
      <c r="P159" s="19">
        <v>0.47760000000000002</v>
      </c>
      <c r="Q159" s="19">
        <v>0.163710778</v>
      </c>
      <c r="R159" s="20">
        <v>26766</v>
      </c>
      <c r="S159" s="21" t="str">
        <f>HYPERLINK("https://www.berkeleycitycollege.edu/wp/financial_aid/net-price-calculator/", "$19878")</f>
        <v>$19878</v>
      </c>
      <c r="T159" s="20">
        <v>21721</v>
      </c>
      <c r="U159" s="20">
        <v>25084</v>
      </c>
      <c r="V159" s="20">
        <v>6363</v>
      </c>
      <c r="W159" s="20">
        <v>13515.62745098039</v>
      </c>
      <c r="Y159" s="19">
        <v>0.1774</v>
      </c>
      <c r="Z159" s="19">
        <v>0.75150000000000006</v>
      </c>
      <c r="AB159" s="18">
        <v>5445</v>
      </c>
      <c r="AC159" s="18">
        <v>6</v>
      </c>
    </row>
    <row r="160" spans="1:29" ht="15.75" customHeight="1" x14ac:dyDescent="0.2">
      <c r="A160" s="36" t="str">
        <f>HYPERLINK("https://www.BerkeleyCollege.edu", "Berkeley College - Westchester Campus")</f>
        <v>Berkeley College - Westchester Campus</v>
      </c>
      <c r="B160" s="18" t="s">
        <v>368</v>
      </c>
      <c r="C160" s="18" t="s">
        <v>38</v>
      </c>
      <c r="D160" s="18" t="s">
        <v>644</v>
      </c>
      <c r="E160" s="18" t="s">
        <v>36</v>
      </c>
      <c r="F160" s="18" t="s">
        <v>36</v>
      </c>
      <c r="J160" s="19"/>
      <c r="K160" s="19" t="s">
        <v>36</v>
      </c>
      <c r="L160" s="19">
        <v>0.31971153899999999</v>
      </c>
      <c r="M160" s="19" t="s">
        <v>36</v>
      </c>
      <c r="N160" s="19" t="s">
        <v>36</v>
      </c>
      <c r="O160" s="19" t="s">
        <v>36</v>
      </c>
      <c r="P160" s="19" t="s">
        <v>36</v>
      </c>
      <c r="Q160" s="19"/>
      <c r="R160" s="20" t="s">
        <v>36</v>
      </c>
      <c r="S160" s="35" t="s">
        <v>36</v>
      </c>
      <c r="T160" s="20" t="s">
        <v>36</v>
      </c>
      <c r="U160" s="20" t="s">
        <v>36</v>
      </c>
      <c r="V160" s="20" t="s">
        <v>36</v>
      </c>
      <c r="W160" s="20" t="s">
        <v>36</v>
      </c>
      <c r="Y160" s="19" t="s">
        <v>36</v>
      </c>
      <c r="Z160" s="19" t="s">
        <v>36</v>
      </c>
      <c r="AB160" s="18" t="s">
        <v>36</v>
      </c>
      <c r="AC160" s="18">
        <v>5</v>
      </c>
    </row>
    <row r="161" spans="1:29" ht="15.75" customHeight="1" x14ac:dyDescent="0.2">
      <c r="A161" s="36" t="str">
        <f>HYPERLINK("https://www.BerkeleyCollege.edu", "Berkeley College-New York")</f>
        <v>Berkeley College-New York</v>
      </c>
      <c r="B161" s="18" t="s">
        <v>368</v>
      </c>
      <c r="C161" s="18" t="s">
        <v>38</v>
      </c>
      <c r="D161" s="18" t="s">
        <v>39</v>
      </c>
      <c r="E161" s="18" t="s">
        <v>36</v>
      </c>
      <c r="F161" s="18" t="s">
        <v>36</v>
      </c>
      <c r="J161" s="19"/>
      <c r="K161" s="19">
        <v>0.38179999999999997</v>
      </c>
      <c r="L161" s="19">
        <v>0.31971153899999999</v>
      </c>
      <c r="M161" s="19">
        <v>0.47760000000000002</v>
      </c>
      <c r="N161" s="19">
        <v>0.28420000000000001</v>
      </c>
      <c r="O161" s="19">
        <v>0.3589</v>
      </c>
      <c r="P161" s="19">
        <v>0.6774</v>
      </c>
      <c r="Q161" s="19"/>
      <c r="R161" s="20">
        <v>30916</v>
      </c>
      <c r="S161" s="21" t="str">
        <f>HYPERLINK("https://berkeleycollege.studentaidcalculator.com/welcome.aspx", "$21644")</f>
        <v>$21644</v>
      </c>
      <c r="T161" s="20">
        <v>24239</v>
      </c>
      <c r="U161" s="20" t="s">
        <v>36</v>
      </c>
      <c r="V161" s="20">
        <v>5616</v>
      </c>
      <c r="W161" s="20">
        <v>16028</v>
      </c>
      <c r="Y161" s="19">
        <v>0.62929999999999997</v>
      </c>
      <c r="Z161" s="19">
        <v>0.93459999999999999</v>
      </c>
      <c r="AB161" s="18">
        <v>3608</v>
      </c>
      <c r="AC161" s="18">
        <v>5</v>
      </c>
    </row>
    <row r="162" spans="1:29" ht="15.75" customHeight="1" x14ac:dyDescent="0.2">
      <c r="A162" s="36" t="str">
        <f>HYPERLINK("https://www.BerkeleyCollege.edu", "Berkeley College-Woodland Park")</f>
        <v>Berkeley College-Woodland Park</v>
      </c>
      <c r="B162" s="18" t="s">
        <v>368</v>
      </c>
      <c r="C162" s="18" t="s">
        <v>141</v>
      </c>
      <c r="D162" s="18" t="s">
        <v>645</v>
      </c>
      <c r="E162" s="18" t="s">
        <v>36</v>
      </c>
      <c r="F162" s="18" t="s">
        <v>36</v>
      </c>
      <c r="J162" s="19"/>
      <c r="K162" s="19">
        <v>0.33019999999999999</v>
      </c>
      <c r="L162" s="19">
        <v>0.297211155</v>
      </c>
      <c r="M162" s="19">
        <v>0.53910000000000002</v>
      </c>
      <c r="N162" s="19">
        <v>0.20810000000000001</v>
      </c>
      <c r="O162" s="19">
        <v>0.32969999999999999</v>
      </c>
      <c r="P162" s="19">
        <v>0.33329999999999999</v>
      </c>
      <c r="Q162" s="19"/>
      <c r="R162" s="20">
        <v>41894</v>
      </c>
      <c r="S162" s="21" t="str">
        <f>HYPERLINK("https://berkeleycollege.studentaidcalculator.com/welcome.aspx", "$18749")</f>
        <v>$18749</v>
      </c>
      <c r="T162" s="20">
        <v>26701</v>
      </c>
      <c r="U162" s="20">
        <v>22554</v>
      </c>
      <c r="V162" s="20">
        <v>5616</v>
      </c>
      <c r="W162" s="20">
        <v>13133</v>
      </c>
      <c r="Y162" s="19">
        <v>0.68389999999999995</v>
      </c>
      <c r="Z162" s="19">
        <v>0.87670000000000003</v>
      </c>
      <c r="AB162" s="18">
        <v>3342</v>
      </c>
      <c r="AC162" s="18">
        <v>5</v>
      </c>
    </row>
    <row r="163" spans="1:29" ht="15.75" customHeight="1" x14ac:dyDescent="0.2">
      <c r="A163" s="36" t="str">
        <f>HYPERLINK("https://www.berklee.edu", "Berklee College of Music")</f>
        <v>Berklee College of Music</v>
      </c>
      <c r="B163" s="18" t="s">
        <v>32</v>
      </c>
      <c r="C163" s="18" t="s">
        <v>33</v>
      </c>
      <c r="D163" s="18" t="s">
        <v>136</v>
      </c>
      <c r="E163" s="18" t="s">
        <v>36</v>
      </c>
      <c r="F163" s="18" t="s">
        <v>45</v>
      </c>
      <c r="J163" s="19"/>
      <c r="K163" s="19">
        <v>0.64029999999999998</v>
      </c>
      <c r="L163" s="19">
        <v>0.43231441100000001</v>
      </c>
      <c r="M163" s="19">
        <v>0.63870000000000005</v>
      </c>
      <c r="N163" s="19">
        <v>0.43940000000000001</v>
      </c>
      <c r="O163" s="19">
        <v>0.54790000000000005</v>
      </c>
      <c r="P163" s="19">
        <v>0.44829999999999998</v>
      </c>
      <c r="Q163" s="19"/>
      <c r="R163" s="20">
        <v>63574</v>
      </c>
      <c r="S163" s="21" t="str">
        <f>HYPERLINK("https://www.berklee.edu/paying-for-your-education/net-price-calculator", "$41090")</f>
        <v>$41090</v>
      </c>
      <c r="T163" s="20">
        <v>46390</v>
      </c>
      <c r="U163" s="20">
        <v>47290</v>
      </c>
      <c r="V163" s="20">
        <v>2644</v>
      </c>
      <c r="W163" s="20">
        <v>38446</v>
      </c>
      <c r="Y163" s="19">
        <v>0.16259999999999999</v>
      </c>
      <c r="Z163" s="19">
        <v>0.56509999999999994</v>
      </c>
      <c r="AB163" s="18">
        <v>6197</v>
      </c>
      <c r="AC163" s="18">
        <v>4</v>
      </c>
    </row>
    <row r="164" spans="1:29" ht="15.75" customHeight="1" x14ac:dyDescent="0.2">
      <c r="A164" s="36" t="str">
        <f>HYPERLINK("https://www.berkshirecc.edu", "Berkshire Community College")</f>
        <v>Berkshire Community College</v>
      </c>
      <c r="B164" s="18" t="s">
        <v>49</v>
      </c>
      <c r="C164" s="18" t="s">
        <v>33</v>
      </c>
      <c r="D164" s="18" t="s">
        <v>958</v>
      </c>
      <c r="E164" s="18" t="s">
        <v>36</v>
      </c>
      <c r="F164" s="18" t="s">
        <v>36</v>
      </c>
      <c r="J164" s="19"/>
      <c r="K164" s="19">
        <v>0.18459999999999999</v>
      </c>
      <c r="L164" s="19">
        <v>0.21226415100000001</v>
      </c>
      <c r="M164" s="19">
        <v>0.1951</v>
      </c>
      <c r="N164" s="19">
        <v>0</v>
      </c>
      <c r="O164" s="19">
        <v>0.1923</v>
      </c>
      <c r="P164" s="19">
        <v>0.25</v>
      </c>
      <c r="Q164" s="19">
        <v>7.6811593999999997E-2</v>
      </c>
      <c r="R164" s="20">
        <v>27484</v>
      </c>
      <c r="S164" s="21" t="str">
        <f>HYPERLINK("https://www.berkshirecc.edu/paying-for-college/cost-of-attendance/index.php", "$20568")</f>
        <v>$20568</v>
      </c>
      <c r="T164" s="20">
        <v>22336</v>
      </c>
      <c r="U164" s="20">
        <v>25816</v>
      </c>
      <c r="V164" s="20">
        <v>5550</v>
      </c>
      <c r="W164" s="20">
        <v>15018.36507936508</v>
      </c>
      <c r="Y164" s="19">
        <v>0.43080000000000002</v>
      </c>
      <c r="Z164" s="19">
        <v>0.24479999999999999</v>
      </c>
      <c r="AB164" s="18">
        <v>1585</v>
      </c>
      <c r="AC164" s="18">
        <v>6</v>
      </c>
    </row>
    <row r="165" spans="1:29" ht="15.75" customHeight="1" x14ac:dyDescent="0.2">
      <c r="A165" s="36" t="str">
        <f>HYPERLINK("https://www.berry.edu", "Berry College")</f>
        <v>Berry College</v>
      </c>
      <c r="B165" s="18" t="s">
        <v>32</v>
      </c>
      <c r="C165" s="18" t="s">
        <v>107</v>
      </c>
      <c r="D165" s="18" t="s">
        <v>198</v>
      </c>
      <c r="E165" s="18">
        <v>1247</v>
      </c>
      <c r="F165" s="18" t="s">
        <v>35</v>
      </c>
      <c r="J165" s="19"/>
      <c r="K165" s="19">
        <v>0.64090000000000003</v>
      </c>
      <c r="L165" s="19">
        <v>0.50806451600000002</v>
      </c>
      <c r="M165" s="19">
        <v>0.65480000000000005</v>
      </c>
      <c r="N165" s="19">
        <v>0.45829999999999999</v>
      </c>
      <c r="O165" s="19">
        <v>0.74070000000000003</v>
      </c>
      <c r="P165" s="19">
        <v>0.25</v>
      </c>
      <c r="Q165" s="19"/>
      <c r="R165" s="20">
        <v>50632</v>
      </c>
      <c r="S165" s="21" t="str">
        <f>HYPERLINK("https://www.berry.edu/npc", "$18808")</f>
        <v>$18808</v>
      </c>
      <c r="T165" s="20">
        <v>21808</v>
      </c>
      <c r="U165" s="20">
        <v>24896</v>
      </c>
      <c r="V165" s="20">
        <v>3196</v>
      </c>
      <c r="W165" s="20">
        <v>15612</v>
      </c>
      <c r="Y165" s="19">
        <v>0.2137</v>
      </c>
      <c r="Z165" s="19">
        <v>0.20119999999999999</v>
      </c>
      <c r="AB165" s="18">
        <v>1963</v>
      </c>
      <c r="AC165" s="18">
        <v>2</v>
      </c>
    </row>
    <row r="166" spans="1:29" ht="15.75" customHeight="1" x14ac:dyDescent="0.2">
      <c r="A166" s="36" t="str">
        <f>HYPERLINK("https://bethhatalmud.com", "Beth Hatalmud Rabbinical College")</f>
        <v>Beth Hatalmud Rabbinical College</v>
      </c>
      <c r="B166" s="18" t="s">
        <v>32</v>
      </c>
      <c r="C166" s="18" t="s">
        <v>38</v>
      </c>
      <c r="D166" s="18" t="s">
        <v>593</v>
      </c>
      <c r="E166" s="18" t="s">
        <v>36</v>
      </c>
      <c r="F166" s="18" t="s">
        <v>45</v>
      </c>
      <c r="J166" s="19"/>
      <c r="K166" s="19">
        <v>7.1400000000000005E-2</v>
      </c>
      <c r="L166" s="19" t="s">
        <v>36</v>
      </c>
      <c r="M166" s="19">
        <v>7.1400000000000005E-2</v>
      </c>
      <c r="N166" s="19" t="s">
        <v>36</v>
      </c>
      <c r="O166" s="19" t="s">
        <v>36</v>
      </c>
      <c r="P166" s="19" t="s">
        <v>36</v>
      </c>
      <c r="Q166" s="19" t="s">
        <v>36</v>
      </c>
      <c r="R166" s="20">
        <v>14300</v>
      </c>
      <c r="S166" s="21" t="str">
        <f>HYPERLINK("https://sites.google.com/site/bethhatalmudrabbinicalcollege", "Not reported")</f>
        <v>Not reported</v>
      </c>
      <c r="T166" s="20" t="s">
        <v>36</v>
      </c>
      <c r="U166" s="20" t="s">
        <v>36</v>
      </c>
      <c r="V166" s="20">
        <v>5800</v>
      </c>
      <c r="W166" s="20" t="s">
        <v>36</v>
      </c>
      <c r="Y166" s="19">
        <v>0.66669999999999996</v>
      </c>
      <c r="Z166" s="19">
        <v>0</v>
      </c>
      <c r="AB166" s="18">
        <v>11</v>
      </c>
      <c r="AC166" s="18">
        <v>6</v>
      </c>
    </row>
    <row r="167" spans="1:29" ht="15.75" customHeight="1" x14ac:dyDescent="0.2">
      <c r="A167" s="36" t="str">
        <f>HYPERLINK("https://www.bethanywv.edu", "Bethany College")</f>
        <v>Bethany College</v>
      </c>
      <c r="B167" s="18" t="s">
        <v>32</v>
      </c>
      <c r="C167" s="18" t="s">
        <v>574</v>
      </c>
      <c r="D167" s="18" t="s">
        <v>575</v>
      </c>
      <c r="E167" s="18">
        <v>1012</v>
      </c>
      <c r="F167" s="18" t="s">
        <v>35</v>
      </c>
      <c r="J167" s="19"/>
      <c r="K167" s="19">
        <v>0.45789999999999997</v>
      </c>
      <c r="L167" s="19">
        <v>0.248</v>
      </c>
      <c r="M167" s="19">
        <v>0.61899999999999999</v>
      </c>
      <c r="N167" s="19">
        <v>0.2727</v>
      </c>
      <c r="O167" s="19">
        <v>0.57140000000000002</v>
      </c>
      <c r="P167" s="19">
        <v>0.5</v>
      </c>
      <c r="Q167" s="19"/>
      <c r="R167" s="20">
        <v>42674</v>
      </c>
      <c r="S167" s="21" t="str">
        <f>HYPERLINK("https://www.bethanywv.edu/admissions-aid/scholarships-financial-aid/scholarships/", "$18733")</f>
        <v>$18733</v>
      </c>
      <c r="T167" s="20">
        <v>19568</v>
      </c>
      <c r="U167" s="20">
        <v>22249</v>
      </c>
      <c r="V167" s="20">
        <v>3800</v>
      </c>
      <c r="W167" s="20">
        <v>14933</v>
      </c>
      <c r="Y167" s="19">
        <v>0.45429999999999998</v>
      </c>
      <c r="Z167" s="19">
        <v>0.4556</v>
      </c>
      <c r="AB167" s="18">
        <v>597</v>
      </c>
      <c r="AC167" s="18">
        <v>4</v>
      </c>
    </row>
    <row r="168" spans="1:29" ht="15.75" customHeight="1" x14ac:dyDescent="0.2">
      <c r="A168" s="36" t="str">
        <f>HYPERLINK("https://www.bethanylb.edu", "Bethany College")</f>
        <v>Bethany College</v>
      </c>
      <c r="B168" s="18" t="s">
        <v>32</v>
      </c>
      <c r="C168" s="18" t="s">
        <v>307</v>
      </c>
      <c r="D168" s="18" t="s">
        <v>646</v>
      </c>
      <c r="E168" s="18">
        <v>1027</v>
      </c>
      <c r="F168" s="18" t="s">
        <v>35</v>
      </c>
      <c r="J168" s="19"/>
      <c r="K168" s="19">
        <v>0.4733</v>
      </c>
      <c r="L168" s="19">
        <v>0.265625</v>
      </c>
      <c r="M168" s="19">
        <v>0.5</v>
      </c>
      <c r="N168" s="19">
        <v>0.2</v>
      </c>
      <c r="O168" s="19">
        <v>0.45450000000000002</v>
      </c>
      <c r="P168" s="19" t="s">
        <v>36</v>
      </c>
      <c r="Q168" s="19"/>
      <c r="R168" s="20">
        <v>42963</v>
      </c>
      <c r="S168" s="21" t="str">
        <f>HYPERLINK("https://www.bethanylb.edu/future/financial-aid/calculator/", "$21443")</f>
        <v>$21443</v>
      </c>
      <c r="T168" s="20">
        <v>22624</v>
      </c>
      <c r="U168" s="20">
        <v>25332</v>
      </c>
      <c r="V168" s="20">
        <v>5966</v>
      </c>
      <c r="W168" s="20">
        <v>15477</v>
      </c>
      <c r="Y168" s="19">
        <v>0.38390000000000002</v>
      </c>
      <c r="Z168" s="19">
        <v>0.45350000000000001</v>
      </c>
      <c r="AB168" s="18">
        <v>710</v>
      </c>
      <c r="AC168" s="18">
        <v>5</v>
      </c>
    </row>
    <row r="169" spans="1:29" ht="15.75" customHeight="1" x14ac:dyDescent="0.2">
      <c r="A169" s="36" t="str">
        <f>HYPERLINK("https://www.betheluniversity.edu", "Bethel College-Indiana")</f>
        <v>Bethel College-Indiana</v>
      </c>
      <c r="B169" s="18" t="s">
        <v>32</v>
      </c>
      <c r="C169" s="18" t="s">
        <v>148</v>
      </c>
      <c r="D169" s="18" t="s">
        <v>576</v>
      </c>
      <c r="E169" s="18">
        <v>1077</v>
      </c>
      <c r="F169" s="18" t="s">
        <v>35</v>
      </c>
      <c r="J169" s="19"/>
      <c r="K169" s="19">
        <v>0.6421</v>
      </c>
      <c r="L169" s="19">
        <v>0.17670682700000001</v>
      </c>
      <c r="M169" s="19">
        <v>0.66959999999999997</v>
      </c>
      <c r="N169" s="19">
        <v>0.35</v>
      </c>
      <c r="O169" s="19">
        <v>0.73329999999999995</v>
      </c>
      <c r="P169" s="19">
        <v>0.5</v>
      </c>
      <c r="Q169" s="19"/>
      <c r="R169" s="20">
        <v>40730</v>
      </c>
      <c r="S169" s="21" t="str">
        <f>HYPERLINK("https://www.betheluniversity.edu/admission-aid/financial-aid/aid-for-traditional-undergraduate-students/net-price-calculator", "$14934")</f>
        <v>$14934</v>
      </c>
      <c r="T169" s="20">
        <v>16577</v>
      </c>
      <c r="U169" s="20">
        <v>20837</v>
      </c>
      <c r="V169" s="20">
        <v>3900</v>
      </c>
      <c r="W169" s="20">
        <v>11034</v>
      </c>
      <c r="Y169" s="19">
        <v>0.44159999999999999</v>
      </c>
      <c r="Z169" s="19">
        <v>0.28069999999999989</v>
      </c>
      <c r="AB169" s="18">
        <v>1254</v>
      </c>
      <c r="AC169" s="18">
        <v>4</v>
      </c>
    </row>
    <row r="170" spans="1:29" ht="15.75" customHeight="1" x14ac:dyDescent="0.2">
      <c r="A170" s="36" t="str">
        <f>HYPERLINK("https://www.bethelks.edu", "Bethel College-North Newton")</f>
        <v>Bethel College-North Newton</v>
      </c>
      <c r="B170" s="18" t="s">
        <v>32</v>
      </c>
      <c r="C170" s="18" t="s">
        <v>307</v>
      </c>
      <c r="D170" s="18" t="s">
        <v>309</v>
      </c>
      <c r="E170" s="18" t="s">
        <v>36</v>
      </c>
      <c r="F170" s="18" t="s">
        <v>90</v>
      </c>
      <c r="J170" s="19"/>
      <c r="K170" s="19">
        <v>0.42059999999999997</v>
      </c>
      <c r="L170" s="19" t="s">
        <v>36</v>
      </c>
      <c r="M170" s="19">
        <v>0.50529999999999997</v>
      </c>
      <c r="N170" s="19">
        <v>5.8799999999999998E-2</v>
      </c>
      <c r="O170" s="19">
        <v>0.22220000000000001</v>
      </c>
      <c r="P170" s="19">
        <v>0</v>
      </c>
      <c r="Q170" s="19"/>
      <c r="R170" s="20">
        <v>42040</v>
      </c>
      <c r="S170" s="21" t="str">
        <f>HYPERLINK("https://www.bethelks.edu/affordability/general-information/npc", "$20609")</f>
        <v>$20609</v>
      </c>
      <c r="T170" s="20">
        <v>25338</v>
      </c>
      <c r="U170" s="20">
        <v>21748</v>
      </c>
      <c r="V170" s="20">
        <v>5050</v>
      </c>
      <c r="W170" s="20">
        <v>15559</v>
      </c>
      <c r="Y170" s="19">
        <v>0.43480000000000002</v>
      </c>
      <c r="Z170" s="19">
        <v>0.33400000000000007</v>
      </c>
      <c r="AB170" s="18">
        <v>503</v>
      </c>
      <c r="AC170" s="18">
        <v>3</v>
      </c>
    </row>
    <row r="171" spans="1:29" ht="15.75" customHeight="1" x14ac:dyDescent="0.2">
      <c r="A171" s="36" t="str">
        <f>HYPERLINK("https://www.bethelu.edu/", "Bethel University")</f>
        <v>Bethel University</v>
      </c>
      <c r="B171" s="18" t="s">
        <v>32</v>
      </c>
      <c r="C171" s="18" t="s">
        <v>174</v>
      </c>
      <c r="D171" s="18" t="s">
        <v>577</v>
      </c>
      <c r="E171" s="18">
        <v>970</v>
      </c>
      <c r="F171" s="18" t="s">
        <v>35</v>
      </c>
      <c r="J171" s="19"/>
      <c r="K171" s="19">
        <v>0.27150000000000002</v>
      </c>
      <c r="L171" s="19">
        <v>0.24698795200000001</v>
      </c>
      <c r="M171" s="19">
        <v>0.31559999999999999</v>
      </c>
      <c r="N171" s="19">
        <v>0.17560000000000001</v>
      </c>
      <c r="O171" s="19">
        <v>0.25</v>
      </c>
      <c r="P171" s="19">
        <v>1</v>
      </c>
      <c r="Q171" s="19"/>
      <c r="R171" s="20">
        <v>31570</v>
      </c>
      <c r="S171" s="21" t="str">
        <f>HYPERLINK("https://www.bethelu.edu/fa_calc/", "$13635")</f>
        <v>$13635</v>
      </c>
      <c r="T171" s="20">
        <v>15329</v>
      </c>
      <c r="U171" s="20">
        <v>17276</v>
      </c>
      <c r="V171" s="20">
        <v>5820</v>
      </c>
      <c r="W171" s="20">
        <v>7815</v>
      </c>
      <c r="Y171" s="19">
        <v>0.50509999999999999</v>
      </c>
      <c r="Z171" s="19">
        <v>0.49059999999999998</v>
      </c>
      <c r="AB171" s="18">
        <v>3975</v>
      </c>
      <c r="AC171" s="18">
        <v>4</v>
      </c>
    </row>
    <row r="172" spans="1:29" ht="15.75" customHeight="1" x14ac:dyDescent="0.2">
      <c r="A172" s="36" t="str">
        <f>HYPERLINK("https://www.bethel.edu", "Bethel University")</f>
        <v>Bethel University</v>
      </c>
      <c r="B172" s="18" t="s">
        <v>32</v>
      </c>
      <c r="C172" s="18" t="s">
        <v>72</v>
      </c>
      <c r="D172" s="18" t="s">
        <v>131</v>
      </c>
      <c r="E172" s="18">
        <v>1181</v>
      </c>
      <c r="F172" s="18" t="s">
        <v>35</v>
      </c>
      <c r="J172" s="19"/>
      <c r="K172" s="19">
        <v>0.70520000000000005</v>
      </c>
      <c r="L172" s="19">
        <v>0.497109827</v>
      </c>
      <c r="M172" s="19">
        <v>0.73009999999999997</v>
      </c>
      <c r="N172" s="19">
        <v>0.57140000000000002</v>
      </c>
      <c r="O172" s="19">
        <v>0.75</v>
      </c>
      <c r="P172" s="19">
        <v>0.5</v>
      </c>
      <c r="Q172" s="19"/>
      <c r="R172" s="20">
        <v>50350</v>
      </c>
      <c r="S172" s="21" t="str">
        <f>HYPERLINK("https://www.bethel.edu/undergrad/financial-aid/before-apply/estimate/", "$19355")</f>
        <v>$19355</v>
      </c>
      <c r="T172" s="20">
        <v>21856</v>
      </c>
      <c r="U172" s="20">
        <v>26492</v>
      </c>
      <c r="V172" s="20">
        <v>3800</v>
      </c>
      <c r="W172" s="20">
        <v>15555</v>
      </c>
      <c r="Y172" s="19">
        <v>0.23849999999999999</v>
      </c>
      <c r="Z172" s="19">
        <v>0.23839999999999989</v>
      </c>
      <c r="AB172" s="18">
        <v>2777</v>
      </c>
      <c r="AC172" s="18">
        <v>3</v>
      </c>
    </row>
    <row r="173" spans="1:29" ht="15.75" customHeight="1" x14ac:dyDescent="0.2">
      <c r="A173" s="36" t="str">
        <f>HYPERLINK("https://www.cookman.edu", "Bethune-Cookman University")</f>
        <v>Bethune-Cookman University</v>
      </c>
      <c r="B173" s="18" t="s">
        <v>32</v>
      </c>
      <c r="C173" s="18" t="s">
        <v>162</v>
      </c>
      <c r="D173" s="18" t="s">
        <v>578</v>
      </c>
      <c r="E173" s="18" t="s">
        <v>36</v>
      </c>
      <c r="F173" s="18" t="s">
        <v>36</v>
      </c>
      <c r="J173" s="19"/>
      <c r="K173" s="19">
        <v>0.36570000000000003</v>
      </c>
      <c r="L173" s="19">
        <v>0.28531468500000001</v>
      </c>
      <c r="M173" s="19">
        <v>0.125</v>
      </c>
      <c r="N173" s="19">
        <v>0.3599</v>
      </c>
      <c r="O173" s="19">
        <v>0.4667</v>
      </c>
      <c r="P173" s="19">
        <v>1</v>
      </c>
      <c r="Q173" s="19"/>
      <c r="R173" s="20">
        <v>29172</v>
      </c>
      <c r="S173" s="21" t="str">
        <f>HYPERLINK("https://nces.ed.gov/ipeds/netpricecalculator/", "$18445")</f>
        <v>$18445</v>
      </c>
      <c r="T173" s="20">
        <v>21768</v>
      </c>
      <c r="U173" s="20">
        <v>22349</v>
      </c>
      <c r="V173" s="20">
        <v>5850</v>
      </c>
      <c r="W173" s="20">
        <v>12595</v>
      </c>
      <c r="Y173" s="19">
        <v>0.75870000000000004</v>
      </c>
      <c r="Z173" s="19">
        <v>0.98850000000000005</v>
      </c>
      <c r="AB173" s="18">
        <v>3905</v>
      </c>
      <c r="AC173" s="18">
        <v>4</v>
      </c>
    </row>
    <row r="174" spans="1:29" ht="15.75" customHeight="1" x14ac:dyDescent="0.2">
      <c r="A174" s="36" t="str">
        <f>HYPERLINK("https://www.bhdi.edu", "Academy of Couture Art")</f>
        <v>Academy of Couture Art</v>
      </c>
      <c r="B174" s="18" t="s">
        <v>368</v>
      </c>
      <c r="C174" s="18" t="s">
        <v>68</v>
      </c>
      <c r="D174" s="18" t="s">
        <v>959</v>
      </c>
      <c r="E174" s="18" t="s">
        <v>36</v>
      </c>
      <c r="F174" s="18" t="s">
        <v>45</v>
      </c>
      <c r="J174" s="19"/>
      <c r="K174" s="19">
        <v>0.85709999999999997</v>
      </c>
      <c r="L174" s="19" t="s">
        <v>36</v>
      </c>
      <c r="M174" s="19">
        <v>1</v>
      </c>
      <c r="N174" s="19">
        <v>1</v>
      </c>
      <c r="O174" s="19">
        <v>1</v>
      </c>
      <c r="P174" s="19">
        <v>1</v>
      </c>
      <c r="Q174" s="19" t="s">
        <v>36</v>
      </c>
      <c r="R174" s="20">
        <v>39471</v>
      </c>
      <c r="S174" s="21" t="str">
        <f>HYPERLINK("https://paulmitchell.edu/ogden/programs/cosmetology-barbering", "$37533")</f>
        <v>$37533</v>
      </c>
      <c r="T174" s="20" t="s">
        <v>36</v>
      </c>
      <c r="U174" s="20" t="s">
        <v>36</v>
      </c>
      <c r="V174" s="20">
        <v>3300</v>
      </c>
      <c r="W174" s="20">
        <v>34233</v>
      </c>
      <c r="Y174" s="19">
        <v>0.4</v>
      </c>
      <c r="Z174" s="19">
        <v>0.66670000000000007</v>
      </c>
      <c r="AB174" s="18">
        <v>18</v>
      </c>
      <c r="AC174" s="18">
        <v>6</v>
      </c>
    </row>
    <row r="175" spans="1:29" ht="15.75" customHeight="1" x14ac:dyDescent="0.2">
      <c r="A175" s="36" t="str">
        <f>HYPERLINK("https://www.bscc.edu", "Bevill State Community College")</f>
        <v>Bevill State Community College</v>
      </c>
      <c r="B175" s="18" t="s">
        <v>49</v>
      </c>
      <c r="C175" s="18" t="s">
        <v>300</v>
      </c>
      <c r="D175" s="18" t="s">
        <v>961</v>
      </c>
      <c r="E175" s="18" t="s">
        <v>36</v>
      </c>
      <c r="F175" s="18" t="s">
        <v>36</v>
      </c>
      <c r="J175" s="19"/>
      <c r="K175" s="19">
        <v>0.19020000000000001</v>
      </c>
      <c r="L175" s="19">
        <v>0.167892977</v>
      </c>
      <c r="M175" s="19">
        <v>0.2198</v>
      </c>
      <c r="N175" s="19">
        <v>4.9500000000000002E-2</v>
      </c>
      <c r="O175" s="19">
        <v>0.25</v>
      </c>
      <c r="P175" s="19">
        <v>0.5</v>
      </c>
      <c r="Q175" s="19">
        <v>5.9421842000000002E-2</v>
      </c>
      <c r="R175" s="20">
        <v>19524</v>
      </c>
      <c r="S175" s="21" t="str">
        <f>HYPERLINK("https://www.bscc.edu/students/financial-aid/net-cost-calculator", "$14109")</f>
        <v>$14109</v>
      </c>
      <c r="T175" s="20">
        <v>15562</v>
      </c>
      <c r="U175" s="20">
        <v>14808</v>
      </c>
      <c r="V175" s="20">
        <v>7650</v>
      </c>
      <c r="W175" s="20">
        <v>6459.4830769230757</v>
      </c>
      <c r="Y175" s="19">
        <v>0.47639999999999999</v>
      </c>
      <c r="Z175" s="19">
        <v>0.2044</v>
      </c>
      <c r="AB175" s="18">
        <v>3029</v>
      </c>
      <c r="AC175" s="18">
        <v>6</v>
      </c>
    </row>
    <row r="176" spans="1:29" ht="15.75" customHeight="1" x14ac:dyDescent="0.2">
      <c r="A176" s="36" t="str">
        <f>HYPERLINK("https://www.bigbend.edu", "Big Bend Community College")</f>
        <v>Big Bend Community College</v>
      </c>
      <c r="B176" s="18" t="s">
        <v>49</v>
      </c>
      <c r="C176" s="18" t="s">
        <v>184</v>
      </c>
      <c r="D176" s="18" t="s">
        <v>962</v>
      </c>
      <c r="E176" s="18" t="s">
        <v>36</v>
      </c>
      <c r="F176" s="18" t="s">
        <v>36</v>
      </c>
      <c r="J176" s="19"/>
      <c r="K176" s="19">
        <v>0.3614</v>
      </c>
      <c r="L176" s="19">
        <v>0.270718232</v>
      </c>
      <c r="M176" s="19">
        <v>0.37430000000000002</v>
      </c>
      <c r="N176" s="19">
        <v>0.4</v>
      </c>
      <c r="O176" s="19">
        <v>0.33329999999999999</v>
      </c>
      <c r="P176" s="19">
        <v>0.2</v>
      </c>
      <c r="Q176" s="19">
        <v>5.9665871000000002E-2</v>
      </c>
      <c r="R176" s="20">
        <v>16176</v>
      </c>
      <c r="S176" s="21" t="str">
        <f>HYPERLINK("https://www.bigbend.edu/admissions/financial-aid/net-price-calculator/", "$8727")</f>
        <v>$8727</v>
      </c>
      <c r="T176" s="20">
        <v>10768</v>
      </c>
      <c r="U176" s="20">
        <v>15943</v>
      </c>
      <c r="V176" s="20">
        <v>3870</v>
      </c>
      <c r="W176" s="20">
        <v>4857.5801526717551</v>
      </c>
      <c r="Y176" s="19">
        <v>0.37159999999999999</v>
      </c>
      <c r="Z176" s="19">
        <v>0.49940000000000001</v>
      </c>
      <c r="AB176" s="18">
        <v>1618</v>
      </c>
      <c r="AC176" s="18">
        <v>6</v>
      </c>
    </row>
    <row r="177" spans="1:29" ht="15.75" customHeight="1" x14ac:dyDescent="0.2">
      <c r="A177" s="36" t="str">
        <f>HYPERLINK("https://www.binghamton.edu", "SUNY at Binghamton")</f>
        <v>SUNY at Binghamton</v>
      </c>
      <c r="B177" s="18" t="s">
        <v>49</v>
      </c>
      <c r="C177" s="18" t="s">
        <v>38</v>
      </c>
      <c r="D177" s="18" t="s">
        <v>50</v>
      </c>
      <c r="E177" s="18">
        <v>1365</v>
      </c>
      <c r="F177" s="18" t="s">
        <v>35</v>
      </c>
      <c r="G177" s="18" t="s">
        <v>51</v>
      </c>
      <c r="H177" s="18" t="s">
        <v>52</v>
      </c>
      <c r="I177" s="18" t="s">
        <v>53</v>
      </c>
      <c r="J177" s="19"/>
      <c r="K177" s="19">
        <v>0.82310000000000005</v>
      </c>
      <c r="L177" s="19">
        <v>0.68445122000000003</v>
      </c>
      <c r="M177" s="19">
        <v>0.8569</v>
      </c>
      <c r="N177" s="19">
        <v>0.76859999999999995</v>
      </c>
      <c r="O177" s="19">
        <v>0.75800000000000001</v>
      </c>
      <c r="P177" s="19">
        <v>0.83750000000000002</v>
      </c>
      <c r="Q177" s="19"/>
      <c r="R177" s="20">
        <v>26100</v>
      </c>
      <c r="S177" s="21" t="str">
        <f>HYPERLINK("https://www.suny.edu/howmuch/netpricecalculator.xhtml?id=2&amp;embed=n&amp;headerUrl=www.binghamton.edu/npc/logo.png&amp;cssUrl=www.binghamton.edu/np", "$11911")</f>
        <v>$11911</v>
      </c>
      <c r="T177" s="20">
        <v>18969</v>
      </c>
      <c r="U177" s="20">
        <v>22471</v>
      </c>
      <c r="V177" s="20">
        <v>2000</v>
      </c>
      <c r="W177" s="20">
        <v>9911</v>
      </c>
      <c r="Y177" s="19">
        <v>0.27789999999999998</v>
      </c>
      <c r="Z177" s="19">
        <v>0.42559999999999998</v>
      </c>
      <c r="AB177" s="18">
        <v>13702</v>
      </c>
      <c r="AC177" s="18">
        <v>1</v>
      </c>
    </row>
    <row r="178" spans="1:29" ht="15.75" customHeight="1" x14ac:dyDescent="0.2">
      <c r="A178" s="36" t="str">
        <f>HYPERLINK("https://www.biola.edu", "Biola University")</f>
        <v>Biola University</v>
      </c>
      <c r="B178" s="18" t="s">
        <v>32</v>
      </c>
      <c r="C178" s="18" t="s">
        <v>68</v>
      </c>
      <c r="D178" s="18" t="s">
        <v>310</v>
      </c>
      <c r="E178" s="18">
        <v>1186</v>
      </c>
      <c r="F178" s="18" t="s">
        <v>35</v>
      </c>
      <c r="J178" s="19"/>
      <c r="K178" s="19">
        <v>0.73350000000000004</v>
      </c>
      <c r="L178" s="19">
        <v>0.56967213100000003</v>
      </c>
      <c r="M178" s="19">
        <v>0.76619999999999999</v>
      </c>
      <c r="N178" s="19">
        <v>0.66669999999999996</v>
      </c>
      <c r="O178" s="19">
        <v>0.69010000000000005</v>
      </c>
      <c r="P178" s="19">
        <v>0.73550000000000004</v>
      </c>
      <c r="Q178" s="19"/>
      <c r="R178" s="20">
        <v>54516</v>
      </c>
      <c r="S178" s="21" t="str">
        <f>HYPERLINK("https://www.biola.edu/undergrad/financial-aid/net-price-calculator#net-price", "$25804")</f>
        <v>$25804</v>
      </c>
      <c r="T178" s="20">
        <v>30467</v>
      </c>
      <c r="U178" s="20">
        <v>32577</v>
      </c>
      <c r="V178" s="20">
        <v>5096</v>
      </c>
      <c r="W178" s="20">
        <v>20708</v>
      </c>
      <c r="Y178" s="19">
        <v>0.30130000000000001</v>
      </c>
      <c r="Z178" s="19">
        <v>0.5383</v>
      </c>
      <c r="AB178" s="18">
        <v>4039</v>
      </c>
      <c r="AC178" s="18">
        <v>3</v>
      </c>
    </row>
    <row r="179" spans="1:29" ht="15.75" customHeight="1" x14ac:dyDescent="0.2">
      <c r="A179" s="36" t="str">
        <f>HYPERLINK("https://www.bsc.edu/", "Birmingham Southern College")</f>
        <v>Birmingham Southern College</v>
      </c>
      <c r="B179" s="18" t="s">
        <v>32</v>
      </c>
      <c r="C179" s="18" t="s">
        <v>300</v>
      </c>
      <c r="D179" s="18" t="s">
        <v>311</v>
      </c>
      <c r="E179" s="18">
        <v>1231</v>
      </c>
      <c r="F179" s="18" t="s">
        <v>35</v>
      </c>
      <c r="J179" s="19"/>
      <c r="K179" s="19">
        <v>0.66059999999999997</v>
      </c>
      <c r="L179" s="19">
        <v>0.49230769200000002</v>
      </c>
      <c r="M179" s="19">
        <v>0.66810000000000003</v>
      </c>
      <c r="N179" s="19">
        <v>0.64</v>
      </c>
      <c r="O179" s="19">
        <v>0.66669999999999996</v>
      </c>
      <c r="P179" s="19">
        <v>0.57140000000000002</v>
      </c>
      <c r="Q179" s="19"/>
      <c r="R179" s="20">
        <v>52414</v>
      </c>
      <c r="S179" s="21" t="str">
        <f>HYPERLINK("https://www.bsc.edu/fp/np-calculator.cfm", "$20264")</f>
        <v>$20264</v>
      </c>
      <c r="T179" s="20">
        <v>21548</v>
      </c>
      <c r="U179" s="20">
        <v>22964</v>
      </c>
      <c r="V179" s="20">
        <v>4260</v>
      </c>
      <c r="W179" s="20">
        <v>16004</v>
      </c>
      <c r="Y179" s="19">
        <v>0.19170000000000001</v>
      </c>
      <c r="Z179" s="19">
        <v>0.20730000000000001</v>
      </c>
      <c r="AB179" s="18">
        <v>1283</v>
      </c>
      <c r="AC179" s="18">
        <v>3</v>
      </c>
    </row>
    <row r="180" spans="1:29" ht="15.75" customHeight="1" x14ac:dyDescent="0.2">
      <c r="A180" s="36" t="str">
        <f>HYPERLINK("https://bismarckstate.edu/", "Bismarck State College")</f>
        <v>Bismarck State College</v>
      </c>
      <c r="B180" s="18" t="s">
        <v>49</v>
      </c>
      <c r="C180" s="18" t="s">
        <v>730</v>
      </c>
      <c r="D180" s="18" t="s">
        <v>965</v>
      </c>
      <c r="E180" s="18" t="s">
        <v>36</v>
      </c>
      <c r="F180" s="18" t="s">
        <v>36</v>
      </c>
      <c r="J180" s="19"/>
      <c r="K180" s="19">
        <v>0.4365</v>
      </c>
      <c r="L180" s="19">
        <v>0.39270386299999999</v>
      </c>
      <c r="M180" s="19">
        <v>0.47539999999999999</v>
      </c>
      <c r="N180" s="19">
        <v>9.0899999999999995E-2</v>
      </c>
      <c r="O180" s="19">
        <v>0.2</v>
      </c>
      <c r="P180" s="19">
        <v>0.6</v>
      </c>
      <c r="Q180" s="19">
        <v>7.1029529000000008E-2</v>
      </c>
      <c r="R180" s="20">
        <v>21072</v>
      </c>
      <c r="S180" s="21" t="str">
        <f>HYPERLINK("https://bismarckstate.edu/includes/netprice/", "$14984")</f>
        <v>$14984</v>
      </c>
      <c r="T180" s="20">
        <v>17607</v>
      </c>
      <c r="U180" s="20">
        <v>19587</v>
      </c>
      <c r="V180" s="20">
        <v>4400</v>
      </c>
      <c r="W180" s="20">
        <v>10584.028776978421</v>
      </c>
      <c r="Y180" s="19">
        <v>0.1517</v>
      </c>
      <c r="Z180" s="19">
        <v>0.14449999999999999</v>
      </c>
      <c r="AB180" s="18">
        <v>2892</v>
      </c>
      <c r="AC180" s="18">
        <v>6</v>
      </c>
    </row>
    <row r="181" spans="1:29" ht="15.75" customHeight="1" x14ac:dyDescent="0.2">
      <c r="A181" s="36" t="str">
        <f>HYPERLINK("https://www.bhc.edu", "Black Hawk College")</f>
        <v>Black Hawk College</v>
      </c>
      <c r="B181" s="18" t="s">
        <v>49</v>
      </c>
      <c r="C181" s="18" t="s">
        <v>137</v>
      </c>
      <c r="D181" s="18" t="s">
        <v>967</v>
      </c>
      <c r="E181" s="18" t="s">
        <v>36</v>
      </c>
      <c r="F181" s="18" t="s">
        <v>36</v>
      </c>
      <c r="J181" s="19"/>
      <c r="K181" s="19">
        <v>0.26579999999999998</v>
      </c>
      <c r="L181" s="19">
        <v>5.4368932000000002E-2</v>
      </c>
      <c r="M181" s="19">
        <v>0.32129999999999997</v>
      </c>
      <c r="N181" s="19">
        <v>0.05</v>
      </c>
      <c r="O181" s="19">
        <v>0.26</v>
      </c>
      <c r="P181" s="19">
        <v>0.66669999999999996</v>
      </c>
      <c r="Q181" s="19">
        <v>0.13127930300000001</v>
      </c>
      <c r="R181" s="20">
        <v>19961</v>
      </c>
      <c r="S181" s="21" t="str">
        <f>HYPERLINK("https://www.bhc.edu/admissions/paying-for-college/cost-of-attendance/", "$13248")</f>
        <v>$13248</v>
      </c>
      <c r="T181" s="20">
        <v>16601</v>
      </c>
      <c r="U181" s="20">
        <v>18807</v>
      </c>
      <c r="V181" s="20">
        <v>5527</v>
      </c>
      <c r="W181" s="20">
        <v>7721.8579545454559</v>
      </c>
      <c r="Y181" s="19">
        <v>0.2772</v>
      </c>
      <c r="Z181" s="19">
        <v>0.3256</v>
      </c>
      <c r="AB181" s="18">
        <v>3256</v>
      </c>
      <c r="AC181" s="18">
        <v>6</v>
      </c>
    </row>
    <row r="182" spans="1:29" ht="15.75" customHeight="1" x14ac:dyDescent="0.2">
      <c r="A182" s="36" t="str">
        <f>HYPERLINK("https://www.bhsu.edu", "Black Hills State University")</f>
        <v>Black Hills State University</v>
      </c>
      <c r="B182" s="18" t="s">
        <v>49</v>
      </c>
      <c r="C182" s="18" t="s">
        <v>302</v>
      </c>
      <c r="D182" s="18" t="s">
        <v>648</v>
      </c>
      <c r="E182" s="18">
        <v>1065</v>
      </c>
      <c r="F182" s="18" t="s">
        <v>35</v>
      </c>
      <c r="J182" s="19"/>
      <c r="K182" s="19">
        <v>0.35320000000000001</v>
      </c>
      <c r="L182" s="19">
        <v>0.25164113799999999</v>
      </c>
      <c r="M182" s="19">
        <v>0.36840000000000001</v>
      </c>
      <c r="N182" s="19">
        <v>0.33329999999999999</v>
      </c>
      <c r="O182" s="19">
        <v>0.36359999999999998</v>
      </c>
      <c r="P182" s="19" t="s">
        <v>36</v>
      </c>
      <c r="Q182" s="19"/>
      <c r="R182" s="20">
        <v>23922</v>
      </c>
      <c r="S182" s="21" t="str">
        <f>HYPERLINK("https://www.bhsu.edu/desktopmodules/npc/npcalc.htm", "$18043")</f>
        <v>$18043</v>
      </c>
      <c r="T182" s="20">
        <v>21315</v>
      </c>
      <c r="U182" s="20">
        <v>22457</v>
      </c>
      <c r="V182" s="20">
        <v>5500</v>
      </c>
      <c r="W182" s="20">
        <v>12543.22857142857</v>
      </c>
      <c r="Y182" s="19">
        <v>0.2802</v>
      </c>
      <c r="Z182" s="19">
        <v>0.19009999999999999</v>
      </c>
      <c r="AB182" s="18">
        <v>2736</v>
      </c>
      <c r="AC182" s="18">
        <v>5</v>
      </c>
    </row>
    <row r="183" spans="1:29" ht="15.75" customHeight="1" x14ac:dyDescent="0.2">
      <c r="A183" s="36" t="str">
        <f>HYPERLINK("https://www.blackburn.edu", "Blackburn College")</f>
        <v>Blackburn College</v>
      </c>
      <c r="B183" s="18" t="s">
        <v>32</v>
      </c>
      <c r="C183" s="18" t="s">
        <v>137</v>
      </c>
      <c r="D183" s="18" t="s">
        <v>579</v>
      </c>
      <c r="E183" s="18">
        <v>1041</v>
      </c>
      <c r="F183" s="18" t="s">
        <v>35</v>
      </c>
      <c r="J183" s="19"/>
      <c r="K183" s="19">
        <v>0.47520000000000001</v>
      </c>
      <c r="L183" s="19">
        <v>0.25352112700000001</v>
      </c>
      <c r="M183" s="19">
        <v>0.52590000000000003</v>
      </c>
      <c r="N183" s="19">
        <v>0.1</v>
      </c>
      <c r="O183" s="19">
        <v>0.66669999999999996</v>
      </c>
      <c r="P183" s="19">
        <v>0</v>
      </c>
      <c r="Q183" s="19"/>
      <c r="R183" s="20">
        <v>31302</v>
      </c>
      <c r="S183" s="21" t="str">
        <f>HYPERLINK("https://blackburn.edu/prospective-students/net-price-calculator/", "$9959")</f>
        <v>$9959</v>
      </c>
      <c r="T183" s="20">
        <v>13294</v>
      </c>
      <c r="U183" s="20">
        <v>15588</v>
      </c>
      <c r="V183" s="20">
        <v>1650</v>
      </c>
      <c r="W183" s="20">
        <v>8309</v>
      </c>
      <c r="Y183" s="19">
        <v>0.60070000000000001</v>
      </c>
      <c r="Z183" s="19">
        <v>0.2437</v>
      </c>
      <c r="AB183" s="18">
        <v>554</v>
      </c>
      <c r="AC183" s="18">
        <v>4</v>
      </c>
    </row>
    <row r="184" spans="1:29" ht="15.75" customHeight="1" x14ac:dyDescent="0.2">
      <c r="A184" s="36" t="str">
        <f>HYPERLINK("https://bfcc.edu", "Blackfeet Community College")</f>
        <v>Blackfeet Community College</v>
      </c>
      <c r="B184" s="18" t="s">
        <v>32</v>
      </c>
      <c r="C184" s="18" t="s">
        <v>421</v>
      </c>
      <c r="D184" s="18" t="s">
        <v>970</v>
      </c>
      <c r="E184" s="18" t="s">
        <v>36</v>
      </c>
      <c r="F184" s="18" t="s">
        <v>36</v>
      </c>
      <c r="J184" s="19"/>
      <c r="K184" s="19">
        <v>7.0699999999999999E-2</v>
      </c>
      <c r="L184" s="19" t="s">
        <v>36</v>
      </c>
      <c r="M184" s="19">
        <v>0</v>
      </c>
      <c r="N184" s="19" t="s">
        <v>36</v>
      </c>
      <c r="O184" s="19">
        <v>0</v>
      </c>
      <c r="P184" s="19" t="s">
        <v>36</v>
      </c>
      <c r="Q184" s="19" t="s">
        <v>36</v>
      </c>
      <c r="R184" s="20">
        <v>20396</v>
      </c>
      <c r="S184" s="21" t="str">
        <f>HYPERLINK("https://bfcc.edu/academics/net-price-calculator/", "$7040")</f>
        <v>$7040</v>
      </c>
      <c r="T184" s="20">
        <v>10098</v>
      </c>
      <c r="U184" s="20">
        <v>9055</v>
      </c>
      <c r="V184" s="20">
        <v>7169</v>
      </c>
      <c r="W184" s="20">
        <v>-129</v>
      </c>
      <c r="Y184" s="19">
        <v>0.66349999999999998</v>
      </c>
      <c r="Z184" s="19">
        <v>0.91400000000000003</v>
      </c>
      <c r="AB184" s="18">
        <v>372</v>
      </c>
      <c r="AC184" s="18">
        <v>6</v>
      </c>
    </row>
    <row r="185" spans="1:29" ht="15.75" customHeight="1" x14ac:dyDescent="0.2">
      <c r="A185" s="36" t="str">
        <f>HYPERLINK("https://www.bladencc.edu", "Bladen Community College")</f>
        <v>Bladen Community College</v>
      </c>
      <c r="B185" s="18" t="s">
        <v>49</v>
      </c>
      <c r="C185" s="18" t="s">
        <v>103</v>
      </c>
      <c r="D185" s="18" t="s">
        <v>972</v>
      </c>
      <c r="E185" s="18" t="s">
        <v>36</v>
      </c>
      <c r="F185" s="18" t="s">
        <v>36</v>
      </c>
      <c r="J185" s="19"/>
      <c r="K185" s="19">
        <v>9.35E-2</v>
      </c>
      <c r="L185" s="19">
        <v>9.3922651999999995E-2</v>
      </c>
      <c r="M185" s="19">
        <v>6.9800000000000001E-2</v>
      </c>
      <c r="N185" s="19">
        <v>0.1</v>
      </c>
      <c r="O185" s="19">
        <v>0</v>
      </c>
      <c r="P185" s="19" t="s">
        <v>36</v>
      </c>
      <c r="Q185" s="19">
        <v>1.9847328000000001E-2</v>
      </c>
      <c r="R185" s="20">
        <v>23126</v>
      </c>
      <c r="S185" s="21" t="str">
        <f>HYPERLINK("https://www.bladencc.edu", "$20318")</f>
        <v>$20318</v>
      </c>
      <c r="T185" s="20">
        <v>21435</v>
      </c>
      <c r="U185" s="20" t="s">
        <v>36</v>
      </c>
      <c r="V185" s="20">
        <v>7050</v>
      </c>
      <c r="W185" s="20">
        <v>13268.39240506329</v>
      </c>
      <c r="Y185" s="19">
        <v>0.55449999999999999</v>
      </c>
      <c r="Z185" s="19">
        <v>0.57240000000000002</v>
      </c>
      <c r="AB185" s="18">
        <v>849</v>
      </c>
      <c r="AC185" s="18">
        <v>6</v>
      </c>
    </row>
    <row r="186" spans="1:29" ht="15.75" customHeight="1" x14ac:dyDescent="0.2">
      <c r="A186" s="36" t="str">
        <f>HYPERLINK("https://www.blinn.edu", "Blinn College")</f>
        <v>Blinn College</v>
      </c>
      <c r="B186" s="18" t="s">
        <v>49</v>
      </c>
      <c r="C186" s="18" t="s">
        <v>146</v>
      </c>
      <c r="D186" s="18" t="s">
        <v>973</v>
      </c>
      <c r="E186" s="18" t="s">
        <v>36</v>
      </c>
      <c r="F186" s="18" t="s">
        <v>36</v>
      </c>
      <c r="J186" s="19"/>
      <c r="K186" s="19">
        <v>9.5299999999999996E-2</v>
      </c>
      <c r="L186" s="19">
        <v>7.7658975999999991E-2</v>
      </c>
      <c r="M186" s="19">
        <v>0.1057</v>
      </c>
      <c r="N186" s="19">
        <v>9.4200000000000006E-2</v>
      </c>
      <c r="O186" s="19">
        <v>6.7500000000000004E-2</v>
      </c>
      <c r="P186" s="19">
        <v>4.2599999999999999E-2</v>
      </c>
      <c r="Q186" s="19">
        <v>0.22654402100000001</v>
      </c>
      <c r="R186" s="20">
        <v>22574</v>
      </c>
      <c r="S186" s="21" t="str">
        <f>HYPERLINK("https://www.collegeforalltexans.com/apps/CollegeMoney/", "$17620")</f>
        <v>$17620</v>
      </c>
      <c r="T186" s="20">
        <v>20807</v>
      </c>
      <c r="U186" s="20">
        <v>22312</v>
      </c>
      <c r="V186" s="20">
        <v>7726</v>
      </c>
      <c r="W186" s="20">
        <v>9894.8948655256718</v>
      </c>
      <c r="Y186" s="19">
        <v>0.2238</v>
      </c>
      <c r="Z186" s="19">
        <v>0.39860000000000001</v>
      </c>
      <c r="AB186" s="18">
        <v>17123</v>
      </c>
      <c r="AC186" s="18">
        <v>6</v>
      </c>
    </row>
    <row r="187" spans="1:29" ht="15.75" customHeight="1" x14ac:dyDescent="0.2">
      <c r="A187" s="36" t="str">
        <f>HYPERLINK("https://www.bloomfield.edu/", "Bloomfield College")</f>
        <v>Bloomfield College</v>
      </c>
      <c r="B187" s="18" t="s">
        <v>32</v>
      </c>
      <c r="C187" s="18" t="s">
        <v>141</v>
      </c>
      <c r="D187" s="18" t="s">
        <v>580</v>
      </c>
      <c r="E187" s="18">
        <v>934</v>
      </c>
      <c r="F187" s="18" t="s">
        <v>115</v>
      </c>
      <c r="J187" s="19"/>
      <c r="K187" s="19">
        <v>0.31979999999999997</v>
      </c>
      <c r="L187" s="19">
        <v>0.279898219</v>
      </c>
      <c r="M187" s="19">
        <v>0.42109999999999997</v>
      </c>
      <c r="N187" s="19">
        <v>0.30580000000000002</v>
      </c>
      <c r="O187" s="19">
        <v>0.25</v>
      </c>
      <c r="P187" s="19">
        <v>0.5</v>
      </c>
      <c r="Q187" s="19"/>
      <c r="R187" s="20">
        <v>45670</v>
      </c>
      <c r="S187" s="21" t="str">
        <f>HYPERLINK("https://bloomfield.studentaidcalculator.com/survey.aspx", "$17644")</f>
        <v>$17644</v>
      </c>
      <c r="T187" s="20">
        <v>20908</v>
      </c>
      <c r="U187" s="20">
        <v>25142</v>
      </c>
      <c r="V187" s="20">
        <v>4670</v>
      </c>
      <c r="W187" s="20">
        <v>12974</v>
      </c>
      <c r="Y187" s="19">
        <v>0.68379999999999996</v>
      </c>
      <c r="Z187" s="19">
        <v>0.91</v>
      </c>
      <c r="AB187" s="18">
        <v>1833</v>
      </c>
      <c r="AC187" s="18">
        <v>4</v>
      </c>
    </row>
    <row r="188" spans="1:29" ht="15.75" customHeight="1" x14ac:dyDescent="0.2">
      <c r="A188" s="36" t="str">
        <f>HYPERLINK("https://www.bloomu.edu", "Bloomsburg University of Pennsylvania")</f>
        <v>Bloomsburg University of Pennsylvania</v>
      </c>
      <c r="B188" s="18" t="s">
        <v>49</v>
      </c>
      <c r="C188" s="18" t="s">
        <v>65</v>
      </c>
      <c r="D188" s="18" t="s">
        <v>649</v>
      </c>
      <c r="E188" s="18">
        <v>1063</v>
      </c>
      <c r="F188" s="18" t="s">
        <v>35</v>
      </c>
      <c r="J188" s="19"/>
      <c r="K188" s="19">
        <v>0.58040000000000003</v>
      </c>
      <c r="L188" s="19">
        <v>0.47909407700000001</v>
      </c>
      <c r="M188" s="19">
        <v>0.61860000000000004</v>
      </c>
      <c r="N188" s="19">
        <v>0.35580000000000001</v>
      </c>
      <c r="O188" s="19">
        <v>0.2969</v>
      </c>
      <c r="P188" s="19">
        <v>0.35289999999999999</v>
      </c>
      <c r="Q188" s="19"/>
      <c r="R188" s="20">
        <v>35750</v>
      </c>
      <c r="S188" s="21" t="str">
        <f>HYPERLINK("https://www.passhe.edu/answers/Calculator/BL/npcalc-211158.htm", "$28103")</f>
        <v>$28103</v>
      </c>
      <c r="T188" s="20">
        <v>31583</v>
      </c>
      <c r="U188" s="20">
        <v>34584</v>
      </c>
      <c r="V188" s="20">
        <v>4340</v>
      </c>
      <c r="W188" s="20">
        <v>23763.582809224321</v>
      </c>
      <c r="Y188" s="19">
        <v>0.32329999999999998</v>
      </c>
      <c r="Z188" s="19">
        <v>0.2167</v>
      </c>
      <c r="AB188" s="18">
        <v>8276</v>
      </c>
      <c r="AC188" s="18">
        <v>5</v>
      </c>
    </row>
    <row r="189" spans="1:29" ht="15.75" customHeight="1" x14ac:dyDescent="0.2">
      <c r="A189" s="36" t="str">
        <f>HYPERLINK("https://www.bluecc.edu", "Blue Mountain Community College")</f>
        <v>Blue Mountain Community College</v>
      </c>
      <c r="B189" s="18" t="s">
        <v>49</v>
      </c>
      <c r="C189" s="18" t="s">
        <v>143</v>
      </c>
      <c r="D189" s="18" t="s">
        <v>974</v>
      </c>
      <c r="E189" s="18" t="s">
        <v>36</v>
      </c>
      <c r="F189" s="18" t="s">
        <v>36</v>
      </c>
      <c r="J189" s="19"/>
      <c r="K189" s="19">
        <v>0.37909999999999999</v>
      </c>
      <c r="L189" s="19">
        <v>0.15745393599999999</v>
      </c>
      <c r="M189" s="19">
        <v>0.3211</v>
      </c>
      <c r="N189" s="19">
        <v>0</v>
      </c>
      <c r="O189" s="19">
        <v>0.59319999999999995</v>
      </c>
      <c r="P189" s="19" t="s">
        <v>36</v>
      </c>
      <c r="Q189" s="19">
        <v>7.2832369999999994E-2</v>
      </c>
      <c r="R189" s="20">
        <v>27897</v>
      </c>
      <c r="S189" s="21" t="str">
        <f>HYPERLINK("https://proxy.bluecc.edu/supportfiles/Net%20Price%20Calculator/npcalc.htm", "$21962")</f>
        <v>$21962</v>
      </c>
      <c r="T189" s="20">
        <v>24077</v>
      </c>
      <c r="U189" s="20">
        <v>25857</v>
      </c>
      <c r="V189" s="20">
        <v>3742</v>
      </c>
      <c r="W189" s="20">
        <v>18220.32</v>
      </c>
      <c r="Y189" s="19">
        <v>0.36199999999999999</v>
      </c>
      <c r="Z189" s="19">
        <v>0.40870000000000001</v>
      </c>
      <c r="AB189" s="18">
        <v>1358</v>
      </c>
      <c r="AC189" s="18">
        <v>6</v>
      </c>
    </row>
    <row r="190" spans="1:29" ht="15.75" customHeight="1" x14ac:dyDescent="0.2">
      <c r="A190" s="36" t="str">
        <f>HYPERLINK("https://www.brcc.edu", "Blue Ridge Community College")</f>
        <v>Blue Ridge Community College</v>
      </c>
      <c r="B190" s="18" t="s">
        <v>49</v>
      </c>
      <c r="C190" s="18" t="s">
        <v>83</v>
      </c>
      <c r="D190" s="18" t="s">
        <v>977</v>
      </c>
      <c r="E190" s="18" t="s">
        <v>36</v>
      </c>
      <c r="F190" s="18" t="s">
        <v>36</v>
      </c>
      <c r="J190" s="19"/>
      <c r="K190" s="19">
        <v>0.31159999999999999</v>
      </c>
      <c r="L190" s="19">
        <v>0.252840909</v>
      </c>
      <c r="M190" s="19">
        <v>0.33789999999999998</v>
      </c>
      <c r="N190" s="19">
        <v>0.30769999999999997</v>
      </c>
      <c r="O190" s="19">
        <v>0.16</v>
      </c>
      <c r="P190" s="19">
        <v>0.36359999999999998</v>
      </c>
      <c r="Q190" s="19">
        <v>7.0723684000000009E-2</v>
      </c>
      <c r="R190" s="20">
        <v>29010</v>
      </c>
      <c r="S190" s="21" t="str">
        <f>HYPERLINK("https://www.vawizard.org/wizard/financing-college", "$23949")</f>
        <v>$23949</v>
      </c>
      <c r="T190" s="20">
        <v>25463</v>
      </c>
      <c r="U190" s="20">
        <v>27820</v>
      </c>
      <c r="V190" s="20">
        <v>8380</v>
      </c>
      <c r="W190" s="20">
        <v>15569.328042328039</v>
      </c>
      <c r="Y190" s="19">
        <v>0.3367</v>
      </c>
      <c r="Z190" s="19">
        <v>0.25209999999999999</v>
      </c>
      <c r="AB190" s="18">
        <v>3054</v>
      </c>
      <c r="AC190" s="18">
        <v>6</v>
      </c>
    </row>
    <row r="191" spans="1:29" ht="15.75" customHeight="1" x14ac:dyDescent="0.2">
      <c r="A191" s="36" t="str">
        <f>HYPERLINK("https://www.bluefield.edu", "Bluefield College")</f>
        <v>Bluefield College</v>
      </c>
      <c r="B191" s="18" t="s">
        <v>32</v>
      </c>
      <c r="C191" s="18" t="s">
        <v>83</v>
      </c>
      <c r="D191" s="18" t="s">
        <v>581</v>
      </c>
      <c r="E191" s="18">
        <v>986</v>
      </c>
      <c r="F191" s="18" t="s">
        <v>35</v>
      </c>
      <c r="J191" s="19"/>
      <c r="K191" s="19">
        <v>0.20530000000000001</v>
      </c>
      <c r="L191" s="19">
        <v>0.357798165</v>
      </c>
      <c r="M191" s="19">
        <v>0.28410000000000002</v>
      </c>
      <c r="N191" s="19">
        <v>5.7700000000000001E-2</v>
      </c>
      <c r="O191" s="19">
        <v>0</v>
      </c>
      <c r="P191" s="19" t="s">
        <v>36</v>
      </c>
      <c r="Q191" s="19"/>
      <c r="R191" s="20">
        <v>37403</v>
      </c>
      <c r="S191" s="21" t="str">
        <f>HYPERLINK("https://www.bluefield.edu/admissions-and-aid/bc-central/financial-aid/net-price-calculator/", "$20165")</f>
        <v>$20165</v>
      </c>
      <c r="T191" s="20">
        <v>22111</v>
      </c>
      <c r="U191" s="20">
        <v>23122</v>
      </c>
      <c r="V191" s="20">
        <v>3760</v>
      </c>
      <c r="W191" s="20">
        <v>16405</v>
      </c>
      <c r="Y191" s="19">
        <v>0.50449999999999995</v>
      </c>
      <c r="Z191" s="19">
        <v>0.38560000000000011</v>
      </c>
      <c r="AB191" s="18">
        <v>874</v>
      </c>
      <c r="AC191" s="18">
        <v>4</v>
      </c>
    </row>
    <row r="192" spans="1:29" ht="15.75" customHeight="1" x14ac:dyDescent="0.2">
      <c r="A192" s="36" t="str">
        <f>HYPERLINK("https://www.bluefieldstate.edu", "Bluefield State College")</f>
        <v>Bluefield State College</v>
      </c>
      <c r="B192" s="18" t="s">
        <v>49</v>
      </c>
      <c r="C192" s="18" t="s">
        <v>574</v>
      </c>
      <c r="D192" s="18" t="s">
        <v>581</v>
      </c>
      <c r="E192" s="18">
        <v>994</v>
      </c>
      <c r="F192" s="18" t="s">
        <v>35</v>
      </c>
      <c r="J192" s="19"/>
      <c r="K192" s="19">
        <v>0.2069</v>
      </c>
      <c r="L192" s="19">
        <v>0.13123359600000001</v>
      </c>
      <c r="M192" s="19">
        <v>0.21460000000000001</v>
      </c>
      <c r="N192" s="19">
        <v>0.1053</v>
      </c>
      <c r="O192" s="19">
        <v>0</v>
      </c>
      <c r="P192" s="19" t="s">
        <v>36</v>
      </c>
      <c r="Q192" s="19"/>
      <c r="R192" s="20">
        <v>29332</v>
      </c>
      <c r="S192" s="21" t="str">
        <f>HYPERLINK("https://bluefieldstate.edu/tuition/net-price-calculator", "$21400")</f>
        <v>$21400</v>
      </c>
      <c r="T192" s="20">
        <v>24786</v>
      </c>
      <c r="U192" s="20">
        <v>26763</v>
      </c>
      <c r="V192" s="20">
        <v>6000</v>
      </c>
      <c r="W192" s="20">
        <v>15400.346534653459</v>
      </c>
      <c r="Y192" s="19">
        <v>0.56979999999999997</v>
      </c>
      <c r="Z192" s="19">
        <v>0.15110000000000001</v>
      </c>
      <c r="AB192" s="18">
        <v>1363</v>
      </c>
      <c r="AC192" s="18">
        <v>5</v>
      </c>
    </row>
    <row r="193" spans="1:29" ht="15.75" customHeight="1" x14ac:dyDescent="0.2">
      <c r="A193" s="36" t="str">
        <f>HYPERLINK("https://www.bluffton.edu", "Bluffton University")</f>
        <v>Bluffton University</v>
      </c>
      <c r="B193" s="18" t="s">
        <v>32</v>
      </c>
      <c r="C193" s="18" t="s">
        <v>75</v>
      </c>
      <c r="D193" s="18" t="s">
        <v>582</v>
      </c>
      <c r="E193" s="18">
        <v>1057</v>
      </c>
      <c r="F193" s="18" t="s">
        <v>35</v>
      </c>
      <c r="J193" s="19"/>
      <c r="K193" s="19">
        <v>0.50800000000000001</v>
      </c>
      <c r="L193" s="19">
        <v>0.43298969100000001</v>
      </c>
      <c r="M193" s="19">
        <v>0.58379999999999999</v>
      </c>
      <c r="N193" s="19">
        <v>0.1724</v>
      </c>
      <c r="O193" s="19">
        <v>0.58330000000000004</v>
      </c>
      <c r="P193" s="19" t="s">
        <v>36</v>
      </c>
      <c r="Q193" s="19"/>
      <c r="R193" s="20">
        <v>46156</v>
      </c>
      <c r="S193" s="21" t="str">
        <f>HYPERLINK("https://www.bluffton.edu/admissions/financialaid/calculator.html", "$21487")</f>
        <v>$21487</v>
      </c>
      <c r="T193" s="20">
        <v>22809</v>
      </c>
      <c r="U193" s="20">
        <v>26476</v>
      </c>
      <c r="V193" s="20">
        <v>4000</v>
      </c>
      <c r="W193" s="20">
        <v>17487</v>
      </c>
      <c r="Y193" s="19">
        <v>0.36990000000000001</v>
      </c>
      <c r="Z193" s="19">
        <v>0.21190000000000001</v>
      </c>
      <c r="AB193" s="18">
        <v>703</v>
      </c>
      <c r="AC193" s="18">
        <v>4</v>
      </c>
    </row>
    <row r="194" spans="1:29" ht="15.75" customHeight="1" x14ac:dyDescent="0.2">
      <c r="A194" s="36" t="str">
        <f>HYPERLINK("https://www.bju.edu", "Bob Jones University")</f>
        <v>Bob Jones University</v>
      </c>
      <c r="B194" s="18" t="s">
        <v>368</v>
      </c>
      <c r="C194" s="18" t="s">
        <v>208</v>
      </c>
      <c r="D194" s="18" t="s">
        <v>220</v>
      </c>
      <c r="E194" s="18">
        <v>1146</v>
      </c>
      <c r="F194" s="18" t="s">
        <v>35</v>
      </c>
      <c r="J194" s="19"/>
      <c r="K194" s="19">
        <v>0.66949999999999998</v>
      </c>
      <c r="L194" s="19">
        <v>0.40414507799999999</v>
      </c>
      <c r="M194" s="19">
        <v>0.69410000000000005</v>
      </c>
      <c r="N194" s="19">
        <v>0.5</v>
      </c>
      <c r="O194" s="19">
        <v>0.61539999999999995</v>
      </c>
      <c r="P194" s="19">
        <v>0.72219999999999995</v>
      </c>
      <c r="Q194" s="19"/>
      <c r="R194" s="20">
        <v>25950</v>
      </c>
      <c r="S194" s="21" t="str">
        <f>HYPERLINK("https://www.bju.edu/admission/tuition-aid/net-price-calculator.php", "$11533")</f>
        <v>$11533</v>
      </c>
      <c r="T194" s="20">
        <v>13119</v>
      </c>
      <c r="U194" s="20">
        <v>16488</v>
      </c>
      <c r="V194" s="20">
        <v>2800</v>
      </c>
      <c r="W194" s="20">
        <v>8733</v>
      </c>
      <c r="Y194" s="19">
        <v>0.36280000000000001</v>
      </c>
      <c r="Z194" s="19">
        <v>0.23949999999999999</v>
      </c>
      <c r="AB194" s="18">
        <v>2367</v>
      </c>
      <c r="AC194" s="18">
        <v>4</v>
      </c>
    </row>
    <row r="195" spans="1:29" ht="15.75" customHeight="1" x14ac:dyDescent="0.2">
      <c r="A195" s="36" t="str">
        <f>HYPERLINK("https://www.boisestate.edu", "Boise State University")</f>
        <v>Boise State University</v>
      </c>
      <c r="B195" s="18" t="s">
        <v>49</v>
      </c>
      <c r="C195" s="18" t="s">
        <v>486</v>
      </c>
      <c r="D195" s="18" t="s">
        <v>583</v>
      </c>
      <c r="E195" s="18">
        <v>1093</v>
      </c>
      <c r="F195" s="18" t="s">
        <v>35</v>
      </c>
      <c r="J195" s="19"/>
      <c r="K195" s="19">
        <v>0.43940000000000001</v>
      </c>
      <c r="L195" s="19">
        <v>0.32139253299999998</v>
      </c>
      <c r="M195" s="19">
        <v>0.42899999999999999</v>
      </c>
      <c r="N195" s="19">
        <v>0.33329999999999999</v>
      </c>
      <c r="O195" s="19">
        <v>0.38550000000000001</v>
      </c>
      <c r="P195" s="19">
        <v>0.4884</v>
      </c>
      <c r="Q195" s="19"/>
      <c r="R195" s="20">
        <v>37248</v>
      </c>
      <c r="S195" s="21" t="str">
        <f>HYPERLINK("https://financialaid.boisestate.edu/net-price-calculator/", "$30337")</f>
        <v>$30337</v>
      </c>
      <c r="T195" s="20">
        <v>32936</v>
      </c>
      <c r="U195" s="20">
        <v>35300</v>
      </c>
      <c r="V195" s="20">
        <v>4564</v>
      </c>
      <c r="W195" s="20">
        <v>25773.98568019093</v>
      </c>
      <c r="Y195" s="19">
        <v>0.27510000000000001</v>
      </c>
      <c r="Z195" s="19">
        <v>0.25879999999999997</v>
      </c>
      <c r="AB195" s="18">
        <v>16265</v>
      </c>
      <c r="AC195" s="18">
        <v>4</v>
      </c>
    </row>
    <row r="196" spans="1:29" ht="15.75" customHeight="1" x14ac:dyDescent="0.2">
      <c r="A196" s="36" t="str">
        <f>HYPERLINK("https://www.bpcc.edu", "Bossier Parish Community College")</f>
        <v>Bossier Parish Community College</v>
      </c>
      <c r="B196" s="18" t="s">
        <v>49</v>
      </c>
      <c r="C196" s="18" t="s">
        <v>158</v>
      </c>
      <c r="D196" s="18" t="s">
        <v>978</v>
      </c>
      <c r="E196" s="18" t="s">
        <v>36</v>
      </c>
      <c r="F196" s="18" t="s">
        <v>36</v>
      </c>
      <c r="J196" s="19"/>
      <c r="K196" s="19">
        <v>0.1021</v>
      </c>
      <c r="L196" s="19">
        <v>0.16271722</v>
      </c>
      <c r="M196" s="19">
        <v>0.1694</v>
      </c>
      <c r="N196" s="19">
        <v>5.3400000000000003E-2</v>
      </c>
      <c r="O196" s="19">
        <v>6.5199999999999994E-2</v>
      </c>
      <c r="P196" s="19">
        <v>0</v>
      </c>
      <c r="Q196" s="19">
        <v>6.823144099999999E-2</v>
      </c>
      <c r="R196" s="20">
        <v>23190</v>
      </c>
      <c r="S196" s="21" t="str">
        <f>HYPERLINK("https://www.bpcc.edu/financialaid/netpricecalculator/index.html", "$17830")</f>
        <v>$17830</v>
      </c>
      <c r="T196" s="20">
        <v>20714</v>
      </c>
      <c r="U196" s="20">
        <v>21874</v>
      </c>
      <c r="V196" s="20">
        <v>5373</v>
      </c>
      <c r="W196" s="20">
        <v>12457.672180451131</v>
      </c>
      <c r="Y196" s="19">
        <v>0.52059999999999995</v>
      </c>
      <c r="Z196" s="19">
        <v>0.5444</v>
      </c>
      <c r="AB196" s="18">
        <v>5975</v>
      </c>
      <c r="AC196" s="18">
        <v>6</v>
      </c>
    </row>
    <row r="197" spans="1:29" ht="15.75" customHeight="1" x14ac:dyDescent="0.2">
      <c r="A197" s="36" t="str">
        <f>HYPERLINK("https://www.the-bac.edu", "Boston Architectural College")</f>
        <v>Boston Architectural College</v>
      </c>
      <c r="B197" s="18" t="s">
        <v>32</v>
      </c>
      <c r="C197" s="18" t="s">
        <v>33</v>
      </c>
      <c r="D197" s="18" t="s">
        <v>136</v>
      </c>
      <c r="E197" s="18" t="s">
        <v>36</v>
      </c>
      <c r="F197" s="18" t="s">
        <v>36</v>
      </c>
      <c r="J197" s="19"/>
      <c r="K197" s="19">
        <v>0.10340000000000001</v>
      </c>
      <c r="L197" s="19" t="s">
        <v>36</v>
      </c>
      <c r="M197" s="19">
        <v>0.16669999999999999</v>
      </c>
      <c r="N197" s="19">
        <v>0</v>
      </c>
      <c r="O197" s="19">
        <v>0</v>
      </c>
      <c r="P197" s="19">
        <v>0</v>
      </c>
      <c r="Q197" s="19"/>
      <c r="R197" s="20">
        <v>40654</v>
      </c>
      <c r="S197" s="21" t="str">
        <f>HYPERLINK("https://www.the-bac.edu/admissions-and-financial-aid/financial-aid/net-price-calculator", "$24327")</f>
        <v>$24327</v>
      </c>
      <c r="T197" s="20" t="s">
        <v>36</v>
      </c>
      <c r="U197" s="20">
        <v>34048</v>
      </c>
      <c r="V197" s="20">
        <v>4234</v>
      </c>
      <c r="W197" s="20">
        <v>20093</v>
      </c>
      <c r="Y197" s="19">
        <v>0.29320000000000002</v>
      </c>
      <c r="Z197" s="19">
        <v>0.61640000000000006</v>
      </c>
      <c r="AB197" s="18">
        <v>318</v>
      </c>
      <c r="AC197" s="18">
        <v>4</v>
      </c>
    </row>
    <row r="198" spans="1:29" ht="15.75" customHeight="1" x14ac:dyDescent="0.2">
      <c r="A198" s="36" t="str">
        <f>HYPERLINK("https://www.bc.edu", "Boston College")</f>
        <v>Boston College</v>
      </c>
      <c r="B198" s="18" t="s">
        <v>32</v>
      </c>
      <c r="C198" s="18" t="s">
        <v>33</v>
      </c>
      <c r="D198" s="18" t="s">
        <v>54</v>
      </c>
      <c r="E198" s="18">
        <v>1434</v>
      </c>
      <c r="F198" s="18" t="s">
        <v>35</v>
      </c>
      <c r="J198" s="19"/>
      <c r="K198" s="19">
        <v>0.92110000000000003</v>
      </c>
      <c r="L198" s="19">
        <v>0.8538812790000001</v>
      </c>
      <c r="M198" s="19">
        <v>0.93579999999999997</v>
      </c>
      <c r="N198" s="19">
        <v>0.87060000000000004</v>
      </c>
      <c r="O198" s="19">
        <v>0.90239999999999998</v>
      </c>
      <c r="P198" s="19">
        <v>0.9153</v>
      </c>
      <c r="Q198" s="19"/>
      <c r="R198" s="20">
        <v>70588</v>
      </c>
      <c r="S198" s="21" t="str">
        <f>HYPERLINK("https://npc.collegeboard.org/student/app/bc", "$8890")</f>
        <v>$8890</v>
      </c>
      <c r="T198" s="20">
        <v>14440</v>
      </c>
      <c r="U198" s="20">
        <v>23107</v>
      </c>
      <c r="V198" s="20">
        <v>3100</v>
      </c>
      <c r="W198" s="20">
        <v>5790</v>
      </c>
      <c r="X198" s="18" t="s">
        <v>37</v>
      </c>
      <c r="Y198" s="19">
        <v>0.11890000000000001</v>
      </c>
      <c r="Z198" s="19">
        <v>0.38929999999999998</v>
      </c>
      <c r="AB198" s="18">
        <v>9636</v>
      </c>
      <c r="AC198" s="18">
        <v>1</v>
      </c>
    </row>
    <row r="199" spans="1:29" ht="15.75" customHeight="1" x14ac:dyDescent="0.2">
      <c r="A199" s="36" t="str">
        <f>HYPERLINK("https://www.bu.edu", "Boston University")</f>
        <v>Boston University</v>
      </c>
      <c r="B199" s="18" t="s">
        <v>32</v>
      </c>
      <c r="C199" s="18" t="s">
        <v>33</v>
      </c>
      <c r="D199" s="18" t="s">
        <v>136</v>
      </c>
      <c r="E199" s="18">
        <v>1401</v>
      </c>
      <c r="F199" s="18" t="s">
        <v>35</v>
      </c>
      <c r="J199" s="19"/>
      <c r="K199" s="19">
        <v>0.87129999999999996</v>
      </c>
      <c r="L199" s="19">
        <v>0.78797996700000006</v>
      </c>
      <c r="M199" s="19">
        <v>0.87890000000000001</v>
      </c>
      <c r="N199" s="19">
        <v>0.80679999999999996</v>
      </c>
      <c r="O199" s="19">
        <v>0.86829999999999996</v>
      </c>
      <c r="P199" s="19">
        <v>0.87829999999999997</v>
      </c>
      <c r="Q199" s="19"/>
      <c r="R199" s="20">
        <v>70302</v>
      </c>
      <c r="S199" s="21" t="str">
        <f>HYPERLINK("https://www.bu.edu/finaid/aid-basics/cost-of-education/net-price-calculator/", "$25625")</f>
        <v>$25625</v>
      </c>
      <c r="T199" s="20">
        <v>28388</v>
      </c>
      <c r="U199" s="20">
        <v>33704</v>
      </c>
      <c r="V199" s="20">
        <v>2950</v>
      </c>
      <c r="W199" s="20">
        <v>22675</v>
      </c>
      <c r="Y199" s="19">
        <v>0.13550000000000001</v>
      </c>
      <c r="Z199" s="19">
        <v>0.60299999999999998</v>
      </c>
      <c r="AB199" s="18">
        <v>16716</v>
      </c>
      <c r="AC199" s="18">
        <v>2</v>
      </c>
    </row>
    <row r="200" spans="1:29" ht="15.75" customHeight="1" x14ac:dyDescent="0.2">
      <c r="A200" s="36" t="str">
        <f>HYPERLINK("https://www.bowdoin.edu/", "Bowdoin College")</f>
        <v>Bowdoin College</v>
      </c>
      <c r="B200" s="18" t="s">
        <v>32</v>
      </c>
      <c r="C200" s="18" t="s">
        <v>43</v>
      </c>
      <c r="D200" s="18" t="s">
        <v>57</v>
      </c>
      <c r="E200" s="18" t="s">
        <v>36</v>
      </c>
      <c r="F200" s="18" t="s">
        <v>45</v>
      </c>
      <c r="J200" s="19"/>
      <c r="K200" s="19">
        <v>0.95240000000000002</v>
      </c>
      <c r="L200" s="19" t="s">
        <v>36</v>
      </c>
      <c r="M200" s="19">
        <v>0.96450000000000002</v>
      </c>
      <c r="N200" s="19">
        <v>0.875</v>
      </c>
      <c r="O200" s="19">
        <v>0.94740000000000002</v>
      </c>
      <c r="P200" s="19">
        <v>0.92859999999999998</v>
      </c>
      <c r="Q200" s="19"/>
      <c r="R200" s="20">
        <v>68070</v>
      </c>
      <c r="S200" s="21" t="str">
        <f>HYPERLINK("https://bowdoin.studentaidcalculator.com/survey.aspx", "$6919")</f>
        <v>$6919</v>
      </c>
      <c r="T200" s="20">
        <v>15195</v>
      </c>
      <c r="U200" s="20">
        <v>25189</v>
      </c>
      <c r="V200" s="20">
        <v>2090</v>
      </c>
      <c r="W200" s="20">
        <v>4829</v>
      </c>
      <c r="X200" s="18" t="s">
        <v>37</v>
      </c>
      <c r="Y200" s="19">
        <v>0.13339999999999999</v>
      </c>
      <c r="Z200" s="19">
        <v>0.37749999999999989</v>
      </c>
      <c r="AA200" s="18" t="s">
        <v>37</v>
      </c>
      <c r="AB200" s="18">
        <v>1812</v>
      </c>
      <c r="AC200" s="18">
        <v>1</v>
      </c>
    </row>
    <row r="201" spans="1:29" ht="15.75" customHeight="1" x14ac:dyDescent="0.2">
      <c r="A201" s="36" t="str">
        <f>HYPERLINK("https://www.bowiestate.edu", "Bowie State University")</f>
        <v>Bowie State University</v>
      </c>
      <c r="B201" s="18" t="s">
        <v>49</v>
      </c>
      <c r="C201" s="18" t="s">
        <v>124</v>
      </c>
      <c r="D201" s="18" t="s">
        <v>584</v>
      </c>
      <c r="E201" s="18">
        <v>950</v>
      </c>
      <c r="F201" s="18" t="s">
        <v>115</v>
      </c>
      <c r="J201" s="19"/>
      <c r="K201" s="19">
        <v>0.3962</v>
      </c>
      <c r="L201" s="19">
        <v>0.23868312799999999</v>
      </c>
      <c r="M201" s="19">
        <v>0.33329999999999999</v>
      </c>
      <c r="N201" s="19">
        <v>0.3916</v>
      </c>
      <c r="O201" s="19">
        <v>0.4375</v>
      </c>
      <c r="P201" s="19">
        <v>0.6</v>
      </c>
      <c r="Q201" s="19"/>
      <c r="R201" s="20">
        <v>33299</v>
      </c>
      <c r="S201" s="21" t="str">
        <f>HYPERLINK("https://www.bowiestate.edu/admissions/financial_aid/", "$23931")</f>
        <v>$23931</v>
      </c>
      <c r="T201" s="20">
        <v>29761</v>
      </c>
      <c r="U201" s="20">
        <v>31780</v>
      </c>
      <c r="V201" s="20">
        <v>4100</v>
      </c>
      <c r="W201" s="20">
        <v>19831.349333333332</v>
      </c>
      <c r="Y201" s="19">
        <v>0.50290000000000001</v>
      </c>
      <c r="Z201" s="19">
        <v>0.97850000000000004</v>
      </c>
      <c r="AB201" s="18">
        <v>5107</v>
      </c>
      <c r="AC201" s="18">
        <v>4</v>
      </c>
    </row>
    <row r="202" spans="1:29" ht="15.75" customHeight="1" x14ac:dyDescent="0.2">
      <c r="A202" s="36" t="str">
        <f>HYPERLINK("https://www.firelands.bgsu.edu", "Bowling Green State University-Firelands")</f>
        <v>Bowling Green State University-Firelands</v>
      </c>
      <c r="B202" s="18" t="s">
        <v>49</v>
      </c>
      <c r="C202" s="18" t="s">
        <v>75</v>
      </c>
      <c r="D202" s="18" t="s">
        <v>979</v>
      </c>
      <c r="E202" s="18" t="s">
        <v>36</v>
      </c>
      <c r="F202" s="18" t="s">
        <v>36</v>
      </c>
      <c r="J202" s="19"/>
      <c r="K202" s="19">
        <v>0.1138</v>
      </c>
      <c r="L202" s="19">
        <v>0.32996632999999997</v>
      </c>
      <c r="M202" s="19">
        <v>0.1333</v>
      </c>
      <c r="N202" s="19">
        <v>3.4500000000000003E-2</v>
      </c>
      <c r="O202" s="19">
        <v>0.13639999999999999</v>
      </c>
      <c r="P202" s="19">
        <v>0</v>
      </c>
      <c r="Q202" s="19">
        <v>7.8569747999999995E-2</v>
      </c>
      <c r="R202" s="20">
        <v>28494</v>
      </c>
      <c r="S202" s="21" t="str">
        <f>HYPERLINK("https://sfa.bgsu.edu/net_price_calculator/firelands/", "$23998")</f>
        <v>$23998</v>
      </c>
      <c r="T202" s="20">
        <v>25951</v>
      </c>
      <c r="U202" s="20">
        <v>27998</v>
      </c>
      <c r="V202" s="20">
        <v>5408</v>
      </c>
      <c r="W202" s="20">
        <v>18590.27049180328</v>
      </c>
      <c r="Y202" s="19">
        <v>0.30159999999999998</v>
      </c>
      <c r="Z202" s="19">
        <v>0.22090000000000001</v>
      </c>
      <c r="AB202" s="18">
        <v>1236</v>
      </c>
      <c r="AC202" s="18">
        <v>6</v>
      </c>
    </row>
    <row r="203" spans="1:29" ht="15.75" customHeight="1" x14ac:dyDescent="0.2">
      <c r="A203" s="36" t="str">
        <f>HYPERLINK("https://www.bgsu.edu", "Bowling Green State University-Main Campus")</f>
        <v>Bowling Green State University-Main Campus</v>
      </c>
      <c r="B203" s="18" t="s">
        <v>49</v>
      </c>
      <c r="C203" s="18" t="s">
        <v>75</v>
      </c>
      <c r="D203" s="18" t="s">
        <v>585</v>
      </c>
      <c r="E203" s="18">
        <v>1088</v>
      </c>
      <c r="F203" s="18" t="s">
        <v>35</v>
      </c>
      <c r="J203" s="19"/>
      <c r="K203" s="19">
        <v>0.53059999999999996</v>
      </c>
      <c r="L203" s="19">
        <v>0.32996632999999997</v>
      </c>
      <c r="M203" s="19">
        <v>0.5746</v>
      </c>
      <c r="N203" s="19">
        <v>0.37</v>
      </c>
      <c r="O203" s="19">
        <v>0.42</v>
      </c>
      <c r="P203" s="19">
        <v>0.5484</v>
      </c>
      <c r="Q203" s="19"/>
      <c r="R203" s="20">
        <v>32105</v>
      </c>
      <c r="S203" s="21" t="str">
        <f>HYPERLINK("https://sfa.bgsu.edu/net_price_calculator/main/", "$24048")</f>
        <v>$24048</v>
      </c>
      <c r="T203" s="20">
        <v>27383</v>
      </c>
      <c r="U203" s="20">
        <v>29184</v>
      </c>
      <c r="V203" s="20">
        <v>4614</v>
      </c>
      <c r="W203" s="20">
        <v>19434.901065449008</v>
      </c>
      <c r="Y203" s="19">
        <v>0.2787</v>
      </c>
      <c r="Z203" s="19">
        <v>0.21759999999999999</v>
      </c>
      <c r="AB203" s="18">
        <v>13790</v>
      </c>
      <c r="AC203" s="18">
        <v>4</v>
      </c>
    </row>
    <row r="204" spans="1:29" ht="15.75" customHeight="1" x14ac:dyDescent="0.2">
      <c r="A204" s="36" t="str">
        <f>HYPERLINK("https://www.bradfordschoolcolumbus.edu", "Bradford School")</f>
        <v>Bradford School</v>
      </c>
      <c r="B204" s="18" t="s">
        <v>368</v>
      </c>
      <c r="C204" s="18" t="s">
        <v>75</v>
      </c>
      <c r="D204" s="18" t="s">
        <v>237</v>
      </c>
      <c r="E204" s="18" t="s">
        <v>36</v>
      </c>
      <c r="F204" s="18" t="s">
        <v>36</v>
      </c>
      <c r="J204" s="19"/>
      <c r="K204" s="19">
        <v>0.72450000000000003</v>
      </c>
      <c r="L204" s="19">
        <v>0.61889250799999995</v>
      </c>
      <c r="M204" s="19">
        <v>0.76390000000000002</v>
      </c>
      <c r="N204" s="19">
        <v>0.5</v>
      </c>
      <c r="O204" s="19">
        <v>0.66669999999999996</v>
      </c>
      <c r="P204" s="19" t="s">
        <v>36</v>
      </c>
      <c r="Q204" s="19">
        <v>1.8998273E-2</v>
      </c>
      <c r="R204" s="20">
        <v>24966</v>
      </c>
      <c r="S204" s="21" t="str">
        <f>HYPERLINK("https://www.bradfordschoolcolumbus.edu/aid", "$16316")</f>
        <v>$16316</v>
      </c>
      <c r="T204" s="20">
        <v>20740</v>
      </c>
      <c r="U204" s="20">
        <v>22500</v>
      </c>
      <c r="V204" s="20">
        <v>2266</v>
      </c>
      <c r="W204" s="20">
        <v>14050</v>
      </c>
      <c r="Y204" s="19">
        <v>0.53280000000000005</v>
      </c>
      <c r="Z204" s="19">
        <v>0.32609999999999989</v>
      </c>
      <c r="AB204" s="18">
        <v>368</v>
      </c>
      <c r="AC204" s="18">
        <v>6</v>
      </c>
    </row>
    <row r="205" spans="1:29" ht="15.75" customHeight="1" x14ac:dyDescent="0.2">
      <c r="A205" s="36" t="str">
        <f>HYPERLINK("https://www.bradfordpittsburgh.edu", "Bradford School")</f>
        <v>Bradford School</v>
      </c>
      <c r="B205" s="18" t="s">
        <v>368</v>
      </c>
      <c r="C205" s="18" t="s">
        <v>65</v>
      </c>
      <c r="D205" s="18" t="s">
        <v>74</v>
      </c>
      <c r="E205" s="18" t="s">
        <v>36</v>
      </c>
      <c r="F205" s="18" t="s">
        <v>45</v>
      </c>
      <c r="J205" s="19"/>
      <c r="K205" s="19">
        <v>0.79430000000000001</v>
      </c>
      <c r="L205" s="19">
        <v>0.67021276600000002</v>
      </c>
      <c r="M205" s="19">
        <v>0.80649999999999999</v>
      </c>
      <c r="N205" s="19">
        <v>0.83330000000000004</v>
      </c>
      <c r="O205" s="19">
        <v>1</v>
      </c>
      <c r="P205" s="19">
        <v>0.5</v>
      </c>
      <c r="Q205" s="19" t="s">
        <v>36</v>
      </c>
      <c r="R205" s="20">
        <v>25170</v>
      </c>
      <c r="S205" s="21" t="str">
        <f>HYPERLINK("https://www.bradfordpittsburgh.edu/aid", "$11192")</f>
        <v>$11192</v>
      </c>
      <c r="T205" s="20">
        <v>14677</v>
      </c>
      <c r="U205" s="20">
        <v>18062</v>
      </c>
      <c r="V205" s="20">
        <v>4390</v>
      </c>
      <c r="W205" s="20">
        <v>6802</v>
      </c>
      <c r="Y205" s="19">
        <v>0.68900000000000006</v>
      </c>
      <c r="Z205" s="19">
        <v>0.28979999999999989</v>
      </c>
      <c r="AB205" s="18">
        <v>352</v>
      </c>
      <c r="AC205" s="18">
        <v>6</v>
      </c>
    </row>
    <row r="206" spans="1:29" ht="15.75" customHeight="1" x14ac:dyDescent="0.2">
      <c r="A206" s="36" t="str">
        <f>HYPERLINK("https://www.bradley.edu", "Bradley University")</f>
        <v>Bradley University</v>
      </c>
      <c r="B206" s="18" t="s">
        <v>32</v>
      </c>
      <c r="C206" s="18" t="s">
        <v>137</v>
      </c>
      <c r="D206" s="18" t="s">
        <v>312</v>
      </c>
      <c r="E206" s="18">
        <v>1212</v>
      </c>
      <c r="F206" s="18" t="s">
        <v>35</v>
      </c>
      <c r="J206" s="19"/>
      <c r="K206" s="19">
        <v>0.7268</v>
      </c>
      <c r="L206" s="19">
        <v>0.63876652</v>
      </c>
      <c r="M206" s="19">
        <v>0.75849999999999995</v>
      </c>
      <c r="N206" s="19">
        <v>0.5111</v>
      </c>
      <c r="O206" s="19">
        <v>0.56720000000000004</v>
      </c>
      <c r="P206" s="19">
        <v>0.8</v>
      </c>
      <c r="Q206" s="19"/>
      <c r="R206" s="20">
        <v>46680</v>
      </c>
      <c r="S206" s="21" t="str">
        <f>HYPERLINK("https://www.admissions.bradley.edu/ssl/estimator", "$16806")</f>
        <v>$16806</v>
      </c>
      <c r="T206" s="20">
        <v>22124</v>
      </c>
      <c r="U206" s="20">
        <v>26768</v>
      </c>
      <c r="V206" s="20">
        <v>3440</v>
      </c>
      <c r="W206" s="20">
        <v>13366</v>
      </c>
      <c r="Y206" s="19">
        <v>0.24099999999999999</v>
      </c>
      <c r="Z206" s="19">
        <v>0.26769999999999999</v>
      </c>
      <c r="AB206" s="18">
        <v>4643</v>
      </c>
      <c r="AC206" s="18">
        <v>3</v>
      </c>
    </row>
    <row r="207" spans="1:29" ht="15.75" customHeight="1" x14ac:dyDescent="0.2">
      <c r="A207" s="36" t="str">
        <f>HYPERLINK("https://www.brandeis.edu/", "Brandeis University")</f>
        <v>Brandeis University</v>
      </c>
      <c r="B207" s="18" t="s">
        <v>32</v>
      </c>
      <c r="C207" s="18" t="s">
        <v>33</v>
      </c>
      <c r="D207" s="18" t="s">
        <v>62</v>
      </c>
      <c r="E207" s="18">
        <v>1403</v>
      </c>
      <c r="F207" s="18" t="s">
        <v>35</v>
      </c>
      <c r="J207" s="19"/>
      <c r="K207" s="19">
        <v>0.90049999999999997</v>
      </c>
      <c r="L207" s="19">
        <v>0.8</v>
      </c>
      <c r="M207" s="19">
        <v>0.89329999999999998</v>
      </c>
      <c r="N207" s="19">
        <v>0.875</v>
      </c>
      <c r="O207" s="19">
        <v>0.86539999999999995</v>
      </c>
      <c r="P207" s="19">
        <v>0.95650000000000002</v>
      </c>
      <c r="Q207" s="19"/>
      <c r="R207" s="20">
        <v>70943</v>
      </c>
      <c r="S207" s="21" t="str">
        <f>HYPERLINK("https://www.brandeis.edu/student-financial-services/financial-aid/calculator.html", "$13533")</f>
        <v>$13533</v>
      </c>
      <c r="T207" s="20">
        <v>21623</v>
      </c>
      <c r="U207" s="20">
        <v>29656</v>
      </c>
      <c r="V207" s="20">
        <v>2500</v>
      </c>
      <c r="W207" s="20">
        <v>11033</v>
      </c>
      <c r="Y207" s="19">
        <v>0.18149999999999999</v>
      </c>
      <c r="Z207" s="19">
        <v>0.52679999999999993</v>
      </c>
      <c r="AB207" s="18">
        <v>3624</v>
      </c>
      <c r="AC207" s="18">
        <v>1</v>
      </c>
    </row>
    <row r="208" spans="1:29" ht="15.75" customHeight="1" x14ac:dyDescent="0.2">
      <c r="A208" s="36" t="str">
        <f>HYPERLINK("https://www.brenau.edu", "Brenau University")</f>
        <v>Brenau University</v>
      </c>
      <c r="B208" s="18" t="s">
        <v>32</v>
      </c>
      <c r="C208" s="18" t="s">
        <v>107</v>
      </c>
      <c r="D208" s="18" t="s">
        <v>277</v>
      </c>
      <c r="E208" s="18">
        <v>1004</v>
      </c>
      <c r="F208" s="18" t="s">
        <v>115</v>
      </c>
      <c r="J208" s="19"/>
      <c r="K208" s="19">
        <v>0.49440000000000001</v>
      </c>
      <c r="L208" s="19">
        <v>0.47535211300000002</v>
      </c>
      <c r="M208" s="19">
        <v>0.51429999999999998</v>
      </c>
      <c r="N208" s="19">
        <v>0.64</v>
      </c>
      <c r="O208" s="19">
        <v>0.40739999999999998</v>
      </c>
      <c r="P208" s="19">
        <v>0.5</v>
      </c>
      <c r="Q208" s="19"/>
      <c r="R208" s="20">
        <v>44878</v>
      </c>
      <c r="S208" s="21" t="str">
        <f>HYPERLINK("https://brenau.studentaidcalculator.com/survey.aspx", "$17042")</f>
        <v>$17042</v>
      </c>
      <c r="T208" s="20">
        <v>21820</v>
      </c>
      <c r="U208" s="20">
        <v>19486</v>
      </c>
      <c r="V208" s="20">
        <v>3950</v>
      </c>
      <c r="W208" s="20">
        <v>13092</v>
      </c>
      <c r="Y208" s="19">
        <v>0.4985</v>
      </c>
      <c r="Z208" s="19">
        <v>0.54010000000000002</v>
      </c>
      <c r="AB208" s="18">
        <v>1722</v>
      </c>
      <c r="AC208" s="18">
        <v>4</v>
      </c>
    </row>
    <row r="209" spans="1:29" ht="15.75" customHeight="1" x14ac:dyDescent="0.2">
      <c r="A209" s="36" t="str">
        <f>HYPERLINK("https://www.brescia.edu", "Brescia University")</f>
        <v>Brescia University</v>
      </c>
      <c r="B209" s="18" t="s">
        <v>32</v>
      </c>
      <c r="C209" s="18" t="s">
        <v>205</v>
      </c>
      <c r="D209" s="18" t="s">
        <v>586</v>
      </c>
      <c r="E209" s="18">
        <v>1065</v>
      </c>
      <c r="F209" s="18" t="s">
        <v>115</v>
      </c>
      <c r="J209" s="19"/>
      <c r="K209" s="19">
        <v>0.38669999999999999</v>
      </c>
      <c r="L209" s="19">
        <v>0.30612244900000002</v>
      </c>
      <c r="M209" s="19">
        <v>0.37290000000000001</v>
      </c>
      <c r="N209" s="19">
        <v>0.41670000000000001</v>
      </c>
      <c r="O209" s="19">
        <v>0.66669999999999996</v>
      </c>
      <c r="P209" s="19">
        <v>1</v>
      </c>
      <c r="Q209" s="19"/>
      <c r="R209" s="20">
        <v>34150</v>
      </c>
      <c r="S209" s="21" t="str">
        <f>HYPERLINK("https://www.brescia.edu/net-price-calculator/", "$11895")</f>
        <v>$11895</v>
      </c>
      <c r="T209" s="20">
        <v>11351</v>
      </c>
      <c r="U209" s="20">
        <v>15869</v>
      </c>
      <c r="V209" s="20">
        <v>3450</v>
      </c>
      <c r="W209" s="20">
        <v>8445</v>
      </c>
      <c r="Y209" s="19">
        <v>0.57509999999999994</v>
      </c>
      <c r="Z209" s="19">
        <v>0.39410000000000001</v>
      </c>
      <c r="AB209" s="18">
        <v>911</v>
      </c>
      <c r="AC209" s="18">
        <v>4</v>
      </c>
    </row>
    <row r="210" spans="1:29" ht="15.75" customHeight="1" x14ac:dyDescent="0.2">
      <c r="A210" s="36" t="str">
        <f>HYPERLINK("https://www.brevard.edu", "Brevard College")</f>
        <v>Brevard College</v>
      </c>
      <c r="B210" s="18" t="s">
        <v>32</v>
      </c>
      <c r="C210" s="18" t="s">
        <v>103</v>
      </c>
      <c r="D210" s="18" t="s">
        <v>587</v>
      </c>
      <c r="E210" s="18" t="s">
        <v>36</v>
      </c>
      <c r="F210" s="18" t="s">
        <v>90</v>
      </c>
      <c r="J210" s="19"/>
      <c r="K210" s="19">
        <v>0.3211</v>
      </c>
      <c r="L210" s="19">
        <v>0.33823529400000002</v>
      </c>
      <c r="M210" s="19">
        <v>0.36840000000000001</v>
      </c>
      <c r="N210" s="19">
        <v>8.3299999999999999E-2</v>
      </c>
      <c r="O210" s="19">
        <v>0</v>
      </c>
      <c r="P210" s="19">
        <v>0</v>
      </c>
      <c r="Q210" s="19"/>
      <c r="R210" s="20">
        <v>42005</v>
      </c>
      <c r="S210" s="21" t="str">
        <f>HYPERLINK("https://brevard.edu/net-price-calculator", "$17320")</f>
        <v>$17320</v>
      </c>
      <c r="T210" s="20">
        <v>20054</v>
      </c>
      <c r="U210" s="20">
        <v>24501</v>
      </c>
      <c r="V210" s="20">
        <v>3000</v>
      </c>
      <c r="W210" s="20">
        <v>14320</v>
      </c>
      <c r="Y210" s="19">
        <v>0.42759999999999998</v>
      </c>
      <c r="Z210" s="19">
        <v>0.33979999999999999</v>
      </c>
      <c r="AB210" s="18">
        <v>668</v>
      </c>
      <c r="AC210" s="18">
        <v>4</v>
      </c>
    </row>
    <row r="211" spans="1:29" ht="15.75" customHeight="1" x14ac:dyDescent="0.2">
      <c r="A211" s="36" t="str">
        <f>HYPERLINK("https://www.bpc.edu", "Brewton-Parker College")</f>
        <v>Brewton-Parker College</v>
      </c>
      <c r="B211" s="18" t="s">
        <v>32</v>
      </c>
      <c r="C211" s="18" t="s">
        <v>107</v>
      </c>
      <c r="D211" s="18" t="s">
        <v>212</v>
      </c>
      <c r="E211" s="18">
        <v>922</v>
      </c>
      <c r="F211" s="18" t="s">
        <v>115</v>
      </c>
      <c r="J211" s="19"/>
      <c r="K211" s="19">
        <v>0.2397</v>
      </c>
      <c r="L211" s="19">
        <v>0.17647058800000001</v>
      </c>
      <c r="M211" s="19">
        <v>0.28789999999999999</v>
      </c>
      <c r="N211" s="19">
        <v>0.2286</v>
      </c>
      <c r="O211" s="19">
        <v>0.16669999999999999</v>
      </c>
      <c r="P211" s="19">
        <v>0</v>
      </c>
      <c r="Q211" s="19"/>
      <c r="R211" s="20">
        <v>33059</v>
      </c>
      <c r="S211" s="21" t="str">
        <f>HYPERLINK("https://www.bpc.edu/admissions-aid/financial-aid/npc", "$15903")</f>
        <v>$15903</v>
      </c>
      <c r="T211" s="20">
        <v>20150</v>
      </c>
      <c r="U211" s="20">
        <v>20172</v>
      </c>
      <c r="V211" s="20">
        <v>6939</v>
      </c>
      <c r="W211" s="20">
        <v>8964</v>
      </c>
      <c r="Y211" s="19">
        <v>0.35410000000000003</v>
      </c>
      <c r="Z211" s="19">
        <v>0.63229999999999997</v>
      </c>
      <c r="AB211" s="18">
        <v>465</v>
      </c>
      <c r="AC211" s="18">
        <v>5</v>
      </c>
    </row>
    <row r="212" spans="1:29" ht="15.75" customHeight="1" x14ac:dyDescent="0.2">
      <c r="A212" s="36" t="str">
        <f>HYPERLINK("https://www.briarcliff.edu", "Briar Cliff University")</f>
        <v>Briar Cliff University</v>
      </c>
      <c r="B212" s="18" t="s">
        <v>32</v>
      </c>
      <c r="C212" s="18" t="s">
        <v>211</v>
      </c>
      <c r="D212" s="18" t="s">
        <v>588</v>
      </c>
      <c r="E212" s="18" t="s">
        <v>36</v>
      </c>
      <c r="F212" s="18" t="s">
        <v>36</v>
      </c>
      <c r="J212" s="19"/>
      <c r="K212" s="19">
        <v>0.42370000000000002</v>
      </c>
      <c r="L212" s="19">
        <v>0.29787234000000001</v>
      </c>
      <c r="M212" s="19">
        <v>0.48470000000000002</v>
      </c>
      <c r="N212" s="19">
        <v>0.21740000000000001</v>
      </c>
      <c r="O212" s="19">
        <v>0.26919999999999999</v>
      </c>
      <c r="P212" s="19">
        <v>0.4</v>
      </c>
      <c r="Q212" s="19"/>
      <c r="R212" s="20">
        <v>42980</v>
      </c>
      <c r="S212" s="21" t="str">
        <f>HYPERLINK("https://www.briarcliff.edu/financial-aid/net-price-calculator/", "$19353")</f>
        <v>$19353</v>
      </c>
      <c r="T212" s="20">
        <v>18891</v>
      </c>
      <c r="U212" s="20">
        <v>24229</v>
      </c>
      <c r="V212" s="20">
        <v>4554</v>
      </c>
      <c r="W212" s="20">
        <v>14799</v>
      </c>
      <c r="Y212" s="19">
        <v>0.37869999999999998</v>
      </c>
      <c r="Z212" s="19">
        <v>0.35780000000000001</v>
      </c>
      <c r="AB212" s="18">
        <v>928</v>
      </c>
      <c r="AC212" s="18">
        <v>4</v>
      </c>
    </row>
    <row r="213" spans="1:29" ht="15.75" customHeight="1" x14ac:dyDescent="0.2">
      <c r="A213" s="36" t="str">
        <f>HYPERLINK("https://www.bridgevalley.edu/", "BridgeValley Community &amp; Technical College")</f>
        <v>BridgeValley Community &amp; Technical College</v>
      </c>
      <c r="B213" s="18" t="s">
        <v>49</v>
      </c>
      <c r="C213" s="18" t="s">
        <v>574</v>
      </c>
      <c r="D213" s="18" t="s">
        <v>982</v>
      </c>
      <c r="E213" s="18" t="s">
        <v>36</v>
      </c>
      <c r="F213" s="18" t="s">
        <v>36</v>
      </c>
      <c r="J213" s="19"/>
      <c r="K213" s="19">
        <v>0.3594</v>
      </c>
      <c r="L213" s="19">
        <v>0.171875</v>
      </c>
      <c r="M213" s="19">
        <v>0.38429999999999997</v>
      </c>
      <c r="N213" s="19">
        <v>0</v>
      </c>
      <c r="O213" s="19">
        <v>1</v>
      </c>
      <c r="P213" s="19">
        <v>0</v>
      </c>
      <c r="Q213" s="19">
        <v>8.984375E-2</v>
      </c>
      <c r="R213" s="20">
        <v>21794</v>
      </c>
      <c r="S213" s="21" t="str">
        <f>HYPERLINK("https://bridgevalley.studentaidcalculator.com/survey.aspx", "$16403")</f>
        <v>$16403</v>
      </c>
      <c r="T213" s="20">
        <v>18823</v>
      </c>
      <c r="U213" s="20">
        <v>20053</v>
      </c>
      <c r="V213" s="20">
        <v>4542</v>
      </c>
      <c r="W213" s="20">
        <v>11861.1974522293</v>
      </c>
      <c r="Y213" s="19">
        <v>0.41310000000000002</v>
      </c>
      <c r="Z213" s="19">
        <v>9.6999999999999975E-2</v>
      </c>
      <c r="AB213" s="18">
        <v>1856</v>
      </c>
      <c r="AC213" s="18">
        <v>6</v>
      </c>
    </row>
    <row r="214" spans="1:29" ht="15.75" customHeight="1" x14ac:dyDescent="0.2">
      <c r="A214" s="36" t="str">
        <f>HYPERLINK("https://www.bridgewater.edu/about-us", "Bridgewater College")</f>
        <v>Bridgewater College</v>
      </c>
      <c r="B214" s="18" t="s">
        <v>32</v>
      </c>
      <c r="C214" s="18" t="s">
        <v>83</v>
      </c>
      <c r="D214" s="18" t="s">
        <v>589</v>
      </c>
      <c r="E214" s="18">
        <v>1073</v>
      </c>
      <c r="F214" s="18" t="s">
        <v>35</v>
      </c>
      <c r="J214" s="19"/>
      <c r="K214" s="19">
        <v>0.61150000000000004</v>
      </c>
      <c r="L214" s="19">
        <v>0.42045454599999998</v>
      </c>
      <c r="M214" s="19">
        <v>0.626</v>
      </c>
      <c r="N214" s="19">
        <v>0.63829999999999998</v>
      </c>
      <c r="O214" s="19">
        <v>0.47060000000000002</v>
      </c>
      <c r="P214" s="19">
        <v>0.4</v>
      </c>
      <c r="Q214" s="19"/>
      <c r="R214" s="20">
        <v>49690</v>
      </c>
      <c r="S214" s="21" t="str">
        <f>HYPERLINK("https://web.bridgewater.edu/netprice/", "$16831")</f>
        <v>$16831</v>
      </c>
      <c r="T214" s="20">
        <v>17242</v>
      </c>
      <c r="U214" s="20">
        <v>19765</v>
      </c>
      <c r="V214" s="20">
        <v>3430</v>
      </c>
      <c r="W214" s="20">
        <v>13401</v>
      </c>
      <c r="Y214" s="19">
        <v>0.2944</v>
      </c>
      <c r="Z214" s="19">
        <v>0.33620000000000011</v>
      </c>
      <c r="AB214" s="18">
        <v>1874</v>
      </c>
      <c r="AC214" s="18">
        <v>4</v>
      </c>
    </row>
    <row r="215" spans="1:29" ht="15.75" customHeight="1" x14ac:dyDescent="0.2">
      <c r="A215" s="36" t="str">
        <f>HYPERLINK("https://www.bridgew.edu", "Bridgewater State University")</f>
        <v>Bridgewater State University</v>
      </c>
      <c r="B215" s="18" t="s">
        <v>49</v>
      </c>
      <c r="C215" s="18" t="s">
        <v>33</v>
      </c>
      <c r="D215" s="18" t="s">
        <v>589</v>
      </c>
      <c r="E215" s="18">
        <v>1070</v>
      </c>
      <c r="F215" s="18" t="s">
        <v>35</v>
      </c>
      <c r="J215" s="19"/>
      <c r="K215" s="19">
        <v>0.59409999999999996</v>
      </c>
      <c r="L215" s="19">
        <v>0.5</v>
      </c>
      <c r="M215" s="19">
        <v>0.62519999999999998</v>
      </c>
      <c r="N215" s="19">
        <v>0.42480000000000001</v>
      </c>
      <c r="O215" s="19">
        <v>0.47310000000000002</v>
      </c>
      <c r="P215" s="19">
        <v>0.4839</v>
      </c>
      <c r="Q215" s="19"/>
      <c r="R215" s="20">
        <v>32346</v>
      </c>
      <c r="S215" s="21" t="str">
        <f>HYPERLINK("https://microsites.bridgew.edu/financialaid/net-price-calculator", "$22891")</f>
        <v>$22891</v>
      </c>
      <c r="T215" s="20">
        <v>28306</v>
      </c>
      <c r="U215" s="20">
        <v>30024</v>
      </c>
      <c r="V215" s="20">
        <v>3444</v>
      </c>
      <c r="W215" s="20">
        <v>19447.795121951222</v>
      </c>
      <c r="Y215" s="19">
        <v>0.3503</v>
      </c>
      <c r="Z215" s="19">
        <v>0.26069999999999999</v>
      </c>
      <c r="AB215" s="18">
        <v>9390</v>
      </c>
      <c r="AC215" s="18">
        <v>4</v>
      </c>
    </row>
    <row r="216" spans="1:29" ht="15.75" customHeight="1" x14ac:dyDescent="0.2">
      <c r="A216" s="36" t="str">
        <f>HYPERLINK("https://www.byuh.edu/", "Brigham Young University-Hawaii")</f>
        <v>Brigham Young University-Hawaii</v>
      </c>
      <c r="B216" s="18" t="s">
        <v>32</v>
      </c>
      <c r="C216" s="18" t="s">
        <v>313</v>
      </c>
      <c r="D216" s="18" t="s">
        <v>314</v>
      </c>
      <c r="E216" s="18">
        <v>1182</v>
      </c>
      <c r="F216" s="18" t="s">
        <v>35</v>
      </c>
      <c r="J216" s="19"/>
      <c r="K216" s="19">
        <v>0.56020000000000003</v>
      </c>
      <c r="L216" s="19">
        <v>0.39568345300000002</v>
      </c>
      <c r="M216" s="19">
        <v>0.56440000000000001</v>
      </c>
      <c r="N216" s="19">
        <v>0.33329999999999999</v>
      </c>
      <c r="O216" s="19">
        <v>1</v>
      </c>
      <c r="P216" s="19">
        <v>0.5</v>
      </c>
      <c r="Q216" s="19"/>
      <c r="R216" s="20">
        <v>18348</v>
      </c>
      <c r="S216" s="21" t="str">
        <f>HYPERLINK("https://eis-web1.byuh.edu/net-price-calculator/npcalc.htm", "$8743")</f>
        <v>$8743</v>
      </c>
      <c r="T216" s="20">
        <v>10643</v>
      </c>
      <c r="U216" s="20">
        <v>14077</v>
      </c>
      <c r="V216" s="20">
        <v>6638</v>
      </c>
      <c r="W216" s="20">
        <v>2105</v>
      </c>
      <c r="Y216" s="19">
        <v>0.2359</v>
      </c>
      <c r="Z216" s="19">
        <v>0.65179999999999993</v>
      </c>
      <c r="AB216" s="18">
        <v>2855</v>
      </c>
      <c r="AC216" s="18">
        <v>3</v>
      </c>
    </row>
    <row r="217" spans="1:29" ht="15.75" customHeight="1" x14ac:dyDescent="0.2">
      <c r="A217" s="36" t="str">
        <f>HYPERLINK("https://www.byui.edu", "Brigham Young University-Idaho")</f>
        <v>Brigham Young University-Idaho</v>
      </c>
      <c r="B217" s="18" t="s">
        <v>32</v>
      </c>
      <c r="C217" s="18" t="s">
        <v>486</v>
      </c>
      <c r="D217" s="18" t="s">
        <v>590</v>
      </c>
      <c r="E217" s="18">
        <v>1115</v>
      </c>
      <c r="F217" s="18" t="s">
        <v>35</v>
      </c>
      <c r="J217" s="19"/>
      <c r="K217" s="19">
        <v>0.59499999999999997</v>
      </c>
      <c r="L217" s="19">
        <v>0.48632900000000001</v>
      </c>
      <c r="M217" s="19">
        <v>0.60640000000000005</v>
      </c>
      <c r="N217" s="19">
        <v>0.44440000000000002</v>
      </c>
      <c r="O217" s="19">
        <v>0.4</v>
      </c>
      <c r="P217" s="19">
        <v>0.44440000000000002</v>
      </c>
      <c r="Q217" s="19"/>
      <c r="R217" s="20">
        <v>12322</v>
      </c>
      <c r="S217" s="21" t="str">
        <f>HYPERLINK("https://www.byui.edu/FinancialAid/", "$5352")</f>
        <v>$5352</v>
      </c>
      <c r="T217" s="20">
        <v>7598</v>
      </c>
      <c r="U217" s="20">
        <v>10374</v>
      </c>
      <c r="V217" s="20">
        <v>3712</v>
      </c>
      <c r="W217" s="20">
        <v>1640</v>
      </c>
      <c r="Y217" s="19">
        <v>0.27029999999999998</v>
      </c>
      <c r="Z217" s="19">
        <v>0.25040000000000001</v>
      </c>
      <c r="AB217" s="18">
        <v>35038</v>
      </c>
      <c r="AC217" s="18">
        <v>4</v>
      </c>
    </row>
    <row r="218" spans="1:29" ht="15.75" customHeight="1" x14ac:dyDescent="0.2">
      <c r="A218" s="36" t="str">
        <f>HYPERLINK("https://www.byu.edu", "Brigham Young University-Provo")</f>
        <v>Brigham Young University-Provo</v>
      </c>
      <c r="B218" s="18" t="s">
        <v>32</v>
      </c>
      <c r="C218" s="18" t="s">
        <v>199</v>
      </c>
      <c r="D218" s="18" t="s">
        <v>200</v>
      </c>
      <c r="E218" s="18">
        <v>1364</v>
      </c>
      <c r="F218" s="18" t="s">
        <v>35</v>
      </c>
      <c r="J218" s="19"/>
      <c r="K218" s="19">
        <v>0.82700000000000007</v>
      </c>
      <c r="L218" s="19">
        <v>0.61710658200000001</v>
      </c>
      <c r="M218" s="19">
        <v>0.84</v>
      </c>
      <c r="N218" s="19">
        <v>0.625</v>
      </c>
      <c r="O218" s="19">
        <v>0.72119999999999995</v>
      </c>
      <c r="P218" s="19">
        <v>0.7903</v>
      </c>
      <c r="Q218" s="19"/>
      <c r="R218" s="20">
        <v>18370</v>
      </c>
      <c r="S218" s="21" t="str">
        <f>HYPERLINK("https://financialaid.byu.edu/net-price-calculator", "$9277")</f>
        <v>$9277</v>
      </c>
      <c r="T218" s="20">
        <v>12836</v>
      </c>
      <c r="U218" s="20">
        <v>15520</v>
      </c>
      <c r="V218" s="20">
        <v>5380</v>
      </c>
      <c r="W218" s="20">
        <v>3897</v>
      </c>
      <c r="Y218" s="19">
        <v>0.36430000000000001</v>
      </c>
      <c r="Z218" s="19">
        <v>0.17710000000000001</v>
      </c>
      <c r="AB218" s="18">
        <v>31233</v>
      </c>
      <c r="AC218" s="18">
        <v>2</v>
      </c>
    </row>
    <row r="219" spans="1:29" ht="15.75" customHeight="1" x14ac:dyDescent="0.2">
      <c r="A219" s="36" t="str">
        <f>HYPERLINK("https://www.brightwood.edu", "Brightwood College-Dayton")</f>
        <v>Brightwood College-Dayton</v>
      </c>
      <c r="B219" s="18" t="s">
        <v>368</v>
      </c>
      <c r="C219" s="18" t="s">
        <v>75</v>
      </c>
      <c r="D219" s="18" t="s">
        <v>506</v>
      </c>
      <c r="E219" s="18" t="s">
        <v>36</v>
      </c>
      <c r="F219" s="18" t="s">
        <v>36</v>
      </c>
      <c r="J219" s="19"/>
      <c r="K219" s="19">
        <v>0.6</v>
      </c>
      <c r="L219" s="19">
        <v>0.530841122</v>
      </c>
      <c r="M219" s="19">
        <v>0.54549999999999998</v>
      </c>
      <c r="N219" s="19">
        <v>0.47370000000000001</v>
      </c>
      <c r="O219" s="19">
        <v>1</v>
      </c>
      <c r="P219" s="19" t="s">
        <v>36</v>
      </c>
      <c r="Q219" s="19" t="s">
        <v>36</v>
      </c>
      <c r="R219" s="20" t="s">
        <v>36</v>
      </c>
      <c r="S219" s="21" t="str">
        <f>HYPERLINK("https://enroll.brightwood.edu/npc/", "$23056")</f>
        <v>$23056</v>
      </c>
      <c r="T219" s="20">
        <v>21329</v>
      </c>
      <c r="U219" s="20">
        <v>26717</v>
      </c>
      <c r="V219" s="20" t="s">
        <v>36</v>
      </c>
      <c r="W219" s="20" t="s">
        <v>36</v>
      </c>
      <c r="Y219" s="19">
        <v>0.69920000000000004</v>
      </c>
      <c r="Z219" s="19">
        <v>0.51449999999999996</v>
      </c>
      <c r="AB219" s="18">
        <v>276</v>
      </c>
      <c r="AC219" s="18">
        <v>6</v>
      </c>
    </row>
    <row r="220" spans="1:29" ht="15.75" customHeight="1" x14ac:dyDescent="0.2">
      <c r="A220" s="36" t="str">
        <f>HYPERLINK("https://www.bristolcc.edu", "Bristol Community College")</f>
        <v>Bristol Community College</v>
      </c>
      <c r="B220" s="18" t="s">
        <v>49</v>
      </c>
      <c r="C220" s="18" t="s">
        <v>33</v>
      </c>
      <c r="D220" s="18" t="s">
        <v>985</v>
      </c>
      <c r="E220" s="18" t="s">
        <v>36</v>
      </c>
      <c r="F220" s="18" t="s">
        <v>36</v>
      </c>
      <c r="J220" s="19"/>
      <c r="K220" s="19">
        <v>0.20610000000000001</v>
      </c>
      <c r="L220" s="19">
        <v>0.20594333100000001</v>
      </c>
      <c r="M220" s="19">
        <v>0.223</v>
      </c>
      <c r="N220" s="19">
        <v>0.15890000000000001</v>
      </c>
      <c r="O220" s="19">
        <v>0.1391</v>
      </c>
      <c r="P220" s="19">
        <v>0.21049999999999999</v>
      </c>
      <c r="Q220" s="19">
        <v>6.8310429000000006E-2</v>
      </c>
      <c r="R220" s="20">
        <v>18450</v>
      </c>
      <c r="S220" s="21" t="str">
        <f>HYPERLINK("https://www.bristolcc.edu/getstartedatbcc/financialaid/npc/", "$13652")</f>
        <v>$13652</v>
      </c>
      <c r="T220" s="20">
        <v>15769</v>
      </c>
      <c r="U220" s="20">
        <v>17732</v>
      </c>
      <c r="V220" s="20">
        <v>4850</v>
      </c>
      <c r="W220" s="20">
        <v>8802.9778156996581</v>
      </c>
      <c r="Y220" s="19">
        <v>0.4713</v>
      </c>
      <c r="Z220" s="19">
        <v>0.30130000000000001</v>
      </c>
      <c r="AB220" s="18">
        <v>6994</v>
      </c>
      <c r="AC220" s="18">
        <v>6</v>
      </c>
    </row>
    <row r="221" spans="1:29" ht="15.75" customHeight="1" x14ac:dyDescent="0.2">
      <c r="A221" s="36" t="str">
        <f>HYPERLINK("https://beau.broadviewuniversity.edu/", "Broadview Entertainment Arts University")</f>
        <v>Broadview Entertainment Arts University</v>
      </c>
      <c r="B221" s="18" t="s">
        <v>368</v>
      </c>
      <c r="C221" s="18" t="s">
        <v>199</v>
      </c>
      <c r="D221" s="18" t="s">
        <v>525</v>
      </c>
      <c r="E221" s="18" t="s">
        <v>36</v>
      </c>
      <c r="F221" s="18" t="s">
        <v>36</v>
      </c>
      <c r="J221" s="19"/>
      <c r="K221" s="19">
        <v>0.66669999999999996</v>
      </c>
      <c r="L221" s="19">
        <v>0.27526132399999997</v>
      </c>
      <c r="M221" s="19">
        <v>0.66669999999999996</v>
      </c>
      <c r="N221" s="19" t="s">
        <v>36</v>
      </c>
      <c r="O221" s="19" t="s">
        <v>36</v>
      </c>
      <c r="P221" s="19" t="s">
        <v>36</v>
      </c>
      <c r="Q221" s="19">
        <v>5.2631578999999998E-2</v>
      </c>
      <c r="R221" s="20">
        <v>30068</v>
      </c>
      <c r="S221" s="21" t="str">
        <f>HYPERLINK("https://beau.broadviewuniversity.edu/net-price-calculator/", "$22952")</f>
        <v>$22952</v>
      </c>
      <c r="T221" s="20" t="s">
        <v>36</v>
      </c>
      <c r="U221" s="20">
        <v>24271</v>
      </c>
      <c r="V221" s="20">
        <v>9355</v>
      </c>
      <c r="W221" s="20">
        <v>13597</v>
      </c>
      <c r="Y221" s="19">
        <v>0.34849999999999998</v>
      </c>
      <c r="Z221" s="19">
        <v>0.2235</v>
      </c>
      <c r="AB221" s="18">
        <v>85</v>
      </c>
      <c r="AC221" s="18">
        <v>6</v>
      </c>
    </row>
    <row r="222" spans="1:29" ht="15.75" customHeight="1" x14ac:dyDescent="0.2">
      <c r="A222" s="36" t="str">
        <f>HYPERLINK("https://www.broadviewuniversity.edu/", "Broadview University-West Jordan")</f>
        <v>Broadview University-West Jordan</v>
      </c>
      <c r="B222" s="18" t="s">
        <v>368</v>
      </c>
      <c r="C222" s="18" t="s">
        <v>199</v>
      </c>
      <c r="D222" s="18" t="s">
        <v>989</v>
      </c>
      <c r="E222" s="18" t="s">
        <v>36</v>
      </c>
      <c r="F222" s="18" t="s">
        <v>36</v>
      </c>
      <c r="J222" s="19"/>
      <c r="K222" s="19">
        <v>0</v>
      </c>
      <c r="L222" s="19">
        <v>0.27526132399999997</v>
      </c>
      <c r="M222" s="19">
        <v>0</v>
      </c>
      <c r="N222" s="19" t="s">
        <v>36</v>
      </c>
      <c r="O222" s="19">
        <v>0</v>
      </c>
      <c r="P222" s="19" t="s">
        <v>36</v>
      </c>
      <c r="Q222" s="19">
        <v>5.2631578999999998E-2</v>
      </c>
      <c r="R222" s="20">
        <v>30068</v>
      </c>
      <c r="S222" s="21" t="str">
        <f>HYPERLINK("https://www.broadviewuniversity.edu/NPC/npcalc.htm", "$18005")</f>
        <v>$18005</v>
      </c>
      <c r="T222" s="20">
        <v>24732</v>
      </c>
      <c r="U222" s="20">
        <v>25056</v>
      </c>
      <c r="V222" s="20">
        <v>9355</v>
      </c>
      <c r="W222" s="20">
        <v>8650</v>
      </c>
      <c r="Y222" s="19">
        <v>0.23330000000000001</v>
      </c>
      <c r="Z222" s="19">
        <v>0.1867</v>
      </c>
      <c r="AB222" s="18">
        <v>166</v>
      </c>
      <c r="AC222" s="18">
        <v>6</v>
      </c>
    </row>
    <row r="223" spans="1:29" ht="15.75" customHeight="1" x14ac:dyDescent="0.2">
      <c r="A223" s="36" t="str">
        <f>HYPERLINK("https://www.brookdalecc.edu", "Brookdale Community College")</f>
        <v>Brookdale Community College</v>
      </c>
      <c r="B223" s="18" t="s">
        <v>49</v>
      </c>
      <c r="C223" s="18" t="s">
        <v>141</v>
      </c>
      <c r="D223" s="18" t="s">
        <v>990</v>
      </c>
      <c r="E223" s="18" t="s">
        <v>36</v>
      </c>
      <c r="F223" s="18" t="s">
        <v>36</v>
      </c>
      <c r="J223" s="19"/>
      <c r="K223" s="19">
        <v>0.27479999999999999</v>
      </c>
      <c r="L223" s="19">
        <v>0.21935096200000001</v>
      </c>
      <c r="M223" s="19">
        <v>0.31879999999999997</v>
      </c>
      <c r="N223" s="19">
        <v>9.1300000000000006E-2</v>
      </c>
      <c r="O223" s="19">
        <v>0.1971</v>
      </c>
      <c r="P223" s="19">
        <v>0.32079999999999997</v>
      </c>
      <c r="Q223" s="19">
        <v>7.8524687999999995E-2</v>
      </c>
      <c r="R223" s="20">
        <v>24559</v>
      </c>
      <c r="S223" s="21" t="str">
        <f>HYPERLINK("https://www.brookdalecc.edu/documents/net-price-calculator/npcalc.htm", "$18141")</f>
        <v>$18141</v>
      </c>
      <c r="T223" s="20">
        <v>21420</v>
      </c>
      <c r="U223" s="20">
        <v>23999</v>
      </c>
      <c r="V223" s="20">
        <v>6208</v>
      </c>
      <c r="W223" s="20">
        <v>11933.48076923077</v>
      </c>
      <c r="Y223" s="19">
        <v>0.25159999999999999</v>
      </c>
      <c r="Z223" s="19">
        <v>0.35070000000000001</v>
      </c>
      <c r="AB223" s="18">
        <v>10843</v>
      </c>
      <c r="AC223" s="18">
        <v>6</v>
      </c>
    </row>
    <row r="224" spans="1:29" ht="15.75" customHeight="1" x14ac:dyDescent="0.2">
      <c r="A224" s="36" t="str">
        <f>HYPERLINK("https://www.brookhavencollege.edu/", "Brookhaven College")</f>
        <v>Brookhaven College</v>
      </c>
      <c r="B224" s="18" t="s">
        <v>49</v>
      </c>
      <c r="C224" s="18" t="s">
        <v>146</v>
      </c>
      <c r="D224" s="18" t="s">
        <v>991</v>
      </c>
      <c r="E224" s="18" t="s">
        <v>36</v>
      </c>
      <c r="F224" s="18" t="s">
        <v>36</v>
      </c>
      <c r="J224" s="19"/>
      <c r="K224" s="19">
        <v>0.15840000000000001</v>
      </c>
      <c r="L224" s="19" t="s">
        <v>36</v>
      </c>
      <c r="M224" s="19">
        <v>0.1429</v>
      </c>
      <c r="N224" s="19">
        <v>0.13750000000000001</v>
      </c>
      <c r="O224" s="19">
        <v>0.1479</v>
      </c>
      <c r="P224" s="19">
        <v>0.21279999999999999</v>
      </c>
      <c r="Q224" s="19">
        <v>0.15190615800000001</v>
      </c>
      <c r="R224" s="20">
        <v>20621</v>
      </c>
      <c r="S224" s="21" t="str">
        <f>HYPERLINK("https://www.collegeforalltexans.com/apps/CollegeMoney/", "$15438")</f>
        <v>$15438</v>
      </c>
      <c r="T224" s="20">
        <v>18093</v>
      </c>
      <c r="U224" s="20">
        <v>20621</v>
      </c>
      <c r="V224" s="20">
        <v>5456</v>
      </c>
      <c r="W224" s="20">
        <v>9982.4907407407409</v>
      </c>
      <c r="Y224" s="19">
        <v>0.23019999999999999</v>
      </c>
      <c r="Z224" s="19">
        <v>0.7651</v>
      </c>
      <c r="AB224" s="18">
        <v>10001</v>
      </c>
      <c r="AC224" s="18">
        <v>6</v>
      </c>
    </row>
    <row r="225" spans="1:29" ht="15.75" customHeight="1" x14ac:dyDescent="0.2">
      <c r="A225" s="36" t="str">
        <f>HYPERLINK("https://www.broward.edu", "Broward College")</f>
        <v>Broward College</v>
      </c>
      <c r="B225" s="18" t="s">
        <v>49</v>
      </c>
      <c r="C225" s="18" t="s">
        <v>162</v>
      </c>
      <c r="D225" s="18" t="s">
        <v>433</v>
      </c>
      <c r="E225" s="18" t="s">
        <v>36</v>
      </c>
      <c r="F225" s="18" t="s">
        <v>36</v>
      </c>
      <c r="J225" s="19"/>
      <c r="K225" s="19">
        <v>0.30470000000000003</v>
      </c>
      <c r="L225" s="19">
        <v>0.24492277800000001</v>
      </c>
      <c r="M225" s="19">
        <v>0.35930000000000001</v>
      </c>
      <c r="N225" s="19">
        <v>0.22459999999999999</v>
      </c>
      <c r="O225" s="19">
        <v>0.31740000000000002</v>
      </c>
      <c r="P225" s="19">
        <v>0.48759999999999998</v>
      </c>
      <c r="Q225" s="19">
        <v>9.3184741000000001E-2</v>
      </c>
      <c r="R225" s="20">
        <v>17058</v>
      </c>
      <c r="S225" s="21" t="str">
        <f>HYPERLINK("https://www.broward.edu/financialaid/Pages/NetPriceCalculator.aspx", "$12361")</f>
        <v>$12361</v>
      </c>
      <c r="T225" s="20">
        <v>14290</v>
      </c>
      <c r="U225" s="20">
        <v>16319</v>
      </c>
      <c r="V225" s="20">
        <v>5577</v>
      </c>
      <c r="W225" s="20">
        <v>6784.1854176726229</v>
      </c>
      <c r="Y225" s="19">
        <v>0.49419999999999997</v>
      </c>
      <c r="Z225" s="19">
        <v>0.83309999999999995</v>
      </c>
      <c r="AB225" s="18">
        <v>35127</v>
      </c>
      <c r="AC225" s="18">
        <v>6</v>
      </c>
    </row>
    <row r="226" spans="1:29" ht="15.75" customHeight="1" x14ac:dyDescent="0.2">
      <c r="A226" s="36" t="str">
        <f>HYPERLINK("https://www.brownmackie.edu/", "Brown Mackie College-Albuquerque")</f>
        <v>Brown Mackie College-Albuquerque</v>
      </c>
      <c r="B226" s="18" t="s">
        <v>368</v>
      </c>
      <c r="C226" s="18" t="s">
        <v>234</v>
      </c>
      <c r="D226" s="18" t="s">
        <v>993</v>
      </c>
      <c r="E226" s="18" t="s">
        <v>36</v>
      </c>
      <c r="F226" s="18" t="s">
        <v>36</v>
      </c>
      <c r="J226" s="19"/>
      <c r="K226" s="19">
        <v>0.55859999999999999</v>
      </c>
      <c r="L226" s="19">
        <v>0.35625661299999989</v>
      </c>
      <c r="M226" s="19">
        <v>0.58140000000000003</v>
      </c>
      <c r="N226" s="19">
        <v>0.28570000000000001</v>
      </c>
      <c r="O226" s="19">
        <v>0.4667</v>
      </c>
      <c r="P226" s="19">
        <v>0.66669999999999996</v>
      </c>
      <c r="Q226" s="19">
        <v>4.6711292000000001E-2</v>
      </c>
      <c r="R226" s="20" t="s">
        <v>36</v>
      </c>
      <c r="S226" s="21" t="str">
        <f t="shared" ref="S226:S237" si="0">HYPERLINK("https://tcc.noellevitz.com/edmc/Brown-Mackie Net Price Calculator", "Not reported")</f>
        <v>Not reported</v>
      </c>
      <c r="T226" s="20" t="s">
        <v>36</v>
      </c>
      <c r="U226" s="20" t="s">
        <v>36</v>
      </c>
      <c r="V226" s="20" t="s">
        <v>36</v>
      </c>
      <c r="W226" s="20" t="s">
        <v>36</v>
      </c>
      <c r="Y226" s="19">
        <v>0.87639999999999996</v>
      </c>
      <c r="Z226" s="19">
        <v>1</v>
      </c>
      <c r="AB226" s="18">
        <v>141</v>
      </c>
      <c r="AC226" s="18">
        <v>6</v>
      </c>
    </row>
    <row r="227" spans="1:29" ht="15.75" customHeight="1" x14ac:dyDescent="0.2">
      <c r="A227" s="36" t="str">
        <f>HYPERLINK("https://www.brownmackie.edu/locations/atlanta", "Brown Mackie College-Atlanta")</f>
        <v>Brown Mackie College-Atlanta</v>
      </c>
      <c r="B227" s="18" t="s">
        <v>368</v>
      </c>
      <c r="C227" s="18" t="s">
        <v>107</v>
      </c>
      <c r="D227" s="18" t="s">
        <v>108</v>
      </c>
      <c r="E227" s="18" t="s">
        <v>36</v>
      </c>
      <c r="F227" s="18" t="s">
        <v>36</v>
      </c>
      <c r="J227" s="19"/>
      <c r="K227" s="19">
        <v>0.34329999999999999</v>
      </c>
      <c r="L227" s="19">
        <v>0.35625661299999989</v>
      </c>
      <c r="M227" s="19">
        <v>0.36959999999999998</v>
      </c>
      <c r="N227" s="19">
        <v>0.22989999999999999</v>
      </c>
      <c r="O227" s="19">
        <v>0.4783</v>
      </c>
      <c r="P227" s="19">
        <v>0.8</v>
      </c>
      <c r="Q227" s="19">
        <v>4.6711292000000001E-2</v>
      </c>
      <c r="R227" s="20" t="s">
        <v>36</v>
      </c>
      <c r="S227" s="21" t="str">
        <f t="shared" si="0"/>
        <v>Not reported</v>
      </c>
      <c r="T227" s="20" t="s">
        <v>36</v>
      </c>
      <c r="U227" s="20" t="s">
        <v>36</v>
      </c>
      <c r="V227" s="20" t="s">
        <v>36</v>
      </c>
      <c r="W227" s="20" t="s">
        <v>36</v>
      </c>
      <c r="Y227" s="19">
        <v>0.7</v>
      </c>
      <c r="Z227" s="19">
        <v>0.77329999999999999</v>
      </c>
      <c r="AB227" s="18">
        <v>150</v>
      </c>
      <c r="AC227" s="18">
        <v>6</v>
      </c>
    </row>
    <row r="228" spans="1:29" ht="15.75" customHeight="1" x14ac:dyDescent="0.2">
      <c r="A228" s="36" t="str">
        <f>HYPERLINK("https://www.brownmackie.edu", "Brown Mackie College-Boise")</f>
        <v>Brown Mackie College-Boise</v>
      </c>
      <c r="B228" s="18" t="s">
        <v>368</v>
      </c>
      <c r="C228" s="18" t="s">
        <v>486</v>
      </c>
      <c r="D228" s="18" t="s">
        <v>583</v>
      </c>
      <c r="E228" s="18" t="s">
        <v>36</v>
      </c>
      <c r="F228" s="18" t="s">
        <v>36</v>
      </c>
      <c r="J228" s="19"/>
      <c r="K228" s="19">
        <v>0.1545</v>
      </c>
      <c r="L228" s="19">
        <v>0.35625661299999989</v>
      </c>
      <c r="M228" s="19">
        <v>0.18179999999999999</v>
      </c>
      <c r="N228" s="19">
        <v>4.1700000000000001E-2</v>
      </c>
      <c r="O228" s="19">
        <v>0.16669999999999999</v>
      </c>
      <c r="P228" s="19" t="s">
        <v>36</v>
      </c>
      <c r="Q228" s="19">
        <v>4.6711292000000001E-2</v>
      </c>
      <c r="R228" s="20" t="s">
        <v>36</v>
      </c>
      <c r="S228" s="21" t="str">
        <f t="shared" si="0"/>
        <v>Not reported</v>
      </c>
      <c r="T228" s="20" t="s">
        <v>36</v>
      </c>
      <c r="U228" s="20" t="s">
        <v>36</v>
      </c>
      <c r="V228" s="20" t="s">
        <v>36</v>
      </c>
      <c r="W228" s="20" t="s">
        <v>36</v>
      </c>
      <c r="Y228" s="19">
        <v>0.73599999999999999</v>
      </c>
      <c r="Z228" s="19">
        <v>0.79730000000000001</v>
      </c>
      <c r="AB228" s="18">
        <v>74</v>
      </c>
      <c r="AC228" s="18">
        <v>6</v>
      </c>
    </row>
    <row r="229" spans="1:29" ht="15.75" customHeight="1" x14ac:dyDescent="0.2">
      <c r="A229" s="36" t="str">
        <f>HYPERLINK("https://www.brownmackie.edu/locations/cincinnati", "Brown Mackie College-Cincinnati")</f>
        <v>Brown Mackie College-Cincinnati</v>
      </c>
      <c r="B229" s="18" t="s">
        <v>368</v>
      </c>
      <c r="C229" s="18" t="s">
        <v>75</v>
      </c>
      <c r="D229" s="18" t="s">
        <v>502</v>
      </c>
      <c r="E229" s="18" t="s">
        <v>36</v>
      </c>
      <c r="F229" s="18" t="s">
        <v>36</v>
      </c>
      <c r="J229" s="19"/>
      <c r="K229" s="19">
        <v>0.2</v>
      </c>
      <c r="L229" s="19">
        <v>0.35625661299999989</v>
      </c>
      <c r="M229" s="19">
        <v>0.4</v>
      </c>
      <c r="N229" s="19">
        <v>0</v>
      </c>
      <c r="O229" s="19">
        <v>0</v>
      </c>
      <c r="P229" s="19" t="s">
        <v>36</v>
      </c>
      <c r="Q229" s="19">
        <v>4.6711292000000001E-2</v>
      </c>
      <c r="R229" s="20" t="s">
        <v>36</v>
      </c>
      <c r="S229" s="21" t="str">
        <f t="shared" si="0"/>
        <v>Not reported</v>
      </c>
      <c r="T229" s="20" t="s">
        <v>36</v>
      </c>
      <c r="U229" s="20" t="s">
        <v>36</v>
      </c>
      <c r="V229" s="20" t="s">
        <v>36</v>
      </c>
      <c r="W229" s="20" t="s">
        <v>36</v>
      </c>
      <c r="Y229" s="19">
        <v>0.69079999999999997</v>
      </c>
      <c r="Z229" s="19">
        <v>0.31519999999999998</v>
      </c>
      <c r="AB229" s="18">
        <v>184</v>
      </c>
      <c r="AC229" s="18">
        <v>6</v>
      </c>
    </row>
    <row r="230" spans="1:29" ht="15.75" customHeight="1" x14ac:dyDescent="0.2">
      <c r="A230" s="36" t="str">
        <f>HYPERLINK("https://www.brownmackie.edu/", "Brown Mackie College-Dallas")</f>
        <v>Brown Mackie College-Dallas</v>
      </c>
      <c r="B230" s="18" t="s">
        <v>368</v>
      </c>
      <c r="C230" s="18" t="s">
        <v>146</v>
      </c>
      <c r="D230" s="18" t="s">
        <v>997</v>
      </c>
      <c r="E230" s="18" t="s">
        <v>36</v>
      </c>
      <c r="F230" s="18" t="s">
        <v>36</v>
      </c>
      <c r="J230" s="19"/>
      <c r="K230" s="19" t="s">
        <v>36</v>
      </c>
      <c r="L230" s="19">
        <v>0.35625661299999989</v>
      </c>
      <c r="M230" s="19" t="s">
        <v>36</v>
      </c>
      <c r="N230" s="19" t="s">
        <v>36</v>
      </c>
      <c r="O230" s="19" t="s">
        <v>36</v>
      </c>
      <c r="P230" s="19" t="s">
        <v>36</v>
      </c>
      <c r="Q230" s="19">
        <v>4.6711292000000001E-2</v>
      </c>
      <c r="R230" s="20" t="s">
        <v>36</v>
      </c>
      <c r="S230" s="21" t="str">
        <f t="shared" si="0"/>
        <v>Not reported</v>
      </c>
      <c r="T230" s="20" t="s">
        <v>36</v>
      </c>
      <c r="U230" s="20" t="s">
        <v>36</v>
      </c>
      <c r="V230" s="20" t="s">
        <v>36</v>
      </c>
      <c r="W230" s="20" t="s">
        <v>36</v>
      </c>
      <c r="Y230" s="19">
        <v>0.6159</v>
      </c>
      <c r="Z230" s="19">
        <v>0.84030000000000005</v>
      </c>
      <c r="AB230" s="18">
        <v>144</v>
      </c>
      <c r="AC230" s="18">
        <v>6</v>
      </c>
    </row>
    <row r="231" spans="1:29" ht="15.75" customHeight="1" x14ac:dyDescent="0.2">
      <c r="A231" s="36" t="str">
        <f>HYPERLINK("https://www.brownmackie.edu/locations/findlay", "Brown Mackie College-Findlay")</f>
        <v>Brown Mackie College-Findlay</v>
      </c>
      <c r="B231" s="18" t="s">
        <v>368</v>
      </c>
      <c r="C231" s="18" t="s">
        <v>75</v>
      </c>
      <c r="D231" s="18" t="s">
        <v>998</v>
      </c>
      <c r="E231" s="18" t="s">
        <v>36</v>
      </c>
      <c r="F231" s="18" t="s">
        <v>36</v>
      </c>
      <c r="J231" s="19"/>
      <c r="K231" s="19">
        <v>0.17560000000000001</v>
      </c>
      <c r="L231" s="19">
        <v>0.35625661299999989</v>
      </c>
      <c r="M231" s="19">
        <v>0.215</v>
      </c>
      <c r="N231" s="19">
        <v>0</v>
      </c>
      <c r="O231" s="19" t="s">
        <v>36</v>
      </c>
      <c r="P231" s="19" t="s">
        <v>36</v>
      </c>
      <c r="Q231" s="19">
        <v>4.6711292000000001E-2</v>
      </c>
      <c r="R231" s="20" t="s">
        <v>36</v>
      </c>
      <c r="S231" s="21" t="str">
        <f t="shared" si="0"/>
        <v>Not reported</v>
      </c>
      <c r="T231" s="20" t="s">
        <v>36</v>
      </c>
      <c r="U231" s="20" t="s">
        <v>36</v>
      </c>
      <c r="V231" s="20" t="s">
        <v>36</v>
      </c>
      <c r="W231" s="20" t="s">
        <v>36</v>
      </c>
      <c r="Y231" s="19">
        <v>0.71499999999999997</v>
      </c>
      <c r="Z231" s="19">
        <v>0.74219999999999997</v>
      </c>
      <c r="AB231" s="18">
        <v>128</v>
      </c>
      <c r="AC231" s="18">
        <v>6</v>
      </c>
    </row>
    <row r="232" spans="1:29" ht="15.75" customHeight="1" x14ac:dyDescent="0.2">
      <c r="A232" s="36" t="str">
        <f>HYPERLINK("https://www.brownmackie.edu/locations/fort-wayne", "Brown Mackie College-Fort Wayne")</f>
        <v>Brown Mackie College-Fort Wayne</v>
      </c>
      <c r="B232" s="18" t="s">
        <v>368</v>
      </c>
      <c r="C232" s="18" t="s">
        <v>148</v>
      </c>
      <c r="D232" s="18" t="s">
        <v>815</v>
      </c>
      <c r="E232" s="18" t="s">
        <v>36</v>
      </c>
      <c r="F232" s="18" t="s">
        <v>36</v>
      </c>
      <c r="J232" s="19"/>
      <c r="K232" s="19">
        <v>0.16789999999999999</v>
      </c>
      <c r="L232" s="19">
        <v>0.35625661299999989</v>
      </c>
      <c r="M232" s="19">
        <v>0.19159999999999999</v>
      </c>
      <c r="N232" s="19">
        <v>5.6599999999999998E-2</v>
      </c>
      <c r="O232" s="19">
        <v>0.28570000000000001</v>
      </c>
      <c r="P232" s="19">
        <v>0</v>
      </c>
      <c r="Q232" s="19">
        <v>4.6711292000000001E-2</v>
      </c>
      <c r="R232" s="20" t="s">
        <v>36</v>
      </c>
      <c r="S232" s="21" t="str">
        <f t="shared" si="0"/>
        <v>Not reported</v>
      </c>
      <c r="T232" s="20" t="s">
        <v>36</v>
      </c>
      <c r="U232" s="20" t="s">
        <v>36</v>
      </c>
      <c r="V232" s="20" t="s">
        <v>36</v>
      </c>
      <c r="W232" s="20" t="s">
        <v>36</v>
      </c>
      <c r="Y232" s="19">
        <v>0.69469999999999998</v>
      </c>
      <c r="Z232" s="19">
        <v>0.77910000000000001</v>
      </c>
      <c r="AB232" s="18">
        <v>86</v>
      </c>
      <c r="AC232" s="18">
        <v>6</v>
      </c>
    </row>
    <row r="233" spans="1:29" ht="15.75" customHeight="1" x14ac:dyDescent="0.2">
      <c r="A233" s="36" t="str">
        <f>HYPERLINK("https://www.brownmackie.edu/locations/greenville", "Brown Mackie College-Greenville")</f>
        <v>Brown Mackie College-Greenville</v>
      </c>
      <c r="B233" s="18" t="s">
        <v>368</v>
      </c>
      <c r="C233" s="18" t="s">
        <v>208</v>
      </c>
      <c r="D233" s="18" t="s">
        <v>220</v>
      </c>
      <c r="E233" s="18" t="s">
        <v>36</v>
      </c>
      <c r="F233" s="18" t="s">
        <v>36</v>
      </c>
      <c r="J233" s="19"/>
      <c r="K233" s="19">
        <v>0.2059</v>
      </c>
      <c r="L233" s="19">
        <v>0.35625661299999989</v>
      </c>
      <c r="M233" s="19">
        <v>0.4118</v>
      </c>
      <c r="N233" s="19">
        <v>0</v>
      </c>
      <c r="O233" s="19">
        <v>0</v>
      </c>
      <c r="P233" s="19" t="s">
        <v>36</v>
      </c>
      <c r="Q233" s="19">
        <v>4.6711292000000001E-2</v>
      </c>
      <c r="R233" s="20" t="s">
        <v>36</v>
      </c>
      <c r="S233" s="21" t="str">
        <f t="shared" si="0"/>
        <v>Not reported</v>
      </c>
      <c r="T233" s="20" t="s">
        <v>36</v>
      </c>
      <c r="U233" s="20" t="s">
        <v>36</v>
      </c>
      <c r="V233" s="20" t="s">
        <v>36</v>
      </c>
      <c r="W233" s="20" t="s">
        <v>36</v>
      </c>
      <c r="Y233" s="19">
        <v>0.73329999999999995</v>
      </c>
      <c r="Z233" s="19">
        <v>0.78239999999999998</v>
      </c>
      <c r="AB233" s="18">
        <v>216</v>
      </c>
      <c r="AC233" s="18">
        <v>6</v>
      </c>
    </row>
    <row r="234" spans="1:29" ht="15.75" customHeight="1" x14ac:dyDescent="0.2">
      <c r="A234" s="36" t="str">
        <f>HYPERLINK("https://www.brownmackie.edu", "Brown Mackie College-Indianapolis")</f>
        <v>Brown Mackie College-Indianapolis</v>
      </c>
      <c r="B234" s="18" t="s">
        <v>368</v>
      </c>
      <c r="C234" s="18" t="s">
        <v>148</v>
      </c>
      <c r="D234" s="18" t="s">
        <v>316</v>
      </c>
      <c r="E234" s="18" t="s">
        <v>36</v>
      </c>
      <c r="F234" s="18" t="s">
        <v>36</v>
      </c>
      <c r="J234" s="19"/>
      <c r="K234" s="19">
        <v>8.3699999999999997E-2</v>
      </c>
      <c r="L234" s="19">
        <v>0.35625661299999989</v>
      </c>
      <c r="M234" s="19">
        <v>0.104</v>
      </c>
      <c r="N234" s="19">
        <v>6.0600000000000001E-2</v>
      </c>
      <c r="O234" s="19" t="s">
        <v>36</v>
      </c>
      <c r="P234" s="19">
        <v>0</v>
      </c>
      <c r="Q234" s="19">
        <v>4.6711292000000001E-2</v>
      </c>
      <c r="R234" s="20" t="s">
        <v>36</v>
      </c>
      <c r="S234" s="21" t="str">
        <f t="shared" si="0"/>
        <v>Not reported</v>
      </c>
      <c r="T234" s="20" t="s">
        <v>36</v>
      </c>
      <c r="U234" s="20" t="s">
        <v>36</v>
      </c>
      <c r="V234" s="20" t="s">
        <v>36</v>
      </c>
      <c r="W234" s="20" t="s">
        <v>36</v>
      </c>
      <c r="Y234" s="19">
        <v>0.63370000000000004</v>
      </c>
      <c r="Z234" s="19">
        <v>0.8155</v>
      </c>
      <c r="AB234" s="18">
        <v>168</v>
      </c>
      <c r="AC234" s="18">
        <v>6</v>
      </c>
    </row>
    <row r="235" spans="1:29" ht="15.75" customHeight="1" x14ac:dyDescent="0.2">
      <c r="A235" s="36" t="str">
        <f>HYPERLINK("https://www.brownmackie.edu/locations/louisville", "Brown Mackie College-Louisville")</f>
        <v>Brown Mackie College-Louisville</v>
      </c>
      <c r="B235" s="18" t="s">
        <v>368</v>
      </c>
      <c r="C235" s="18" t="s">
        <v>205</v>
      </c>
      <c r="D235" s="18" t="s">
        <v>306</v>
      </c>
      <c r="E235" s="18" t="s">
        <v>36</v>
      </c>
      <c r="F235" s="18" t="s">
        <v>36</v>
      </c>
      <c r="J235" s="19"/>
      <c r="K235" s="19">
        <v>0.17100000000000001</v>
      </c>
      <c r="L235" s="19">
        <v>0.35625661299999989</v>
      </c>
      <c r="M235" s="19">
        <v>0.1966</v>
      </c>
      <c r="N235" s="19">
        <v>5.4100000000000002E-2</v>
      </c>
      <c r="O235" s="19">
        <v>0.3</v>
      </c>
      <c r="P235" s="19">
        <v>0</v>
      </c>
      <c r="Q235" s="19">
        <v>4.6711292000000001E-2</v>
      </c>
      <c r="R235" s="20" t="s">
        <v>36</v>
      </c>
      <c r="S235" s="21" t="str">
        <f t="shared" si="0"/>
        <v>Not reported</v>
      </c>
      <c r="T235" s="20" t="s">
        <v>36</v>
      </c>
      <c r="U235" s="20" t="s">
        <v>36</v>
      </c>
      <c r="V235" s="20" t="s">
        <v>36</v>
      </c>
      <c r="W235" s="20" t="s">
        <v>36</v>
      </c>
      <c r="Y235" s="19">
        <v>0.61980000000000002</v>
      </c>
      <c r="Z235" s="19">
        <v>1</v>
      </c>
      <c r="AB235" s="18">
        <v>208</v>
      </c>
      <c r="AC235" s="18">
        <v>6</v>
      </c>
    </row>
    <row r="236" spans="1:29" ht="15.75" customHeight="1" x14ac:dyDescent="0.2">
      <c r="A236" s="36" t="str">
        <f>HYPERLINK("https://www.brownmackie.edu/locations/merrillville", "Brown Mackie College-Merrillville")</f>
        <v>Brown Mackie College-Merrillville</v>
      </c>
      <c r="B236" s="18" t="s">
        <v>368</v>
      </c>
      <c r="C236" s="18" t="s">
        <v>148</v>
      </c>
      <c r="D236" s="18" t="s">
        <v>1003</v>
      </c>
      <c r="E236" s="18" t="s">
        <v>36</v>
      </c>
      <c r="F236" s="18" t="s">
        <v>36</v>
      </c>
      <c r="J236" s="19"/>
      <c r="K236" s="19">
        <v>0.48970000000000002</v>
      </c>
      <c r="L236" s="19">
        <v>0.35625661299999989</v>
      </c>
      <c r="M236" s="19">
        <v>0.55259999999999998</v>
      </c>
      <c r="N236" s="19">
        <v>0.4118</v>
      </c>
      <c r="O236" s="19">
        <v>0.41860000000000003</v>
      </c>
      <c r="P236" s="19">
        <v>1</v>
      </c>
      <c r="Q236" s="19">
        <v>4.6711292000000001E-2</v>
      </c>
      <c r="R236" s="20" t="s">
        <v>36</v>
      </c>
      <c r="S236" s="21" t="str">
        <f t="shared" si="0"/>
        <v>Not reported</v>
      </c>
      <c r="T236" s="20" t="s">
        <v>36</v>
      </c>
      <c r="U236" s="20" t="s">
        <v>36</v>
      </c>
      <c r="V236" s="20" t="s">
        <v>36</v>
      </c>
      <c r="W236" s="20" t="s">
        <v>36</v>
      </c>
      <c r="Y236" s="19">
        <v>0.75280000000000002</v>
      </c>
      <c r="Z236" s="19">
        <v>0.73170000000000002</v>
      </c>
      <c r="AB236" s="18">
        <v>123</v>
      </c>
      <c r="AC236" s="18">
        <v>6</v>
      </c>
    </row>
    <row r="237" spans="1:29" ht="15.75" customHeight="1" x14ac:dyDescent="0.2">
      <c r="A237" s="36" t="str">
        <f>HYPERLINK("https://www.brownmackie.edu/locations/miami", "Brown Mackie College-Miami")</f>
        <v>Brown Mackie College-Miami</v>
      </c>
      <c r="B237" s="18" t="s">
        <v>368</v>
      </c>
      <c r="C237" s="18" t="s">
        <v>162</v>
      </c>
      <c r="D237" s="18" t="s">
        <v>715</v>
      </c>
      <c r="E237" s="18" t="s">
        <v>36</v>
      </c>
      <c r="F237" s="18" t="s">
        <v>36</v>
      </c>
      <c r="J237" s="19"/>
      <c r="K237" s="19">
        <v>0.21429999999999999</v>
      </c>
      <c r="L237" s="19">
        <v>0.35625661299999989</v>
      </c>
      <c r="M237" s="19">
        <v>0.2404</v>
      </c>
      <c r="N237" s="19">
        <v>0</v>
      </c>
      <c r="O237" s="19">
        <v>0</v>
      </c>
      <c r="P237" s="19" t="s">
        <v>36</v>
      </c>
      <c r="Q237" s="19">
        <v>4.6711292000000001E-2</v>
      </c>
      <c r="R237" s="20" t="s">
        <v>36</v>
      </c>
      <c r="S237" s="21" t="str">
        <f t="shared" si="0"/>
        <v>Not reported</v>
      </c>
      <c r="T237" s="20" t="s">
        <v>36</v>
      </c>
      <c r="U237" s="20" t="s">
        <v>36</v>
      </c>
      <c r="V237" s="20" t="s">
        <v>36</v>
      </c>
      <c r="W237" s="20" t="s">
        <v>36</v>
      </c>
      <c r="Y237" s="19">
        <v>0.69569999999999999</v>
      </c>
      <c r="Z237" s="19">
        <v>1</v>
      </c>
      <c r="AB237" s="18">
        <v>121</v>
      </c>
      <c r="AC237" s="18">
        <v>6</v>
      </c>
    </row>
    <row r="238" spans="1:29" ht="15.75" customHeight="1" x14ac:dyDescent="0.2">
      <c r="A238" s="36" t="str">
        <f>HYPERLINK("https://www.brownmackie.edu/locations/phoenix", "Brown Mackie College-Phoenix")</f>
        <v>Brown Mackie College-Phoenix</v>
      </c>
      <c r="B238" s="18" t="s">
        <v>368</v>
      </c>
      <c r="C238" s="18" t="s">
        <v>354</v>
      </c>
      <c r="D238" s="18" t="s">
        <v>369</v>
      </c>
      <c r="E238" s="18" t="s">
        <v>36</v>
      </c>
      <c r="F238" s="18" t="s">
        <v>36</v>
      </c>
      <c r="J238" s="19"/>
      <c r="K238" s="19">
        <v>0.26800000000000002</v>
      </c>
      <c r="L238" s="19">
        <v>0.35625661299999989</v>
      </c>
      <c r="M238" s="19">
        <v>0.61539999999999995</v>
      </c>
      <c r="N238" s="19">
        <v>0.7</v>
      </c>
      <c r="O238" s="19">
        <v>0.5</v>
      </c>
      <c r="P238" s="19">
        <v>1</v>
      </c>
      <c r="Q238" s="19">
        <v>4.6711292000000001E-2</v>
      </c>
      <c r="R238" s="20" t="s">
        <v>36</v>
      </c>
      <c r="S238" s="21" t="str">
        <f>HYPERLINK("https://tcc.noellevitz.com/(S(2nbd1j1n2qm2eh0k4x5rfdv3))/edmc/Brown-Mackie%20Net%20Price%20Calculator?iframe=true&amp;width=600&amp;height=1000&amp;iframe=true&amp;wi", "Not reported")</f>
        <v>Not reported</v>
      </c>
      <c r="T238" s="20" t="s">
        <v>36</v>
      </c>
      <c r="U238" s="20" t="s">
        <v>36</v>
      </c>
      <c r="V238" s="20" t="s">
        <v>36</v>
      </c>
      <c r="W238" s="20" t="s">
        <v>36</v>
      </c>
      <c r="Y238" s="19">
        <v>0.70250000000000001</v>
      </c>
      <c r="Z238" s="19">
        <v>0.68290000000000006</v>
      </c>
      <c r="AB238" s="18">
        <v>164</v>
      </c>
      <c r="AC238" s="18">
        <v>6</v>
      </c>
    </row>
    <row r="239" spans="1:29" ht="15.75" customHeight="1" x14ac:dyDescent="0.2">
      <c r="A239" s="36" t="str">
        <f>HYPERLINK("https://www.brownmackie.edu/locations/san-antonio", "Brown Mackie College-San Antonio")</f>
        <v>Brown Mackie College-San Antonio</v>
      </c>
      <c r="B239" s="18" t="s">
        <v>368</v>
      </c>
      <c r="C239" s="18" t="s">
        <v>146</v>
      </c>
      <c r="D239" s="18" t="s">
        <v>268</v>
      </c>
      <c r="E239" s="18" t="s">
        <v>36</v>
      </c>
      <c r="F239" s="18" t="s">
        <v>36</v>
      </c>
      <c r="J239" s="19"/>
      <c r="K239" s="19">
        <v>0.186</v>
      </c>
      <c r="L239" s="19">
        <v>0.35625661299999989</v>
      </c>
      <c r="M239" s="19">
        <v>0.28570000000000001</v>
      </c>
      <c r="N239" s="19" t="s">
        <v>36</v>
      </c>
      <c r="O239" s="19">
        <v>0.33329999999999999</v>
      </c>
      <c r="P239" s="19">
        <v>0</v>
      </c>
      <c r="Q239" s="19">
        <v>4.6711292000000001E-2</v>
      </c>
      <c r="R239" s="20" t="s">
        <v>36</v>
      </c>
      <c r="S239" s="21" t="str">
        <f t="shared" ref="S239:S242" si="1">HYPERLINK("https://tcc.noellevitz.com/edmc/Brown-Mackie Net Price Calculator", "Not reported")</f>
        <v>Not reported</v>
      </c>
      <c r="T239" s="20" t="s">
        <v>36</v>
      </c>
      <c r="U239" s="20" t="s">
        <v>36</v>
      </c>
      <c r="V239" s="20" t="s">
        <v>36</v>
      </c>
      <c r="W239" s="20" t="s">
        <v>36</v>
      </c>
      <c r="Y239" s="19">
        <v>0.80049999999999999</v>
      </c>
      <c r="Z239" s="19">
        <v>0.82679999999999998</v>
      </c>
      <c r="AB239" s="18">
        <v>231</v>
      </c>
      <c r="AC239" s="18">
        <v>6</v>
      </c>
    </row>
    <row r="240" spans="1:29" ht="15.75" customHeight="1" x14ac:dyDescent="0.2">
      <c r="A240" s="36" t="str">
        <f>HYPERLINK("https://www.brownmackie.edu/locations/st-louis", "Brown Mackie College-St Louis")</f>
        <v>Brown Mackie College-St Louis</v>
      </c>
      <c r="B240" s="18" t="s">
        <v>368</v>
      </c>
      <c r="C240" s="18" t="s">
        <v>164</v>
      </c>
      <c r="D240" s="18" t="s">
        <v>704</v>
      </c>
      <c r="E240" s="18" t="s">
        <v>36</v>
      </c>
      <c r="F240" s="18" t="s">
        <v>36</v>
      </c>
      <c r="J240" s="19"/>
      <c r="K240" s="19">
        <v>0.48</v>
      </c>
      <c r="L240" s="19">
        <v>0.35625661299999989</v>
      </c>
      <c r="M240" s="19">
        <v>0.56000000000000005</v>
      </c>
      <c r="N240" s="19">
        <v>0.4667</v>
      </c>
      <c r="O240" s="19">
        <v>0</v>
      </c>
      <c r="P240" s="19" t="s">
        <v>36</v>
      </c>
      <c r="Q240" s="19">
        <v>4.6711292000000001E-2</v>
      </c>
      <c r="R240" s="20" t="s">
        <v>36</v>
      </c>
      <c r="S240" s="21" t="str">
        <f t="shared" si="1"/>
        <v>Not reported</v>
      </c>
      <c r="T240" s="20" t="s">
        <v>36</v>
      </c>
      <c r="U240" s="20" t="s">
        <v>36</v>
      </c>
      <c r="V240" s="20" t="s">
        <v>36</v>
      </c>
      <c r="W240" s="20" t="s">
        <v>36</v>
      </c>
      <c r="Y240" s="19">
        <v>0.77329999999999999</v>
      </c>
      <c r="Z240" s="19">
        <v>0.71550000000000002</v>
      </c>
      <c r="AB240" s="18">
        <v>116</v>
      </c>
      <c r="AC240" s="18">
        <v>6</v>
      </c>
    </row>
    <row r="241" spans="1:29" ht="15.75" customHeight="1" x14ac:dyDescent="0.2">
      <c r="A241" s="36" t="str">
        <f>HYPERLINK("https://www.brownmackie.edu/locations/tucson", "Brown Mackie College-Tucson")</f>
        <v>Brown Mackie College-Tucson</v>
      </c>
      <c r="B241" s="18" t="s">
        <v>368</v>
      </c>
      <c r="C241" s="18" t="s">
        <v>354</v>
      </c>
      <c r="D241" s="18" t="s">
        <v>1013</v>
      </c>
      <c r="E241" s="18" t="s">
        <v>36</v>
      </c>
      <c r="F241" s="18" t="s">
        <v>36</v>
      </c>
      <c r="J241" s="19"/>
      <c r="K241" s="19">
        <v>0.27500000000000002</v>
      </c>
      <c r="L241" s="19">
        <v>0.35625661299999989</v>
      </c>
      <c r="M241" s="19">
        <v>0.36230000000000001</v>
      </c>
      <c r="N241" s="19">
        <v>0.2</v>
      </c>
      <c r="O241" s="19">
        <v>0</v>
      </c>
      <c r="P241" s="19" t="s">
        <v>36</v>
      </c>
      <c r="Q241" s="19">
        <v>4.6711292000000001E-2</v>
      </c>
      <c r="R241" s="20" t="s">
        <v>36</v>
      </c>
      <c r="S241" s="21" t="str">
        <f t="shared" si="1"/>
        <v>Not reported</v>
      </c>
      <c r="T241" s="20" t="s">
        <v>36</v>
      </c>
      <c r="U241" s="20" t="s">
        <v>36</v>
      </c>
      <c r="V241" s="20" t="s">
        <v>36</v>
      </c>
      <c r="W241" s="20" t="s">
        <v>36</v>
      </c>
      <c r="Y241" s="19">
        <v>0.73099999999999998</v>
      </c>
      <c r="Z241" s="19">
        <v>0.36</v>
      </c>
      <c r="AB241" s="18">
        <v>100</v>
      </c>
      <c r="AC241" s="18">
        <v>6</v>
      </c>
    </row>
    <row r="242" spans="1:29" ht="15.75" customHeight="1" x14ac:dyDescent="0.2">
      <c r="A242" s="36" t="str">
        <f>HYPERLINK("https://www.brownmackie.edu", "Brown Mackie College-Tulsa")</f>
        <v>Brown Mackie College-Tulsa</v>
      </c>
      <c r="B242" s="18" t="s">
        <v>368</v>
      </c>
      <c r="C242" s="18" t="s">
        <v>290</v>
      </c>
      <c r="D242" s="18" t="s">
        <v>291</v>
      </c>
      <c r="E242" s="18" t="s">
        <v>36</v>
      </c>
      <c r="F242" s="18" t="s">
        <v>36</v>
      </c>
      <c r="J242" s="19"/>
      <c r="K242" s="19">
        <v>0.18179999999999999</v>
      </c>
      <c r="L242" s="19">
        <v>0.35625661299999989</v>
      </c>
      <c r="M242" s="19">
        <v>0.22220000000000001</v>
      </c>
      <c r="N242" s="19">
        <v>0</v>
      </c>
      <c r="O242" s="19" t="s">
        <v>36</v>
      </c>
      <c r="P242" s="19" t="s">
        <v>36</v>
      </c>
      <c r="Q242" s="19">
        <v>4.6711292000000001E-2</v>
      </c>
      <c r="R242" s="20" t="s">
        <v>36</v>
      </c>
      <c r="S242" s="21" t="str">
        <f t="shared" si="1"/>
        <v>Not reported</v>
      </c>
      <c r="T242" s="20" t="s">
        <v>36</v>
      </c>
      <c r="U242" s="20" t="s">
        <v>36</v>
      </c>
      <c r="V242" s="20" t="s">
        <v>36</v>
      </c>
      <c r="W242" s="20" t="s">
        <v>36</v>
      </c>
      <c r="Y242" s="19">
        <v>0.77200000000000002</v>
      </c>
      <c r="Z242" s="19">
        <v>0.20830000000000001</v>
      </c>
      <c r="AB242" s="18">
        <v>144</v>
      </c>
      <c r="AC242" s="18">
        <v>6</v>
      </c>
    </row>
    <row r="243" spans="1:29" ht="15.75" customHeight="1" x14ac:dyDescent="0.2">
      <c r="A243" s="36" t="str">
        <f>HYPERLINK("https://www.brown.edu", "Brown University")</f>
        <v>Brown University</v>
      </c>
      <c r="B243" s="18" t="s">
        <v>32</v>
      </c>
      <c r="C243" s="18" t="s">
        <v>63</v>
      </c>
      <c r="D243" s="18" t="s">
        <v>64</v>
      </c>
      <c r="E243" s="18">
        <v>1494</v>
      </c>
      <c r="F243" s="18" t="s">
        <v>35</v>
      </c>
      <c r="J243" s="19"/>
      <c r="K243" s="19">
        <v>0.95140000000000002</v>
      </c>
      <c r="L243" s="19">
        <v>0.81690140900000008</v>
      </c>
      <c r="M243" s="19">
        <v>0.95389999999999997</v>
      </c>
      <c r="N243" s="19">
        <v>0.93879999999999997</v>
      </c>
      <c r="O243" s="19">
        <v>0.9627</v>
      </c>
      <c r="P243" s="19">
        <v>0.9556</v>
      </c>
      <c r="Q243" s="19"/>
      <c r="R243" s="20">
        <v>71050</v>
      </c>
      <c r="S243" s="21" t="str">
        <f>HYPERLINK("https://npc.collegeboard.org/student/app/brown", "$5399")</f>
        <v>$5399</v>
      </c>
      <c r="T243" s="20">
        <v>12181</v>
      </c>
      <c r="U243" s="20">
        <v>20042</v>
      </c>
      <c r="V243" s="20">
        <v>3611</v>
      </c>
      <c r="W243" s="20">
        <v>1788</v>
      </c>
      <c r="X243" s="18" t="s">
        <v>37</v>
      </c>
      <c r="Y243" s="19">
        <v>0.1411</v>
      </c>
      <c r="Z243" s="19">
        <v>0.56099999999999994</v>
      </c>
      <c r="AA243" s="18" t="s">
        <v>37</v>
      </c>
      <c r="AB243" s="18">
        <v>6670</v>
      </c>
      <c r="AC243" s="18">
        <v>1</v>
      </c>
    </row>
    <row r="244" spans="1:29" ht="15.75" customHeight="1" x14ac:dyDescent="0.2">
      <c r="A244" s="36" t="str">
        <f>HYPERLINK("https://www.brunswickcc.edu", "Brunswick Community College")</f>
        <v>Brunswick Community College</v>
      </c>
      <c r="B244" s="18" t="s">
        <v>49</v>
      </c>
      <c r="C244" s="18" t="s">
        <v>103</v>
      </c>
      <c r="D244" s="18" t="s">
        <v>1015</v>
      </c>
      <c r="E244" s="18" t="s">
        <v>36</v>
      </c>
      <c r="F244" s="18" t="s">
        <v>36</v>
      </c>
      <c r="J244" s="19"/>
      <c r="K244" s="19">
        <v>0.34910000000000002</v>
      </c>
      <c r="L244" s="19">
        <v>8.7078651999999993E-2</v>
      </c>
      <c r="M244" s="19">
        <v>0.37819999999999998</v>
      </c>
      <c r="N244" s="19">
        <v>0.2273</v>
      </c>
      <c r="O244" s="19">
        <v>0.45450000000000002</v>
      </c>
      <c r="P244" s="19" t="s">
        <v>36</v>
      </c>
      <c r="Q244" s="19">
        <v>9.7251586000000001E-2</v>
      </c>
      <c r="R244" s="20">
        <v>22186</v>
      </c>
      <c r="S244" s="21" t="str">
        <f>HYPERLINK("https://www.brunswickcc.edu/net-price-calculator/", "$16501")</f>
        <v>$16501</v>
      </c>
      <c r="T244" s="20">
        <v>17403</v>
      </c>
      <c r="U244" s="20">
        <v>18429</v>
      </c>
      <c r="V244" s="20">
        <v>7660</v>
      </c>
      <c r="W244" s="20">
        <v>8841.209677419356</v>
      </c>
      <c r="Y244" s="19">
        <v>0.37790000000000001</v>
      </c>
      <c r="Z244" s="19">
        <v>0.30719999999999997</v>
      </c>
      <c r="AB244" s="18">
        <v>918</v>
      </c>
      <c r="AC244" s="18">
        <v>6</v>
      </c>
    </row>
    <row r="245" spans="1:29" ht="15.75" customHeight="1" x14ac:dyDescent="0.2">
      <c r="A245" s="36" t="str">
        <f t="shared" ref="A245:A247" si="2">HYPERLINK("https://www.bryanu.edu", "Bryan University")</f>
        <v>Bryan University</v>
      </c>
      <c r="B245" s="18" t="s">
        <v>368</v>
      </c>
      <c r="C245" s="18" t="s">
        <v>164</v>
      </c>
      <c r="D245" s="18" t="s">
        <v>165</v>
      </c>
      <c r="E245" s="18" t="s">
        <v>36</v>
      </c>
      <c r="F245" s="18" t="s">
        <v>36</v>
      </c>
      <c r="J245" s="19"/>
      <c r="K245" s="19">
        <v>0.4103</v>
      </c>
      <c r="L245" s="19">
        <v>0.31805929900000002</v>
      </c>
      <c r="M245" s="19">
        <v>0.52380000000000004</v>
      </c>
      <c r="N245" s="19">
        <v>0.41670000000000001</v>
      </c>
      <c r="O245" s="19">
        <v>0</v>
      </c>
      <c r="P245" s="19" t="s">
        <v>36</v>
      </c>
      <c r="Q245" s="19" t="s">
        <v>36</v>
      </c>
      <c r="R245" s="20">
        <v>25659</v>
      </c>
      <c r="S245" s="21" t="str">
        <f>HYPERLINK("https://www.bryanu.edu", "$19875")</f>
        <v>$19875</v>
      </c>
      <c r="T245" s="20">
        <v>20199</v>
      </c>
      <c r="U245" s="20" t="s">
        <v>36</v>
      </c>
      <c r="V245" s="20">
        <v>4437</v>
      </c>
      <c r="W245" s="20">
        <v>15438</v>
      </c>
      <c r="Y245" s="19">
        <v>0.94589999999999996</v>
      </c>
      <c r="Z245" s="19">
        <v>0.57889999999999997</v>
      </c>
      <c r="AB245" s="18">
        <v>57</v>
      </c>
      <c r="AC245" s="18">
        <v>6</v>
      </c>
    </row>
    <row r="246" spans="1:29" ht="15.75" customHeight="1" x14ac:dyDescent="0.2">
      <c r="A246" s="36" t="str">
        <f t="shared" si="2"/>
        <v>Bryan University</v>
      </c>
      <c r="B246" s="18" t="s">
        <v>368</v>
      </c>
      <c r="C246" s="18" t="s">
        <v>371</v>
      </c>
      <c r="D246" s="18" t="s">
        <v>1018</v>
      </c>
      <c r="E246" s="18" t="s">
        <v>36</v>
      </c>
      <c r="F246" s="18" t="s">
        <v>36</v>
      </c>
      <c r="J246" s="19"/>
      <c r="K246" s="19">
        <v>0.74419999999999997</v>
      </c>
      <c r="L246" s="19">
        <v>0.31805929900000002</v>
      </c>
      <c r="M246" s="19">
        <v>0.66</v>
      </c>
      <c r="N246" s="19">
        <v>0.5</v>
      </c>
      <c r="O246" s="19">
        <v>0.89659999999999995</v>
      </c>
      <c r="P246" s="19">
        <v>1</v>
      </c>
      <c r="Q246" s="19" t="s">
        <v>36</v>
      </c>
      <c r="R246" s="20">
        <v>25625</v>
      </c>
      <c r="S246" s="21" t="str">
        <f>HYPERLINK("https://www.bryanu.edu", "$19660")</f>
        <v>$19660</v>
      </c>
      <c r="T246" s="20">
        <v>22181</v>
      </c>
      <c r="U246" s="20" t="s">
        <v>36</v>
      </c>
      <c r="V246" s="20">
        <v>4417</v>
      </c>
      <c r="W246" s="20">
        <v>15243</v>
      </c>
      <c r="Y246" s="19">
        <v>0.72570000000000001</v>
      </c>
      <c r="Z246" s="19">
        <v>0.52829999999999999</v>
      </c>
      <c r="AB246" s="18">
        <v>53</v>
      </c>
      <c r="AC246" s="18">
        <v>6</v>
      </c>
    </row>
    <row r="247" spans="1:29" ht="15.75" customHeight="1" x14ac:dyDescent="0.2">
      <c r="A247" s="36" t="str">
        <f t="shared" si="2"/>
        <v>Bryan University</v>
      </c>
      <c r="B247" s="18" t="s">
        <v>368</v>
      </c>
      <c r="C247" s="18" t="s">
        <v>307</v>
      </c>
      <c r="D247" s="18" t="s">
        <v>927</v>
      </c>
      <c r="E247" s="18" t="s">
        <v>36</v>
      </c>
      <c r="F247" s="18" t="s">
        <v>36</v>
      </c>
      <c r="J247" s="19"/>
      <c r="K247" s="19">
        <v>0.61819999999999997</v>
      </c>
      <c r="L247" s="19">
        <v>0.28571428599999998</v>
      </c>
      <c r="M247" s="19">
        <v>0.5</v>
      </c>
      <c r="N247" s="19">
        <v>0.76919999999999999</v>
      </c>
      <c r="O247" s="19">
        <v>0.75</v>
      </c>
      <c r="P247" s="19" t="s">
        <v>36</v>
      </c>
      <c r="Q247" s="19" t="s">
        <v>36</v>
      </c>
      <c r="R247" s="20">
        <v>25595</v>
      </c>
      <c r="S247" s="21" t="str">
        <f>HYPERLINK("https://bryancollege.edu/disclosures_docs/net-price-calculator/", "$19290")</f>
        <v>$19290</v>
      </c>
      <c r="T247" s="20">
        <v>25070</v>
      </c>
      <c r="U247" s="20" t="s">
        <v>36</v>
      </c>
      <c r="V247" s="20">
        <v>4420</v>
      </c>
      <c r="W247" s="20">
        <v>14870</v>
      </c>
      <c r="Y247" s="19">
        <v>0.80220000000000002</v>
      </c>
      <c r="Z247" s="19">
        <v>0.38240000000000002</v>
      </c>
      <c r="AB247" s="18">
        <v>34</v>
      </c>
      <c r="AC247" s="18">
        <v>6</v>
      </c>
    </row>
    <row r="248" spans="1:29" ht="15.75" customHeight="1" x14ac:dyDescent="0.2">
      <c r="A248" s="36" t="str">
        <f>HYPERLINK("https://bryanuniversity.edu", "Bryan University")</f>
        <v>Bryan University</v>
      </c>
      <c r="B248" s="18" t="s">
        <v>368</v>
      </c>
      <c r="C248" s="18" t="s">
        <v>354</v>
      </c>
      <c r="D248" s="18" t="s">
        <v>558</v>
      </c>
      <c r="E248" s="18" t="s">
        <v>36</v>
      </c>
      <c r="F248" s="18" t="s">
        <v>36</v>
      </c>
      <c r="J248" s="19"/>
      <c r="K248" s="19">
        <v>0.26619999999999999</v>
      </c>
      <c r="L248" s="19">
        <v>0.11827957</v>
      </c>
      <c r="M248" s="19">
        <v>0.27160000000000001</v>
      </c>
      <c r="N248" s="19">
        <v>0.24</v>
      </c>
      <c r="O248" s="19">
        <v>0.28570000000000001</v>
      </c>
      <c r="P248" s="19">
        <v>0</v>
      </c>
      <c r="Q248" s="19">
        <v>2.7491409000000001E-2</v>
      </c>
      <c r="R248" s="20">
        <v>26089</v>
      </c>
      <c r="S248" s="21" t="str">
        <f>HYPERLINK("https://bryanuniversity.edu/about/consumer-info/net-price-calculator/", "$20984")</f>
        <v>$20984</v>
      </c>
      <c r="T248" s="20">
        <v>22261</v>
      </c>
      <c r="U248" s="20">
        <v>24894</v>
      </c>
      <c r="V248" s="20">
        <v>4220</v>
      </c>
      <c r="W248" s="20">
        <v>16764</v>
      </c>
      <c r="Y248" s="19">
        <v>0.6794</v>
      </c>
      <c r="Z248" s="19">
        <v>0.5998</v>
      </c>
      <c r="AB248" s="18">
        <v>1242</v>
      </c>
      <c r="AC248" s="18">
        <v>6</v>
      </c>
    </row>
    <row r="249" spans="1:29" ht="15.75" customHeight="1" x14ac:dyDescent="0.2">
      <c r="A249" s="36" t="str">
        <f>HYPERLINK("https://www.bryanu.edu", "Bryan University")</f>
        <v>Bryan University</v>
      </c>
      <c r="B249" s="18" t="s">
        <v>368</v>
      </c>
      <c r="C249" s="18" t="s">
        <v>164</v>
      </c>
      <c r="D249" s="18" t="s">
        <v>349</v>
      </c>
      <c r="E249" s="18" t="s">
        <v>36</v>
      </c>
      <c r="F249" s="18" t="s">
        <v>36</v>
      </c>
      <c r="J249" s="19"/>
      <c r="K249" s="19">
        <v>0.1958</v>
      </c>
      <c r="L249" s="19">
        <v>0.31805929900000002</v>
      </c>
      <c r="M249" s="19">
        <v>0.26229999999999998</v>
      </c>
      <c r="N249" s="19">
        <v>0.18179999999999999</v>
      </c>
      <c r="O249" s="19">
        <v>0.5</v>
      </c>
      <c r="P249" s="19">
        <v>0</v>
      </c>
      <c r="Q249" s="19" t="s">
        <v>36</v>
      </c>
      <c r="R249" s="20">
        <v>25595</v>
      </c>
      <c r="S249" s="21" t="str">
        <f>HYPERLINK("https://www.bryanu.edu", "$20568")</f>
        <v>$20568</v>
      </c>
      <c r="T249" s="20">
        <v>25093</v>
      </c>
      <c r="U249" s="20">
        <v>25093</v>
      </c>
      <c r="V249" s="20">
        <v>4420</v>
      </c>
      <c r="W249" s="20">
        <v>16148</v>
      </c>
      <c r="Y249" s="19">
        <v>0.76429999999999998</v>
      </c>
      <c r="Z249" s="19">
        <v>0.34019999999999989</v>
      </c>
      <c r="AB249" s="18">
        <v>291</v>
      </c>
      <c r="AC249" s="18">
        <v>6</v>
      </c>
    </row>
    <row r="250" spans="1:29" ht="15.75" customHeight="1" x14ac:dyDescent="0.2">
      <c r="A250" s="36" t="str">
        <f>HYPERLINK("https://www.bryantstratton.edu", "Bryant &amp; Stratton College-Akron")</f>
        <v>Bryant &amp; Stratton College-Akron</v>
      </c>
      <c r="B250" s="18" t="s">
        <v>368</v>
      </c>
      <c r="C250" s="18" t="s">
        <v>75</v>
      </c>
      <c r="D250" s="18" t="s">
        <v>1020</v>
      </c>
      <c r="E250" s="18" t="s">
        <v>36</v>
      </c>
      <c r="F250" s="18" t="s">
        <v>36</v>
      </c>
      <c r="J250" s="19"/>
      <c r="K250" s="19" t="s">
        <v>36</v>
      </c>
      <c r="L250" s="19">
        <v>0.237336994</v>
      </c>
      <c r="M250" s="19" t="s">
        <v>36</v>
      </c>
      <c r="N250" s="19" t="s">
        <v>36</v>
      </c>
      <c r="O250" s="19" t="s">
        <v>36</v>
      </c>
      <c r="P250" s="19" t="s">
        <v>36</v>
      </c>
      <c r="Q250" s="19">
        <v>2.3633998E-2</v>
      </c>
      <c r="R250" s="20">
        <v>24715</v>
      </c>
      <c r="S250" s="21" t="str">
        <f>HYPERLINK("https://www.bryantstratton.edu/financial-aid/net-price-calculator", "$16515")</f>
        <v>$16515</v>
      </c>
      <c r="T250" s="20" t="s">
        <v>36</v>
      </c>
      <c r="U250" s="20" t="s">
        <v>36</v>
      </c>
      <c r="V250" s="20">
        <v>3280</v>
      </c>
      <c r="W250" s="20">
        <v>13235</v>
      </c>
      <c r="Y250" s="19">
        <v>0.69369999999999998</v>
      </c>
      <c r="Z250" s="19">
        <v>0.28410000000000002</v>
      </c>
      <c r="AB250" s="18">
        <v>88</v>
      </c>
      <c r="AC250" s="18">
        <v>6</v>
      </c>
    </row>
    <row r="251" spans="1:29" ht="15.75" customHeight="1" x14ac:dyDescent="0.2">
      <c r="A251" s="36" t="str">
        <f>HYPERLINK("https://www.bryantstratton.edu/", "Bryant &amp; Stratton College-Albany")</f>
        <v>Bryant &amp; Stratton College-Albany</v>
      </c>
      <c r="B251" s="18" t="s">
        <v>368</v>
      </c>
      <c r="C251" s="18" t="s">
        <v>38</v>
      </c>
      <c r="D251" s="18" t="s">
        <v>550</v>
      </c>
      <c r="E251" s="18" t="s">
        <v>36</v>
      </c>
      <c r="F251" s="18" t="s">
        <v>36</v>
      </c>
      <c r="J251" s="19"/>
      <c r="K251" s="19">
        <v>0.26440000000000002</v>
      </c>
      <c r="L251" s="19">
        <v>0.237336994</v>
      </c>
      <c r="M251" s="19">
        <v>0.28570000000000001</v>
      </c>
      <c r="N251" s="19">
        <v>0.2727</v>
      </c>
      <c r="O251" s="19">
        <v>0.125</v>
      </c>
      <c r="P251" s="19" t="s">
        <v>36</v>
      </c>
      <c r="Q251" s="19">
        <v>2.3633998E-2</v>
      </c>
      <c r="R251" s="20">
        <v>23474</v>
      </c>
      <c r="S251" s="21" t="str">
        <f>HYPERLINK("https://www.bryantstratton.edu/financial-aid/net-price-calculator", "$11707")</f>
        <v>$11707</v>
      </c>
      <c r="T251" s="20" t="s">
        <v>36</v>
      </c>
      <c r="U251" s="20">
        <v>9761</v>
      </c>
      <c r="V251" s="20">
        <v>3280</v>
      </c>
      <c r="W251" s="20">
        <v>8427</v>
      </c>
      <c r="Y251" s="19">
        <v>0.77329999999999999</v>
      </c>
      <c r="Z251" s="19">
        <v>0.5111</v>
      </c>
      <c r="AB251" s="18">
        <v>360</v>
      </c>
      <c r="AC251" s="18">
        <v>6</v>
      </c>
    </row>
    <row r="252" spans="1:29" ht="15.75" customHeight="1" x14ac:dyDescent="0.2">
      <c r="A252" s="36" t="str">
        <f>HYPERLINK("https://www.bryantstratton.edu", "Bryant &amp; Stratton College-Amherst")</f>
        <v>Bryant &amp; Stratton College-Amherst</v>
      </c>
      <c r="B252" s="18" t="s">
        <v>368</v>
      </c>
      <c r="C252" s="18" t="s">
        <v>38</v>
      </c>
      <c r="D252" s="18" t="s">
        <v>1023</v>
      </c>
      <c r="E252" s="18" t="s">
        <v>36</v>
      </c>
      <c r="F252" s="18" t="s">
        <v>36</v>
      </c>
      <c r="J252" s="19"/>
      <c r="K252" s="19">
        <v>0.44440000000000002</v>
      </c>
      <c r="L252" s="19">
        <v>0.237336994</v>
      </c>
      <c r="M252" s="19">
        <v>0.44</v>
      </c>
      <c r="N252" s="19">
        <v>0.33329999999999999</v>
      </c>
      <c r="O252" s="19" t="s">
        <v>36</v>
      </c>
      <c r="P252" s="19" t="s">
        <v>36</v>
      </c>
      <c r="Q252" s="19">
        <v>2.3633998E-2</v>
      </c>
      <c r="R252" s="20">
        <v>23381</v>
      </c>
      <c r="S252" s="21" t="str">
        <f>HYPERLINK("https://www.bryantstratton.edu/financial-aid/net-price-calculator", "$12807")</f>
        <v>$12807</v>
      </c>
      <c r="T252" s="20">
        <v>12183</v>
      </c>
      <c r="U252" s="20" t="s">
        <v>36</v>
      </c>
      <c r="V252" s="20">
        <v>3280</v>
      </c>
      <c r="W252" s="20">
        <v>9527</v>
      </c>
      <c r="Y252" s="19">
        <v>0.67969999999999997</v>
      </c>
      <c r="Z252" s="19">
        <v>0.2752</v>
      </c>
      <c r="AB252" s="18">
        <v>258</v>
      </c>
      <c r="AC252" s="18">
        <v>6</v>
      </c>
    </row>
    <row r="253" spans="1:29" ht="15.75" customHeight="1" x14ac:dyDescent="0.2">
      <c r="A253" s="36" t="str">
        <f>HYPERLINK("https://www.bryantstratton.edu", "Bryant &amp; Stratton College-Bayshore")</f>
        <v>Bryant &amp; Stratton College-Bayshore</v>
      </c>
      <c r="B253" s="18" t="s">
        <v>368</v>
      </c>
      <c r="C253" s="18" t="s">
        <v>196</v>
      </c>
      <c r="D253" s="18" t="s">
        <v>639</v>
      </c>
      <c r="E253" s="18" t="s">
        <v>36</v>
      </c>
      <c r="F253" s="18" t="s">
        <v>36</v>
      </c>
      <c r="J253" s="19"/>
      <c r="K253" s="19">
        <v>0.1071</v>
      </c>
      <c r="L253" s="19">
        <v>0.237336994</v>
      </c>
      <c r="M253" s="19">
        <v>0.6</v>
      </c>
      <c r="N253" s="19">
        <v>6.25E-2</v>
      </c>
      <c r="O253" s="19">
        <v>0</v>
      </c>
      <c r="P253" s="19">
        <v>0</v>
      </c>
      <c r="Q253" s="19">
        <v>2.3633998E-2</v>
      </c>
      <c r="R253" s="20">
        <v>23405</v>
      </c>
      <c r="S253" s="21" t="str">
        <f>HYPERLINK("https://www.bryantstratton.edu/financial-aid/net-price-calculator", "$16492")</f>
        <v>$16492</v>
      </c>
      <c r="T253" s="20" t="s">
        <v>36</v>
      </c>
      <c r="U253" s="20" t="s">
        <v>36</v>
      </c>
      <c r="V253" s="20">
        <v>3280</v>
      </c>
      <c r="W253" s="20">
        <v>13212</v>
      </c>
      <c r="Y253" s="19">
        <v>0.77170000000000005</v>
      </c>
      <c r="Z253" s="19">
        <v>0.80169999999999997</v>
      </c>
      <c r="AB253" s="18">
        <v>353</v>
      </c>
      <c r="AC253" s="18">
        <v>6</v>
      </c>
    </row>
    <row r="254" spans="1:29" ht="15.75" customHeight="1" x14ac:dyDescent="0.2">
      <c r="A254" s="36" t="str">
        <f>HYPERLINK("https://www.bryantstratton.edu", "Bryant &amp; Stratton College-Buffalo")</f>
        <v>Bryant &amp; Stratton College-Buffalo</v>
      </c>
      <c r="B254" s="18" t="s">
        <v>368</v>
      </c>
      <c r="C254" s="18" t="s">
        <v>38</v>
      </c>
      <c r="D254" s="18" t="s">
        <v>322</v>
      </c>
      <c r="E254" s="18" t="s">
        <v>36</v>
      </c>
      <c r="F254" s="18" t="s">
        <v>36</v>
      </c>
      <c r="J254" s="19"/>
      <c r="K254" s="19">
        <v>0.26050000000000001</v>
      </c>
      <c r="L254" s="19">
        <v>0.237336994</v>
      </c>
      <c r="M254" s="19">
        <v>0.28000000000000003</v>
      </c>
      <c r="N254" s="19">
        <v>0.25679999999999997</v>
      </c>
      <c r="O254" s="19">
        <v>0.25</v>
      </c>
      <c r="P254" s="19">
        <v>1</v>
      </c>
      <c r="Q254" s="19">
        <v>2.3633998E-2</v>
      </c>
      <c r="R254" s="20">
        <v>23775</v>
      </c>
      <c r="S254" s="21" t="str">
        <f>HYPERLINK("https://www.bryantstratton.edu/financial-aid/net-price-calculator", "$11496")</f>
        <v>$11496</v>
      </c>
      <c r="T254" s="20">
        <v>16920</v>
      </c>
      <c r="U254" s="20" t="s">
        <v>36</v>
      </c>
      <c r="V254" s="20">
        <v>3280</v>
      </c>
      <c r="W254" s="20">
        <v>8216</v>
      </c>
      <c r="Y254" s="19">
        <v>0.8909999999999999</v>
      </c>
      <c r="Z254" s="19">
        <v>0.86430000000000007</v>
      </c>
      <c r="AB254" s="18">
        <v>457</v>
      </c>
      <c r="AC254" s="18">
        <v>6</v>
      </c>
    </row>
    <row r="255" spans="1:29" ht="15.75" customHeight="1" x14ac:dyDescent="0.2">
      <c r="A255" s="36" t="str">
        <f>HYPERLINK("https://www.bryantstratton.edu", "Bryant &amp; Stratton College-Cleveland")</f>
        <v>Bryant &amp; Stratton College-Cleveland</v>
      </c>
      <c r="B255" s="18" t="s">
        <v>368</v>
      </c>
      <c r="C255" s="18" t="s">
        <v>75</v>
      </c>
      <c r="D255" s="18" t="s">
        <v>76</v>
      </c>
      <c r="E255" s="18" t="s">
        <v>36</v>
      </c>
      <c r="F255" s="18" t="s">
        <v>36</v>
      </c>
      <c r="J255" s="19"/>
      <c r="K255" s="19">
        <v>5.5599999999999997E-2</v>
      </c>
      <c r="L255" s="19">
        <v>0.237336994</v>
      </c>
      <c r="M255" s="19">
        <v>0</v>
      </c>
      <c r="N255" s="19">
        <v>5.9700000000000003E-2</v>
      </c>
      <c r="O255" s="19">
        <v>0</v>
      </c>
      <c r="P255" s="19" t="s">
        <v>36</v>
      </c>
      <c r="Q255" s="19">
        <v>2.3633998E-2</v>
      </c>
      <c r="R255" s="20">
        <v>23878</v>
      </c>
      <c r="S255" s="21" t="str">
        <f>HYPERLINK("https://www.bryantstratton.edu/financial-aid/net-price-calculator", "$16207")</f>
        <v>$16207</v>
      </c>
      <c r="T255" s="20" t="s">
        <v>36</v>
      </c>
      <c r="U255" s="20" t="s">
        <v>36</v>
      </c>
      <c r="V255" s="20">
        <v>3280</v>
      </c>
      <c r="W255" s="20">
        <v>12927</v>
      </c>
      <c r="Y255" s="19">
        <v>0.84379999999999999</v>
      </c>
      <c r="Z255" s="19">
        <v>0.93159999999999998</v>
      </c>
      <c r="AB255" s="18">
        <v>263</v>
      </c>
      <c r="AC255" s="18">
        <v>6</v>
      </c>
    </row>
    <row r="256" spans="1:29" ht="15.75" customHeight="1" x14ac:dyDescent="0.2">
      <c r="A256" s="36" t="str">
        <f>HYPERLINK("https://www.bryantstratton.edu", "Bryant &amp; Stratton College-Greece")</f>
        <v>Bryant &amp; Stratton College-Greece</v>
      </c>
      <c r="B256" s="18" t="s">
        <v>368</v>
      </c>
      <c r="C256" s="18" t="s">
        <v>38</v>
      </c>
      <c r="D256" s="18" t="s">
        <v>170</v>
      </c>
      <c r="E256" s="18" t="s">
        <v>36</v>
      </c>
      <c r="F256" s="18" t="s">
        <v>36</v>
      </c>
      <c r="J256" s="19"/>
      <c r="K256" s="19">
        <v>0.26150000000000001</v>
      </c>
      <c r="L256" s="19">
        <v>0.237336994</v>
      </c>
      <c r="M256" s="19">
        <v>0.34379999999999999</v>
      </c>
      <c r="N256" s="19">
        <v>0.16</v>
      </c>
      <c r="O256" s="19">
        <v>0.1429</v>
      </c>
      <c r="P256" s="19" t="s">
        <v>36</v>
      </c>
      <c r="Q256" s="19">
        <v>2.3633998E-2</v>
      </c>
      <c r="R256" s="20">
        <v>23993</v>
      </c>
      <c r="S256" s="21" t="str">
        <f>HYPERLINK("https://www.bryantstratton.edu/financial-aid/net-price-calculator", "$13092")</f>
        <v>$13092</v>
      </c>
      <c r="T256" s="20">
        <v>15207</v>
      </c>
      <c r="U256" s="20">
        <v>15939</v>
      </c>
      <c r="V256" s="20">
        <v>3280</v>
      </c>
      <c r="W256" s="20">
        <v>9812</v>
      </c>
      <c r="Y256" s="19">
        <v>0.73019999999999996</v>
      </c>
      <c r="Z256" s="19">
        <v>0.47689999999999999</v>
      </c>
      <c r="AB256" s="18">
        <v>216</v>
      </c>
      <c r="AC256" s="18">
        <v>6</v>
      </c>
    </row>
    <row r="257" spans="1:29" ht="15.75" customHeight="1" x14ac:dyDescent="0.2">
      <c r="A257" s="36" t="str">
        <f>HYPERLINK("https://www.bryantstratton.edu", "Bryant &amp; Stratton College-Hampton")</f>
        <v>Bryant &amp; Stratton College-Hampton</v>
      </c>
      <c r="B257" s="18" t="s">
        <v>368</v>
      </c>
      <c r="C257" s="18" t="s">
        <v>83</v>
      </c>
      <c r="D257" s="18" t="s">
        <v>808</v>
      </c>
      <c r="E257" s="18" t="s">
        <v>36</v>
      </c>
      <c r="F257" s="18" t="s">
        <v>36</v>
      </c>
      <c r="J257" s="19"/>
      <c r="K257" s="19">
        <v>0.12959999999999999</v>
      </c>
      <c r="L257" s="19">
        <v>0.237336994</v>
      </c>
      <c r="M257" s="19">
        <v>1</v>
      </c>
      <c r="N257" s="19">
        <v>0.12770000000000001</v>
      </c>
      <c r="O257" s="19">
        <v>0</v>
      </c>
      <c r="P257" s="19" t="s">
        <v>36</v>
      </c>
      <c r="Q257" s="19">
        <v>2.3633998E-2</v>
      </c>
      <c r="R257" s="20">
        <v>24003</v>
      </c>
      <c r="S257" s="21" t="str">
        <f>HYPERLINK("https://www.bryantstratton.edu/financial-aid/net-price-calculator", "$16610")</f>
        <v>$16610</v>
      </c>
      <c r="T257" s="20">
        <v>19065</v>
      </c>
      <c r="U257" s="20">
        <v>17781</v>
      </c>
      <c r="V257" s="20">
        <v>3280</v>
      </c>
      <c r="W257" s="20">
        <v>13330</v>
      </c>
      <c r="Y257" s="19">
        <v>0.82350000000000001</v>
      </c>
      <c r="Z257" s="19">
        <v>0.87749999999999995</v>
      </c>
      <c r="AB257" s="18">
        <v>302</v>
      </c>
      <c r="AC257" s="18">
        <v>6</v>
      </c>
    </row>
    <row r="258" spans="1:29" ht="15.75" customHeight="1" x14ac:dyDescent="0.2">
      <c r="A258" s="36" t="str">
        <f>HYPERLINK("https://www.bryantstratton.edu/", "Bryant &amp; Stratton College-Henrietta")</f>
        <v>Bryant &amp; Stratton College-Henrietta</v>
      </c>
      <c r="B258" s="18" t="s">
        <v>368</v>
      </c>
      <c r="C258" s="18" t="s">
        <v>38</v>
      </c>
      <c r="D258" s="18" t="s">
        <v>170</v>
      </c>
      <c r="E258" s="18" t="s">
        <v>36</v>
      </c>
      <c r="F258" s="18" t="s">
        <v>36</v>
      </c>
      <c r="J258" s="19"/>
      <c r="K258" s="19">
        <v>0.15379999999999999</v>
      </c>
      <c r="L258" s="19">
        <v>0.237336994</v>
      </c>
      <c r="M258" s="19">
        <v>0.375</v>
      </c>
      <c r="N258" s="19">
        <v>5.2600000000000001E-2</v>
      </c>
      <c r="O258" s="19">
        <v>0.28570000000000001</v>
      </c>
      <c r="P258" s="19" t="s">
        <v>36</v>
      </c>
      <c r="Q258" s="19">
        <v>2.3633998E-2</v>
      </c>
      <c r="R258" s="20">
        <v>23635</v>
      </c>
      <c r="S258" s="21" t="str">
        <f>HYPERLINK("https://www.bryantstratton.edu/financial-aid/net-price-calculator", "$13377")</f>
        <v>$13377</v>
      </c>
      <c r="T258" s="20" t="s">
        <v>36</v>
      </c>
      <c r="U258" s="20" t="s">
        <v>36</v>
      </c>
      <c r="V258" s="20">
        <v>3280</v>
      </c>
      <c r="W258" s="20">
        <v>10097</v>
      </c>
      <c r="Y258" s="19">
        <v>0.78969999999999996</v>
      </c>
      <c r="Z258" s="19">
        <v>0.52170000000000005</v>
      </c>
      <c r="AB258" s="18">
        <v>184</v>
      </c>
      <c r="AC258" s="18">
        <v>6</v>
      </c>
    </row>
    <row r="259" spans="1:29" ht="15.75" customHeight="1" x14ac:dyDescent="0.2">
      <c r="A259" s="36" t="str">
        <f>HYPERLINK("https://www.bryantstratton.edu", "Bryant &amp; Stratton College-Milwaukee")</f>
        <v>Bryant &amp; Stratton College-Milwaukee</v>
      </c>
      <c r="B259" s="18" t="s">
        <v>368</v>
      </c>
      <c r="C259" s="18" t="s">
        <v>196</v>
      </c>
      <c r="D259" s="18" t="s">
        <v>410</v>
      </c>
      <c r="E259" s="18" t="s">
        <v>36</v>
      </c>
      <c r="F259" s="18" t="s">
        <v>36</v>
      </c>
      <c r="J259" s="19"/>
      <c r="K259" s="19">
        <v>8.2799999999999999E-2</v>
      </c>
      <c r="L259" s="19">
        <v>0.237336994</v>
      </c>
      <c r="M259" s="19">
        <v>0.66669999999999996</v>
      </c>
      <c r="N259" s="19">
        <v>6.7599999999999993E-2</v>
      </c>
      <c r="O259" s="19">
        <v>0.2</v>
      </c>
      <c r="P259" s="19">
        <v>0</v>
      </c>
      <c r="Q259" s="19">
        <v>2.3633998E-2</v>
      </c>
      <c r="R259" s="20">
        <v>22682</v>
      </c>
      <c r="S259" s="21" t="str">
        <f>HYPERLINK("https://www.bryantstratton.edu/financial-aid/net-price-calculator", "$16872")</f>
        <v>$16872</v>
      </c>
      <c r="T259" s="20" t="s">
        <v>36</v>
      </c>
      <c r="U259" s="20">
        <v>15597</v>
      </c>
      <c r="V259" s="20">
        <v>3280</v>
      </c>
      <c r="W259" s="20">
        <v>13592</v>
      </c>
      <c r="Y259" s="19">
        <v>0.87570000000000003</v>
      </c>
      <c r="Z259" s="19">
        <v>0.92759999999999998</v>
      </c>
      <c r="AB259" s="18">
        <v>152</v>
      </c>
      <c r="AC259" s="18">
        <v>6</v>
      </c>
    </row>
    <row r="260" spans="1:29" ht="15.75" customHeight="1" x14ac:dyDescent="0.2">
      <c r="A260" s="36" t="str">
        <f>HYPERLINK("https://www.bryantstratton.edu", "Bryant &amp; Stratton College-Southtowns")</f>
        <v>Bryant &amp; Stratton College-Southtowns</v>
      </c>
      <c r="B260" s="18" t="s">
        <v>368</v>
      </c>
      <c r="C260" s="18" t="s">
        <v>38</v>
      </c>
      <c r="D260" s="18" t="s">
        <v>1028</v>
      </c>
      <c r="E260" s="18" t="s">
        <v>36</v>
      </c>
      <c r="F260" s="18" t="s">
        <v>36</v>
      </c>
      <c r="J260" s="19"/>
      <c r="K260" s="19">
        <v>0.1477</v>
      </c>
      <c r="L260" s="19">
        <v>0.237336994</v>
      </c>
      <c r="M260" s="19">
        <v>0.1961</v>
      </c>
      <c r="N260" s="19">
        <v>0.08</v>
      </c>
      <c r="O260" s="19">
        <v>0</v>
      </c>
      <c r="P260" s="19">
        <v>0</v>
      </c>
      <c r="Q260" s="19">
        <v>2.3633998E-2</v>
      </c>
      <c r="R260" s="20">
        <v>19783</v>
      </c>
      <c r="S260" s="21" t="str">
        <f>HYPERLINK("https://www.bryantstratton.edu/financial-aid/net-price-calculator", "$13306")</f>
        <v>$13306</v>
      </c>
      <c r="T260" s="20">
        <v>15999</v>
      </c>
      <c r="U260" s="20" t="s">
        <v>36</v>
      </c>
      <c r="V260" s="20">
        <v>2600</v>
      </c>
      <c r="W260" s="20">
        <v>10706</v>
      </c>
      <c r="Y260" s="19">
        <v>0.73160000000000003</v>
      </c>
      <c r="Z260" s="19">
        <v>0.48380000000000001</v>
      </c>
      <c r="AB260" s="18">
        <v>4107</v>
      </c>
      <c r="AC260" s="18">
        <v>6</v>
      </c>
    </row>
    <row r="261" spans="1:29" ht="15.75" customHeight="1" x14ac:dyDescent="0.2">
      <c r="A261" s="36" t="str">
        <f>HYPERLINK("https://www.bryantstratton.edu/", "Bryant &amp; Stratton College-Parma")</f>
        <v>Bryant &amp; Stratton College-Parma</v>
      </c>
      <c r="B261" s="18" t="s">
        <v>368</v>
      </c>
      <c r="C261" s="18" t="s">
        <v>75</v>
      </c>
      <c r="D261" s="18" t="s">
        <v>1029</v>
      </c>
      <c r="E261" s="18" t="s">
        <v>36</v>
      </c>
      <c r="F261" s="18" t="s">
        <v>36</v>
      </c>
      <c r="J261" s="19"/>
      <c r="K261" s="19">
        <v>0.14749999999999999</v>
      </c>
      <c r="L261" s="19">
        <v>0.237336994</v>
      </c>
      <c r="M261" s="19">
        <v>0.22220000000000001</v>
      </c>
      <c r="N261" s="19">
        <v>6.6699999999999995E-2</v>
      </c>
      <c r="O261" s="19">
        <v>0</v>
      </c>
      <c r="P261" s="19" t="s">
        <v>36</v>
      </c>
      <c r="Q261" s="19">
        <v>2.3633998E-2</v>
      </c>
      <c r="R261" s="20">
        <v>23941</v>
      </c>
      <c r="S261" s="21" t="str">
        <f>HYPERLINK("https://www.bryantstratton.edu/financial-aid/net-price-calculator", "$15780")</f>
        <v>$15780</v>
      </c>
      <c r="T261" s="20" t="s">
        <v>36</v>
      </c>
      <c r="U261" s="20" t="s">
        <v>36</v>
      </c>
      <c r="V261" s="20">
        <v>3280</v>
      </c>
      <c r="W261" s="20">
        <v>12500</v>
      </c>
      <c r="Y261" s="19">
        <v>0.73939999999999995</v>
      </c>
      <c r="Z261" s="19">
        <v>0.38400000000000001</v>
      </c>
      <c r="AB261" s="18">
        <v>349</v>
      </c>
      <c r="AC261" s="18">
        <v>6</v>
      </c>
    </row>
    <row r="262" spans="1:29" ht="15.75" customHeight="1" x14ac:dyDescent="0.2">
      <c r="A262" s="36" t="str">
        <f>HYPERLINK("https://www.bryantstratton.edu", "Bryant &amp; Stratton College-Richmond")</f>
        <v>Bryant &amp; Stratton College-Richmond</v>
      </c>
      <c r="B262" s="18" t="s">
        <v>368</v>
      </c>
      <c r="C262" s="18" t="s">
        <v>83</v>
      </c>
      <c r="D262" s="18" t="s">
        <v>1031</v>
      </c>
      <c r="E262" s="18" t="s">
        <v>36</v>
      </c>
      <c r="F262" s="18" t="s">
        <v>36</v>
      </c>
      <c r="J262" s="19"/>
      <c r="K262" s="19">
        <v>0.19570000000000001</v>
      </c>
      <c r="L262" s="19">
        <v>0.237336994</v>
      </c>
      <c r="M262" s="19">
        <v>0.18179999999999999</v>
      </c>
      <c r="N262" s="19">
        <v>0.1905</v>
      </c>
      <c r="O262" s="19">
        <v>0</v>
      </c>
      <c r="P262" s="19">
        <v>1</v>
      </c>
      <c r="Q262" s="19">
        <v>2.3633998E-2</v>
      </c>
      <c r="R262" s="20">
        <v>24068</v>
      </c>
      <c r="S262" s="21" t="str">
        <f>HYPERLINK("https://www.bryantstratton.edu/financial-aid/net-price-calculator", "$15245")</f>
        <v>$15245</v>
      </c>
      <c r="T262" s="20" t="s">
        <v>36</v>
      </c>
      <c r="U262" s="20">
        <v>21529</v>
      </c>
      <c r="V262" s="20">
        <v>3280</v>
      </c>
      <c r="W262" s="20">
        <v>11965</v>
      </c>
      <c r="Y262" s="19">
        <v>0.64390000000000003</v>
      </c>
      <c r="Z262" s="19">
        <v>0.78139999999999998</v>
      </c>
      <c r="AB262" s="18">
        <v>590</v>
      </c>
      <c r="AC262" s="18">
        <v>6</v>
      </c>
    </row>
    <row r="263" spans="1:29" ht="15.75" customHeight="1" x14ac:dyDescent="0.2">
      <c r="A263" s="36" t="str">
        <f>HYPERLINK("https://www.bryantstratton.edu", "Bryant &amp; Stratton College-Eastlake")</f>
        <v>Bryant &amp; Stratton College-Eastlake</v>
      </c>
      <c r="B263" s="18" t="s">
        <v>368</v>
      </c>
      <c r="C263" s="18" t="s">
        <v>75</v>
      </c>
      <c r="D263" s="18" t="s">
        <v>1033</v>
      </c>
      <c r="E263" s="18" t="s">
        <v>36</v>
      </c>
      <c r="F263" s="18" t="s">
        <v>36</v>
      </c>
      <c r="J263" s="19"/>
      <c r="K263" s="19">
        <v>8.6999999999999994E-2</v>
      </c>
      <c r="L263" s="19">
        <v>0.237336994</v>
      </c>
      <c r="M263" s="19">
        <v>0.1071</v>
      </c>
      <c r="N263" s="19">
        <v>6.6699999999999995E-2</v>
      </c>
      <c r="O263" s="19" t="s">
        <v>36</v>
      </c>
      <c r="P263" s="19">
        <v>0</v>
      </c>
      <c r="Q263" s="19">
        <v>2.3633998E-2</v>
      </c>
      <c r="R263" s="20">
        <v>24272</v>
      </c>
      <c r="S263" s="21" t="str">
        <f>HYPERLINK("https://www.bryantstratton.edu/financial-aid/net-price-calculator", "$13523")</f>
        <v>$13523</v>
      </c>
      <c r="T263" s="20" t="s">
        <v>36</v>
      </c>
      <c r="U263" s="20" t="s">
        <v>36</v>
      </c>
      <c r="V263" s="20">
        <v>3280</v>
      </c>
      <c r="W263" s="20">
        <v>10243</v>
      </c>
      <c r="Y263" s="19">
        <v>0.75099999999999989</v>
      </c>
      <c r="Z263" s="19">
        <v>0.44119999999999998</v>
      </c>
      <c r="AB263" s="18">
        <v>238</v>
      </c>
      <c r="AC263" s="18">
        <v>6</v>
      </c>
    </row>
    <row r="264" spans="1:29" ht="15.75" customHeight="1" x14ac:dyDescent="0.2">
      <c r="A264" s="36" t="str">
        <f>HYPERLINK("https://www.bryantstratton.edu", "Bryant &amp; Stratton College-Online")</f>
        <v>Bryant &amp; Stratton College-Online</v>
      </c>
      <c r="B264" s="18" t="s">
        <v>368</v>
      </c>
      <c r="C264" s="18" t="s">
        <v>38</v>
      </c>
      <c r="D264" s="18" t="s">
        <v>1028</v>
      </c>
      <c r="E264" s="18" t="s">
        <v>36</v>
      </c>
      <c r="F264" s="18" t="s">
        <v>36</v>
      </c>
      <c r="J264" s="19"/>
      <c r="K264" s="19">
        <v>0.1852</v>
      </c>
      <c r="L264" s="19">
        <v>0.237336994</v>
      </c>
      <c r="M264" s="19">
        <v>0.17649999999999999</v>
      </c>
      <c r="N264" s="19">
        <v>0</v>
      </c>
      <c r="O264" s="19">
        <v>0</v>
      </c>
      <c r="P264" s="19" t="s">
        <v>36</v>
      </c>
      <c r="Q264" s="19">
        <v>2.3633998E-2</v>
      </c>
      <c r="R264" s="20">
        <v>24068</v>
      </c>
      <c r="S264" s="21" t="str">
        <f>HYPERLINK("https://www.bryantstratton.edu/financial-aid/net-price-calculator", "$13088")</f>
        <v>$13088</v>
      </c>
      <c r="T264" s="20">
        <v>15917</v>
      </c>
      <c r="U264" s="20" t="s">
        <v>36</v>
      </c>
      <c r="V264" s="20">
        <v>3280</v>
      </c>
      <c r="W264" s="20">
        <v>9808</v>
      </c>
      <c r="Y264" s="19">
        <v>0.70299999999999996</v>
      </c>
      <c r="Z264" s="19">
        <v>0.28460000000000002</v>
      </c>
      <c r="AB264" s="18">
        <v>390</v>
      </c>
      <c r="AC264" s="18">
        <v>6</v>
      </c>
    </row>
    <row r="265" spans="1:29" ht="15.75" customHeight="1" x14ac:dyDescent="0.2">
      <c r="A265" s="36" t="str">
        <f>HYPERLINK("https://www.bryantstratton.edu", "Bryant &amp; Stratton College-Syracuse")</f>
        <v>Bryant &amp; Stratton College-Syracuse</v>
      </c>
      <c r="B265" s="18" t="s">
        <v>368</v>
      </c>
      <c r="C265" s="18" t="s">
        <v>38</v>
      </c>
      <c r="D265" s="18" t="s">
        <v>242</v>
      </c>
      <c r="E265" s="18" t="s">
        <v>36</v>
      </c>
      <c r="F265" s="18" t="s">
        <v>36</v>
      </c>
      <c r="J265" s="19"/>
      <c r="K265" s="19">
        <v>0.26419999999999999</v>
      </c>
      <c r="L265" s="19">
        <v>0.237336994</v>
      </c>
      <c r="M265" s="19">
        <v>0.27910000000000001</v>
      </c>
      <c r="N265" s="19">
        <v>0.26319999999999999</v>
      </c>
      <c r="O265" s="19">
        <v>0.25</v>
      </c>
      <c r="P265" s="19">
        <v>0</v>
      </c>
      <c r="Q265" s="19">
        <v>2.3633998E-2</v>
      </c>
      <c r="R265" s="20">
        <v>30550</v>
      </c>
      <c r="S265" s="21" t="str">
        <f>HYPERLINK("https://www.bryantstratton.edu/financial-aid/net-price-calculator", "$10316")</f>
        <v>$10316</v>
      </c>
      <c r="T265" s="20">
        <v>16616</v>
      </c>
      <c r="U265" s="20" t="s">
        <v>36</v>
      </c>
      <c r="V265" s="20">
        <v>3280</v>
      </c>
      <c r="W265" s="20">
        <v>7036</v>
      </c>
      <c r="Y265" s="19">
        <v>0.7379</v>
      </c>
      <c r="Z265" s="19">
        <v>0.51600000000000001</v>
      </c>
      <c r="AB265" s="18">
        <v>438</v>
      </c>
      <c r="AC265" s="18">
        <v>6</v>
      </c>
    </row>
    <row r="266" spans="1:29" ht="15.75" customHeight="1" x14ac:dyDescent="0.2">
      <c r="A266" s="36" t="str">
        <f>HYPERLINK("https://www.bryantstratton.edu/", "Bryant &amp; Stratton College-Syracuse North")</f>
        <v>Bryant &amp; Stratton College-Syracuse North</v>
      </c>
      <c r="B266" s="18" t="s">
        <v>368</v>
      </c>
      <c r="C266" s="18" t="s">
        <v>38</v>
      </c>
      <c r="D266" s="18" t="s">
        <v>1036</v>
      </c>
      <c r="E266" s="18" t="s">
        <v>36</v>
      </c>
      <c r="F266" s="18" t="s">
        <v>36</v>
      </c>
      <c r="J266" s="19"/>
      <c r="K266" s="19">
        <v>0.18840000000000001</v>
      </c>
      <c r="L266" s="19">
        <v>0.237336994</v>
      </c>
      <c r="M266" s="19">
        <v>0.2097</v>
      </c>
      <c r="N266" s="19">
        <v>0</v>
      </c>
      <c r="O266" s="19">
        <v>0</v>
      </c>
      <c r="P266" s="19" t="s">
        <v>36</v>
      </c>
      <c r="Q266" s="19">
        <v>2.3633998E-2</v>
      </c>
      <c r="R266" s="20">
        <v>23481</v>
      </c>
      <c r="S266" s="21" t="str">
        <f>HYPERLINK("https://www.bryantstratton.edu/financial-aid/net-price-calculator", "$9753")</f>
        <v>$9753</v>
      </c>
      <c r="T266" s="20" t="s">
        <v>36</v>
      </c>
      <c r="U266" s="20" t="s">
        <v>36</v>
      </c>
      <c r="V266" s="20">
        <v>3280</v>
      </c>
      <c r="W266" s="20">
        <v>6473</v>
      </c>
      <c r="Y266" s="19">
        <v>0.73170000000000002</v>
      </c>
      <c r="Z266" s="19">
        <v>0.16339999999999999</v>
      </c>
      <c r="AB266" s="18">
        <v>257</v>
      </c>
      <c r="AC266" s="18">
        <v>6</v>
      </c>
    </row>
    <row r="267" spans="1:29" ht="15.75" customHeight="1" x14ac:dyDescent="0.2">
      <c r="A267" s="36" t="str">
        <f>HYPERLINK("https://www.bryantstratton.edu", "Bryant &amp; Stratton College-Virginia Beach")</f>
        <v>Bryant &amp; Stratton College-Virginia Beach</v>
      </c>
      <c r="B267" s="18" t="s">
        <v>368</v>
      </c>
      <c r="C267" s="18" t="s">
        <v>83</v>
      </c>
      <c r="D267" s="18" t="s">
        <v>921</v>
      </c>
      <c r="E267" s="18" t="s">
        <v>36</v>
      </c>
      <c r="F267" s="18" t="s">
        <v>36</v>
      </c>
      <c r="J267" s="19"/>
      <c r="K267" s="19">
        <v>0.3402</v>
      </c>
      <c r="L267" s="19">
        <v>0.237336994</v>
      </c>
      <c r="M267" s="19">
        <v>0.4667</v>
      </c>
      <c r="N267" s="19">
        <v>0.29580000000000001</v>
      </c>
      <c r="O267" s="19">
        <v>0.42859999999999998</v>
      </c>
      <c r="P267" s="19">
        <v>0.66669999999999996</v>
      </c>
      <c r="Q267" s="19">
        <v>2.3633998E-2</v>
      </c>
      <c r="R267" s="20">
        <v>24404</v>
      </c>
      <c r="S267" s="21" t="str">
        <f>HYPERLINK("https://www.bryantstratton.edu/financial-aid/net-price-calculator", "$12616")</f>
        <v>$12616</v>
      </c>
      <c r="T267" s="20">
        <v>12099</v>
      </c>
      <c r="U267" s="20">
        <v>2508</v>
      </c>
      <c r="V267" s="20">
        <v>3280</v>
      </c>
      <c r="W267" s="20">
        <v>9336</v>
      </c>
      <c r="Y267" s="19">
        <v>0.73250000000000004</v>
      </c>
      <c r="Z267" s="19">
        <v>0.74740000000000006</v>
      </c>
      <c r="AB267" s="18">
        <v>475</v>
      </c>
      <c r="AC267" s="18">
        <v>6</v>
      </c>
    </row>
    <row r="268" spans="1:29" ht="15.75" customHeight="1" x14ac:dyDescent="0.2">
      <c r="A268" s="36" t="str">
        <f>HYPERLINK("https://www.bryantstratton.edu", "Bryant &amp; Stratton College-Wauwatosa")</f>
        <v>Bryant &amp; Stratton College-Wauwatosa</v>
      </c>
      <c r="B268" s="18" t="s">
        <v>368</v>
      </c>
      <c r="C268" s="18" t="s">
        <v>196</v>
      </c>
      <c r="D268" s="18" t="s">
        <v>1039</v>
      </c>
      <c r="E268" s="18" t="s">
        <v>36</v>
      </c>
      <c r="F268" s="18" t="s">
        <v>36</v>
      </c>
      <c r="J268" s="19"/>
      <c r="K268" s="19">
        <v>0.2273</v>
      </c>
      <c r="L268" s="19">
        <v>0.237336994</v>
      </c>
      <c r="M268" s="19">
        <v>0.4</v>
      </c>
      <c r="N268" s="19">
        <v>0.125</v>
      </c>
      <c r="O268" s="19">
        <v>0</v>
      </c>
      <c r="P268" s="19">
        <v>0</v>
      </c>
      <c r="Q268" s="19">
        <v>2.3633998E-2</v>
      </c>
      <c r="R268" s="20">
        <v>24487</v>
      </c>
      <c r="S268" s="21" t="str">
        <f>HYPERLINK("https://www.bryantstratton.edu/financial-aid/net-price-calculator", "$13007")</f>
        <v>$13007</v>
      </c>
      <c r="T268" s="20">
        <v>20688</v>
      </c>
      <c r="U268" s="20">
        <v>16238</v>
      </c>
      <c r="V268" s="20">
        <v>3280</v>
      </c>
      <c r="W268" s="20">
        <v>9727</v>
      </c>
      <c r="Y268" s="19">
        <v>0.59830000000000005</v>
      </c>
      <c r="Z268" s="19">
        <v>0.49550000000000011</v>
      </c>
      <c r="AB268" s="18">
        <v>781</v>
      </c>
      <c r="AC268" s="18">
        <v>6</v>
      </c>
    </row>
    <row r="269" spans="1:29" ht="15.75" customHeight="1" x14ac:dyDescent="0.2">
      <c r="A269" s="36" t="str">
        <f>HYPERLINK("https://www.bryant.edu/", "Bryant University")</f>
        <v>Bryant University</v>
      </c>
      <c r="B269" s="18" t="s">
        <v>32</v>
      </c>
      <c r="C269" s="18" t="s">
        <v>63</v>
      </c>
      <c r="D269" s="18" t="s">
        <v>315</v>
      </c>
      <c r="E269" s="18" t="s">
        <v>36</v>
      </c>
      <c r="F269" s="18" t="s">
        <v>45</v>
      </c>
      <c r="J269" s="19"/>
      <c r="K269" s="19">
        <v>0.79059999999999997</v>
      </c>
      <c r="L269" s="19">
        <v>0.78431372599999993</v>
      </c>
      <c r="M269" s="19">
        <v>0.81359999999999999</v>
      </c>
      <c r="N269" s="19">
        <v>0.65790000000000004</v>
      </c>
      <c r="O269" s="19">
        <v>0.79169999999999996</v>
      </c>
      <c r="P269" s="19">
        <v>0.72219999999999995</v>
      </c>
      <c r="Q269" s="19"/>
      <c r="R269" s="20">
        <v>59904</v>
      </c>
      <c r="S269" s="21" t="str">
        <f>HYPERLINK("https://tcc.noellevitz.com/(S(foqmuuiuwgy3pp1znqst0l1r))/Bryant University/Freshman-Students", "$30432")</f>
        <v>$30432</v>
      </c>
      <c r="T269" s="20">
        <v>35814</v>
      </c>
      <c r="U269" s="20">
        <v>37859</v>
      </c>
      <c r="V269" s="20">
        <v>2700</v>
      </c>
      <c r="W269" s="20">
        <v>27732</v>
      </c>
      <c r="Y269" s="19">
        <v>0.14099999999999999</v>
      </c>
      <c r="Z269" s="19">
        <v>0.25219999999999998</v>
      </c>
      <c r="AB269" s="18">
        <v>3449</v>
      </c>
      <c r="AC269" s="18">
        <v>3</v>
      </c>
    </row>
    <row r="270" spans="1:29" ht="15.75" customHeight="1" x14ac:dyDescent="0.2">
      <c r="A270" s="36" t="str">
        <f>HYPERLINK("https://www.brynathyn.edu", "Bryn Athyn College of the New Church")</f>
        <v>Bryn Athyn College of the New Church</v>
      </c>
      <c r="B270" s="18" t="s">
        <v>32</v>
      </c>
      <c r="C270" s="18" t="s">
        <v>65</v>
      </c>
      <c r="D270" s="18" t="s">
        <v>591</v>
      </c>
      <c r="E270" s="18">
        <v>1045</v>
      </c>
      <c r="F270" s="18" t="s">
        <v>35</v>
      </c>
      <c r="J270" s="19"/>
      <c r="K270" s="19">
        <v>0.50619999999999998</v>
      </c>
      <c r="L270" s="19" t="s">
        <v>36</v>
      </c>
      <c r="M270" s="19">
        <v>0.58179999999999998</v>
      </c>
      <c r="N270" s="19">
        <v>0.33329999999999999</v>
      </c>
      <c r="O270" s="19">
        <v>0.66669999999999996</v>
      </c>
      <c r="P270" s="19">
        <v>0.5</v>
      </c>
      <c r="Q270" s="19"/>
      <c r="R270" s="20">
        <v>34414</v>
      </c>
      <c r="S270" s="21" t="str">
        <f>HYPERLINK("https://www.brynathyn.edu/costs-and-financial-aid/", "$11550")</f>
        <v>$11550</v>
      </c>
      <c r="T270" s="20">
        <v>16265</v>
      </c>
      <c r="U270" s="20">
        <v>17635</v>
      </c>
      <c r="V270" s="20">
        <v>1750</v>
      </c>
      <c r="W270" s="20">
        <v>9800</v>
      </c>
      <c r="Y270" s="19">
        <v>0.44069999999999998</v>
      </c>
      <c r="Z270" s="19">
        <v>0.30959999999999999</v>
      </c>
      <c r="AB270" s="18">
        <v>323</v>
      </c>
      <c r="AC270" s="18">
        <v>4</v>
      </c>
    </row>
    <row r="271" spans="1:29" ht="15.75" customHeight="1" x14ac:dyDescent="0.2">
      <c r="A271" s="36" t="str">
        <f>HYPERLINK("https://www.brynmawr.edu", "Bryn Mawr College")</f>
        <v>Bryn Mawr College</v>
      </c>
      <c r="B271" s="18" t="s">
        <v>32</v>
      </c>
      <c r="C271" s="18" t="s">
        <v>65</v>
      </c>
      <c r="D271" s="18" t="s">
        <v>66</v>
      </c>
      <c r="E271" s="18">
        <v>1415</v>
      </c>
      <c r="F271" s="18" t="s">
        <v>35</v>
      </c>
      <c r="J271" s="19"/>
      <c r="K271" s="19">
        <v>0.83379999999999999</v>
      </c>
      <c r="L271" s="19" t="s">
        <v>36</v>
      </c>
      <c r="M271" s="19">
        <v>0.79139999999999999</v>
      </c>
      <c r="N271" s="19">
        <v>0.9375</v>
      </c>
      <c r="O271" s="19">
        <v>0.85189999999999999</v>
      </c>
      <c r="P271" s="19">
        <v>0.84309999999999996</v>
      </c>
      <c r="Q271" s="19"/>
      <c r="R271" s="20">
        <v>68410</v>
      </c>
      <c r="S271" s="21" t="str">
        <f>HYPERLINK("https://npc.collegeboard.org/student/app/brynmawr", "$11286")</f>
        <v>$11286</v>
      </c>
      <c r="T271" s="20">
        <v>18044</v>
      </c>
      <c r="U271" s="20">
        <v>25621</v>
      </c>
      <c r="V271" s="20">
        <v>2000</v>
      </c>
      <c r="W271" s="20">
        <v>9286</v>
      </c>
      <c r="X271" s="18" t="s">
        <v>37</v>
      </c>
      <c r="Y271" s="19">
        <v>0.1593</v>
      </c>
      <c r="Z271" s="19">
        <v>0.62949999999999995</v>
      </c>
      <c r="AA271" s="18" t="s">
        <v>37</v>
      </c>
      <c r="AB271" s="18">
        <v>1328</v>
      </c>
      <c r="AC271" s="18">
        <v>1</v>
      </c>
    </row>
    <row r="272" spans="1:29" ht="15.75" customHeight="1" x14ac:dyDescent="0.2">
      <c r="A272" s="36" t="str">
        <f>HYPERLINK("https://www.bucknell.edu", "Bucknell University")</f>
        <v>Bucknell University</v>
      </c>
      <c r="B272" s="18" t="s">
        <v>32</v>
      </c>
      <c r="C272" s="18" t="s">
        <v>65</v>
      </c>
      <c r="D272" s="18" t="s">
        <v>67</v>
      </c>
      <c r="E272" s="18">
        <v>1353</v>
      </c>
      <c r="F272" s="18" t="s">
        <v>35</v>
      </c>
      <c r="J272" s="19"/>
      <c r="K272" s="19">
        <v>0.90390000000000004</v>
      </c>
      <c r="L272" s="19" t="s">
        <v>36</v>
      </c>
      <c r="M272" s="19">
        <v>0.91259999999999997</v>
      </c>
      <c r="N272" s="19">
        <v>0.91669999999999996</v>
      </c>
      <c r="O272" s="19">
        <v>0.8679</v>
      </c>
      <c r="P272" s="19">
        <v>0.85709999999999997</v>
      </c>
      <c r="Q272" s="19"/>
      <c r="R272" s="20">
        <v>70125</v>
      </c>
      <c r="S272" s="21" t="str">
        <f>HYPERLINK("https://npc.collegeboard.org/student/app/bucknell", "$24656")</f>
        <v>$24656</v>
      </c>
      <c r="T272" s="20">
        <v>25139</v>
      </c>
      <c r="U272" s="20">
        <v>34213</v>
      </c>
      <c r="V272" s="20">
        <v>2989</v>
      </c>
      <c r="W272" s="20">
        <v>21667</v>
      </c>
      <c r="Y272" s="19">
        <v>0.1011</v>
      </c>
      <c r="Z272" s="19">
        <v>0.26</v>
      </c>
      <c r="AB272" s="18">
        <v>3588</v>
      </c>
      <c r="AC272" s="18">
        <v>1</v>
      </c>
    </row>
    <row r="273" spans="1:29" ht="15.75" customHeight="1" x14ac:dyDescent="0.2">
      <c r="A273" s="36" t="str">
        <f>HYPERLINK("https://www.bucks.edu/", "Bucks County Community College")</f>
        <v>Bucks County Community College</v>
      </c>
      <c r="B273" s="18" t="s">
        <v>49</v>
      </c>
      <c r="C273" s="18" t="s">
        <v>65</v>
      </c>
      <c r="D273" s="18" t="s">
        <v>1041</v>
      </c>
      <c r="E273" s="18" t="s">
        <v>36</v>
      </c>
      <c r="F273" s="18" t="s">
        <v>36</v>
      </c>
      <c r="J273" s="19"/>
      <c r="K273" s="19">
        <v>0.16589999999999999</v>
      </c>
      <c r="L273" s="19">
        <v>0.20634920600000001</v>
      </c>
      <c r="M273" s="19">
        <v>0.18679999999999999</v>
      </c>
      <c r="N273" s="19">
        <v>4.4400000000000002E-2</v>
      </c>
      <c r="O273" s="19">
        <v>8.3299999999999999E-2</v>
      </c>
      <c r="P273" s="19">
        <v>0.2051</v>
      </c>
      <c r="Q273" s="19">
        <v>0.144416873</v>
      </c>
      <c r="R273" s="20">
        <v>25128</v>
      </c>
      <c r="S273" s="21" t="str">
        <f>HYPERLINK("https://www.bucks.edu/npc/npcalc.htm", "$19224")</f>
        <v>$19224</v>
      </c>
      <c r="T273" s="20">
        <v>22100</v>
      </c>
      <c r="U273" s="20">
        <v>24514</v>
      </c>
      <c r="V273" s="20">
        <v>7370</v>
      </c>
      <c r="W273" s="20">
        <v>11854.1</v>
      </c>
      <c r="Y273" s="19">
        <v>0.2336</v>
      </c>
      <c r="Z273" s="19">
        <v>0.31599999999999989</v>
      </c>
      <c r="AB273" s="18">
        <v>7010</v>
      </c>
      <c r="AC273" s="18">
        <v>6</v>
      </c>
    </row>
    <row r="274" spans="1:29" ht="15.75" customHeight="1" x14ac:dyDescent="0.2">
      <c r="A274" s="36" t="str">
        <f>HYPERLINK("https://www.bvu.edu", "Buena Vista University")</f>
        <v>Buena Vista University</v>
      </c>
      <c r="B274" s="18" t="s">
        <v>32</v>
      </c>
      <c r="C274" s="18" t="s">
        <v>211</v>
      </c>
      <c r="D274" s="18" t="s">
        <v>592</v>
      </c>
      <c r="E274" s="18">
        <v>1083</v>
      </c>
      <c r="F274" s="18" t="s">
        <v>35</v>
      </c>
      <c r="J274" s="19"/>
      <c r="K274" s="19">
        <v>0.60099999999999998</v>
      </c>
      <c r="L274" s="19">
        <v>0.46578366500000001</v>
      </c>
      <c r="M274" s="19">
        <v>0.63639999999999997</v>
      </c>
      <c r="N274" s="19">
        <v>0</v>
      </c>
      <c r="O274" s="19">
        <v>0.45450000000000002</v>
      </c>
      <c r="P274" s="19">
        <v>0.6</v>
      </c>
      <c r="Q274" s="19"/>
      <c r="R274" s="20">
        <v>45619</v>
      </c>
      <c r="S274" s="21" t="str">
        <f>HYPERLINK("https://www.bvu.edu/admissions/financial-assistance/calculator", "$15459")</f>
        <v>$15459</v>
      </c>
      <c r="T274" s="20">
        <v>17797</v>
      </c>
      <c r="U274" s="20">
        <v>19632</v>
      </c>
      <c r="V274" s="20">
        <v>3275</v>
      </c>
      <c r="W274" s="20">
        <v>12184</v>
      </c>
      <c r="Y274" s="19">
        <v>0.4466</v>
      </c>
      <c r="Z274" s="19">
        <v>0.20799999999999999</v>
      </c>
      <c r="AB274" s="18">
        <v>1692</v>
      </c>
      <c r="AC274" s="18">
        <v>4</v>
      </c>
    </row>
    <row r="275" spans="1:29" ht="15.75" customHeight="1" x14ac:dyDescent="0.2">
      <c r="A275" s="36" t="str">
        <f>HYPERLINK("https://www.bhcc.mass.edu", "Bunker Hill Community College")</f>
        <v>Bunker Hill Community College</v>
      </c>
      <c r="B275" s="18" t="s">
        <v>49</v>
      </c>
      <c r="C275" s="18" t="s">
        <v>33</v>
      </c>
      <c r="D275" s="18" t="s">
        <v>136</v>
      </c>
      <c r="E275" s="18" t="s">
        <v>36</v>
      </c>
      <c r="F275" s="18" t="s">
        <v>36</v>
      </c>
      <c r="J275" s="19"/>
      <c r="K275" s="19">
        <v>0.1363</v>
      </c>
      <c r="L275" s="19">
        <v>0.153903346</v>
      </c>
      <c r="M275" s="19">
        <v>0.12620000000000001</v>
      </c>
      <c r="N275" s="19">
        <v>8.8499999999999995E-2</v>
      </c>
      <c r="O275" s="19">
        <v>0.11749999999999999</v>
      </c>
      <c r="P275" s="19">
        <v>9.2299999999999993E-2</v>
      </c>
      <c r="Q275" s="19">
        <v>8.3310495999999998E-2</v>
      </c>
      <c r="R275" s="20">
        <v>22274</v>
      </c>
      <c r="S275" s="21" t="str">
        <f>HYPERLINK("https://www.bhcc.mass.edu/financialaid/costofattendanceanddeterminingneed/", "$17836")</f>
        <v>$17836</v>
      </c>
      <c r="T275" s="20">
        <v>20296</v>
      </c>
      <c r="U275" s="20">
        <v>21166</v>
      </c>
      <c r="V275" s="20">
        <v>6306</v>
      </c>
      <c r="W275" s="20">
        <v>11530.09058614565</v>
      </c>
      <c r="Y275" s="19">
        <v>0.53710000000000002</v>
      </c>
      <c r="Z275" s="19">
        <v>0.7903</v>
      </c>
      <c r="AB275" s="18">
        <v>10732</v>
      </c>
      <c r="AC275" s="18">
        <v>6</v>
      </c>
    </row>
    <row r="276" spans="1:29" ht="15.75" customHeight="1" x14ac:dyDescent="0.2">
      <c r="A276" s="36" t="str">
        <f>HYPERLINK("https://www.butlercc.edu/", "Butler Community College")</f>
        <v>Butler Community College</v>
      </c>
      <c r="B276" s="18" t="s">
        <v>49</v>
      </c>
      <c r="C276" s="18" t="s">
        <v>307</v>
      </c>
      <c r="D276" s="18" t="s">
        <v>1043</v>
      </c>
      <c r="E276" s="18" t="s">
        <v>36</v>
      </c>
      <c r="F276" s="18" t="s">
        <v>36</v>
      </c>
      <c r="J276" s="19"/>
      <c r="K276" s="19">
        <v>0.23369999999999999</v>
      </c>
      <c r="L276" s="19">
        <v>0.15456362400000001</v>
      </c>
      <c r="M276" s="19">
        <v>0.28050000000000003</v>
      </c>
      <c r="N276" s="19">
        <v>0.15479999999999999</v>
      </c>
      <c r="O276" s="19">
        <v>0.15140000000000001</v>
      </c>
      <c r="P276" s="19">
        <v>0.13039999999999999</v>
      </c>
      <c r="Q276" s="19">
        <v>0.13153153200000001</v>
      </c>
      <c r="R276" s="20">
        <v>14540</v>
      </c>
      <c r="S276" s="21" t="str">
        <f>HYPERLINK("https://www.butlercc.edu/info/20041/financial-aid--and--scholarships/205/net-price-calculator", "$8845")</f>
        <v>$8845</v>
      </c>
      <c r="T276" s="20">
        <v>12184</v>
      </c>
      <c r="U276" s="20">
        <v>13728</v>
      </c>
      <c r="V276" s="20">
        <v>3470</v>
      </c>
      <c r="W276" s="20">
        <v>5375.6438356164381</v>
      </c>
      <c r="Y276" s="19">
        <v>0.29389999999999999</v>
      </c>
      <c r="Z276" s="19">
        <v>0.39789999999999998</v>
      </c>
      <c r="AB276" s="18">
        <v>7266</v>
      </c>
      <c r="AC276" s="18">
        <v>6</v>
      </c>
    </row>
    <row r="277" spans="1:29" ht="15.75" customHeight="1" x14ac:dyDescent="0.2">
      <c r="A277" s="36" t="str">
        <f>HYPERLINK("https://www.bc3.edu", "Butler County Community College")</f>
        <v>Butler County Community College</v>
      </c>
      <c r="B277" s="18" t="s">
        <v>49</v>
      </c>
      <c r="C277" s="18" t="s">
        <v>65</v>
      </c>
      <c r="D277" s="18" t="s">
        <v>1045</v>
      </c>
      <c r="E277" s="18" t="s">
        <v>36</v>
      </c>
      <c r="F277" s="18" t="s">
        <v>36</v>
      </c>
      <c r="J277" s="19"/>
      <c r="K277" s="19">
        <v>0.24929999999999999</v>
      </c>
      <c r="L277" s="19">
        <v>0.16411682899999999</v>
      </c>
      <c r="M277" s="19">
        <v>0.25750000000000001</v>
      </c>
      <c r="N277" s="19">
        <v>0.13039999999999999</v>
      </c>
      <c r="O277" s="19">
        <v>0.1333</v>
      </c>
      <c r="P277" s="19">
        <v>0.4</v>
      </c>
      <c r="Q277" s="19">
        <v>0.10927390400000001</v>
      </c>
      <c r="R277" s="20">
        <v>16750</v>
      </c>
      <c r="S277" s="21" t="str">
        <f>HYPERLINK("https://www.bc3.edu/paying/financial-aid/pdf/npcalc.htm", "$10631")</f>
        <v>$10631</v>
      </c>
      <c r="T277" s="20">
        <v>13226</v>
      </c>
      <c r="U277" s="20">
        <v>15863</v>
      </c>
      <c r="V277" s="20">
        <v>2750</v>
      </c>
      <c r="W277" s="20">
        <v>7881.2465753424658</v>
      </c>
      <c r="Y277" s="19">
        <v>0.36670000000000003</v>
      </c>
      <c r="Z277" s="19">
        <v>0.10059999999999999</v>
      </c>
      <c r="AB277" s="18">
        <v>2803</v>
      </c>
      <c r="AC277" s="18">
        <v>6</v>
      </c>
    </row>
    <row r="278" spans="1:29" ht="15.75" customHeight="1" x14ac:dyDescent="0.2">
      <c r="A278" s="36" t="str">
        <f>HYPERLINK("https://www.butler.edu", "Butler University")</f>
        <v>Butler University</v>
      </c>
      <c r="B278" s="18" t="s">
        <v>32</v>
      </c>
      <c r="C278" s="18" t="s">
        <v>148</v>
      </c>
      <c r="D278" s="18" t="s">
        <v>316</v>
      </c>
      <c r="E278" s="18">
        <v>1279</v>
      </c>
      <c r="F278" s="18" t="s">
        <v>35</v>
      </c>
      <c r="J278" s="19"/>
      <c r="K278" s="19">
        <v>0.78700000000000003</v>
      </c>
      <c r="L278" s="19">
        <v>0.61206896600000005</v>
      </c>
      <c r="M278" s="19">
        <v>0.80279999999999996</v>
      </c>
      <c r="N278" s="19">
        <v>0.64</v>
      </c>
      <c r="O278" s="19">
        <v>0.68</v>
      </c>
      <c r="P278" s="19">
        <v>0.64290000000000003</v>
      </c>
      <c r="Q278" s="19"/>
      <c r="R278" s="20">
        <v>56740</v>
      </c>
      <c r="S278" s="21" t="str">
        <f>HYPERLINK("https://butler.studentaidcalculator.com/survey.aspx", "$30655")</f>
        <v>$30655</v>
      </c>
      <c r="T278" s="20">
        <v>32410</v>
      </c>
      <c r="U278" s="20">
        <v>36231</v>
      </c>
      <c r="V278" s="20">
        <v>3850</v>
      </c>
      <c r="W278" s="20">
        <v>26805</v>
      </c>
      <c r="Y278" s="19">
        <v>0.13750000000000001</v>
      </c>
      <c r="Z278" s="19">
        <v>0.17419999999999999</v>
      </c>
      <c r="AB278" s="18">
        <v>4197</v>
      </c>
      <c r="AC278" s="18">
        <v>3</v>
      </c>
    </row>
    <row r="279" spans="1:29" ht="15.75" customHeight="1" x14ac:dyDescent="0.2">
      <c r="A279" s="36" t="str">
        <f>HYPERLINK("https://www.butte.edu", "Butte College")</f>
        <v>Butte College</v>
      </c>
      <c r="B279" s="18" t="s">
        <v>49</v>
      </c>
      <c r="C279" s="18" t="s">
        <v>68</v>
      </c>
      <c r="D279" s="18" t="s">
        <v>1047</v>
      </c>
      <c r="E279" s="18" t="s">
        <v>36</v>
      </c>
      <c r="F279" s="18" t="s">
        <v>36</v>
      </c>
      <c r="J279" s="19"/>
      <c r="K279" s="19">
        <v>0.31280000000000002</v>
      </c>
      <c r="L279" s="19">
        <v>3.8696538000000003E-2</v>
      </c>
      <c r="M279" s="19">
        <v>0.3236</v>
      </c>
      <c r="N279" s="19">
        <v>0.2</v>
      </c>
      <c r="O279" s="19">
        <v>0.2878</v>
      </c>
      <c r="P279" s="19">
        <v>0.2329</v>
      </c>
      <c r="Q279" s="19">
        <v>0.106129918</v>
      </c>
      <c r="R279" s="20">
        <v>23282</v>
      </c>
      <c r="S279" s="21" t="str">
        <f>HYPERLINK("https://misweb.cccco.edu/npc/111/npcalc.htm", "$16251")</f>
        <v>$16251</v>
      </c>
      <c r="T279" s="20">
        <v>19278</v>
      </c>
      <c r="U279" s="20">
        <v>22130</v>
      </c>
      <c r="V279" s="20">
        <v>4968</v>
      </c>
      <c r="W279" s="20">
        <v>11283.58024691358</v>
      </c>
      <c r="Y279" s="19">
        <v>0.4163</v>
      </c>
      <c r="Z279" s="19">
        <v>0.45829999999999999</v>
      </c>
      <c r="AB279" s="18">
        <v>10188</v>
      </c>
      <c r="AC279" s="18">
        <v>6</v>
      </c>
    </row>
    <row r="280" spans="1:29" ht="15.75" customHeight="1" x14ac:dyDescent="0.2">
      <c r="A280" s="36" t="str">
        <f>HYPERLINK("https://www.cbd.edu", "CBD College")</f>
        <v>CBD College</v>
      </c>
      <c r="B280" s="18" t="s">
        <v>32</v>
      </c>
      <c r="C280" s="18" t="s">
        <v>68</v>
      </c>
      <c r="D280" s="18" t="s">
        <v>140</v>
      </c>
      <c r="E280" s="18" t="s">
        <v>36</v>
      </c>
      <c r="F280" s="18" t="s">
        <v>36</v>
      </c>
      <c r="J280" s="19"/>
      <c r="K280" s="19">
        <v>0.76559999999999995</v>
      </c>
      <c r="L280" s="19">
        <v>0.59638554200000005</v>
      </c>
      <c r="M280" s="19">
        <v>0.78</v>
      </c>
      <c r="N280" s="19">
        <v>0.63490000000000002</v>
      </c>
      <c r="O280" s="19">
        <v>0.76990000000000003</v>
      </c>
      <c r="P280" s="19">
        <v>0.9</v>
      </c>
      <c r="Q280" s="19" t="s">
        <v>36</v>
      </c>
      <c r="R280" s="20" t="s">
        <v>36</v>
      </c>
      <c r="S280" s="21" t="str">
        <f>HYPERLINK("https://www.cbd.edu/financial-aid/", "$23488")</f>
        <v>$23488</v>
      </c>
      <c r="T280" s="20">
        <v>25445</v>
      </c>
      <c r="U280" s="20">
        <v>26768</v>
      </c>
      <c r="V280" s="20" t="s">
        <v>36</v>
      </c>
      <c r="W280" s="20" t="s">
        <v>36</v>
      </c>
      <c r="Y280" s="19">
        <v>0.55030000000000001</v>
      </c>
      <c r="Z280" s="19">
        <v>0.72799999999999998</v>
      </c>
      <c r="AB280" s="18">
        <v>500</v>
      </c>
      <c r="AC280" s="18">
        <v>6</v>
      </c>
    </row>
    <row r="281" spans="1:29" ht="15.75" customHeight="1" x14ac:dyDescent="0.2">
      <c r="A281" s="36" t="str">
        <f>HYPERLINK("https://www.cempr.edu", "Centro de Estudios Multidisciplinarios-Humacao")</f>
        <v>Centro de Estudios Multidisciplinarios-Humacao</v>
      </c>
      <c r="B281" s="18" t="s">
        <v>368</v>
      </c>
      <c r="C281" s="18" t="s">
        <v>284</v>
      </c>
      <c r="D281" s="18" t="s">
        <v>1050</v>
      </c>
      <c r="E281" s="18" t="s">
        <v>36</v>
      </c>
      <c r="F281" s="18" t="s">
        <v>36</v>
      </c>
      <c r="J281" s="19"/>
      <c r="K281" s="19">
        <v>0.42409999999999998</v>
      </c>
      <c r="L281" s="19">
        <v>0.107710418</v>
      </c>
      <c r="M281" s="19" t="s">
        <v>36</v>
      </c>
      <c r="N281" s="19" t="s">
        <v>36</v>
      </c>
      <c r="O281" s="19">
        <v>0.42409999999999998</v>
      </c>
      <c r="P281" s="19" t="s">
        <v>36</v>
      </c>
      <c r="Q281" s="19">
        <v>4.3360434000000003E-2</v>
      </c>
      <c r="R281" s="20">
        <v>15122</v>
      </c>
      <c r="S281" s="21" t="str">
        <f>HYPERLINK("https://www.cempr.edu/npcalc/", "$6039")</f>
        <v>$6039</v>
      </c>
      <c r="T281" s="20">
        <v>10983</v>
      </c>
      <c r="U281" s="20" t="s">
        <v>36</v>
      </c>
      <c r="V281" s="20">
        <v>4964</v>
      </c>
      <c r="W281" s="20">
        <v>1075</v>
      </c>
      <c r="Y281" s="19">
        <v>0.96519999999999995</v>
      </c>
      <c r="Z281" s="19">
        <v>1</v>
      </c>
      <c r="AB281" s="18">
        <v>370</v>
      </c>
      <c r="AC281" s="18">
        <v>6</v>
      </c>
    </row>
    <row r="282" spans="1:29" ht="15.75" customHeight="1" x14ac:dyDescent="0.2">
      <c r="A282" s="36" t="str">
        <f>HYPERLINK("https://www.cemcollege.edu/cem/", "Centro de Estudios Multidisciplinarios-Mayaguez")</f>
        <v>Centro de Estudios Multidisciplinarios-Mayaguez</v>
      </c>
      <c r="B282" s="18" t="s">
        <v>368</v>
      </c>
      <c r="C282" s="18" t="s">
        <v>284</v>
      </c>
      <c r="D282" s="18" t="s">
        <v>1052</v>
      </c>
      <c r="E282" s="18" t="s">
        <v>36</v>
      </c>
      <c r="F282" s="18" t="s">
        <v>36</v>
      </c>
      <c r="J282" s="19"/>
      <c r="K282" s="19" t="s">
        <v>36</v>
      </c>
      <c r="L282" s="19">
        <v>0.107710418</v>
      </c>
      <c r="M282" s="19" t="s">
        <v>36</v>
      </c>
      <c r="N282" s="19" t="s">
        <v>36</v>
      </c>
      <c r="O282" s="19" t="s">
        <v>36</v>
      </c>
      <c r="P282" s="19" t="s">
        <v>36</v>
      </c>
      <c r="Q282" s="19">
        <v>4.3360434000000003E-2</v>
      </c>
      <c r="R282" s="20">
        <v>15122</v>
      </c>
      <c r="S282" s="21" t="str">
        <f>HYPERLINK("https://www.cemcollege.edu/cem/netprice/", "$6418")</f>
        <v>$6418</v>
      </c>
      <c r="T282" s="20">
        <v>7445</v>
      </c>
      <c r="U282" s="20">
        <v>11907</v>
      </c>
      <c r="V282" s="20">
        <v>4964</v>
      </c>
      <c r="W282" s="20">
        <v>1454</v>
      </c>
      <c r="Y282" s="19">
        <v>0.94440000000000002</v>
      </c>
      <c r="Z282" s="19">
        <v>1</v>
      </c>
      <c r="AB282" s="18">
        <v>212</v>
      </c>
      <c r="AC282" s="18">
        <v>6</v>
      </c>
    </row>
    <row r="283" spans="1:29" ht="15.75" customHeight="1" x14ac:dyDescent="0.2">
      <c r="A283" s="36" t="str">
        <f>HYPERLINK("https://www.cemcollege.edu/cem/", "Centro de Estudios Multidisciplinarios-San Juan")</f>
        <v>Centro de Estudios Multidisciplinarios-San Juan</v>
      </c>
      <c r="B283" s="18" t="s">
        <v>368</v>
      </c>
      <c r="C283" s="18" t="s">
        <v>284</v>
      </c>
      <c r="D283" s="18" t="s">
        <v>285</v>
      </c>
      <c r="E283" s="18" t="s">
        <v>36</v>
      </c>
      <c r="F283" s="18" t="s">
        <v>36</v>
      </c>
      <c r="J283" s="19"/>
      <c r="K283" s="19">
        <v>0.755</v>
      </c>
      <c r="L283" s="19">
        <v>0.107710418</v>
      </c>
      <c r="M283" s="19" t="s">
        <v>36</v>
      </c>
      <c r="N283" s="19" t="s">
        <v>36</v>
      </c>
      <c r="O283" s="19">
        <v>0.755</v>
      </c>
      <c r="P283" s="19" t="s">
        <v>36</v>
      </c>
      <c r="Q283" s="19">
        <v>4.3360434000000003E-2</v>
      </c>
      <c r="R283" s="20">
        <v>15122</v>
      </c>
      <c r="S283" s="21" t="str">
        <f>HYPERLINK("https://www.cemcollege.edu/cem/netprice/", "$7305")</f>
        <v>$7305</v>
      </c>
      <c r="T283" s="20">
        <v>11859</v>
      </c>
      <c r="U283" s="20" t="s">
        <v>36</v>
      </c>
      <c r="V283" s="20">
        <v>4964</v>
      </c>
      <c r="W283" s="20">
        <v>2341</v>
      </c>
      <c r="Y283" s="19">
        <v>0.91779999999999995</v>
      </c>
      <c r="Z283" s="19">
        <v>1</v>
      </c>
      <c r="AB283" s="18">
        <v>442</v>
      </c>
      <c r="AC283" s="18">
        <v>6</v>
      </c>
    </row>
    <row r="284" spans="1:29" ht="15.75" customHeight="1" x14ac:dyDescent="0.2">
      <c r="A284" s="36" t="str">
        <f>HYPERLINK("https://www.chihealth.com/school-of-radiologic-technology", "CHI Health School of Radiologic Technology")</f>
        <v>CHI Health School of Radiologic Technology</v>
      </c>
      <c r="B284" s="18" t="s">
        <v>32</v>
      </c>
      <c r="C284" s="18" t="s">
        <v>341</v>
      </c>
      <c r="D284" s="18" t="s">
        <v>345</v>
      </c>
      <c r="E284" s="18" t="s">
        <v>36</v>
      </c>
      <c r="F284" s="18" t="s">
        <v>36</v>
      </c>
      <c r="J284" s="19"/>
      <c r="K284" s="19" t="s">
        <v>36</v>
      </c>
      <c r="L284" s="19" t="s">
        <v>36</v>
      </c>
      <c r="M284" s="19" t="s">
        <v>36</v>
      </c>
      <c r="N284" s="19" t="s">
        <v>36</v>
      </c>
      <c r="O284" s="19" t="s">
        <v>36</v>
      </c>
      <c r="P284" s="19" t="s">
        <v>36</v>
      </c>
      <c r="Q284" s="19" t="s">
        <v>36</v>
      </c>
      <c r="R284" s="20" t="s">
        <v>36</v>
      </c>
      <c r="S284" s="21" t="str">
        <f>HYPERLINK("https://www.alegent.com/netprice/npcalc.htm", "Not reported")</f>
        <v>Not reported</v>
      </c>
      <c r="T284" s="20" t="s">
        <v>36</v>
      </c>
      <c r="U284" s="20" t="s">
        <v>36</v>
      </c>
      <c r="V284" s="20" t="s">
        <v>36</v>
      </c>
      <c r="W284" s="20" t="s">
        <v>36</v>
      </c>
      <c r="Y284" s="19">
        <v>0.16669999999999999</v>
      </c>
      <c r="Z284" s="19">
        <v>6.6699999999999982E-2</v>
      </c>
      <c r="AB284" s="18">
        <v>15</v>
      </c>
      <c r="AC284" s="18">
        <v>6</v>
      </c>
    </row>
    <row r="285" spans="1:29" ht="15.75" customHeight="1" x14ac:dyDescent="0.2">
      <c r="A285" s="36" t="str">
        <f>HYPERLINK("https://www.baruch.cuny.edu", "CUNY Bernard M Baruch College")</f>
        <v>CUNY Bernard M Baruch College</v>
      </c>
      <c r="B285" s="18" t="s">
        <v>49</v>
      </c>
      <c r="C285" s="18" t="s">
        <v>38</v>
      </c>
      <c r="D285" s="18" t="s">
        <v>39</v>
      </c>
      <c r="E285" s="18">
        <v>1270</v>
      </c>
      <c r="F285" s="18" t="s">
        <v>35</v>
      </c>
      <c r="G285" s="18" t="s">
        <v>201</v>
      </c>
      <c r="H285" s="18" t="s">
        <v>202</v>
      </c>
      <c r="I285" s="18" t="s">
        <v>203</v>
      </c>
      <c r="J285" s="19"/>
      <c r="K285" s="19">
        <v>0.69869999999999999</v>
      </c>
      <c r="L285" s="19">
        <v>0.60495283</v>
      </c>
      <c r="M285" s="19">
        <v>0.67069999999999996</v>
      </c>
      <c r="N285" s="19">
        <v>0.62339999999999995</v>
      </c>
      <c r="O285" s="19">
        <v>0.63490000000000002</v>
      </c>
      <c r="P285" s="19">
        <v>0.75290000000000001</v>
      </c>
      <c r="Q285" s="19"/>
      <c r="R285" s="20">
        <v>12534</v>
      </c>
      <c r="S285" s="21" t="str">
        <f>HYPERLINK("https://portal0.uapc.cuny.edu/uapc/public/fin_aid/financial_aid_estimator/FinAidEstimator.jsp", "$1104")</f>
        <v>$1104</v>
      </c>
      <c r="T285" s="20">
        <v>7364</v>
      </c>
      <c r="U285" s="20">
        <v>11372</v>
      </c>
      <c r="V285" s="20">
        <v>5472</v>
      </c>
      <c r="W285" s="20">
        <v>-4368</v>
      </c>
      <c r="Y285" s="19">
        <v>0.44550000000000001</v>
      </c>
      <c r="Z285" s="19">
        <v>0.79610000000000003</v>
      </c>
      <c r="AB285" s="18">
        <v>14903</v>
      </c>
      <c r="AC285" s="18">
        <v>2</v>
      </c>
    </row>
    <row r="286" spans="1:29" ht="15.75" customHeight="1" x14ac:dyDescent="0.2">
      <c r="A286" s="36" t="str">
        <f>HYPERLINK("https://www.bmcc.cuny.edu/", "CUNY Borough of Manhattan Community College")</f>
        <v>CUNY Borough of Manhattan Community College</v>
      </c>
      <c r="B286" s="18" t="s">
        <v>49</v>
      </c>
      <c r="C286" s="18" t="s">
        <v>38</v>
      </c>
      <c r="D286" s="18" t="s">
        <v>39</v>
      </c>
      <c r="E286" s="18" t="s">
        <v>36</v>
      </c>
      <c r="F286" s="18" t="s">
        <v>36</v>
      </c>
      <c r="G286" s="18" t="s">
        <v>1055</v>
      </c>
      <c r="J286" s="19" t="s">
        <v>697</v>
      </c>
      <c r="K286" s="19">
        <v>0.20069999999999999</v>
      </c>
      <c r="L286" s="19">
        <v>0.23841749100000001</v>
      </c>
      <c r="M286" s="19">
        <v>0.19900000000000001</v>
      </c>
      <c r="N286" s="19">
        <v>0.157</v>
      </c>
      <c r="O286" s="19">
        <v>0.19800000000000001</v>
      </c>
      <c r="P286" s="19">
        <v>0.2437</v>
      </c>
      <c r="Q286" s="19">
        <v>7.7951002000000005E-2</v>
      </c>
      <c r="R286" s="20">
        <v>10642</v>
      </c>
      <c r="S286" s="21" t="str">
        <f>HYPERLINK("https://www.bmcc.cuny.edu/finaid/", "$5460")</f>
        <v>$5460</v>
      </c>
      <c r="T286" s="20">
        <v>9490</v>
      </c>
      <c r="U286" s="20">
        <v>11849</v>
      </c>
      <c r="V286" s="20">
        <v>5472</v>
      </c>
      <c r="W286" s="20">
        <v>-12</v>
      </c>
      <c r="Y286" s="19">
        <v>0.62509999999999999</v>
      </c>
      <c r="Z286" s="19">
        <v>0.9123</v>
      </c>
      <c r="AB286" s="18">
        <v>25457</v>
      </c>
      <c r="AC286" s="18">
        <v>6</v>
      </c>
    </row>
    <row r="287" spans="1:29" ht="15.75" customHeight="1" x14ac:dyDescent="0.2">
      <c r="A287" s="36" t="str">
        <f>HYPERLINK("https://www.bcc.cuny.edu", "CUNY Bronx Community College")</f>
        <v>CUNY Bronx Community College</v>
      </c>
      <c r="B287" s="18" t="s">
        <v>49</v>
      </c>
      <c r="C287" s="18" t="s">
        <v>38</v>
      </c>
      <c r="D287" s="18" t="s">
        <v>217</v>
      </c>
      <c r="E287" s="18" t="s">
        <v>36</v>
      </c>
      <c r="F287" s="18" t="s">
        <v>36</v>
      </c>
      <c r="G287" s="18" t="s">
        <v>1055</v>
      </c>
      <c r="J287" s="19" t="s">
        <v>697</v>
      </c>
      <c r="K287" s="19">
        <v>0.16200000000000001</v>
      </c>
      <c r="L287" s="19">
        <v>0.181869369</v>
      </c>
      <c r="M287" s="19">
        <v>0.125</v>
      </c>
      <c r="N287" s="19">
        <v>0.17069999999999999</v>
      </c>
      <c r="O287" s="19">
        <v>0.1583</v>
      </c>
      <c r="P287" s="19">
        <v>0.2273</v>
      </c>
      <c r="Q287" s="19">
        <v>6.0422282000000001E-2</v>
      </c>
      <c r="R287" s="20">
        <v>10678</v>
      </c>
      <c r="S287" s="21" t="str">
        <f>HYPERLINK("https://portal0.uapc.cuny.edu/uapc/public/fin_aid/financial_aid_estimator/FinAidEstimator.jsp", "$5451")</f>
        <v>$5451</v>
      </c>
      <c r="T287" s="20">
        <v>9421</v>
      </c>
      <c r="U287" s="20">
        <v>12321</v>
      </c>
      <c r="V287" s="20">
        <v>5472</v>
      </c>
      <c r="W287" s="20">
        <v>-21</v>
      </c>
      <c r="Y287" s="19">
        <v>0.69820000000000004</v>
      </c>
      <c r="Z287" s="19">
        <v>0.98119999999999996</v>
      </c>
      <c r="AB287" s="18">
        <v>10170</v>
      </c>
      <c r="AC287" s="18">
        <v>6</v>
      </c>
    </row>
    <row r="288" spans="1:29" ht="15.75" customHeight="1" x14ac:dyDescent="0.2">
      <c r="A288" s="36" t="str">
        <f>HYPERLINK("https://www.brooklyn.cuny.edu", "CUNY Brooklyn College")</f>
        <v>CUNY Brooklyn College</v>
      </c>
      <c r="B288" s="18" t="s">
        <v>49</v>
      </c>
      <c r="C288" s="18" t="s">
        <v>38</v>
      </c>
      <c r="D288" s="18" t="s">
        <v>593</v>
      </c>
      <c r="E288" s="18">
        <v>1130</v>
      </c>
      <c r="F288" s="18" t="s">
        <v>35</v>
      </c>
      <c r="G288" s="18" t="s">
        <v>201</v>
      </c>
      <c r="H288" s="18" t="s">
        <v>594</v>
      </c>
      <c r="I288" s="18" t="s">
        <v>595</v>
      </c>
      <c r="J288" s="19"/>
      <c r="K288" s="19">
        <v>0.58120000000000005</v>
      </c>
      <c r="L288" s="19">
        <v>0.43213897899999998</v>
      </c>
      <c r="M288" s="19">
        <v>0.61750000000000005</v>
      </c>
      <c r="N288" s="19">
        <v>0.46539999999999998</v>
      </c>
      <c r="O288" s="19">
        <v>0.48209999999999997</v>
      </c>
      <c r="P288" s="19">
        <v>0.66449999999999998</v>
      </c>
      <c r="Q288" s="19"/>
      <c r="R288" s="20">
        <v>12512</v>
      </c>
      <c r="S288" s="21" t="str">
        <f>HYPERLINK("https://portal0.uapc.cuny.edu/uapc/public/fin_aid/financial_aid_estimator/FinAidEstimator.jsp", "$1408")</f>
        <v>$1408</v>
      </c>
      <c r="T288" s="20">
        <v>8298</v>
      </c>
      <c r="U288" s="20">
        <v>11863</v>
      </c>
      <c r="V288" s="20">
        <v>5472</v>
      </c>
      <c r="W288" s="20">
        <v>-4064</v>
      </c>
      <c r="Y288" s="19">
        <v>0.50519999999999998</v>
      </c>
      <c r="Z288" s="19">
        <v>0.69599999999999995</v>
      </c>
      <c r="AB288" s="18">
        <v>13712</v>
      </c>
      <c r="AC288" s="18">
        <v>4</v>
      </c>
    </row>
    <row r="289" spans="1:29" ht="15.75" customHeight="1" x14ac:dyDescent="0.2">
      <c r="A289" s="36" t="str">
        <f>HYPERLINK("https://www.ccny.cuny.edu", "CUNY City College")</f>
        <v>CUNY City College</v>
      </c>
      <c r="B289" s="18" t="s">
        <v>49</v>
      </c>
      <c r="C289" s="18" t="s">
        <v>38</v>
      </c>
      <c r="D289" s="18" t="s">
        <v>39</v>
      </c>
      <c r="E289" s="18">
        <v>1140</v>
      </c>
      <c r="F289" s="18" t="s">
        <v>35</v>
      </c>
      <c r="G289" s="18" t="s">
        <v>201</v>
      </c>
      <c r="H289" s="18" t="s">
        <v>317</v>
      </c>
      <c r="I289" s="18" t="s">
        <v>318</v>
      </c>
      <c r="J289" s="19"/>
      <c r="K289" s="19">
        <v>0.49969999999999998</v>
      </c>
      <c r="L289" s="19">
        <v>0.43050084399999999</v>
      </c>
      <c r="M289" s="19">
        <v>0.56850000000000001</v>
      </c>
      <c r="N289" s="19">
        <v>0.45779999999999998</v>
      </c>
      <c r="O289" s="19">
        <v>0.4526</v>
      </c>
      <c r="P289" s="19">
        <v>0.55320000000000003</v>
      </c>
      <c r="Q289" s="19"/>
      <c r="R289" s="20">
        <v>12412</v>
      </c>
      <c r="S289" s="21" t="str">
        <f>HYPERLINK("https://portal0.uapc.cuny.edu/uapc/public/fin_aid/financial_aid_estimator/FinAidEstimator.jsp", "$1314")</f>
        <v>$1314</v>
      </c>
      <c r="T289" s="20">
        <v>7810</v>
      </c>
      <c r="U289" s="20">
        <v>11384</v>
      </c>
      <c r="V289" s="20">
        <v>5472</v>
      </c>
      <c r="W289" s="20">
        <v>-4158</v>
      </c>
      <c r="Y289" s="19">
        <v>0.52500000000000002</v>
      </c>
      <c r="Z289" s="19">
        <v>0.86509999999999998</v>
      </c>
      <c r="AB289" s="18">
        <v>12480</v>
      </c>
      <c r="AC289" s="18">
        <v>3</v>
      </c>
    </row>
    <row r="290" spans="1:29" ht="15.75" customHeight="1" x14ac:dyDescent="0.2">
      <c r="A290" s="36" t="str">
        <f>HYPERLINK("https://www.hostos.cuny.edu", "CUNY Hostos Community College")</f>
        <v>CUNY Hostos Community College</v>
      </c>
      <c r="B290" s="18" t="s">
        <v>49</v>
      </c>
      <c r="C290" s="18" t="s">
        <v>38</v>
      </c>
      <c r="D290" s="18" t="s">
        <v>217</v>
      </c>
      <c r="E290" s="18" t="s">
        <v>36</v>
      </c>
      <c r="F290" s="18" t="s">
        <v>36</v>
      </c>
      <c r="G290" s="18" t="s">
        <v>1055</v>
      </c>
      <c r="J290" s="19" t="s">
        <v>697</v>
      </c>
      <c r="K290" s="19">
        <v>0.1991</v>
      </c>
      <c r="L290" s="19">
        <v>0.22167487699999999</v>
      </c>
      <c r="M290" s="19">
        <v>0.30769999999999997</v>
      </c>
      <c r="N290" s="19">
        <v>0.18920000000000001</v>
      </c>
      <c r="O290" s="19">
        <v>0.20100000000000001</v>
      </c>
      <c r="P290" s="19">
        <v>0.18179999999999999</v>
      </c>
      <c r="Q290" s="19">
        <v>7.3208723000000003E-2</v>
      </c>
      <c r="R290" s="20">
        <v>10680</v>
      </c>
      <c r="S290" s="21" t="str">
        <f>HYPERLINK("https://portal0.uapc.cuny.edu/uapc/public/fin_aid/financial_aid_estimator/FinAidEstimator.jsp", "$6015")</f>
        <v>$6015</v>
      </c>
      <c r="T290" s="20">
        <v>10026</v>
      </c>
      <c r="U290" s="20">
        <v>13318</v>
      </c>
      <c r="V290" s="20">
        <v>5472</v>
      </c>
      <c r="W290" s="20">
        <v>543</v>
      </c>
      <c r="Y290" s="19">
        <v>0.64900000000000002</v>
      </c>
      <c r="Z290" s="19">
        <v>0.98129999999999995</v>
      </c>
      <c r="AB290" s="18">
        <v>6540</v>
      </c>
      <c r="AC290" s="18">
        <v>6</v>
      </c>
    </row>
    <row r="291" spans="1:29" ht="15.75" customHeight="1" x14ac:dyDescent="0.2">
      <c r="A291" s="36" t="str">
        <f>HYPERLINK("https://www.hunter.cuny.edu", "CUNY Hunter College")</f>
        <v>CUNY Hunter College</v>
      </c>
      <c r="B291" s="18" t="s">
        <v>49</v>
      </c>
      <c r="C291" s="18" t="s">
        <v>38</v>
      </c>
      <c r="D291" s="18" t="s">
        <v>39</v>
      </c>
      <c r="E291" s="18">
        <v>1205</v>
      </c>
      <c r="F291" s="18" t="s">
        <v>35</v>
      </c>
      <c r="G291" s="18" t="s">
        <v>201</v>
      </c>
      <c r="H291" s="18" t="s">
        <v>319</v>
      </c>
      <c r="I291" s="18" t="s">
        <v>320</v>
      </c>
      <c r="J291" s="19"/>
      <c r="K291" s="19">
        <v>0.51919999999999999</v>
      </c>
      <c r="L291" s="19">
        <v>0.44954128399999999</v>
      </c>
      <c r="M291" s="19">
        <v>0.52990000000000004</v>
      </c>
      <c r="N291" s="19">
        <v>0.5323</v>
      </c>
      <c r="O291" s="19">
        <v>0.47799999999999998</v>
      </c>
      <c r="P291" s="19">
        <v>0.53480000000000005</v>
      </c>
      <c r="Q291" s="19"/>
      <c r="R291" s="20">
        <v>12454</v>
      </c>
      <c r="S291" s="21" t="str">
        <f>HYPERLINK("https://portal0.uapc.cuny.edu/uapc/public/fin_aid/financial_aid_estimator/FinAidEstimator.jsp", "$1456")</f>
        <v>$1456</v>
      </c>
      <c r="T291" s="20">
        <v>7752</v>
      </c>
      <c r="U291" s="20">
        <v>11253</v>
      </c>
      <c r="V291" s="20">
        <v>5472</v>
      </c>
      <c r="W291" s="20">
        <v>-4016</v>
      </c>
      <c r="Y291" s="19">
        <v>0.44440000000000002</v>
      </c>
      <c r="Z291" s="19">
        <v>0.76800000000000002</v>
      </c>
      <c r="AB291" s="18">
        <v>15820</v>
      </c>
      <c r="AC291" s="18">
        <v>3</v>
      </c>
    </row>
    <row r="292" spans="1:29" ht="15.75" customHeight="1" x14ac:dyDescent="0.2">
      <c r="A292" s="36" t="str">
        <f>HYPERLINK("https://www.jjay.cuny.edu", "CUNY John Jay College of Criminal Justice")</f>
        <v>CUNY John Jay College of Criminal Justice</v>
      </c>
      <c r="B292" s="18" t="s">
        <v>49</v>
      </c>
      <c r="C292" s="18" t="s">
        <v>38</v>
      </c>
      <c r="D292" s="18" t="s">
        <v>39</v>
      </c>
      <c r="E292" s="18">
        <v>1055</v>
      </c>
      <c r="F292" s="18" t="s">
        <v>35</v>
      </c>
      <c r="G292" s="18" t="s">
        <v>651</v>
      </c>
      <c r="H292" s="18" t="s">
        <v>652</v>
      </c>
      <c r="I292" s="18" t="s">
        <v>653</v>
      </c>
      <c r="J292" s="19"/>
      <c r="K292" s="19">
        <v>0.47449999999999998</v>
      </c>
      <c r="L292" s="19">
        <v>0.37727910199999998</v>
      </c>
      <c r="M292" s="19">
        <v>0.46589999999999998</v>
      </c>
      <c r="N292" s="19">
        <v>0.4526</v>
      </c>
      <c r="O292" s="19">
        <v>0.48430000000000001</v>
      </c>
      <c r="P292" s="19">
        <v>0.47439999999999999</v>
      </c>
      <c r="Q292" s="19"/>
      <c r="R292" s="20">
        <v>12542</v>
      </c>
      <c r="S292" s="21" t="str">
        <f>HYPERLINK("https://portal0.uapc.cuny.edu/uapc/public/fin_aid/financial_aid_estimator/FinAidEstimator.jsp", "$2198")</f>
        <v>$2198</v>
      </c>
      <c r="T292" s="20">
        <v>9191</v>
      </c>
      <c r="U292" s="20">
        <v>12401</v>
      </c>
      <c r="V292" s="20">
        <v>5472</v>
      </c>
      <c r="W292" s="20">
        <v>-3274</v>
      </c>
      <c r="Y292" s="19">
        <v>0.53010000000000002</v>
      </c>
      <c r="Z292" s="19">
        <v>0.83979999999999999</v>
      </c>
      <c r="AB292" s="18">
        <v>12426</v>
      </c>
      <c r="AC292" s="18">
        <v>5</v>
      </c>
    </row>
    <row r="293" spans="1:29" ht="15.75" customHeight="1" x14ac:dyDescent="0.2">
      <c r="A293" s="36" t="str">
        <f>HYPERLINK("https://www.kbcc.cuny.edu", "CUNY Kingsborough Community College")</f>
        <v>CUNY Kingsborough Community College</v>
      </c>
      <c r="B293" s="18" t="s">
        <v>49</v>
      </c>
      <c r="C293" s="18" t="s">
        <v>38</v>
      </c>
      <c r="D293" s="18" t="s">
        <v>593</v>
      </c>
      <c r="E293" s="18" t="s">
        <v>36</v>
      </c>
      <c r="F293" s="18" t="s">
        <v>36</v>
      </c>
      <c r="G293" s="18" t="s">
        <v>1055</v>
      </c>
      <c r="J293" s="19" t="s">
        <v>697</v>
      </c>
      <c r="K293" s="19">
        <v>0.2792</v>
      </c>
      <c r="L293" s="19">
        <v>0.22385897099999999</v>
      </c>
      <c r="M293" s="19">
        <v>0.33729999999999999</v>
      </c>
      <c r="N293" s="19">
        <v>0.21029999999999999</v>
      </c>
      <c r="O293" s="19">
        <v>0.26329999999999998</v>
      </c>
      <c r="P293" s="19">
        <v>0.30459999999999998</v>
      </c>
      <c r="Q293" s="19">
        <v>9.3141554000000001E-2</v>
      </c>
      <c r="R293" s="20">
        <v>11485</v>
      </c>
      <c r="S293" s="21" t="str">
        <f>HYPERLINK("https://portal0.uapc.cuny.edu/uapc/public/fin_aid/financial_aid_estimator/FinAidEstimator.jsp", "$4869")</f>
        <v>$4869</v>
      </c>
      <c r="T293" s="20">
        <v>8957</v>
      </c>
      <c r="U293" s="20">
        <v>11910</v>
      </c>
      <c r="V293" s="20">
        <v>6233</v>
      </c>
      <c r="W293" s="20">
        <v>-1364</v>
      </c>
      <c r="Y293" s="19">
        <v>0.43640000000000001</v>
      </c>
      <c r="Z293" s="19">
        <v>0.71110000000000007</v>
      </c>
      <c r="AB293" s="18">
        <v>10915</v>
      </c>
      <c r="AC293" s="18">
        <v>6</v>
      </c>
    </row>
    <row r="294" spans="1:29" ht="15.75" customHeight="1" x14ac:dyDescent="0.2">
      <c r="A294" s="36" t="str">
        <f>HYPERLINK("https://www.lagcc.cuny.edu", "CUNY LaGuardia Community College")</f>
        <v>CUNY LaGuardia Community College</v>
      </c>
      <c r="B294" s="18" t="s">
        <v>49</v>
      </c>
      <c r="C294" s="18" t="s">
        <v>38</v>
      </c>
      <c r="D294" s="18" t="s">
        <v>1058</v>
      </c>
      <c r="E294" s="18" t="s">
        <v>36</v>
      </c>
      <c r="F294" s="18" t="s">
        <v>36</v>
      </c>
      <c r="G294" s="18" t="s">
        <v>1055</v>
      </c>
      <c r="J294" s="19" t="s">
        <v>697</v>
      </c>
      <c r="K294" s="19">
        <v>0.2268</v>
      </c>
      <c r="L294" s="19">
        <v>0.15069712299999999</v>
      </c>
      <c r="M294" s="19">
        <v>0.21629999999999999</v>
      </c>
      <c r="N294" s="19">
        <v>0.1928</v>
      </c>
      <c r="O294" s="19">
        <v>0.2283</v>
      </c>
      <c r="P294" s="19">
        <v>0.24790000000000001</v>
      </c>
      <c r="Q294" s="19">
        <v>9.6311474999999994E-2</v>
      </c>
      <c r="R294" s="20">
        <v>11451</v>
      </c>
      <c r="S294" s="21" t="str">
        <f>HYPERLINK("https://portal0.uapc.cuny.edu/uapc/public/fin_aid/financial_aid_estimator/FinAidEstimator.jsp", "$6061")</f>
        <v>$6061</v>
      </c>
      <c r="T294" s="20">
        <v>9448</v>
      </c>
      <c r="U294" s="20">
        <v>11810</v>
      </c>
      <c r="V294" s="20">
        <v>6233</v>
      </c>
      <c r="W294" s="20">
        <v>-172</v>
      </c>
      <c r="Y294" s="19">
        <v>0.43719999999999998</v>
      </c>
      <c r="Z294" s="19">
        <v>0.90239999999999998</v>
      </c>
      <c r="AB294" s="18">
        <v>15743</v>
      </c>
      <c r="AC294" s="18">
        <v>6</v>
      </c>
    </row>
    <row r="295" spans="1:29" ht="15.75" customHeight="1" x14ac:dyDescent="0.2">
      <c r="A295" s="36" t="str">
        <f>HYPERLINK("https://www.lehman.cuny.edu", "CUNY Lehman College")</f>
        <v>CUNY Lehman College</v>
      </c>
      <c r="B295" s="18" t="s">
        <v>49</v>
      </c>
      <c r="C295" s="18" t="s">
        <v>38</v>
      </c>
      <c r="D295" s="18" t="s">
        <v>217</v>
      </c>
      <c r="E295" s="18">
        <v>1035</v>
      </c>
      <c r="F295" s="18" t="s">
        <v>35</v>
      </c>
      <c r="G295" s="18" t="s">
        <v>201</v>
      </c>
      <c r="H295" s="18" t="s">
        <v>652</v>
      </c>
      <c r="I295" s="18" t="s">
        <v>654</v>
      </c>
      <c r="J295" s="19"/>
      <c r="K295" s="19">
        <v>0.4556</v>
      </c>
      <c r="L295" s="19">
        <v>0.395363409</v>
      </c>
      <c r="M295" s="19">
        <v>0.52380000000000004</v>
      </c>
      <c r="N295" s="19">
        <v>0.4662</v>
      </c>
      <c r="O295" s="19">
        <v>0.4345</v>
      </c>
      <c r="P295" s="19">
        <v>0.5</v>
      </c>
      <c r="Q295" s="19"/>
      <c r="R295" s="20">
        <v>12482</v>
      </c>
      <c r="S295" s="21" t="str">
        <f>HYPERLINK("https://portal0.uapc.cuny.edu/uapc/public/fin_aid/financial_aid_estimator/FinAidEstimator.jsp", "$811")</f>
        <v>$811</v>
      </c>
      <c r="T295" s="20">
        <v>8626</v>
      </c>
      <c r="U295" s="20">
        <v>11396</v>
      </c>
      <c r="V295" s="20">
        <v>5472</v>
      </c>
      <c r="W295" s="20">
        <v>-4661</v>
      </c>
      <c r="Y295" s="19">
        <v>0.52749999999999997</v>
      </c>
      <c r="Z295" s="19">
        <v>0.94510000000000005</v>
      </c>
      <c r="AB295" s="18">
        <v>10949</v>
      </c>
      <c r="AC295" s="18">
        <v>5</v>
      </c>
    </row>
    <row r="296" spans="1:29" ht="15.75" customHeight="1" x14ac:dyDescent="0.2">
      <c r="A296" s="36" t="str">
        <f>HYPERLINK("https://www.mec.cuny.edu", "CUNY Medgar Evers College")</f>
        <v>CUNY Medgar Evers College</v>
      </c>
      <c r="B296" s="18" t="s">
        <v>49</v>
      </c>
      <c r="C296" s="18" t="s">
        <v>38</v>
      </c>
      <c r="D296" s="18" t="s">
        <v>593</v>
      </c>
      <c r="E296" s="18" t="s">
        <v>36</v>
      </c>
      <c r="F296" s="18" t="s">
        <v>36</v>
      </c>
      <c r="G296" s="18" t="s">
        <v>655</v>
      </c>
      <c r="H296" s="18" t="s">
        <v>656</v>
      </c>
      <c r="I296" s="18" t="s">
        <v>657</v>
      </c>
      <c r="J296" s="19" t="s">
        <v>658</v>
      </c>
      <c r="K296" s="19">
        <v>0.1181</v>
      </c>
      <c r="L296" s="19">
        <v>0.190167477</v>
      </c>
      <c r="M296" s="19">
        <v>7.6899999999999996E-2</v>
      </c>
      <c r="N296" s="19">
        <v>0.1263</v>
      </c>
      <c r="O296" s="19">
        <v>6.6000000000000003E-2</v>
      </c>
      <c r="P296" s="19">
        <v>7.4099999999999999E-2</v>
      </c>
      <c r="Q296" s="19"/>
      <c r="R296" s="20">
        <v>12424</v>
      </c>
      <c r="S296" s="21" t="str">
        <f>HYPERLINK("https://portal0.uapc.cuny.edu/uapc/public/fin_aid/financial_aid_estimator/FinAidEstimator.jsp", "$5079")</f>
        <v>$5079</v>
      </c>
      <c r="T296" s="20">
        <v>10902</v>
      </c>
      <c r="U296" s="20">
        <v>13429</v>
      </c>
      <c r="V296" s="20">
        <v>5472</v>
      </c>
      <c r="W296" s="20">
        <v>-393</v>
      </c>
      <c r="Y296" s="19">
        <v>0.60350000000000004</v>
      </c>
      <c r="Z296" s="19">
        <v>0.98209999999999997</v>
      </c>
      <c r="AB296" s="18">
        <v>6204</v>
      </c>
      <c r="AC296" s="18">
        <v>5</v>
      </c>
    </row>
    <row r="297" spans="1:29" ht="15.75" customHeight="1" x14ac:dyDescent="0.2">
      <c r="A297" s="36" t="str">
        <f>HYPERLINK("https://www.citytech.cuny.edu", "CUNY New York City College of Technology")</f>
        <v>CUNY New York City College of Technology</v>
      </c>
      <c r="B297" s="18" t="s">
        <v>49</v>
      </c>
      <c r="C297" s="18" t="s">
        <v>38</v>
      </c>
      <c r="D297" s="18" t="s">
        <v>593</v>
      </c>
      <c r="E297" s="18" t="s">
        <v>36</v>
      </c>
      <c r="F297" s="18" t="s">
        <v>90</v>
      </c>
      <c r="G297" s="18" t="s">
        <v>655</v>
      </c>
      <c r="H297" s="18" t="s">
        <v>660</v>
      </c>
      <c r="I297" s="18" t="s">
        <v>661</v>
      </c>
      <c r="J297" s="19" t="s">
        <v>662</v>
      </c>
      <c r="K297" s="19">
        <v>0.18260000000000001</v>
      </c>
      <c r="L297" s="19">
        <v>0.21870882699999999</v>
      </c>
      <c r="M297" s="19">
        <v>0.21929999999999999</v>
      </c>
      <c r="N297" s="19">
        <v>0.1346</v>
      </c>
      <c r="O297" s="19">
        <v>0.18360000000000001</v>
      </c>
      <c r="P297" s="19">
        <v>0.2356</v>
      </c>
      <c r="Q297" s="19"/>
      <c r="R297" s="20">
        <v>12392</v>
      </c>
      <c r="S297" s="21" t="str">
        <f>HYPERLINK("https://portal0.uapc.cuny.edu/uapc/public/fin_aid/financial_aid_estimator/FinAidEstimator.jsp", "$3820")</f>
        <v>$3820</v>
      </c>
      <c r="T297" s="20">
        <v>9380</v>
      </c>
      <c r="U297" s="20">
        <v>12781</v>
      </c>
      <c r="V297" s="20">
        <v>5472</v>
      </c>
      <c r="W297" s="20">
        <v>-1652</v>
      </c>
      <c r="Y297" s="19">
        <v>0.51519999999999999</v>
      </c>
      <c r="Z297" s="19">
        <v>0.89369999999999994</v>
      </c>
      <c r="AB297" s="18">
        <v>16214</v>
      </c>
      <c r="AC297" s="18">
        <v>5</v>
      </c>
    </row>
    <row r="298" spans="1:29" ht="15.75" customHeight="1" x14ac:dyDescent="0.2">
      <c r="A298" s="36" t="str">
        <f>HYPERLINK("https://www.qc.cuny.edu", "CUNY Queens College")</f>
        <v>CUNY Queens College</v>
      </c>
      <c r="B298" s="18" t="s">
        <v>49</v>
      </c>
      <c r="C298" s="18" t="s">
        <v>38</v>
      </c>
      <c r="D298" s="18" t="s">
        <v>596</v>
      </c>
      <c r="E298" s="18">
        <v>1140</v>
      </c>
      <c r="F298" s="18" t="s">
        <v>35</v>
      </c>
      <c r="G298" s="18" t="s">
        <v>201</v>
      </c>
      <c r="H298" s="18" t="s">
        <v>597</v>
      </c>
      <c r="I298" s="18" t="s">
        <v>598</v>
      </c>
      <c r="J298" s="19"/>
      <c r="K298" s="19">
        <v>0.53839999999999999</v>
      </c>
      <c r="L298" s="19">
        <v>0.43031266600000001</v>
      </c>
      <c r="M298" s="19">
        <v>0.60029999999999994</v>
      </c>
      <c r="N298" s="19">
        <v>0.48149999999999998</v>
      </c>
      <c r="O298" s="19">
        <v>0.49740000000000001</v>
      </c>
      <c r="P298" s="19">
        <v>0.48970000000000002</v>
      </c>
      <c r="Q298" s="19"/>
      <c r="R298" s="20">
        <v>12610</v>
      </c>
      <c r="S298" s="21" t="str">
        <f>HYPERLINK("https://portal0.uapc.cuny.edu/uapc/public/fin_aid/financial_aid_estimator/FinAidEstimator.jsp", "$1804")</f>
        <v>$1804</v>
      </c>
      <c r="T298" s="20">
        <v>8025</v>
      </c>
      <c r="U298" s="20">
        <v>11722</v>
      </c>
      <c r="V298" s="20">
        <v>5472</v>
      </c>
      <c r="W298" s="20">
        <v>-3668</v>
      </c>
      <c r="Y298" s="19">
        <v>0.42249999999999999</v>
      </c>
      <c r="Z298" s="19">
        <v>0.73709999999999998</v>
      </c>
      <c r="AB298" s="18">
        <v>15762</v>
      </c>
      <c r="AC298" s="18">
        <v>4</v>
      </c>
    </row>
    <row r="299" spans="1:29" ht="15.75" customHeight="1" x14ac:dyDescent="0.2">
      <c r="A299" s="36" t="str">
        <f>HYPERLINK("https://www.qcc.cuny.edu", "CUNY Queensborough Community College")</f>
        <v>CUNY Queensborough Community College</v>
      </c>
      <c r="B299" s="18" t="s">
        <v>49</v>
      </c>
      <c r="C299" s="18" t="s">
        <v>38</v>
      </c>
      <c r="D299" s="18" t="s">
        <v>1060</v>
      </c>
      <c r="E299" s="18" t="s">
        <v>36</v>
      </c>
      <c r="F299" s="18" t="s">
        <v>36</v>
      </c>
      <c r="G299" s="18" t="s">
        <v>1055</v>
      </c>
      <c r="J299" s="19" t="s">
        <v>697</v>
      </c>
      <c r="K299" s="19">
        <v>0.22639999999999999</v>
      </c>
      <c r="L299" s="19">
        <v>0.229915966</v>
      </c>
      <c r="M299" s="19">
        <v>0.28910000000000002</v>
      </c>
      <c r="N299" s="19">
        <v>0.15240000000000001</v>
      </c>
      <c r="O299" s="19">
        <v>0.23300000000000001</v>
      </c>
      <c r="P299" s="19">
        <v>0.25690000000000002</v>
      </c>
      <c r="Q299" s="19">
        <v>8.1553839000000003E-2</v>
      </c>
      <c r="R299" s="20">
        <v>10682</v>
      </c>
      <c r="S299" s="21" t="str">
        <f>HYPERLINK("https://portal0.uapc.cuny.edu/uapc/public/fin_aid/financial_aid_estimator/FinAidEstimator.jsp", "$4634")</f>
        <v>$4634</v>
      </c>
      <c r="T299" s="20">
        <v>8897</v>
      </c>
      <c r="U299" s="20">
        <v>11757</v>
      </c>
      <c r="V299" s="20">
        <v>5472</v>
      </c>
      <c r="W299" s="20">
        <v>-838</v>
      </c>
      <c r="Y299" s="19">
        <v>0.46639999999999998</v>
      </c>
      <c r="Z299" s="19">
        <v>0.87060000000000004</v>
      </c>
      <c r="AB299" s="18">
        <v>13341</v>
      </c>
      <c r="AC299" s="18">
        <v>6</v>
      </c>
    </row>
    <row r="300" spans="1:29" ht="15.75" customHeight="1" x14ac:dyDescent="0.2">
      <c r="A300" s="36" t="str">
        <f>HYPERLINK("https://www.york.cuny.edu", "CUNY York College")</f>
        <v>CUNY York College</v>
      </c>
      <c r="B300" s="18" t="s">
        <v>49</v>
      </c>
      <c r="C300" s="18" t="s">
        <v>38</v>
      </c>
      <c r="D300" s="18" t="s">
        <v>663</v>
      </c>
      <c r="E300" s="18">
        <v>960</v>
      </c>
      <c r="F300" s="18" t="s">
        <v>35</v>
      </c>
      <c r="G300" s="18" t="s">
        <v>201</v>
      </c>
      <c r="H300" s="18" t="s">
        <v>660</v>
      </c>
      <c r="I300" s="18" t="s">
        <v>664</v>
      </c>
      <c r="J300" s="19" t="s">
        <v>665</v>
      </c>
      <c r="K300" s="19">
        <v>0.29289999999999999</v>
      </c>
      <c r="L300" s="19">
        <v>0.32649842299999998</v>
      </c>
      <c r="M300" s="19">
        <v>0.17649999999999999</v>
      </c>
      <c r="N300" s="19">
        <v>0.2969</v>
      </c>
      <c r="O300" s="19">
        <v>0.27100000000000002</v>
      </c>
      <c r="P300" s="19">
        <v>0.33879999999999999</v>
      </c>
      <c r="Q300" s="19"/>
      <c r="R300" s="20">
        <v>12430</v>
      </c>
      <c r="S300" s="21" t="str">
        <f>HYPERLINK("https://portal0.uapc.cuny.edu/uapc/public/fin_aid/financial_aid_estimator/FinAidEstimator.jsp", "$2829")</f>
        <v>$2829</v>
      </c>
      <c r="T300" s="20">
        <v>9143</v>
      </c>
      <c r="U300" s="20">
        <v>12306</v>
      </c>
      <c r="V300" s="20">
        <v>5472</v>
      </c>
      <c r="W300" s="20">
        <v>-2643</v>
      </c>
      <c r="Y300" s="19">
        <v>0.47720000000000001</v>
      </c>
      <c r="Z300" s="19">
        <v>0.9496</v>
      </c>
      <c r="AB300" s="18">
        <v>7058</v>
      </c>
      <c r="AC300" s="18">
        <v>5</v>
      </c>
    </row>
    <row r="301" spans="1:29" ht="15.75" customHeight="1" x14ac:dyDescent="0.2">
      <c r="A301" s="36" t="str">
        <f>HYPERLINK("https://www.carolinashealthcare.org/education/cabarrus-college-of-health-sciences", "Cabarrus College of Health Sciences")</f>
        <v>Cabarrus College of Health Sciences</v>
      </c>
      <c r="B301" s="18" t="s">
        <v>32</v>
      </c>
      <c r="C301" s="18" t="s">
        <v>103</v>
      </c>
      <c r="D301" s="18" t="s">
        <v>804</v>
      </c>
      <c r="E301" s="18">
        <v>1038</v>
      </c>
      <c r="F301" s="18" t="s">
        <v>35</v>
      </c>
      <c r="J301" s="19"/>
      <c r="K301" s="19">
        <v>0.59089999999999998</v>
      </c>
      <c r="L301" s="19">
        <v>0.61971830999999999</v>
      </c>
      <c r="M301" s="19">
        <v>0.6</v>
      </c>
      <c r="N301" s="19" t="s">
        <v>36</v>
      </c>
      <c r="O301" s="19">
        <v>1</v>
      </c>
      <c r="P301" s="19">
        <v>0</v>
      </c>
      <c r="Q301" s="19">
        <v>7.8787879000000005E-2</v>
      </c>
      <c r="R301" s="20">
        <v>29546</v>
      </c>
      <c r="S301" s="21" t="str">
        <f>HYPERLINK("https://www.carolinashealthcare.org/education/cabarrus-college-of-health-sciences/Financial-Information/Net-Price-Calculator", "$10084")</f>
        <v>$10084</v>
      </c>
      <c r="T301" s="20">
        <v>16732</v>
      </c>
      <c r="U301" s="20">
        <v>19097</v>
      </c>
      <c r="V301" s="20">
        <v>7000</v>
      </c>
      <c r="W301" s="20">
        <v>3084</v>
      </c>
      <c r="Y301" s="19">
        <v>0.307</v>
      </c>
      <c r="Z301" s="19">
        <v>0.17760000000000001</v>
      </c>
      <c r="AB301" s="18">
        <v>411</v>
      </c>
      <c r="AC301" s="18">
        <v>6</v>
      </c>
    </row>
    <row r="302" spans="1:29" ht="15.75" customHeight="1" x14ac:dyDescent="0.2">
      <c r="A302" s="36" t="str">
        <f>HYPERLINK("https://www.cabrillo.edu", "Cabrillo College")</f>
        <v>Cabrillo College</v>
      </c>
      <c r="B302" s="18" t="s">
        <v>49</v>
      </c>
      <c r="C302" s="18" t="s">
        <v>68</v>
      </c>
      <c r="D302" s="18" t="s">
        <v>1063</v>
      </c>
      <c r="E302" s="18" t="s">
        <v>36</v>
      </c>
      <c r="F302" s="18" t="s">
        <v>36</v>
      </c>
      <c r="J302" s="19"/>
      <c r="K302" s="19">
        <v>0.25719999999999998</v>
      </c>
      <c r="L302" s="19">
        <v>7.2655217999999994E-2</v>
      </c>
      <c r="M302" s="19">
        <v>0.32869999999999999</v>
      </c>
      <c r="N302" s="19">
        <v>0.18179999999999999</v>
      </c>
      <c r="O302" s="19">
        <v>0.2034</v>
      </c>
      <c r="P302" s="19">
        <v>0.28000000000000003</v>
      </c>
      <c r="Q302" s="19">
        <v>0.141925777</v>
      </c>
      <c r="R302" s="20">
        <v>25320</v>
      </c>
      <c r="S302" s="21" t="str">
        <f>HYPERLINK("https://misweb.cccco.edu/npc/411/npcalc.htm", "$18390")</f>
        <v>$18390</v>
      </c>
      <c r="T302" s="20">
        <v>20982</v>
      </c>
      <c r="U302" s="20">
        <v>22137</v>
      </c>
      <c r="V302" s="20">
        <v>5940</v>
      </c>
      <c r="W302" s="20">
        <v>12450.36599423631</v>
      </c>
      <c r="Y302" s="19">
        <v>0.2195</v>
      </c>
      <c r="Z302" s="19">
        <v>0.56140000000000001</v>
      </c>
      <c r="AB302" s="18">
        <v>10556</v>
      </c>
      <c r="AC302" s="18">
        <v>6</v>
      </c>
    </row>
    <row r="303" spans="1:29" ht="15.75" customHeight="1" x14ac:dyDescent="0.2">
      <c r="A303" s="36" t="str">
        <f>HYPERLINK("https://www.cabrini.edu", "Cabrini University")</f>
        <v>Cabrini University</v>
      </c>
      <c r="B303" s="18" t="s">
        <v>32</v>
      </c>
      <c r="C303" s="18" t="s">
        <v>65</v>
      </c>
      <c r="D303" s="18" t="s">
        <v>667</v>
      </c>
      <c r="E303" s="18">
        <v>1073</v>
      </c>
      <c r="F303" s="18" t="s">
        <v>115</v>
      </c>
      <c r="J303" s="19"/>
      <c r="K303" s="19">
        <v>0.57540000000000002</v>
      </c>
      <c r="L303" s="19">
        <v>0.5</v>
      </c>
      <c r="M303" s="19">
        <v>0.61880000000000002</v>
      </c>
      <c r="N303" s="19">
        <v>0.45450000000000002</v>
      </c>
      <c r="O303" s="19">
        <v>0.56520000000000004</v>
      </c>
      <c r="P303" s="19">
        <v>0.66669999999999996</v>
      </c>
      <c r="Q303" s="19"/>
      <c r="R303" s="20">
        <v>46750</v>
      </c>
      <c r="S303" s="21" t="str">
        <f>HYPERLINK("https://www.cabrini.edu/calculator", "$20739")</f>
        <v>$20739</v>
      </c>
      <c r="T303" s="20">
        <v>23319</v>
      </c>
      <c r="U303" s="20">
        <v>26108</v>
      </c>
      <c r="V303" s="20">
        <v>2900</v>
      </c>
      <c r="W303" s="20">
        <v>17839</v>
      </c>
      <c r="Y303" s="19">
        <v>0.38479999999999998</v>
      </c>
      <c r="Z303" s="19">
        <v>0.43359999999999999</v>
      </c>
      <c r="AB303" s="18">
        <v>1536</v>
      </c>
      <c r="AC303" s="18">
        <v>5</v>
      </c>
    </row>
    <row r="304" spans="1:29" ht="15.75" customHeight="1" x14ac:dyDescent="0.2">
      <c r="A304" s="36" t="str">
        <f>HYPERLINK("https://www.cairn.edu", "Cairn University-Langhorne")</f>
        <v>Cairn University-Langhorne</v>
      </c>
      <c r="B304" s="18" t="s">
        <v>32</v>
      </c>
      <c r="C304" s="18" t="s">
        <v>65</v>
      </c>
      <c r="D304" s="18" t="s">
        <v>599</v>
      </c>
      <c r="E304" s="18">
        <v>1046</v>
      </c>
      <c r="F304" s="18" t="s">
        <v>35</v>
      </c>
      <c r="J304" s="19"/>
      <c r="K304" s="19">
        <v>0.6048</v>
      </c>
      <c r="L304" s="19">
        <v>0.58333333300000001</v>
      </c>
      <c r="M304" s="19">
        <v>0.65959999999999996</v>
      </c>
      <c r="N304" s="19">
        <v>0.35709999999999997</v>
      </c>
      <c r="O304" s="19">
        <v>0.625</v>
      </c>
      <c r="P304" s="19">
        <v>0.4</v>
      </c>
      <c r="Q304" s="19"/>
      <c r="R304" s="20">
        <v>39304</v>
      </c>
      <c r="S304" s="21" t="str">
        <f>HYPERLINK("https://cairn.edu/admissions/undergrad/aid/#calculator", "$14331")</f>
        <v>$14331</v>
      </c>
      <c r="T304" s="20">
        <v>14317</v>
      </c>
      <c r="U304" s="20">
        <v>20200</v>
      </c>
      <c r="V304" s="20">
        <v>3008</v>
      </c>
      <c r="W304" s="20">
        <v>11323</v>
      </c>
      <c r="Y304" s="19">
        <v>0.42570000000000002</v>
      </c>
      <c r="Z304" s="19">
        <v>0.28399999999999997</v>
      </c>
      <c r="AB304" s="18">
        <v>757</v>
      </c>
      <c r="AC304" s="18">
        <v>4</v>
      </c>
    </row>
    <row r="305" spans="1:29" ht="15.75" customHeight="1" x14ac:dyDescent="0.2">
      <c r="A305" s="36" t="str">
        <f>HYPERLINK("https://www.cccti.edu", "Caldwell Community College and Technical Institute")</f>
        <v>Caldwell Community College and Technical Institute</v>
      </c>
      <c r="B305" s="18" t="s">
        <v>49</v>
      </c>
      <c r="C305" s="18" t="s">
        <v>103</v>
      </c>
      <c r="D305" s="18" t="s">
        <v>1065</v>
      </c>
      <c r="E305" s="18" t="s">
        <v>36</v>
      </c>
      <c r="F305" s="18" t="s">
        <v>36</v>
      </c>
      <c r="J305" s="19"/>
      <c r="K305" s="19">
        <v>0.19750000000000001</v>
      </c>
      <c r="L305" s="19">
        <v>0.234841194</v>
      </c>
      <c r="M305" s="19">
        <v>0.2024</v>
      </c>
      <c r="N305" s="19">
        <v>3.7000000000000012E-2</v>
      </c>
      <c r="O305" s="19">
        <v>0.31580000000000003</v>
      </c>
      <c r="P305" s="19">
        <v>0.5</v>
      </c>
      <c r="Q305" s="19">
        <v>5.2562418E-2</v>
      </c>
      <c r="R305" s="20">
        <v>19442</v>
      </c>
      <c r="S305" s="21" t="str">
        <f>HYPERLINK("https://www.cccti.edu/NetPrice/npcalc.htm", "$13758")</f>
        <v>$13758</v>
      </c>
      <c r="T305" s="20">
        <v>14306</v>
      </c>
      <c r="U305" s="20">
        <v>17929</v>
      </c>
      <c r="V305" s="20">
        <v>2050</v>
      </c>
      <c r="W305" s="20">
        <v>11708.32061068702</v>
      </c>
      <c r="Y305" s="19">
        <v>0.38669999999999999</v>
      </c>
      <c r="Z305" s="19">
        <v>0.18049999999999999</v>
      </c>
      <c r="AB305" s="18">
        <v>2210</v>
      </c>
      <c r="AC305" s="18">
        <v>6</v>
      </c>
    </row>
    <row r="306" spans="1:29" ht="15.75" customHeight="1" x14ac:dyDescent="0.2">
      <c r="A306" s="36" t="str">
        <f>HYPERLINK("https://www.caldwell.edu", "Caldwell University")</f>
        <v>Caldwell University</v>
      </c>
      <c r="B306" s="18" t="s">
        <v>32</v>
      </c>
      <c r="C306" s="18" t="s">
        <v>141</v>
      </c>
      <c r="D306" s="18" t="s">
        <v>487</v>
      </c>
      <c r="E306" s="18">
        <v>1035</v>
      </c>
      <c r="F306" s="18" t="s">
        <v>35</v>
      </c>
      <c r="J306" s="19"/>
      <c r="K306" s="19">
        <v>0.66010000000000002</v>
      </c>
      <c r="L306" s="19">
        <v>0.40223463700000001</v>
      </c>
      <c r="M306" s="19">
        <v>0.77049999999999996</v>
      </c>
      <c r="N306" s="19">
        <v>0.4103</v>
      </c>
      <c r="O306" s="19">
        <v>0.72729999999999995</v>
      </c>
      <c r="P306" s="19">
        <v>1</v>
      </c>
      <c r="Q306" s="19"/>
      <c r="R306" s="20">
        <v>50150</v>
      </c>
      <c r="S306" s="21" t="str">
        <f>HYPERLINK("https://www.caldwell.edu/financial-aid/netprice", "$16843")</f>
        <v>$16843</v>
      </c>
      <c r="T306" s="20">
        <v>22229</v>
      </c>
      <c r="U306" s="20">
        <v>30026</v>
      </c>
      <c r="V306" s="20">
        <v>3900</v>
      </c>
      <c r="W306" s="20">
        <v>12943</v>
      </c>
      <c r="Y306" s="19">
        <v>0.42699999999999999</v>
      </c>
      <c r="Z306" s="19">
        <v>0.64159999999999995</v>
      </c>
      <c r="AB306" s="18">
        <v>1596</v>
      </c>
      <c r="AC306" s="18">
        <v>5</v>
      </c>
    </row>
    <row r="307" spans="1:29" ht="15.75" customHeight="1" x14ac:dyDescent="0.2">
      <c r="A307" s="36" t="str">
        <f>HYPERLINK("https://www.sbbcollege.edu", "Santa Barbara Business College-Ventura")</f>
        <v>Santa Barbara Business College-Ventura</v>
      </c>
      <c r="B307" s="18" t="s">
        <v>368</v>
      </c>
      <c r="C307" s="18" t="s">
        <v>68</v>
      </c>
      <c r="D307" s="18" t="s">
        <v>669</v>
      </c>
      <c r="E307" s="18" t="s">
        <v>36</v>
      </c>
      <c r="F307" s="18" t="s">
        <v>36</v>
      </c>
      <c r="J307" s="19"/>
      <c r="K307" s="19">
        <v>0.45710000000000001</v>
      </c>
      <c r="L307" s="19">
        <v>0.35986159200000001</v>
      </c>
      <c r="M307" s="19">
        <v>0.46150000000000002</v>
      </c>
      <c r="N307" s="19">
        <v>0</v>
      </c>
      <c r="O307" s="19">
        <v>0.5</v>
      </c>
      <c r="P307" s="19" t="s">
        <v>36</v>
      </c>
      <c r="Q307" s="19" t="s">
        <v>36</v>
      </c>
      <c r="R307" s="20">
        <v>26328</v>
      </c>
      <c r="S307" s="21" t="str">
        <f>HYPERLINK("https://cloud.sbbcollege.edu/npc/npc_vtsb.htm", "$17571")</f>
        <v>$17571</v>
      </c>
      <c r="T307" s="20">
        <v>21541</v>
      </c>
      <c r="U307" s="20">
        <v>22558</v>
      </c>
      <c r="V307" s="20">
        <v>4512</v>
      </c>
      <c r="W307" s="20">
        <v>13059</v>
      </c>
      <c r="Y307" s="19">
        <v>0.52659999999999996</v>
      </c>
      <c r="Z307" s="19">
        <v>0.72340000000000004</v>
      </c>
      <c r="AB307" s="18">
        <v>235</v>
      </c>
      <c r="AC307" s="18">
        <v>6</v>
      </c>
    </row>
    <row r="308" spans="1:29" ht="15.75" customHeight="1" x14ac:dyDescent="0.2">
      <c r="A308" s="36" t="str">
        <f>HYPERLINK("https://www.calbaptist.edu", "California Baptist University")</f>
        <v>California Baptist University</v>
      </c>
      <c r="B308" s="18" t="s">
        <v>32</v>
      </c>
      <c r="C308" s="18" t="s">
        <v>68</v>
      </c>
      <c r="D308" s="18" t="s">
        <v>392</v>
      </c>
      <c r="E308" s="18">
        <v>1092</v>
      </c>
      <c r="F308" s="18" t="s">
        <v>35</v>
      </c>
      <c r="J308" s="19"/>
      <c r="K308" s="19">
        <v>0.58660000000000001</v>
      </c>
      <c r="L308" s="19">
        <v>0.347394541</v>
      </c>
      <c r="M308" s="19">
        <v>0.6472</v>
      </c>
      <c r="N308" s="19">
        <v>0.29849999999999999</v>
      </c>
      <c r="O308" s="19">
        <v>0.55610000000000004</v>
      </c>
      <c r="P308" s="19">
        <v>0.51019999999999999</v>
      </c>
      <c r="Q308" s="19"/>
      <c r="R308" s="20">
        <v>45982</v>
      </c>
      <c r="S308" s="21" t="str">
        <f>HYPERLINK("https://calbaptist.studentaidcalculator.com/welcome.aspx", "$27214")</f>
        <v>$27214</v>
      </c>
      <c r="T308" s="20">
        <v>31323</v>
      </c>
      <c r="U308" s="20">
        <v>33250</v>
      </c>
      <c r="V308" s="20">
        <v>5096</v>
      </c>
      <c r="W308" s="20">
        <v>22118</v>
      </c>
      <c r="Y308" s="19">
        <v>0.44879999999999998</v>
      </c>
      <c r="Z308" s="19">
        <v>0.61480000000000001</v>
      </c>
      <c r="AB308" s="18">
        <v>7397</v>
      </c>
      <c r="AC308" s="18">
        <v>4</v>
      </c>
    </row>
    <row r="309" spans="1:29" ht="15.75" customHeight="1" x14ac:dyDescent="0.2">
      <c r="A309" s="36" t="str">
        <f t="shared" ref="A309:A310" si="3">HYPERLINK("https://www.cc-sd.edu", "California College San Diego")</f>
        <v>California College San Diego</v>
      </c>
      <c r="B309" s="18" t="s">
        <v>32</v>
      </c>
      <c r="C309" s="18" t="s">
        <v>68</v>
      </c>
      <c r="D309" s="18" t="s">
        <v>288</v>
      </c>
      <c r="E309" s="18" t="s">
        <v>36</v>
      </c>
      <c r="F309" s="18" t="s">
        <v>36</v>
      </c>
      <c r="J309" s="19"/>
      <c r="K309" s="19">
        <v>0.35239999999999999</v>
      </c>
      <c r="L309" s="19">
        <v>0.38383838399999998</v>
      </c>
      <c r="M309" s="19">
        <v>0.41670000000000001</v>
      </c>
      <c r="N309" s="19">
        <v>0.35920000000000002</v>
      </c>
      <c r="O309" s="19">
        <v>0.37080000000000002</v>
      </c>
      <c r="P309" s="19">
        <v>0.39219999999999999</v>
      </c>
      <c r="Q309" s="19">
        <v>3.8622128999999998E-2</v>
      </c>
      <c r="R309" s="20">
        <v>33960</v>
      </c>
      <c r="S309" s="21" t="str">
        <f>HYPERLINK("https://cc-sd.studentaidcalculator.com/survey.aspx", "$28695")</f>
        <v>$28695</v>
      </c>
      <c r="T309" s="20">
        <v>29420</v>
      </c>
      <c r="U309" s="20">
        <v>30717</v>
      </c>
      <c r="V309" s="20">
        <v>7816</v>
      </c>
      <c r="W309" s="20">
        <v>20879</v>
      </c>
      <c r="Y309" s="19">
        <v>0.7056</v>
      </c>
      <c r="Z309" s="19">
        <v>0.79659999999999997</v>
      </c>
      <c r="AB309" s="18">
        <v>875</v>
      </c>
      <c r="AC309" s="18">
        <v>6</v>
      </c>
    </row>
    <row r="310" spans="1:29" ht="15.75" customHeight="1" x14ac:dyDescent="0.2">
      <c r="A310" s="36" t="str">
        <f t="shared" si="3"/>
        <v>California College San Diego</v>
      </c>
      <c r="B310" s="18" t="s">
        <v>32</v>
      </c>
      <c r="C310" s="18" t="s">
        <v>68</v>
      </c>
      <c r="D310" s="18" t="s">
        <v>612</v>
      </c>
      <c r="E310" s="18" t="s">
        <v>36</v>
      </c>
      <c r="F310" s="18" t="s">
        <v>36</v>
      </c>
      <c r="J310" s="19"/>
      <c r="K310" s="19" t="s">
        <v>36</v>
      </c>
      <c r="L310" s="19">
        <v>0.38383838399999998</v>
      </c>
      <c r="M310" s="19" t="s">
        <v>36</v>
      </c>
      <c r="N310" s="19" t="s">
        <v>36</v>
      </c>
      <c r="O310" s="19" t="s">
        <v>36</v>
      </c>
      <c r="P310" s="19" t="s">
        <v>36</v>
      </c>
      <c r="Q310" s="19">
        <v>3.8622128999999998E-2</v>
      </c>
      <c r="R310" s="20">
        <v>33960</v>
      </c>
      <c r="S310" s="21" t="str">
        <f>HYPERLINK("https://www.cc-sd.edu/net-price-calculator", "$26810")</f>
        <v>$26810</v>
      </c>
      <c r="T310" s="20">
        <v>30819</v>
      </c>
      <c r="U310" s="20" t="s">
        <v>36</v>
      </c>
      <c r="V310" s="20">
        <v>7816</v>
      </c>
      <c r="W310" s="20">
        <v>18994</v>
      </c>
      <c r="Y310" s="19">
        <v>0.70920000000000005</v>
      </c>
      <c r="Z310" s="19">
        <v>0.70340000000000003</v>
      </c>
      <c r="AB310" s="18">
        <v>327</v>
      </c>
      <c r="AC310" s="18">
        <v>6</v>
      </c>
    </row>
    <row r="311" spans="1:29" ht="15.75" customHeight="1" x14ac:dyDescent="0.2">
      <c r="A311" s="36" t="str">
        <f>HYPERLINK("https://www.cca.edu", "California College of the Arts")</f>
        <v>California College of the Arts</v>
      </c>
      <c r="B311" s="18" t="s">
        <v>32</v>
      </c>
      <c r="C311" s="18" t="s">
        <v>68</v>
      </c>
      <c r="D311" s="18" t="s">
        <v>522</v>
      </c>
      <c r="E311" s="18" t="s">
        <v>36</v>
      </c>
      <c r="F311" s="18" t="s">
        <v>45</v>
      </c>
      <c r="J311" s="19"/>
      <c r="K311" s="19">
        <v>0.61209999999999998</v>
      </c>
      <c r="L311" s="19">
        <v>0.53043478300000002</v>
      </c>
      <c r="M311" s="19">
        <v>0.56759999999999999</v>
      </c>
      <c r="N311" s="19">
        <v>0.38890000000000002</v>
      </c>
      <c r="O311" s="19">
        <v>0.3846</v>
      </c>
      <c r="P311" s="19">
        <v>0.76919999999999999</v>
      </c>
      <c r="Q311" s="19"/>
      <c r="R311" s="20">
        <v>64906</v>
      </c>
      <c r="S311" s="21" t="str">
        <f>HYPERLINK("https://www.cca.edu/admissions/financialaid/calculator", "$26720")</f>
        <v>$26720</v>
      </c>
      <c r="T311" s="20">
        <v>32258</v>
      </c>
      <c r="U311" s="20">
        <v>34442</v>
      </c>
      <c r="V311" s="20">
        <v>4950</v>
      </c>
      <c r="W311" s="20">
        <v>21770</v>
      </c>
      <c r="Y311" s="19">
        <v>0.29320000000000002</v>
      </c>
      <c r="Z311" s="19">
        <v>0.77560000000000007</v>
      </c>
      <c r="AB311" s="18">
        <v>1475</v>
      </c>
      <c r="AC311" s="18">
        <v>4</v>
      </c>
    </row>
    <row r="312" spans="1:29" ht="15.75" customHeight="1" x14ac:dyDescent="0.2">
      <c r="A312" s="36" t="str">
        <f>HYPERLINK("https://www.caltech.edu", "California Institute of Technology")</f>
        <v>California Institute of Technology</v>
      </c>
      <c r="B312" s="18" t="s">
        <v>32</v>
      </c>
      <c r="C312" s="18" t="s">
        <v>68</v>
      </c>
      <c r="D312" s="18" t="s">
        <v>69</v>
      </c>
      <c r="E312" s="18">
        <v>1558</v>
      </c>
      <c r="F312" s="18" t="s">
        <v>35</v>
      </c>
      <c r="J312" s="19"/>
      <c r="K312" s="19">
        <v>0.89300000000000002</v>
      </c>
      <c r="L312" s="19" t="s">
        <v>36</v>
      </c>
      <c r="M312" s="19">
        <v>0.93059999999999998</v>
      </c>
      <c r="N312" s="19">
        <v>1</v>
      </c>
      <c r="O312" s="19">
        <v>0.76670000000000005</v>
      </c>
      <c r="P312" s="19">
        <v>0.92549999999999999</v>
      </c>
      <c r="Q312" s="19"/>
      <c r="R312" s="20">
        <v>68901</v>
      </c>
      <c r="S312" s="21" t="str">
        <f>HYPERLINK("https://www.finaid.caltech.edu/", "$4621")</f>
        <v>$4621</v>
      </c>
      <c r="T312" s="20">
        <v>11764</v>
      </c>
      <c r="U312" s="20">
        <v>23978</v>
      </c>
      <c r="V312" s="20">
        <v>4197</v>
      </c>
      <c r="W312" s="20">
        <v>424</v>
      </c>
      <c r="X312" s="18" t="s">
        <v>37</v>
      </c>
      <c r="Y312" s="19">
        <v>0.1236</v>
      </c>
      <c r="Z312" s="19">
        <v>0.72219999999999995</v>
      </c>
      <c r="AB312" s="18">
        <v>961</v>
      </c>
      <c r="AC312" s="18">
        <v>1</v>
      </c>
    </row>
    <row r="313" spans="1:29" ht="15.75" customHeight="1" x14ac:dyDescent="0.2">
      <c r="A313" s="36" t="str">
        <f>HYPERLINK("https://www.calarts.edu", "California Institute of the Arts")</f>
        <v>California Institute of the Arts</v>
      </c>
      <c r="B313" s="18" t="s">
        <v>32</v>
      </c>
      <c r="C313" s="18" t="s">
        <v>68</v>
      </c>
      <c r="D313" s="18" t="s">
        <v>600</v>
      </c>
      <c r="E313" s="18" t="s">
        <v>36</v>
      </c>
      <c r="F313" s="18" t="s">
        <v>45</v>
      </c>
      <c r="J313" s="19"/>
      <c r="K313" s="19">
        <v>0.66920000000000002</v>
      </c>
      <c r="L313" s="19">
        <v>0.56060606099999999</v>
      </c>
      <c r="M313" s="19">
        <v>0.625</v>
      </c>
      <c r="N313" s="19">
        <v>0.66669999999999996</v>
      </c>
      <c r="O313" s="19">
        <v>0.57889999999999997</v>
      </c>
      <c r="P313" s="19">
        <v>0.77780000000000005</v>
      </c>
      <c r="Q313" s="19"/>
      <c r="R313" s="20">
        <v>68993</v>
      </c>
      <c r="S313" s="21" t="str">
        <f>HYPERLINK("https://calarts.edu/financial-aid/net-price-calculator", "$39730")</f>
        <v>$39730</v>
      </c>
      <c r="T313" s="20">
        <v>45303</v>
      </c>
      <c r="U313" s="20">
        <v>43761</v>
      </c>
      <c r="V313" s="20">
        <v>9790</v>
      </c>
      <c r="W313" s="20">
        <v>29940</v>
      </c>
      <c r="Y313" s="19">
        <v>0.24740000000000001</v>
      </c>
      <c r="Z313" s="19">
        <v>0.58430000000000004</v>
      </c>
      <c r="AB313" s="18">
        <v>979</v>
      </c>
      <c r="AC313" s="18">
        <v>4</v>
      </c>
    </row>
    <row r="314" spans="1:29" ht="15.75" customHeight="1" x14ac:dyDescent="0.2">
      <c r="A314" s="36" t="str">
        <f>HYPERLINK("https://www.callutheran.edu/", "California Lutheran University")</f>
        <v>California Lutheran University</v>
      </c>
      <c r="B314" s="18" t="s">
        <v>32</v>
      </c>
      <c r="C314" s="18" t="s">
        <v>68</v>
      </c>
      <c r="D314" s="18" t="s">
        <v>601</v>
      </c>
      <c r="E314" s="18">
        <v>1158</v>
      </c>
      <c r="F314" s="18" t="s">
        <v>35</v>
      </c>
      <c r="J314" s="19"/>
      <c r="K314" s="19">
        <v>0.70799999999999996</v>
      </c>
      <c r="L314" s="19">
        <v>0.54395604399999997</v>
      </c>
      <c r="M314" s="19">
        <v>0.69679999999999997</v>
      </c>
      <c r="N314" s="19">
        <v>0.72219999999999995</v>
      </c>
      <c r="O314" s="19">
        <v>0.76319999999999999</v>
      </c>
      <c r="P314" s="19">
        <v>0.65959999999999996</v>
      </c>
      <c r="Q314" s="19"/>
      <c r="R314" s="20">
        <v>59877</v>
      </c>
      <c r="S314" s="21" t="str">
        <f>HYPERLINK("https://www.callutheran.edu/financial-aid/tuition-fees/net-price-calculator.html", "$17357")</f>
        <v>$17357</v>
      </c>
      <c r="T314" s="20">
        <v>23343</v>
      </c>
      <c r="U314" s="20">
        <v>29356</v>
      </c>
      <c r="V314" s="20">
        <v>5194</v>
      </c>
      <c r="W314" s="20">
        <v>12163</v>
      </c>
      <c r="Y314" s="19">
        <v>0.25590000000000002</v>
      </c>
      <c r="Z314" s="19">
        <v>0.55459999999999998</v>
      </c>
      <c r="AB314" s="18">
        <v>2959</v>
      </c>
      <c r="AC314" s="18">
        <v>4</v>
      </c>
    </row>
    <row r="315" spans="1:29" ht="15.75" customHeight="1" x14ac:dyDescent="0.2">
      <c r="A315" s="36" t="str">
        <f>HYPERLINK("https://calpoly.edu", "California Polytechnic State University-San Luis Obispo")</f>
        <v>California Polytechnic State University-San Luis Obispo</v>
      </c>
      <c r="B315" s="18" t="s">
        <v>49</v>
      </c>
      <c r="C315" s="18" t="s">
        <v>68</v>
      </c>
      <c r="D315" s="18" t="s">
        <v>204</v>
      </c>
      <c r="E315" s="18">
        <v>1317</v>
      </c>
      <c r="F315" s="18" t="s">
        <v>35</v>
      </c>
      <c r="J315" s="19"/>
      <c r="K315" s="19">
        <v>0.79139999999999999</v>
      </c>
      <c r="L315" s="19">
        <v>0.65635179200000004</v>
      </c>
      <c r="M315" s="19">
        <v>0.81440000000000001</v>
      </c>
      <c r="N315" s="19">
        <v>0.75860000000000005</v>
      </c>
      <c r="O315" s="19">
        <v>0.70660000000000001</v>
      </c>
      <c r="P315" s="19">
        <v>0.78180000000000005</v>
      </c>
      <c r="Q315" s="19"/>
      <c r="R315" s="20">
        <v>39033</v>
      </c>
      <c r="S315" s="21" t="str">
        <f>HYPERLINK("https://financialaid.calpoly.edu/calculator/npcalc.htm", "$25981")</f>
        <v>$25981</v>
      </c>
      <c r="T315" s="20">
        <v>30801</v>
      </c>
      <c r="U315" s="20">
        <v>34767</v>
      </c>
      <c r="V315" s="20">
        <v>4587</v>
      </c>
      <c r="W315" s="20">
        <v>21394.247252747249</v>
      </c>
      <c r="Y315" s="19">
        <v>0.1764</v>
      </c>
      <c r="Z315" s="19">
        <v>0.4526</v>
      </c>
      <c r="AB315" s="18">
        <v>21303</v>
      </c>
      <c r="AC315" s="18">
        <v>2</v>
      </c>
    </row>
    <row r="316" spans="1:29" ht="15.75" customHeight="1" x14ac:dyDescent="0.2">
      <c r="A316" s="36" t="str">
        <f>HYPERLINK("https://www.cpp.edu", "California State Polytechnic University-Pomona")</f>
        <v>California State Polytechnic University-Pomona</v>
      </c>
      <c r="B316" s="18" t="s">
        <v>49</v>
      </c>
      <c r="C316" s="18" t="s">
        <v>68</v>
      </c>
      <c r="D316" s="18" t="s">
        <v>602</v>
      </c>
      <c r="E316" s="18">
        <v>1129</v>
      </c>
      <c r="F316" s="18" t="s">
        <v>35</v>
      </c>
      <c r="J316" s="19"/>
      <c r="K316" s="19">
        <v>0.6593</v>
      </c>
      <c r="L316" s="19">
        <v>0.56012084600000001</v>
      </c>
      <c r="M316" s="19">
        <v>0.7036</v>
      </c>
      <c r="N316" s="19">
        <v>0.45950000000000002</v>
      </c>
      <c r="O316" s="19">
        <v>0.59050000000000002</v>
      </c>
      <c r="P316" s="19">
        <v>0.74229999999999996</v>
      </c>
      <c r="Q316" s="19"/>
      <c r="R316" s="20">
        <v>37937</v>
      </c>
      <c r="S316" s="21" t="str">
        <f>HYPERLINK("https://www.cpp.edu/~financial-aid/net-price-calculator/npcalc.htm", "$26608")</f>
        <v>$26608</v>
      </c>
      <c r="T316" s="20">
        <v>30861</v>
      </c>
      <c r="U316" s="20">
        <v>34676</v>
      </c>
      <c r="V316" s="20">
        <v>4204</v>
      </c>
      <c r="W316" s="20">
        <v>22404.044776119401</v>
      </c>
      <c r="Y316" s="19">
        <v>0.46289999999999998</v>
      </c>
      <c r="Z316" s="19">
        <v>0.83230000000000004</v>
      </c>
      <c r="AB316" s="18">
        <v>24205</v>
      </c>
      <c r="AC316" s="18">
        <v>4</v>
      </c>
    </row>
    <row r="317" spans="1:29" ht="15.75" customHeight="1" x14ac:dyDescent="0.2">
      <c r="A317" s="36" t="str">
        <f>HYPERLINK("https://www.csum.edu", "The California Maritime Academy")</f>
        <v>The California Maritime Academy</v>
      </c>
      <c r="B317" s="18" t="s">
        <v>49</v>
      </c>
      <c r="C317" s="18" t="s">
        <v>68</v>
      </c>
      <c r="D317" s="18" t="s">
        <v>603</v>
      </c>
      <c r="E317" s="18" t="s">
        <v>36</v>
      </c>
      <c r="F317" s="18" t="s">
        <v>90</v>
      </c>
      <c r="J317" s="19"/>
      <c r="K317" s="19">
        <v>0.64080000000000004</v>
      </c>
      <c r="L317" s="19">
        <v>0.53749999999999998</v>
      </c>
      <c r="M317" s="19">
        <v>0.6835</v>
      </c>
      <c r="N317" s="19">
        <v>0</v>
      </c>
      <c r="O317" s="19">
        <v>0.58620000000000005</v>
      </c>
      <c r="P317" s="19">
        <v>0.76919999999999999</v>
      </c>
      <c r="Q317" s="19"/>
      <c r="R317" s="20">
        <v>39962</v>
      </c>
      <c r="S317" s="21" t="str">
        <f>HYPERLINK("https://www2.calstate.edu/attend/paying-for-college/Pages/csu-costs.aspx", "$27414")</f>
        <v>$27414</v>
      </c>
      <c r="T317" s="20">
        <v>32749</v>
      </c>
      <c r="U317" s="20">
        <v>36970</v>
      </c>
      <c r="V317" s="20">
        <v>8219</v>
      </c>
      <c r="W317" s="20">
        <v>19195.81632653061</v>
      </c>
      <c r="Y317" s="19">
        <v>0.29449999999999998</v>
      </c>
      <c r="Z317" s="19">
        <v>0.51429999999999998</v>
      </c>
      <c r="AB317" s="18">
        <v>1048</v>
      </c>
      <c r="AC317" s="18">
        <v>4</v>
      </c>
    </row>
    <row r="318" spans="1:29" ht="15.75" customHeight="1" x14ac:dyDescent="0.2">
      <c r="A318" s="36" t="str">
        <f>HYPERLINK("https://www.csub.edu", "California State University-Bakersfield")</f>
        <v>California State University-Bakersfield</v>
      </c>
      <c r="B318" s="18" t="s">
        <v>49</v>
      </c>
      <c r="C318" s="18" t="s">
        <v>68</v>
      </c>
      <c r="D318" s="18" t="s">
        <v>669</v>
      </c>
      <c r="E318" s="18" t="s">
        <v>36</v>
      </c>
      <c r="F318" s="18" t="s">
        <v>90</v>
      </c>
      <c r="J318" s="19"/>
      <c r="K318" s="19">
        <v>0.40860000000000002</v>
      </c>
      <c r="L318" s="19">
        <v>0.35545851499999997</v>
      </c>
      <c r="M318" s="19">
        <v>0.45029999999999998</v>
      </c>
      <c r="N318" s="19">
        <v>0.26369999999999999</v>
      </c>
      <c r="O318" s="19">
        <v>0.41639999999999999</v>
      </c>
      <c r="P318" s="19">
        <v>0.51139999999999997</v>
      </c>
      <c r="Q318" s="19"/>
      <c r="R318" s="20">
        <v>37846</v>
      </c>
      <c r="S318" s="21" t="str">
        <f>HYPERLINK("https://www2.calstate.edu/attend/paying-for-college/Pages/csu-costs.aspx", "$25578")</f>
        <v>$25578</v>
      </c>
      <c r="T318" s="20">
        <v>29037</v>
      </c>
      <c r="U318" s="20">
        <v>33844</v>
      </c>
      <c r="V318" s="20">
        <v>4851</v>
      </c>
      <c r="W318" s="20">
        <v>20727.453055141581</v>
      </c>
      <c r="Y318" s="19">
        <v>0.61129999999999995</v>
      </c>
      <c r="Z318" s="19">
        <v>0.82189999999999996</v>
      </c>
      <c r="AB318" s="18">
        <v>8705</v>
      </c>
      <c r="AC318" s="18">
        <v>5</v>
      </c>
    </row>
    <row r="319" spans="1:29" ht="15.75" customHeight="1" x14ac:dyDescent="0.2">
      <c r="A319" s="36" t="str">
        <f>HYPERLINK("https://www.csuci.edu", "California State University-Channel Islands")</f>
        <v>California State University-Channel Islands</v>
      </c>
      <c r="B319" s="18" t="s">
        <v>49</v>
      </c>
      <c r="C319" s="18" t="s">
        <v>68</v>
      </c>
      <c r="D319" s="18" t="s">
        <v>604</v>
      </c>
      <c r="E319" s="18" t="s">
        <v>36</v>
      </c>
      <c r="F319" s="18" t="s">
        <v>90</v>
      </c>
      <c r="J319" s="19"/>
      <c r="K319" s="19">
        <v>0.59470000000000001</v>
      </c>
      <c r="L319" s="19">
        <v>0.46770025799999998</v>
      </c>
      <c r="M319" s="19">
        <v>0.65939999999999999</v>
      </c>
      <c r="N319" s="19">
        <v>0.69569999999999999</v>
      </c>
      <c r="O319" s="19">
        <v>0.55869999999999997</v>
      </c>
      <c r="P319" s="19">
        <v>0.48780000000000001</v>
      </c>
      <c r="Q319" s="19"/>
      <c r="R319" s="20">
        <v>40501</v>
      </c>
      <c r="S319" s="21" t="str">
        <f>HYPERLINK("https://www2.calstate.edu/attend/paying-for-college/Pages/csu-costs.aspx", "$28609")</f>
        <v>$28609</v>
      </c>
      <c r="T319" s="20">
        <v>33167</v>
      </c>
      <c r="U319" s="20">
        <v>37541</v>
      </c>
      <c r="V319" s="20">
        <v>4850</v>
      </c>
      <c r="W319" s="20">
        <v>23759.479591836731</v>
      </c>
      <c r="Y319" s="19">
        <v>0.50649999999999995</v>
      </c>
      <c r="Z319" s="19">
        <v>0.71360000000000001</v>
      </c>
      <c r="AB319" s="18">
        <v>7047</v>
      </c>
      <c r="AC319" s="18">
        <v>4</v>
      </c>
    </row>
    <row r="320" spans="1:29" ht="15.75" customHeight="1" x14ac:dyDescent="0.2">
      <c r="A320" s="36" t="str">
        <f>HYPERLINK("https://www.csuchico.edu", "California State University-Chico")</f>
        <v>California State University-Chico</v>
      </c>
      <c r="B320" s="18" t="s">
        <v>49</v>
      </c>
      <c r="C320" s="18" t="s">
        <v>68</v>
      </c>
      <c r="D320" s="18" t="s">
        <v>605</v>
      </c>
      <c r="E320" s="18">
        <v>1088</v>
      </c>
      <c r="F320" s="18" t="s">
        <v>35</v>
      </c>
      <c r="J320" s="19"/>
      <c r="K320" s="19">
        <v>0.65529999999999999</v>
      </c>
      <c r="L320" s="19">
        <v>0.56825396799999994</v>
      </c>
      <c r="M320" s="19">
        <v>0.69289999999999996</v>
      </c>
      <c r="N320" s="19">
        <v>0.51919999999999999</v>
      </c>
      <c r="O320" s="19">
        <v>0.59670000000000001</v>
      </c>
      <c r="P320" s="19">
        <v>0.61070000000000002</v>
      </c>
      <c r="Q320" s="19"/>
      <c r="R320" s="20">
        <v>36300</v>
      </c>
      <c r="S320" s="21" t="str">
        <f>HYPERLINK("https://www2.calstate.edu/attend/paying-for-college/Pages/csu-costs.aspx", "$24006")</f>
        <v>$24006</v>
      </c>
      <c r="T320" s="20">
        <v>29213</v>
      </c>
      <c r="U320" s="20">
        <v>33323</v>
      </c>
      <c r="V320" s="20">
        <v>4360</v>
      </c>
      <c r="W320" s="20">
        <v>19646.777319587629</v>
      </c>
      <c r="Y320" s="19">
        <v>0.44929999999999998</v>
      </c>
      <c r="Z320" s="19">
        <v>0.57519999999999993</v>
      </c>
      <c r="AB320" s="18">
        <v>16546</v>
      </c>
      <c r="AC320" s="18">
        <v>4</v>
      </c>
    </row>
    <row r="321" spans="1:29" ht="15.75" customHeight="1" x14ac:dyDescent="0.2">
      <c r="A321" s="36" t="str">
        <f>HYPERLINK("https://www.csudh.edu", "California State University-Dominguez Hills")</f>
        <v>California State University-Dominguez Hills</v>
      </c>
      <c r="B321" s="18" t="s">
        <v>49</v>
      </c>
      <c r="C321" s="18" t="s">
        <v>68</v>
      </c>
      <c r="D321" s="18" t="s">
        <v>670</v>
      </c>
      <c r="E321" s="18" t="s">
        <v>36</v>
      </c>
      <c r="F321" s="18" t="s">
        <v>90</v>
      </c>
      <c r="J321" s="19"/>
      <c r="K321" s="19">
        <v>0.42909999999999998</v>
      </c>
      <c r="L321" s="19">
        <v>0.43488943499999999</v>
      </c>
      <c r="M321" s="19">
        <v>0.45450000000000002</v>
      </c>
      <c r="N321" s="19">
        <v>0.39729999999999999</v>
      </c>
      <c r="O321" s="19">
        <v>0.43669999999999998</v>
      </c>
      <c r="P321" s="19">
        <v>0.47689999999999999</v>
      </c>
      <c r="Q321" s="19"/>
      <c r="R321" s="20">
        <v>34271</v>
      </c>
      <c r="S321" s="21" t="str">
        <f>HYPERLINK("https://www2.calstate.edu/attend/paying-for-college/Pages/csu-costs.aspx", "$22538")</f>
        <v>$22538</v>
      </c>
      <c r="T321" s="20">
        <v>27481</v>
      </c>
      <c r="U321" s="20">
        <v>31277</v>
      </c>
      <c r="V321" s="20">
        <v>4150</v>
      </c>
      <c r="W321" s="20">
        <v>18388.65815602837</v>
      </c>
      <c r="Y321" s="19">
        <v>0.61939999999999995</v>
      </c>
      <c r="Z321" s="19">
        <v>0.93710000000000004</v>
      </c>
      <c r="AB321" s="18">
        <v>13258</v>
      </c>
      <c r="AC321" s="18">
        <v>5</v>
      </c>
    </row>
    <row r="322" spans="1:29" ht="15.75" customHeight="1" x14ac:dyDescent="0.2">
      <c r="A322" s="36" t="str">
        <f>HYPERLINK("https://www.csueastbay.edu", "California State University-East Bay")</f>
        <v>California State University-East Bay</v>
      </c>
      <c r="B322" s="18" t="s">
        <v>49</v>
      </c>
      <c r="C322" s="18" t="s">
        <v>68</v>
      </c>
      <c r="D322" s="18" t="s">
        <v>606</v>
      </c>
      <c r="E322" s="18" t="s">
        <v>36</v>
      </c>
      <c r="F322" s="18" t="s">
        <v>90</v>
      </c>
      <c r="J322" s="19"/>
      <c r="K322" s="19">
        <v>0.42370000000000002</v>
      </c>
      <c r="L322" s="19">
        <v>0.47098765399999998</v>
      </c>
      <c r="M322" s="19">
        <v>0.57350000000000001</v>
      </c>
      <c r="N322" s="19">
        <v>0.22900000000000001</v>
      </c>
      <c r="O322" s="19">
        <v>0.3967</v>
      </c>
      <c r="P322" s="19">
        <v>0.52790000000000004</v>
      </c>
      <c r="Q322" s="19"/>
      <c r="R322" s="20">
        <v>36990</v>
      </c>
      <c r="S322" s="21" t="str">
        <f>HYPERLINK("https://www.csueastbay.edu/financialaid/files/images/net-price-calculator/npcalc.htm", "$24294")</f>
        <v>$24294</v>
      </c>
      <c r="T322" s="20">
        <v>29899</v>
      </c>
      <c r="U322" s="20">
        <v>33945</v>
      </c>
      <c r="V322" s="20">
        <v>4092</v>
      </c>
      <c r="W322" s="20">
        <v>20202.51988217968</v>
      </c>
      <c r="Y322" s="19">
        <v>0.47099999999999997</v>
      </c>
      <c r="Z322" s="19">
        <v>0.84709999999999996</v>
      </c>
      <c r="AB322" s="18">
        <v>13433</v>
      </c>
      <c r="AC322" s="18">
        <v>4</v>
      </c>
    </row>
    <row r="323" spans="1:29" ht="15.75" customHeight="1" x14ac:dyDescent="0.2">
      <c r="A323" s="36" t="str">
        <f>HYPERLINK("https://www.fresnostate.edu/", "California State University-Fresno")</f>
        <v>California State University-Fresno</v>
      </c>
      <c r="B323" s="18" t="s">
        <v>49</v>
      </c>
      <c r="C323" s="18" t="s">
        <v>68</v>
      </c>
      <c r="D323" s="18" t="s">
        <v>673</v>
      </c>
      <c r="E323" s="18">
        <v>1004</v>
      </c>
      <c r="F323" s="18" t="s">
        <v>35</v>
      </c>
      <c r="J323" s="19"/>
      <c r="K323" s="19">
        <v>0.55600000000000005</v>
      </c>
      <c r="L323" s="19">
        <v>0.53522665200000008</v>
      </c>
      <c r="M323" s="19">
        <v>0.65949999999999998</v>
      </c>
      <c r="N323" s="19">
        <v>0.50780000000000003</v>
      </c>
      <c r="O323" s="19">
        <v>0.52839999999999998</v>
      </c>
      <c r="P323" s="19">
        <v>0.46970000000000001</v>
      </c>
      <c r="Q323" s="19"/>
      <c r="R323" s="20">
        <v>32311</v>
      </c>
      <c r="S323" s="21" t="str">
        <f>HYPERLINK("https://fresnostate.edu/studentaffairs/financialaid/netprice/index.html", "$20018")</f>
        <v>$20018</v>
      </c>
      <c r="T323" s="20">
        <v>24042</v>
      </c>
      <c r="U323" s="20">
        <v>29031</v>
      </c>
      <c r="V323" s="20">
        <v>4142</v>
      </c>
      <c r="W323" s="20">
        <v>15876.279857397511</v>
      </c>
      <c r="Y323" s="19">
        <v>0.57399999999999995</v>
      </c>
      <c r="Z323" s="19">
        <v>0.81859999999999999</v>
      </c>
      <c r="AB323" s="18">
        <v>21877</v>
      </c>
      <c r="AC323" s="18">
        <v>5</v>
      </c>
    </row>
    <row r="324" spans="1:29" ht="15.75" customHeight="1" x14ac:dyDescent="0.2">
      <c r="A324" s="36" t="str">
        <f>HYPERLINK("https://www.fullerton.edu", "California State University-Fullerton")</f>
        <v>California State University-Fullerton</v>
      </c>
      <c r="B324" s="18" t="s">
        <v>49</v>
      </c>
      <c r="C324" s="18" t="s">
        <v>68</v>
      </c>
      <c r="D324" s="18" t="s">
        <v>607</v>
      </c>
      <c r="E324" s="18">
        <v>1096</v>
      </c>
      <c r="F324" s="18" t="s">
        <v>35</v>
      </c>
      <c r="J324" s="19"/>
      <c r="K324" s="19">
        <v>0.66239999999999999</v>
      </c>
      <c r="L324" s="19">
        <v>0.58623087600000001</v>
      </c>
      <c r="M324" s="19">
        <v>0.70169999999999999</v>
      </c>
      <c r="N324" s="19">
        <v>0.59179999999999999</v>
      </c>
      <c r="O324" s="19">
        <v>0.62549999999999994</v>
      </c>
      <c r="P324" s="19">
        <v>0.70569999999999999</v>
      </c>
      <c r="Q324" s="19"/>
      <c r="R324" s="20">
        <v>39222</v>
      </c>
      <c r="S324" s="21" t="str">
        <f>HYPERLINK("https://www.fullerton.edu/financialaid/calculator/", "$26979")</f>
        <v>$26979</v>
      </c>
      <c r="T324" s="20">
        <v>31713</v>
      </c>
      <c r="U324" s="20">
        <v>35880</v>
      </c>
      <c r="V324" s="20">
        <v>4850</v>
      </c>
      <c r="W324" s="20">
        <v>22129.295410471881</v>
      </c>
      <c r="Y324" s="19">
        <v>0.46889999999999998</v>
      </c>
      <c r="Z324" s="19">
        <v>0.80899999999999994</v>
      </c>
      <c r="AB324" s="18">
        <v>35045</v>
      </c>
      <c r="AC324" s="18">
        <v>4</v>
      </c>
    </row>
    <row r="325" spans="1:29" ht="15.75" customHeight="1" x14ac:dyDescent="0.2">
      <c r="A325" s="36" t="str">
        <f>HYPERLINK("https://www.csulb.edu", "California State University-Long Beach")</f>
        <v>California State University-Long Beach</v>
      </c>
      <c r="B325" s="18" t="s">
        <v>49</v>
      </c>
      <c r="C325" s="18" t="s">
        <v>68</v>
      </c>
      <c r="D325" s="18" t="s">
        <v>608</v>
      </c>
      <c r="E325" s="18">
        <v>1130</v>
      </c>
      <c r="F325" s="18" t="s">
        <v>35</v>
      </c>
      <c r="J325" s="19"/>
      <c r="K325" s="19">
        <v>0.68740000000000001</v>
      </c>
      <c r="L325" s="19">
        <v>0.65034364299999992</v>
      </c>
      <c r="M325" s="19">
        <v>0.72660000000000002</v>
      </c>
      <c r="N325" s="19">
        <v>0.52800000000000002</v>
      </c>
      <c r="O325" s="19">
        <v>0.65690000000000004</v>
      </c>
      <c r="P325" s="19">
        <v>0.73839999999999995</v>
      </c>
      <c r="Q325" s="19"/>
      <c r="R325" s="20">
        <v>35946</v>
      </c>
      <c r="S325" s="21" t="str">
        <f>HYPERLINK("https://www2.calstate.edu/attend/paying-for-college/Pages/csu-costs.aspx", "$23960")</f>
        <v>$23960</v>
      </c>
      <c r="T325" s="20">
        <v>28420</v>
      </c>
      <c r="U325" s="20">
        <v>32847</v>
      </c>
      <c r="V325" s="20">
        <v>4852</v>
      </c>
      <c r="W325" s="20">
        <v>19108.545095457539</v>
      </c>
      <c r="Y325" s="19">
        <v>0.50800000000000001</v>
      </c>
      <c r="Z325" s="19">
        <v>0.82850000000000001</v>
      </c>
      <c r="AB325" s="18">
        <v>31402</v>
      </c>
      <c r="AC325" s="18">
        <v>4</v>
      </c>
    </row>
    <row r="326" spans="1:29" ht="15.75" customHeight="1" x14ac:dyDescent="0.2">
      <c r="A326" s="36" t="str">
        <f>HYPERLINK("https://www.calstatela.edu", "California State University-Los Angeles")</f>
        <v>California State University-Los Angeles</v>
      </c>
      <c r="B326" s="18" t="s">
        <v>49</v>
      </c>
      <c r="C326" s="18" t="s">
        <v>68</v>
      </c>
      <c r="D326" s="18" t="s">
        <v>140</v>
      </c>
      <c r="E326" s="18">
        <v>968</v>
      </c>
      <c r="F326" s="18" t="s">
        <v>35</v>
      </c>
      <c r="J326" s="19"/>
      <c r="K326" s="19">
        <v>0.4713</v>
      </c>
      <c r="L326" s="19">
        <v>0.43377063100000002</v>
      </c>
      <c r="M326" s="19">
        <v>0.56840000000000002</v>
      </c>
      <c r="N326" s="19">
        <v>0.40770000000000001</v>
      </c>
      <c r="O326" s="19">
        <v>0.44479999999999997</v>
      </c>
      <c r="P326" s="19">
        <v>0.62280000000000002</v>
      </c>
      <c r="Q326" s="19"/>
      <c r="R326" s="20">
        <v>36726</v>
      </c>
      <c r="S326" s="21" t="str">
        <f>HYPERLINK("https://www2.calstate.edu/attend/paying-for-college/Pages/csu-costs.aspx", "$25356")</f>
        <v>$25356</v>
      </c>
      <c r="T326" s="20">
        <v>29572</v>
      </c>
      <c r="U326" s="20">
        <v>33667</v>
      </c>
      <c r="V326" s="20">
        <v>4851</v>
      </c>
      <c r="W326" s="20">
        <v>20505.0027100271</v>
      </c>
      <c r="Y326" s="19">
        <v>0.66990000000000005</v>
      </c>
      <c r="Z326" s="19">
        <v>0.94020000000000004</v>
      </c>
      <c r="AB326" s="18">
        <v>24780</v>
      </c>
      <c r="AC326" s="18">
        <v>4</v>
      </c>
    </row>
    <row r="327" spans="1:29" ht="15.75" customHeight="1" x14ac:dyDescent="0.2">
      <c r="A327" s="36" t="str">
        <f>HYPERLINK("https://www.csumb.edu", "California State University-Monterey Bay")</f>
        <v>California State University-Monterey Bay</v>
      </c>
      <c r="B327" s="18" t="s">
        <v>49</v>
      </c>
      <c r="C327" s="18" t="s">
        <v>68</v>
      </c>
      <c r="D327" s="18" t="s">
        <v>675</v>
      </c>
      <c r="E327" s="18">
        <v>1068</v>
      </c>
      <c r="F327" s="18" t="s">
        <v>35</v>
      </c>
      <c r="J327" s="19"/>
      <c r="K327" s="19">
        <v>0.60160000000000002</v>
      </c>
      <c r="L327" s="19">
        <v>0.458498024</v>
      </c>
      <c r="M327" s="19">
        <v>0.62260000000000004</v>
      </c>
      <c r="N327" s="19">
        <v>0.52700000000000002</v>
      </c>
      <c r="O327" s="19">
        <v>0.60060000000000002</v>
      </c>
      <c r="P327" s="19">
        <v>0.68569999999999998</v>
      </c>
      <c r="Q327" s="19"/>
      <c r="R327" s="20">
        <v>35243</v>
      </c>
      <c r="S327" s="21" t="str">
        <f>HYPERLINK("https://www2.calstate.edu/attend/paying-for-college/Pages/csu-costs.aspx", "$22409")</f>
        <v>$22409</v>
      </c>
      <c r="T327" s="20">
        <v>27366</v>
      </c>
      <c r="U327" s="20">
        <v>31453</v>
      </c>
      <c r="V327" s="20">
        <v>3924</v>
      </c>
      <c r="W327" s="20">
        <v>18485.45454545454</v>
      </c>
      <c r="Y327" s="19">
        <v>0.49390000000000001</v>
      </c>
      <c r="Z327" s="19">
        <v>0.74259999999999993</v>
      </c>
      <c r="AB327" s="18">
        <v>6557</v>
      </c>
      <c r="AC327" s="18">
        <v>5</v>
      </c>
    </row>
    <row r="328" spans="1:29" ht="15.75" customHeight="1" x14ac:dyDescent="0.2">
      <c r="A328" s="36" t="str">
        <f>HYPERLINK("https://www.csun.edu", "California State University-Northridge")</f>
        <v>California State University-Northridge</v>
      </c>
      <c r="B328" s="18" t="s">
        <v>49</v>
      </c>
      <c r="C328" s="18" t="s">
        <v>68</v>
      </c>
      <c r="D328" s="18" t="s">
        <v>676</v>
      </c>
      <c r="E328" s="18">
        <v>1014</v>
      </c>
      <c r="F328" s="18" t="s">
        <v>35</v>
      </c>
      <c r="J328" s="19"/>
      <c r="K328" s="19">
        <v>0.51270000000000004</v>
      </c>
      <c r="L328" s="19">
        <v>0.53406067099999999</v>
      </c>
      <c r="M328" s="19">
        <v>0.65190000000000003</v>
      </c>
      <c r="N328" s="19">
        <v>0.39450000000000002</v>
      </c>
      <c r="O328" s="19">
        <v>0.46700000000000003</v>
      </c>
      <c r="P328" s="19">
        <v>0.61629999999999996</v>
      </c>
      <c r="Q328" s="19"/>
      <c r="R328" s="20">
        <v>34007</v>
      </c>
      <c r="S328" s="21" t="str">
        <f>HYPERLINK("https://www2.calstate.edu/attend/paying-for-college/Pages/csu-costs.aspx", "$21590")</f>
        <v>$21590</v>
      </c>
      <c r="T328" s="20">
        <v>26912</v>
      </c>
      <c r="U328" s="20">
        <v>31272</v>
      </c>
      <c r="V328" s="20">
        <v>4850</v>
      </c>
      <c r="W328" s="20">
        <v>16740.165296408479</v>
      </c>
      <c r="Y328" s="19">
        <v>0.54279999999999995</v>
      </c>
      <c r="Z328" s="19">
        <v>0.78949999999999998</v>
      </c>
      <c r="AB328" s="18">
        <v>35620</v>
      </c>
      <c r="AC328" s="18">
        <v>5</v>
      </c>
    </row>
    <row r="329" spans="1:29" ht="15.75" customHeight="1" x14ac:dyDescent="0.2">
      <c r="A329" s="36" t="str">
        <f>HYPERLINK("https://www.csus.edu", "California State University-Sacramento")</f>
        <v>California State University-Sacramento</v>
      </c>
      <c r="B329" s="18" t="s">
        <v>49</v>
      </c>
      <c r="C329" s="18" t="s">
        <v>68</v>
      </c>
      <c r="D329" s="18" t="s">
        <v>609</v>
      </c>
      <c r="E329" s="18">
        <v>1036</v>
      </c>
      <c r="F329" s="18" t="s">
        <v>35</v>
      </c>
      <c r="J329" s="19"/>
      <c r="K329" s="19">
        <v>0.48070000000000002</v>
      </c>
      <c r="L329" s="19">
        <v>0.49470899499999998</v>
      </c>
      <c r="M329" s="19">
        <v>0.5</v>
      </c>
      <c r="N329" s="19">
        <v>0.3679</v>
      </c>
      <c r="O329" s="19">
        <v>0.49459999999999998</v>
      </c>
      <c r="P329" s="19">
        <v>0.4647</v>
      </c>
      <c r="Q329" s="19"/>
      <c r="R329" s="20">
        <v>37622</v>
      </c>
      <c r="S329" s="21" t="str">
        <f>HYPERLINK("https://www2.calstate.edu/attend/paying-for-college/Pages/csu-costs.aspx", "$25259")</f>
        <v>$25259</v>
      </c>
      <c r="T329" s="20">
        <v>29956</v>
      </c>
      <c r="U329" s="20">
        <v>34582</v>
      </c>
      <c r="V329" s="20">
        <v>4142</v>
      </c>
      <c r="W329" s="20">
        <v>21117.277124183009</v>
      </c>
      <c r="Y329" s="19">
        <v>0.5242</v>
      </c>
      <c r="Z329" s="19">
        <v>0.73950000000000005</v>
      </c>
      <c r="AB329" s="18">
        <v>28410</v>
      </c>
      <c r="AC329" s="18">
        <v>4</v>
      </c>
    </row>
    <row r="330" spans="1:29" ht="15.75" customHeight="1" x14ac:dyDescent="0.2">
      <c r="A330" s="36" t="str">
        <f>HYPERLINK("https://www.csusb.edu", "California State University-San Bernardino")</f>
        <v>California State University-San Bernardino</v>
      </c>
      <c r="B330" s="18" t="s">
        <v>49</v>
      </c>
      <c r="C330" s="18" t="s">
        <v>68</v>
      </c>
      <c r="D330" s="18" t="s">
        <v>610</v>
      </c>
      <c r="E330" s="18">
        <v>991</v>
      </c>
      <c r="F330" s="18" t="s">
        <v>35</v>
      </c>
      <c r="J330" s="19"/>
      <c r="K330" s="19">
        <v>0.54159999999999997</v>
      </c>
      <c r="L330" s="19">
        <v>0.58034235200000006</v>
      </c>
      <c r="M330" s="19">
        <v>0.58560000000000001</v>
      </c>
      <c r="N330" s="19">
        <v>0.4768</v>
      </c>
      <c r="O330" s="19">
        <v>0.53269999999999995</v>
      </c>
      <c r="P330" s="19">
        <v>0.53990000000000005</v>
      </c>
      <c r="Q330" s="19"/>
      <c r="R330" s="20">
        <v>36127</v>
      </c>
      <c r="S330" s="21" t="str">
        <f>HYPERLINK("https://www2.calstate.edu/attend/paying-for-college/Pages/csu-costs.aspx", "$24420")</f>
        <v>$24420</v>
      </c>
      <c r="T330" s="20">
        <v>28040</v>
      </c>
      <c r="U330" s="20">
        <v>32190</v>
      </c>
      <c r="V330" s="20">
        <v>4141</v>
      </c>
      <c r="W330" s="20">
        <v>20279.189801699711</v>
      </c>
      <c r="Y330" s="19">
        <v>0.63759999999999994</v>
      </c>
      <c r="Z330" s="19">
        <v>0.87949999999999995</v>
      </c>
      <c r="AB330" s="18">
        <v>18088</v>
      </c>
      <c r="AC330" s="18">
        <v>4</v>
      </c>
    </row>
    <row r="331" spans="1:29" ht="15.75" customHeight="1" x14ac:dyDescent="0.2">
      <c r="A331" s="36" t="str">
        <f>HYPERLINK("https://www.csusm.edu", "California State University-San Marcos")</f>
        <v>California State University-San Marcos</v>
      </c>
      <c r="B331" s="18" t="s">
        <v>49</v>
      </c>
      <c r="C331" s="18" t="s">
        <v>68</v>
      </c>
      <c r="D331" s="18" t="s">
        <v>612</v>
      </c>
      <c r="E331" s="18">
        <v>1041</v>
      </c>
      <c r="F331" s="18" t="s">
        <v>35</v>
      </c>
      <c r="J331" s="19"/>
      <c r="K331" s="19">
        <v>0.53129999999999999</v>
      </c>
      <c r="L331" s="19">
        <v>0.30806608400000002</v>
      </c>
      <c r="M331" s="19">
        <v>0.55530000000000002</v>
      </c>
      <c r="N331" s="19">
        <v>0.48570000000000002</v>
      </c>
      <c r="O331" s="19">
        <v>0.51449999999999996</v>
      </c>
      <c r="P331" s="19">
        <v>0.62039999999999995</v>
      </c>
      <c r="Q331" s="19"/>
      <c r="R331" s="20">
        <v>37196</v>
      </c>
      <c r="S331" s="21" t="str">
        <f>HYPERLINK("https://www2.calstate.edu/attend/paying-for-college/Pages/csu-costs.aspx", "$25010")</f>
        <v>$25010</v>
      </c>
      <c r="T331" s="20">
        <v>30421</v>
      </c>
      <c r="U331" s="20">
        <v>34321</v>
      </c>
      <c r="V331" s="20">
        <v>4436</v>
      </c>
      <c r="W331" s="20">
        <v>20574.879120879119</v>
      </c>
      <c r="Y331" s="19">
        <v>0.4849</v>
      </c>
      <c r="Z331" s="19">
        <v>0.74009999999999998</v>
      </c>
      <c r="AB331" s="18">
        <v>14516</v>
      </c>
      <c r="AC331" s="18">
        <v>4</v>
      </c>
    </row>
    <row r="332" spans="1:29" ht="15.75" customHeight="1" x14ac:dyDescent="0.2">
      <c r="A332" s="36" t="str">
        <f>HYPERLINK("https://www.csustan.edu", "California State University-Stanislaus")</f>
        <v>California State University-Stanislaus</v>
      </c>
      <c r="B332" s="18" t="s">
        <v>49</v>
      </c>
      <c r="C332" s="18" t="s">
        <v>68</v>
      </c>
      <c r="D332" s="18" t="s">
        <v>613</v>
      </c>
      <c r="E332" s="18" t="s">
        <v>36</v>
      </c>
      <c r="F332" s="18" t="s">
        <v>90</v>
      </c>
      <c r="J332" s="19"/>
      <c r="K332" s="19">
        <v>0.52769999999999995</v>
      </c>
      <c r="L332" s="19">
        <v>0.40100882700000001</v>
      </c>
      <c r="M332" s="19">
        <v>0.53690000000000004</v>
      </c>
      <c r="N332" s="19">
        <v>0.40820000000000001</v>
      </c>
      <c r="O332" s="19">
        <v>0.53700000000000003</v>
      </c>
      <c r="P332" s="19">
        <v>0.56120000000000003</v>
      </c>
      <c r="Q332" s="19"/>
      <c r="R332" s="20">
        <v>32434</v>
      </c>
      <c r="S332" s="21" t="str">
        <f>HYPERLINK("https://www2.calstate.edu/attend/paying-for-college/Pages/csu-costs.aspx", "$20279")</f>
        <v>$20279</v>
      </c>
      <c r="T332" s="20">
        <v>25006</v>
      </c>
      <c r="U332" s="20">
        <v>29436</v>
      </c>
      <c r="V332" s="20">
        <v>3750</v>
      </c>
      <c r="W332" s="20">
        <v>16529.908948194661</v>
      </c>
      <c r="Y332" s="19">
        <v>0.60060000000000002</v>
      </c>
      <c r="Z332" s="19">
        <v>0.77929999999999999</v>
      </c>
      <c r="AB332" s="18">
        <v>9054</v>
      </c>
      <c r="AC332" s="18">
        <v>4</v>
      </c>
    </row>
    <row r="333" spans="1:29" ht="15.75" customHeight="1" x14ac:dyDescent="0.2">
      <c r="A333" s="36" t="str">
        <f>HYPERLINK("https://www.calu.edu", "California University of Pennsylvania")</f>
        <v>California University of Pennsylvania</v>
      </c>
      <c r="B333" s="18" t="s">
        <v>49</v>
      </c>
      <c r="C333" s="18" t="s">
        <v>65</v>
      </c>
      <c r="D333" s="18" t="s">
        <v>614</v>
      </c>
      <c r="E333" s="18">
        <v>1005</v>
      </c>
      <c r="F333" s="18" t="s">
        <v>35</v>
      </c>
      <c r="J333" s="19"/>
      <c r="K333" s="19">
        <v>0.51570000000000005</v>
      </c>
      <c r="L333" s="19">
        <v>0.48250728900000001</v>
      </c>
      <c r="M333" s="19">
        <v>0.53779999999999994</v>
      </c>
      <c r="N333" s="19">
        <v>0.39800000000000002</v>
      </c>
      <c r="O333" s="19">
        <v>0.5484</v>
      </c>
      <c r="P333" s="19">
        <v>1</v>
      </c>
      <c r="Q333" s="19"/>
      <c r="R333" s="20">
        <v>30842</v>
      </c>
      <c r="S333" s="21" t="str">
        <f>HYPERLINK("https://www.passhe.edu/answers/Calculator/CA/npcalc-211361.htm", "$22291")</f>
        <v>$22291</v>
      </c>
      <c r="T333" s="20">
        <v>26720</v>
      </c>
      <c r="U333" s="20">
        <v>29259</v>
      </c>
      <c r="V333" s="20">
        <v>5350</v>
      </c>
      <c r="W333" s="20">
        <v>16941.41883116883</v>
      </c>
      <c r="Y333" s="19">
        <v>0.40179999999999999</v>
      </c>
      <c r="Z333" s="19">
        <v>0.24079999999999999</v>
      </c>
      <c r="AB333" s="18">
        <v>5435</v>
      </c>
      <c r="AC333" s="18">
        <v>4</v>
      </c>
    </row>
    <row r="334" spans="1:29" ht="15.75" customHeight="1" x14ac:dyDescent="0.2">
      <c r="A334" s="36" t="str">
        <f>HYPERLINK("https://www.calvin.edu", "Calvin College")</f>
        <v>Calvin College</v>
      </c>
      <c r="B334" s="18" t="s">
        <v>32</v>
      </c>
      <c r="C334" s="18" t="s">
        <v>226</v>
      </c>
      <c r="D334" s="18" t="s">
        <v>321</v>
      </c>
      <c r="E334" s="18">
        <v>1243</v>
      </c>
      <c r="F334" s="18" t="s">
        <v>35</v>
      </c>
      <c r="J334" s="19"/>
      <c r="K334" s="19">
        <v>0.72340000000000004</v>
      </c>
      <c r="L334" s="19">
        <v>0.587837838</v>
      </c>
      <c r="M334" s="19">
        <v>0.74709999999999999</v>
      </c>
      <c r="N334" s="19">
        <v>0.59260000000000002</v>
      </c>
      <c r="O334" s="19">
        <v>0.54759999999999998</v>
      </c>
      <c r="P334" s="19">
        <v>0.64810000000000001</v>
      </c>
      <c r="Q334" s="19"/>
      <c r="R334" s="20">
        <v>46790</v>
      </c>
      <c r="S334" s="21" t="str">
        <f>HYPERLINK("https://calvin.studentaidcalculator.com/survey.aspx", "$20084")</f>
        <v>$20084</v>
      </c>
      <c r="T334" s="20">
        <v>22057</v>
      </c>
      <c r="U334" s="20">
        <v>25658</v>
      </c>
      <c r="V334" s="20">
        <v>3700</v>
      </c>
      <c r="W334" s="20">
        <v>16384</v>
      </c>
      <c r="Y334" s="19">
        <v>0.20150000000000001</v>
      </c>
      <c r="Z334" s="19">
        <v>0.2984</v>
      </c>
      <c r="AB334" s="18">
        <v>3656</v>
      </c>
      <c r="AC334" s="18">
        <v>3</v>
      </c>
    </row>
    <row r="335" spans="1:29" ht="15.75" customHeight="1" x14ac:dyDescent="0.2">
      <c r="A335" s="36" t="str">
        <f>HYPERLINK("https://www.cambridgecollege.edu", "Cambridge College")</f>
        <v>Cambridge College</v>
      </c>
      <c r="B335" s="18" t="s">
        <v>32</v>
      </c>
      <c r="C335" s="18" t="s">
        <v>33</v>
      </c>
      <c r="D335" s="18" t="s">
        <v>136</v>
      </c>
      <c r="E335" s="18" t="s">
        <v>36</v>
      </c>
      <c r="F335" s="18" t="s">
        <v>36</v>
      </c>
      <c r="J335" s="19"/>
      <c r="K335" s="19">
        <v>0.1111</v>
      </c>
      <c r="L335" s="19">
        <v>0.407239819</v>
      </c>
      <c r="M335" s="19" t="s">
        <v>36</v>
      </c>
      <c r="N335" s="19">
        <v>0</v>
      </c>
      <c r="O335" s="19">
        <v>0</v>
      </c>
      <c r="P335" s="19" t="s">
        <v>36</v>
      </c>
      <c r="Q335" s="19"/>
      <c r="R335" s="20">
        <v>27140</v>
      </c>
      <c r="S335" s="21" t="str">
        <f>HYPERLINK("https://cambridgecollege.edu/net-price-calculator/", "Not reported")</f>
        <v>Not reported</v>
      </c>
      <c r="T335" s="20">
        <v>22406</v>
      </c>
      <c r="U335" s="20" t="s">
        <v>36</v>
      </c>
      <c r="V335" s="20">
        <v>4200</v>
      </c>
      <c r="W335" s="20" t="s">
        <v>36</v>
      </c>
      <c r="Y335" s="19">
        <v>0.48120000000000002</v>
      </c>
      <c r="Z335" s="19">
        <v>0.80590000000000006</v>
      </c>
      <c r="AB335" s="18">
        <v>742</v>
      </c>
      <c r="AC335" s="18">
        <v>4</v>
      </c>
    </row>
    <row r="336" spans="1:29" ht="15.75" customHeight="1" x14ac:dyDescent="0.2">
      <c r="A336" s="36" t="str">
        <f>HYPERLINK("https://www.cambridgehealth.edu/", "Cambridge Institute of Allied Health &amp; Technology")</f>
        <v>Cambridge Institute of Allied Health &amp; Technology</v>
      </c>
      <c r="B336" s="18" t="s">
        <v>368</v>
      </c>
      <c r="C336" s="18" t="s">
        <v>162</v>
      </c>
      <c r="D336" s="18" t="s">
        <v>1069</v>
      </c>
      <c r="E336" s="18" t="s">
        <v>36</v>
      </c>
      <c r="F336" s="18" t="s">
        <v>36</v>
      </c>
      <c r="J336" s="19"/>
      <c r="K336" s="19">
        <v>0.63490000000000002</v>
      </c>
      <c r="L336" s="19">
        <v>0.55339805799999997</v>
      </c>
      <c r="M336" s="19">
        <v>0.68969999999999998</v>
      </c>
      <c r="N336" s="19">
        <v>0.56520000000000004</v>
      </c>
      <c r="O336" s="19">
        <v>0.5</v>
      </c>
      <c r="P336" s="19">
        <v>0</v>
      </c>
      <c r="Q336" s="19" t="s">
        <v>36</v>
      </c>
      <c r="R336" s="20" t="s">
        <v>36</v>
      </c>
      <c r="S336" s="21" t="str">
        <f>HYPERLINK("https://www.cambridgehealth.edu/", "$19795")</f>
        <v>$19795</v>
      </c>
      <c r="T336" s="20">
        <v>21539</v>
      </c>
      <c r="U336" s="20">
        <v>23991</v>
      </c>
      <c r="V336" s="20" t="s">
        <v>36</v>
      </c>
      <c r="W336" s="20" t="s">
        <v>36</v>
      </c>
      <c r="Y336" s="19">
        <v>0.83489999999999998</v>
      </c>
      <c r="Z336" s="19">
        <v>0.71950000000000003</v>
      </c>
      <c r="AB336" s="18">
        <v>164</v>
      </c>
      <c r="AC336" s="18">
        <v>6</v>
      </c>
    </row>
    <row r="337" spans="1:29" ht="15.75" customHeight="1" x14ac:dyDescent="0.2">
      <c r="A337" s="36" t="str">
        <f>HYPERLINK("https://www.camdencc.edu", "Camden County College")</f>
        <v>Camden County College</v>
      </c>
      <c r="B337" s="18" t="s">
        <v>49</v>
      </c>
      <c r="C337" s="18" t="s">
        <v>141</v>
      </c>
      <c r="D337" s="18" t="s">
        <v>1070</v>
      </c>
      <c r="E337" s="18" t="s">
        <v>36</v>
      </c>
      <c r="F337" s="18" t="s">
        <v>36</v>
      </c>
      <c r="J337" s="19"/>
      <c r="K337" s="19">
        <v>0.15629999999999999</v>
      </c>
      <c r="L337" s="19">
        <v>0.11942959</v>
      </c>
      <c r="M337" s="19">
        <v>0.23780000000000001</v>
      </c>
      <c r="N337" s="19">
        <v>5.8999999999999997E-2</v>
      </c>
      <c r="O337" s="19">
        <v>9.7299999999999998E-2</v>
      </c>
      <c r="P337" s="19">
        <v>0.17780000000000001</v>
      </c>
      <c r="Q337" s="19">
        <v>9.7624640999999998E-2</v>
      </c>
      <c r="R337" s="20">
        <v>16076</v>
      </c>
      <c r="S337" s="21" t="str">
        <f>HYPERLINK("https://camdencc.edu/admissions-financial-aid/financial-aid/net-price-calculator/", "$10409")</f>
        <v>$10409</v>
      </c>
      <c r="T337" s="20">
        <v>13044</v>
      </c>
      <c r="U337" s="20">
        <v>15014</v>
      </c>
      <c r="V337" s="20">
        <v>4886</v>
      </c>
      <c r="W337" s="20">
        <v>5523.7801857585146</v>
      </c>
      <c r="Y337" s="19">
        <v>0.38569999999999999</v>
      </c>
      <c r="Z337" s="19">
        <v>0.53</v>
      </c>
      <c r="AB337" s="18">
        <v>9055</v>
      </c>
      <c r="AC337" s="18">
        <v>6</v>
      </c>
    </row>
    <row r="338" spans="1:29" ht="15.75" customHeight="1" x14ac:dyDescent="0.2">
      <c r="A338" s="36" t="str">
        <f>HYPERLINK("https://www.cameron.edu", "Cameron University")</f>
        <v>Cameron University</v>
      </c>
      <c r="B338" s="18" t="s">
        <v>49</v>
      </c>
      <c r="C338" s="18" t="s">
        <v>290</v>
      </c>
      <c r="D338" s="18" t="s">
        <v>677</v>
      </c>
      <c r="E338" s="18" t="s">
        <v>36</v>
      </c>
      <c r="F338" s="18" t="s">
        <v>36</v>
      </c>
      <c r="J338" s="19"/>
      <c r="K338" s="19">
        <v>0.17949999999999999</v>
      </c>
      <c r="L338" s="19">
        <v>0.16666666699999999</v>
      </c>
      <c r="M338" s="19">
        <v>0.18</v>
      </c>
      <c r="N338" s="19">
        <v>0.11559999999999999</v>
      </c>
      <c r="O338" s="19">
        <v>0.21099999999999999</v>
      </c>
      <c r="P338" s="19">
        <v>0.3</v>
      </c>
      <c r="Q338" s="19"/>
      <c r="R338" s="20">
        <v>25221</v>
      </c>
      <c r="S338" s="21" t="str">
        <f>HYPERLINK("https://www.cameron.edu/costcalculator", "$17347")</f>
        <v>$17347</v>
      </c>
      <c r="T338" s="20">
        <v>22036</v>
      </c>
      <c r="U338" s="20">
        <v>23477</v>
      </c>
      <c r="V338" s="20">
        <v>4259</v>
      </c>
      <c r="W338" s="20">
        <v>13088.59701492537</v>
      </c>
      <c r="Y338" s="19">
        <v>0.44850000000000001</v>
      </c>
      <c r="Z338" s="19">
        <v>0.49509999999999998</v>
      </c>
      <c r="AB338" s="18">
        <v>3793</v>
      </c>
      <c r="AC338" s="18">
        <v>5</v>
      </c>
    </row>
    <row r="339" spans="1:29" ht="15.75" customHeight="1" x14ac:dyDescent="0.2">
      <c r="A339" s="36" t="str">
        <f>HYPERLINK("https://www.campbell.edu", "Campbell University")</f>
        <v>Campbell University</v>
      </c>
      <c r="B339" s="18" t="s">
        <v>32</v>
      </c>
      <c r="C339" s="18" t="s">
        <v>103</v>
      </c>
      <c r="D339" s="18" t="s">
        <v>616</v>
      </c>
      <c r="E339" s="18">
        <v>1113</v>
      </c>
      <c r="F339" s="18" t="s">
        <v>35</v>
      </c>
      <c r="J339" s="19"/>
      <c r="K339" s="19">
        <v>0.51680000000000004</v>
      </c>
      <c r="L339" s="19">
        <v>0.37956204399999999</v>
      </c>
      <c r="M339" s="19">
        <v>0.60719999999999996</v>
      </c>
      <c r="N339" s="19">
        <v>0.373</v>
      </c>
      <c r="O339" s="19">
        <v>0.3478</v>
      </c>
      <c r="P339" s="19">
        <v>0.41670000000000001</v>
      </c>
      <c r="Q339" s="19"/>
      <c r="R339" s="20">
        <v>47940</v>
      </c>
      <c r="S339" s="21" t="str">
        <f>HYPERLINK("https://www.shoppingsheet.com/shopping/landing/campbell", "$21761")</f>
        <v>$21761</v>
      </c>
      <c r="T339" s="20">
        <v>22672</v>
      </c>
      <c r="U339" s="20">
        <v>26028</v>
      </c>
      <c r="V339" s="20">
        <v>5600</v>
      </c>
      <c r="W339" s="20">
        <v>16161</v>
      </c>
      <c r="Y339" s="19">
        <v>0.37240000000000001</v>
      </c>
      <c r="Z339" s="19">
        <v>0.42420000000000002</v>
      </c>
      <c r="AB339" s="18">
        <v>4328</v>
      </c>
      <c r="AC339" s="18">
        <v>4</v>
      </c>
    </row>
    <row r="340" spans="1:29" ht="15.75" customHeight="1" x14ac:dyDescent="0.2">
      <c r="A340" s="36" t="str">
        <f>HYPERLINK("https://www.campbellsville.edu", "Campbellsville University")</f>
        <v>Campbellsville University</v>
      </c>
      <c r="B340" s="18" t="s">
        <v>32</v>
      </c>
      <c r="C340" s="18" t="s">
        <v>205</v>
      </c>
      <c r="D340" s="18" t="s">
        <v>617</v>
      </c>
      <c r="E340" s="18">
        <v>1061</v>
      </c>
      <c r="F340" s="18" t="s">
        <v>35</v>
      </c>
      <c r="J340" s="19"/>
      <c r="K340" s="19">
        <v>0.33660000000000001</v>
      </c>
      <c r="L340" s="19">
        <v>0.31304347799999999</v>
      </c>
      <c r="M340" s="19">
        <v>0.36759999999999998</v>
      </c>
      <c r="N340" s="19">
        <v>0.11899999999999999</v>
      </c>
      <c r="O340" s="19">
        <v>0.44440000000000002</v>
      </c>
      <c r="P340" s="19" t="s">
        <v>36</v>
      </c>
      <c r="Q340" s="19"/>
      <c r="R340" s="20">
        <v>40146</v>
      </c>
      <c r="S340" s="21" t="str">
        <f>HYPERLINK("https://www.campbellsville.edu/admission-and-aid/financial-aid/net-price-calculator/", "$17521")</f>
        <v>$17521</v>
      </c>
      <c r="T340" s="20">
        <v>20678</v>
      </c>
      <c r="U340" s="20">
        <v>21548</v>
      </c>
      <c r="V340" s="20">
        <v>6746</v>
      </c>
      <c r="W340" s="20">
        <v>10775</v>
      </c>
      <c r="Y340" s="19">
        <v>0.35320000000000001</v>
      </c>
      <c r="Z340" s="19">
        <v>0.28199999999999997</v>
      </c>
      <c r="AB340" s="18">
        <v>2365</v>
      </c>
      <c r="AC340" s="18">
        <v>4</v>
      </c>
    </row>
    <row r="341" spans="1:29" ht="15.75" customHeight="1" x14ac:dyDescent="0.2">
      <c r="A341" s="36" t="str">
        <f>HYPERLINK("https://canadacollege.edu", "Canada College")</f>
        <v>Canada College</v>
      </c>
      <c r="B341" s="18" t="s">
        <v>49</v>
      </c>
      <c r="C341" s="18" t="s">
        <v>68</v>
      </c>
      <c r="D341" s="18" t="s">
        <v>1072</v>
      </c>
      <c r="E341" s="18" t="s">
        <v>36</v>
      </c>
      <c r="F341" s="18" t="s">
        <v>36</v>
      </c>
      <c r="J341" s="19"/>
      <c r="K341" s="19">
        <v>0.26340000000000002</v>
      </c>
      <c r="L341" s="19">
        <v>9.2402464000000004E-2</v>
      </c>
      <c r="M341" s="19">
        <v>0.36730000000000002</v>
      </c>
      <c r="N341" s="19">
        <v>0.1429</v>
      </c>
      <c r="O341" s="19">
        <v>0.17460000000000001</v>
      </c>
      <c r="P341" s="19">
        <v>0.3125</v>
      </c>
      <c r="Q341" s="19">
        <v>0.12140575100000001</v>
      </c>
      <c r="R341" s="20">
        <v>26409</v>
      </c>
      <c r="S341" s="21" t="str">
        <f>HYPERLINK("https://misweb.cccco.edu/npc/371/npcalc.htm", "$19234")</f>
        <v>$19234</v>
      </c>
      <c r="T341" s="20">
        <v>22124</v>
      </c>
      <c r="U341" s="20">
        <v>24064</v>
      </c>
      <c r="V341" s="20">
        <v>5949</v>
      </c>
      <c r="W341" s="20">
        <v>13285.90909090909</v>
      </c>
      <c r="Y341" s="19">
        <v>0.1087</v>
      </c>
      <c r="Z341" s="19">
        <v>0.74360000000000004</v>
      </c>
      <c r="AB341" s="18">
        <v>4996</v>
      </c>
      <c r="AC341" s="18">
        <v>6</v>
      </c>
    </row>
    <row r="342" spans="1:29" ht="15.75" customHeight="1" x14ac:dyDescent="0.2">
      <c r="A342" s="36" t="str">
        <f>HYPERLINK("https://www.canisius.edu", "Canisius College")</f>
        <v>Canisius College</v>
      </c>
      <c r="B342" s="18" t="s">
        <v>32</v>
      </c>
      <c r="C342" s="18" t="s">
        <v>38</v>
      </c>
      <c r="D342" s="18" t="s">
        <v>322</v>
      </c>
      <c r="E342" s="18">
        <v>1172</v>
      </c>
      <c r="F342" s="18" t="s">
        <v>35</v>
      </c>
      <c r="G342" s="18" t="s">
        <v>40</v>
      </c>
      <c r="H342" s="18" t="s">
        <v>323</v>
      </c>
      <c r="I342" s="18" t="s">
        <v>324</v>
      </c>
      <c r="J342" s="19"/>
      <c r="K342" s="19">
        <v>0.69340000000000002</v>
      </c>
      <c r="L342" s="19">
        <v>0.53846153899999993</v>
      </c>
      <c r="M342" s="19">
        <v>0.72509999999999997</v>
      </c>
      <c r="N342" s="19">
        <v>0.625</v>
      </c>
      <c r="O342" s="19">
        <v>0.3</v>
      </c>
      <c r="P342" s="19">
        <v>0.22220000000000001</v>
      </c>
      <c r="Q342" s="19"/>
      <c r="R342" s="20">
        <v>52172</v>
      </c>
      <c r="S342" s="21" t="str">
        <f>HYPERLINK("https://canisius.studentaidcalculator.com/welcome.aspx", "$15651")</f>
        <v>$15651</v>
      </c>
      <c r="T342" s="20">
        <v>20409</v>
      </c>
      <c r="U342" s="20">
        <v>24000</v>
      </c>
      <c r="V342" s="20">
        <v>2500</v>
      </c>
      <c r="W342" s="20">
        <v>13151</v>
      </c>
      <c r="Y342" s="19">
        <v>0.30980000000000002</v>
      </c>
      <c r="Z342" s="19">
        <v>0.2651</v>
      </c>
      <c r="AB342" s="18">
        <v>2324</v>
      </c>
      <c r="AC342" s="18">
        <v>3</v>
      </c>
    </row>
    <row r="343" spans="1:29" ht="15.75" customHeight="1" x14ac:dyDescent="0.2">
      <c r="A343" s="36" t="str">
        <f>HYPERLINK("https://www.littlehoop.edu", "Cankdeska Cikana Community College")</f>
        <v>Cankdeska Cikana Community College</v>
      </c>
      <c r="B343" s="18" t="s">
        <v>49</v>
      </c>
      <c r="C343" s="18" t="s">
        <v>730</v>
      </c>
      <c r="D343" s="18" t="s">
        <v>1073</v>
      </c>
      <c r="E343" s="18" t="s">
        <v>36</v>
      </c>
      <c r="F343" s="18" t="s">
        <v>36</v>
      </c>
      <c r="J343" s="19"/>
      <c r="K343" s="19">
        <v>0.20830000000000001</v>
      </c>
      <c r="L343" s="19" t="s">
        <v>36</v>
      </c>
      <c r="M343" s="19">
        <v>1</v>
      </c>
      <c r="N343" s="19" t="s">
        <v>36</v>
      </c>
      <c r="O343" s="19" t="s">
        <v>36</v>
      </c>
      <c r="P343" s="19" t="s">
        <v>36</v>
      </c>
      <c r="Q343" s="19" t="s">
        <v>36</v>
      </c>
      <c r="R343" s="20">
        <v>13550</v>
      </c>
      <c r="S343" s="21" t="str">
        <f>HYPERLINK("https://www.littlehoop.edu/content/images/NetPriceCalculator/npcalc.htm", "$8511")</f>
        <v>$8511</v>
      </c>
      <c r="T343" s="20" t="s">
        <v>36</v>
      </c>
      <c r="U343" s="20" t="s">
        <v>36</v>
      </c>
      <c r="V343" s="20">
        <v>4500</v>
      </c>
      <c r="W343" s="20">
        <v>4011.21052631579</v>
      </c>
      <c r="Y343" s="19">
        <v>0.72470000000000001</v>
      </c>
      <c r="Z343" s="19">
        <v>0.93330000000000002</v>
      </c>
      <c r="AB343" s="18">
        <v>225</v>
      </c>
      <c r="AC343" s="18">
        <v>6</v>
      </c>
    </row>
    <row r="344" spans="1:29" ht="15.75" customHeight="1" x14ac:dyDescent="0.2">
      <c r="A344" s="36" t="str">
        <f>HYPERLINK("https://www.capecod.edu", "Cape Cod Community College")</f>
        <v>Cape Cod Community College</v>
      </c>
      <c r="B344" s="18" t="s">
        <v>49</v>
      </c>
      <c r="C344" s="18" t="s">
        <v>33</v>
      </c>
      <c r="D344" s="18" t="s">
        <v>1076</v>
      </c>
      <c r="E344" s="18" t="s">
        <v>36</v>
      </c>
      <c r="F344" s="18" t="s">
        <v>36</v>
      </c>
      <c r="J344" s="19"/>
      <c r="K344" s="19">
        <v>0.2394</v>
      </c>
      <c r="L344" s="19">
        <v>0.202919708</v>
      </c>
      <c r="M344" s="19">
        <v>0.24249999999999999</v>
      </c>
      <c r="N344" s="19">
        <v>0.21429999999999999</v>
      </c>
      <c r="O344" s="19">
        <v>0.2</v>
      </c>
      <c r="P344" s="19">
        <v>0.42859999999999998</v>
      </c>
      <c r="Q344" s="19">
        <v>6.5481759E-2</v>
      </c>
      <c r="R344" s="20">
        <v>21444</v>
      </c>
      <c r="S344" s="21" t="str">
        <f>HYPERLINK("https://www.capecod.edu/web/finaid/net-price-calculator", "$15117")</f>
        <v>$15117</v>
      </c>
      <c r="T344" s="20">
        <v>17406</v>
      </c>
      <c r="U344" s="20">
        <v>20392</v>
      </c>
      <c r="V344" s="20">
        <v>5064</v>
      </c>
      <c r="W344" s="20">
        <v>10053.607843137261</v>
      </c>
      <c r="Y344" s="19">
        <v>0.32090000000000002</v>
      </c>
      <c r="Z344" s="19">
        <v>0.25590000000000002</v>
      </c>
      <c r="AB344" s="18">
        <v>2700</v>
      </c>
      <c r="AC344" s="18">
        <v>6</v>
      </c>
    </row>
    <row r="345" spans="1:29" ht="15.75" customHeight="1" x14ac:dyDescent="0.2">
      <c r="A345" s="36" t="str">
        <f>HYPERLINK("https://www.cfcc.edu", "Cape Fear Community College")</f>
        <v>Cape Fear Community College</v>
      </c>
      <c r="B345" s="18" t="s">
        <v>49</v>
      </c>
      <c r="C345" s="18" t="s">
        <v>103</v>
      </c>
      <c r="D345" s="18" t="s">
        <v>517</v>
      </c>
      <c r="E345" s="18" t="s">
        <v>36</v>
      </c>
      <c r="F345" s="18" t="s">
        <v>36</v>
      </c>
      <c r="J345" s="19"/>
      <c r="K345" s="19">
        <v>0.25390000000000001</v>
      </c>
      <c r="L345" s="19">
        <v>0.122174381</v>
      </c>
      <c r="M345" s="19">
        <v>0.26140000000000002</v>
      </c>
      <c r="N345" s="19">
        <v>0.18060000000000001</v>
      </c>
      <c r="O345" s="19">
        <v>0.2712</v>
      </c>
      <c r="P345" s="19">
        <v>0.57140000000000002</v>
      </c>
      <c r="Q345" s="19">
        <v>0.121484814</v>
      </c>
      <c r="R345" s="20">
        <v>22972</v>
      </c>
      <c r="S345" s="21" t="str">
        <f>HYPERLINK("https://cfcc.edu/resources/netprice/", "$17303")</f>
        <v>$17303</v>
      </c>
      <c r="T345" s="20">
        <v>18470</v>
      </c>
      <c r="U345" s="20">
        <v>21609</v>
      </c>
      <c r="V345" s="20">
        <v>7330</v>
      </c>
      <c r="W345" s="20">
        <v>9973.4902439024372</v>
      </c>
      <c r="Y345" s="19">
        <v>0.42080000000000001</v>
      </c>
      <c r="Z345" s="19">
        <v>0.26979999999999998</v>
      </c>
      <c r="AB345" s="18">
        <v>7080</v>
      </c>
      <c r="AC345" s="18">
        <v>6</v>
      </c>
    </row>
    <row r="346" spans="1:29" ht="15.75" customHeight="1" x14ac:dyDescent="0.2">
      <c r="A346" s="36" t="str">
        <f>HYPERLINK("https://www.ccc.commnet.edu", "Capital Community College")</f>
        <v>Capital Community College</v>
      </c>
      <c r="B346" s="18" t="s">
        <v>49</v>
      </c>
      <c r="C346" s="18" t="s">
        <v>94</v>
      </c>
      <c r="D346" s="18" t="s">
        <v>267</v>
      </c>
      <c r="E346" s="18" t="s">
        <v>36</v>
      </c>
      <c r="F346" s="18" t="s">
        <v>36</v>
      </c>
      <c r="J346" s="19"/>
      <c r="K346" s="19">
        <v>6.0199999999999997E-2</v>
      </c>
      <c r="L346" s="19">
        <v>0.13806706099999999</v>
      </c>
      <c r="M346" s="19">
        <v>6.9000000000000006E-2</v>
      </c>
      <c r="N346" s="19">
        <v>5.7599999999999998E-2</v>
      </c>
      <c r="O346" s="19">
        <v>6.1899999999999997E-2</v>
      </c>
      <c r="P346" s="19">
        <v>0</v>
      </c>
      <c r="Q346" s="19">
        <v>5.7183703000000002E-2</v>
      </c>
      <c r="R346" s="20">
        <v>28194</v>
      </c>
      <c r="S346" s="21" t="str">
        <f>HYPERLINK("https://www.ccc.commnet.edu/financialAid.htm", "$22483")</f>
        <v>$22483</v>
      </c>
      <c r="T346" s="20">
        <v>22379</v>
      </c>
      <c r="U346" s="20" t="s">
        <v>36</v>
      </c>
      <c r="V346" s="20">
        <v>7245</v>
      </c>
      <c r="W346" s="20">
        <v>15238.84146341463</v>
      </c>
      <c r="Y346" s="19">
        <v>0.54630000000000001</v>
      </c>
      <c r="Z346" s="19">
        <v>0.81740000000000002</v>
      </c>
      <c r="AB346" s="18">
        <v>2946</v>
      </c>
      <c r="AC346" s="18">
        <v>6</v>
      </c>
    </row>
    <row r="347" spans="1:29" ht="15.75" customHeight="1" x14ac:dyDescent="0.2">
      <c r="A347" s="36" t="str">
        <f>HYPERLINK("https://www.capital.edu", "Capital University")</f>
        <v>Capital University</v>
      </c>
      <c r="B347" s="18" t="s">
        <v>32</v>
      </c>
      <c r="C347" s="18" t="s">
        <v>75</v>
      </c>
      <c r="D347" s="18" t="s">
        <v>237</v>
      </c>
      <c r="E347" s="18">
        <v>1195</v>
      </c>
      <c r="F347" s="18" t="s">
        <v>35</v>
      </c>
      <c r="J347" s="19"/>
      <c r="K347" s="19">
        <v>0.58840000000000003</v>
      </c>
      <c r="L347" s="19">
        <v>0.50450450499999999</v>
      </c>
      <c r="M347" s="19">
        <v>0.61109999999999998</v>
      </c>
      <c r="N347" s="19">
        <v>0.54720000000000002</v>
      </c>
      <c r="O347" s="19">
        <v>0.53849999999999998</v>
      </c>
      <c r="P347" s="19">
        <v>1</v>
      </c>
      <c r="Q347" s="19"/>
      <c r="R347" s="20">
        <v>48674</v>
      </c>
      <c r="S347" s="21" t="str">
        <f>HYPERLINK("https://capital.studentaidcalculator.com/survey.aspx", "$18456")</f>
        <v>$18456</v>
      </c>
      <c r="T347" s="20">
        <v>20493</v>
      </c>
      <c r="U347" s="20">
        <v>21924</v>
      </c>
      <c r="V347" s="20">
        <v>3896</v>
      </c>
      <c r="W347" s="20">
        <v>14560</v>
      </c>
      <c r="Y347" s="19">
        <v>0.2752</v>
      </c>
      <c r="Z347" s="19">
        <v>0.25690000000000002</v>
      </c>
      <c r="AB347" s="18">
        <v>2573</v>
      </c>
      <c r="AC347" s="18">
        <v>4</v>
      </c>
    </row>
    <row r="348" spans="1:29" ht="15.75" customHeight="1" x14ac:dyDescent="0.2">
      <c r="A348" s="36" t="str">
        <f>HYPERLINK("https://www.captechu.edu", "Capitol Technology University")</f>
        <v>Capitol Technology University</v>
      </c>
      <c r="B348" s="18" t="s">
        <v>32</v>
      </c>
      <c r="C348" s="18" t="s">
        <v>124</v>
      </c>
      <c r="D348" s="18" t="s">
        <v>618</v>
      </c>
      <c r="E348" s="18">
        <v>1062</v>
      </c>
      <c r="F348" s="18" t="s">
        <v>35</v>
      </c>
      <c r="J348" s="19"/>
      <c r="K348" s="19">
        <v>0.52310000000000001</v>
      </c>
      <c r="L348" s="19">
        <v>0.43478260899999999</v>
      </c>
      <c r="M348" s="19">
        <v>0.63639999999999997</v>
      </c>
      <c r="N348" s="19">
        <v>0.4138</v>
      </c>
      <c r="O348" s="19">
        <v>0.33329999999999999</v>
      </c>
      <c r="P348" s="19">
        <v>0.8</v>
      </c>
      <c r="Q348" s="19"/>
      <c r="R348" s="20">
        <v>38216</v>
      </c>
      <c r="S348" s="21" t="str">
        <f>HYPERLINK("https://mycapitol.captechu.edu/ics/College_Offices/Financial_Aid_Office/NetPrice_Calculators.jnz", "$22076")</f>
        <v>$22076</v>
      </c>
      <c r="T348" s="20">
        <v>31601</v>
      </c>
      <c r="U348" s="20">
        <v>33191</v>
      </c>
      <c r="V348" s="20">
        <v>4500</v>
      </c>
      <c r="W348" s="20">
        <v>17576</v>
      </c>
      <c r="Y348" s="19">
        <v>0.37269999999999998</v>
      </c>
      <c r="Z348" s="19">
        <v>0.5867</v>
      </c>
      <c r="AB348" s="18">
        <v>421</v>
      </c>
      <c r="AC348" s="18">
        <v>4</v>
      </c>
    </row>
    <row r="349" spans="1:29" ht="15.75" customHeight="1" x14ac:dyDescent="0.2">
      <c r="A349" s="36" t="str">
        <f>HYPERLINK("https://www.stritch.edu", "Cardinal Stritch University")</f>
        <v>Cardinal Stritch University</v>
      </c>
      <c r="B349" s="18" t="s">
        <v>32</v>
      </c>
      <c r="C349" s="18" t="s">
        <v>196</v>
      </c>
      <c r="D349" s="18" t="s">
        <v>410</v>
      </c>
      <c r="E349" s="18">
        <v>1044</v>
      </c>
      <c r="F349" s="18" t="s">
        <v>35</v>
      </c>
      <c r="J349" s="19"/>
      <c r="K349" s="19">
        <v>0.44529999999999997</v>
      </c>
      <c r="L349" s="19">
        <v>0.32390745500000001</v>
      </c>
      <c r="M349" s="19">
        <v>0.58230000000000004</v>
      </c>
      <c r="N349" s="19">
        <v>7.1400000000000005E-2</v>
      </c>
      <c r="O349" s="19">
        <v>0.33329999999999999</v>
      </c>
      <c r="P349" s="19">
        <v>0.5</v>
      </c>
      <c r="Q349" s="19"/>
      <c r="R349" s="20">
        <v>42654</v>
      </c>
      <c r="S349" s="21" t="str">
        <f>HYPERLINK("https://www.stritch.edu/Cost-Aid/Net-Price-Calculator", "$15380")</f>
        <v>$15380</v>
      </c>
      <c r="T349" s="20">
        <v>15972</v>
      </c>
      <c r="U349" s="20">
        <v>18334</v>
      </c>
      <c r="V349" s="20">
        <v>5692</v>
      </c>
      <c r="W349" s="20">
        <v>9688</v>
      </c>
      <c r="Y349" s="19">
        <v>0.39700000000000002</v>
      </c>
      <c r="Z349" s="19">
        <v>0.57479999999999998</v>
      </c>
      <c r="AB349" s="18">
        <v>1284</v>
      </c>
      <c r="AC349" s="18">
        <v>4</v>
      </c>
    </row>
    <row r="350" spans="1:29" ht="15.75" customHeight="1" x14ac:dyDescent="0.2">
      <c r="A350" s="36" t="str">
        <f>HYPERLINK("https://www.ccnn.edu", "Career College of Northern Nevada")</f>
        <v>Career College of Northern Nevada</v>
      </c>
      <c r="B350" s="18" t="s">
        <v>368</v>
      </c>
      <c r="C350" s="18" t="s">
        <v>476</v>
      </c>
      <c r="D350" s="18" t="s">
        <v>1078</v>
      </c>
      <c r="E350" s="18" t="s">
        <v>36</v>
      </c>
      <c r="F350" s="18" t="s">
        <v>36</v>
      </c>
      <c r="J350" s="19"/>
      <c r="K350" s="19">
        <v>0.5837</v>
      </c>
      <c r="L350" s="19">
        <v>0.51057401800000002</v>
      </c>
      <c r="M350" s="19">
        <v>0.57589999999999997</v>
      </c>
      <c r="N350" s="19">
        <v>0.58330000000000004</v>
      </c>
      <c r="O350" s="19">
        <v>0.63780000000000003</v>
      </c>
      <c r="P350" s="19">
        <v>0.5625</v>
      </c>
      <c r="Q350" s="19" t="s">
        <v>36</v>
      </c>
      <c r="R350" s="20" t="s">
        <v>36</v>
      </c>
      <c r="S350" s="21" t="str">
        <f>HYPERLINK("https://ccnn.edu/npc/index.html", "$16852")</f>
        <v>$16852</v>
      </c>
      <c r="T350" s="20">
        <v>19066</v>
      </c>
      <c r="U350" s="20">
        <v>19275</v>
      </c>
      <c r="V350" s="20" t="s">
        <v>36</v>
      </c>
      <c r="W350" s="20" t="s">
        <v>36</v>
      </c>
      <c r="Y350" s="19">
        <v>0.71230000000000004</v>
      </c>
      <c r="Z350" s="19">
        <v>0.44390000000000002</v>
      </c>
      <c r="AB350" s="18">
        <v>401</v>
      </c>
      <c r="AC350" s="18">
        <v>6</v>
      </c>
    </row>
    <row r="351" spans="1:29" ht="15.75" customHeight="1" x14ac:dyDescent="0.2">
      <c r="A351" s="36" t="str">
        <f>HYPERLINK("https://www.carlalbert.edu", "Carl Albert State College")</f>
        <v>Carl Albert State College</v>
      </c>
      <c r="B351" s="18" t="s">
        <v>49</v>
      </c>
      <c r="C351" s="18" t="s">
        <v>290</v>
      </c>
      <c r="D351" s="18" t="s">
        <v>1080</v>
      </c>
      <c r="E351" s="18" t="s">
        <v>36</v>
      </c>
      <c r="F351" s="18" t="s">
        <v>36</v>
      </c>
      <c r="J351" s="19"/>
      <c r="K351" s="19">
        <v>0.41639999999999999</v>
      </c>
      <c r="L351" s="19">
        <v>0.14617486299999999</v>
      </c>
      <c r="M351" s="19">
        <v>0.44359999999999999</v>
      </c>
      <c r="N351" s="19">
        <v>0.42309999999999998</v>
      </c>
      <c r="O351" s="19">
        <v>0.39579999999999999</v>
      </c>
      <c r="P351" s="19">
        <v>0.4</v>
      </c>
      <c r="Q351" s="19">
        <v>0.110395584</v>
      </c>
      <c r="R351" s="20">
        <v>15859</v>
      </c>
      <c r="S351" s="21" t="str">
        <f>HYPERLINK("https://www.carlalbert.edu/NetPrice/npcalc.htm", "$8575")</f>
        <v>$8575</v>
      </c>
      <c r="T351" s="20">
        <v>11639</v>
      </c>
      <c r="U351" s="20">
        <v>14406</v>
      </c>
      <c r="V351" s="20">
        <v>5429</v>
      </c>
      <c r="W351" s="20">
        <v>3146.4520547945208</v>
      </c>
      <c r="Y351" s="19">
        <v>0.48809999999999998</v>
      </c>
      <c r="Z351" s="19">
        <v>0.45350000000000001</v>
      </c>
      <c r="AB351" s="18">
        <v>1550</v>
      </c>
      <c r="AC351" s="18">
        <v>6</v>
      </c>
    </row>
    <row r="352" spans="1:29" ht="15.75" customHeight="1" x14ac:dyDescent="0.2">
      <c r="A352" s="36" t="str">
        <f>HYPERLINK("https://www.sandburg.edu", "Carl Sandburg College")</f>
        <v>Carl Sandburg College</v>
      </c>
      <c r="B352" s="18" t="s">
        <v>49</v>
      </c>
      <c r="C352" s="18" t="s">
        <v>137</v>
      </c>
      <c r="D352" s="18" t="s">
        <v>391</v>
      </c>
      <c r="E352" s="18" t="s">
        <v>36</v>
      </c>
      <c r="F352" s="18" t="s">
        <v>36</v>
      </c>
      <c r="J352" s="19"/>
      <c r="K352" s="19">
        <v>0.3054</v>
      </c>
      <c r="L352" s="19">
        <v>0.20035460999999999</v>
      </c>
      <c r="M352" s="19">
        <v>0.35499999999999998</v>
      </c>
      <c r="N352" s="19">
        <v>0.17860000000000001</v>
      </c>
      <c r="O352" s="19">
        <v>0.26090000000000002</v>
      </c>
      <c r="P352" s="19" t="s">
        <v>36</v>
      </c>
      <c r="Q352" s="19">
        <v>5.3817271999999999E-2</v>
      </c>
      <c r="R352" s="20">
        <v>15450</v>
      </c>
      <c r="S352" s="21" t="str">
        <f>HYPERLINK("https://www.sandburg.edu/About/Student%20Consumer%20Information/index.html", "$7190")</f>
        <v>$7190</v>
      </c>
      <c r="T352" s="20">
        <v>8969</v>
      </c>
      <c r="U352" s="20">
        <v>14152</v>
      </c>
      <c r="V352" s="20">
        <v>3396</v>
      </c>
      <c r="W352" s="20">
        <v>3794.8053691275159</v>
      </c>
      <c r="Y352" s="19">
        <v>0.48570000000000002</v>
      </c>
      <c r="Z352" s="19">
        <v>0.26279999999999998</v>
      </c>
      <c r="AB352" s="18">
        <v>1385</v>
      </c>
      <c r="AC352" s="18">
        <v>6</v>
      </c>
    </row>
    <row r="353" spans="1:29" ht="15.75" customHeight="1" x14ac:dyDescent="0.2">
      <c r="A353" s="36" t="str">
        <f>HYPERLINK("https://www.carleton.edu", "Carleton College")</f>
        <v>Carleton College</v>
      </c>
      <c r="B353" s="18" t="s">
        <v>32</v>
      </c>
      <c r="C353" s="18" t="s">
        <v>72</v>
      </c>
      <c r="D353" s="18" t="s">
        <v>73</v>
      </c>
      <c r="E353" s="18">
        <v>1469</v>
      </c>
      <c r="F353" s="18" t="s">
        <v>35</v>
      </c>
      <c r="J353" s="19"/>
      <c r="K353" s="19">
        <v>0.94189999999999996</v>
      </c>
      <c r="L353" s="19" t="s">
        <v>36</v>
      </c>
      <c r="M353" s="19">
        <v>0.95540000000000003</v>
      </c>
      <c r="N353" s="19">
        <v>1</v>
      </c>
      <c r="O353" s="19">
        <v>0.90910000000000002</v>
      </c>
      <c r="P353" s="19">
        <v>0.92310000000000003</v>
      </c>
      <c r="Q353" s="19"/>
      <c r="R353" s="20">
        <v>68835</v>
      </c>
      <c r="S353" s="21" t="str">
        <f>HYPERLINK("https://apps.carleton.edu/admissions/afford/estimator/", "$14016")</f>
        <v>$14016</v>
      </c>
      <c r="T353" s="20">
        <v>15350</v>
      </c>
      <c r="U353" s="20">
        <v>21462</v>
      </c>
      <c r="V353" s="20">
        <v>2421</v>
      </c>
      <c r="W353" s="20">
        <v>11595</v>
      </c>
      <c r="X353" s="18" t="s">
        <v>37</v>
      </c>
      <c r="Y353" s="19">
        <v>0.1444</v>
      </c>
      <c r="Z353" s="19">
        <v>0.38800000000000001</v>
      </c>
      <c r="AA353" s="18" t="s">
        <v>37</v>
      </c>
      <c r="AB353" s="18">
        <v>2023</v>
      </c>
      <c r="AC353" s="18">
        <v>1</v>
      </c>
    </row>
    <row r="354" spans="1:29" ht="15.75" customHeight="1" x14ac:dyDescent="0.2">
      <c r="A354" s="36" t="str">
        <f>HYPERLINK("https://www.carlow.edu", "Carlow University")</f>
        <v>Carlow University</v>
      </c>
      <c r="B354" s="18" t="s">
        <v>32</v>
      </c>
      <c r="C354" s="18" t="s">
        <v>65</v>
      </c>
      <c r="D354" s="18" t="s">
        <v>74</v>
      </c>
      <c r="E354" s="18">
        <v>1005</v>
      </c>
      <c r="F354" s="18" t="s">
        <v>35</v>
      </c>
      <c r="J354" s="19"/>
      <c r="K354" s="19">
        <v>0.57079999999999997</v>
      </c>
      <c r="L354" s="19">
        <v>0.40284360200000002</v>
      </c>
      <c r="M354" s="19">
        <v>0.61070000000000002</v>
      </c>
      <c r="N354" s="19">
        <v>0.43590000000000001</v>
      </c>
      <c r="O354" s="19">
        <v>0.1429</v>
      </c>
      <c r="P354" s="19">
        <v>1</v>
      </c>
      <c r="Q354" s="19"/>
      <c r="R354" s="20">
        <v>43186</v>
      </c>
      <c r="S354" s="21" t="str">
        <f>HYPERLINK("https://www.carlow.edu/Net_Price_Calculators.aspx", "$13496")</f>
        <v>$13496</v>
      </c>
      <c r="T354" s="20">
        <v>16269</v>
      </c>
      <c r="U354" s="20">
        <v>19841</v>
      </c>
      <c r="V354" s="20">
        <v>3482</v>
      </c>
      <c r="W354" s="20">
        <v>10014</v>
      </c>
      <c r="Y354" s="19">
        <v>0.48149999999999998</v>
      </c>
      <c r="Z354" s="19">
        <v>0.33009999999999989</v>
      </c>
      <c r="AB354" s="18">
        <v>1339</v>
      </c>
      <c r="AC354" s="18">
        <v>4</v>
      </c>
    </row>
    <row r="355" spans="1:29" ht="15.75" customHeight="1" x14ac:dyDescent="0.2">
      <c r="A355" s="36" t="str">
        <f>HYPERLINK("https://www.cmu.edu/", "Carnegie Mellon University")</f>
        <v>Carnegie Mellon University</v>
      </c>
      <c r="B355" s="18" t="s">
        <v>32</v>
      </c>
      <c r="C355" s="18" t="s">
        <v>65</v>
      </c>
      <c r="D355" s="18" t="s">
        <v>74</v>
      </c>
      <c r="E355" s="18">
        <v>1506</v>
      </c>
      <c r="F355" s="18" t="s">
        <v>35</v>
      </c>
      <c r="J355" s="19"/>
      <c r="K355" s="19">
        <v>0.88839999999999997</v>
      </c>
      <c r="L355" s="19">
        <v>0.82183908099999992</v>
      </c>
      <c r="M355" s="19">
        <v>0.88870000000000005</v>
      </c>
      <c r="N355" s="19">
        <v>0.84440000000000004</v>
      </c>
      <c r="O355" s="19">
        <v>0.82030000000000003</v>
      </c>
      <c r="P355" s="19">
        <v>0.9123</v>
      </c>
      <c r="Q355" s="19"/>
      <c r="R355" s="20">
        <v>70094</v>
      </c>
      <c r="S355" s="21" t="str">
        <f>HYPERLINK("https://admission.enrollment.cmu.edu/pages/financial-aid-estimator", "$14563")</f>
        <v>$14563</v>
      </c>
      <c r="T355" s="20">
        <v>18114</v>
      </c>
      <c r="U355" s="20">
        <v>26549</v>
      </c>
      <c r="V355" s="20">
        <v>2400</v>
      </c>
      <c r="W355" s="20">
        <v>12163</v>
      </c>
      <c r="Y355" s="19">
        <v>0.12189999999999999</v>
      </c>
      <c r="Z355" s="19">
        <v>0.72209999999999996</v>
      </c>
      <c r="AA355" s="18" t="s">
        <v>37</v>
      </c>
      <c r="AB355" s="18">
        <v>6434</v>
      </c>
      <c r="AC355" s="18">
        <v>1</v>
      </c>
    </row>
    <row r="356" spans="1:29" ht="15.75" customHeight="1" x14ac:dyDescent="0.2">
      <c r="A356" s="36" t="str">
        <f>HYPERLINK("https://www.carolinascollege.edu", "Carolinas College of Health Sciences")</f>
        <v>Carolinas College of Health Sciences</v>
      </c>
      <c r="B356" s="18" t="s">
        <v>49</v>
      </c>
      <c r="C356" s="18" t="s">
        <v>103</v>
      </c>
      <c r="D356" s="18" t="s">
        <v>447</v>
      </c>
      <c r="E356" s="18" t="s">
        <v>36</v>
      </c>
      <c r="F356" s="18" t="s">
        <v>90</v>
      </c>
      <c r="J356" s="19"/>
      <c r="K356" s="19">
        <v>0.5</v>
      </c>
      <c r="L356" s="19">
        <v>0.60256410299999996</v>
      </c>
      <c r="M356" s="19">
        <v>0.5</v>
      </c>
      <c r="N356" s="19" t="s">
        <v>36</v>
      </c>
      <c r="O356" s="19" t="s">
        <v>36</v>
      </c>
      <c r="P356" s="19" t="s">
        <v>36</v>
      </c>
      <c r="Q356" s="19">
        <v>0.122580645</v>
      </c>
      <c r="R356" s="20">
        <v>47938</v>
      </c>
      <c r="S356" s="21" t="str">
        <f>HYPERLINK("https://www.carolinascollege.edu/NetPrice/npcalc.htm", "Not reported")</f>
        <v>Not reported</v>
      </c>
      <c r="T356" s="20" t="s">
        <v>36</v>
      </c>
      <c r="U356" s="20" t="s">
        <v>36</v>
      </c>
      <c r="V356" s="20">
        <v>9214</v>
      </c>
      <c r="W356" s="20" t="s">
        <v>36</v>
      </c>
      <c r="Y356" s="19">
        <v>0.26329999999999998</v>
      </c>
      <c r="Z356" s="19">
        <v>0.27700000000000002</v>
      </c>
      <c r="AB356" s="18">
        <v>444</v>
      </c>
      <c r="AC356" s="18">
        <v>6</v>
      </c>
    </row>
    <row r="357" spans="1:29" ht="15.75" customHeight="1" x14ac:dyDescent="0.2">
      <c r="A357" s="36" t="str">
        <f>HYPERLINK("https://carrington.edu/", "Carrington College-Pomona")</f>
        <v>Carrington College-Pomona</v>
      </c>
      <c r="B357" s="18" t="s">
        <v>368</v>
      </c>
      <c r="C357" s="18" t="s">
        <v>68</v>
      </c>
      <c r="D357" s="18" t="s">
        <v>602</v>
      </c>
      <c r="E357" s="18" t="s">
        <v>36</v>
      </c>
      <c r="F357" s="18" t="s">
        <v>45</v>
      </c>
      <c r="J357" s="19"/>
      <c r="K357" s="19">
        <v>0.47060000000000002</v>
      </c>
      <c r="L357" s="19">
        <v>0.60978767499999997</v>
      </c>
      <c r="M357" s="19">
        <v>0.61539999999999995</v>
      </c>
      <c r="N357" s="19">
        <v>0</v>
      </c>
      <c r="O357" s="19">
        <v>0.45590000000000003</v>
      </c>
      <c r="P357" s="19" t="s">
        <v>36</v>
      </c>
      <c r="Q357" s="19">
        <v>7.7771749999999999E-3</v>
      </c>
      <c r="R357" s="20" t="s">
        <v>36</v>
      </c>
      <c r="S357" s="21" t="str">
        <f>HYPERLINK("https://carrington.edu/financial-aid/how-much-will-it-cost/", "$15997")</f>
        <v>$15997</v>
      </c>
      <c r="T357" s="20">
        <v>18820</v>
      </c>
      <c r="U357" s="20">
        <v>20423</v>
      </c>
      <c r="V357" s="20" t="s">
        <v>36</v>
      </c>
      <c r="W357" s="20" t="s">
        <v>36</v>
      </c>
      <c r="Y357" s="19">
        <v>0.62050000000000005</v>
      </c>
      <c r="Z357" s="19">
        <v>0.74239999999999995</v>
      </c>
      <c r="AB357" s="18">
        <v>229</v>
      </c>
      <c r="AC357" s="18">
        <v>6</v>
      </c>
    </row>
    <row r="358" spans="1:29" ht="15.75" customHeight="1" x14ac:dyDescent="0.2">
      <c r="A358" s="36" t="str">
        <f>HYPERLINK("https://carrington.edu/", "Carrington College-Reno")</f>
        <v>Carrington College-Reno</v>
      </c>
      <c r="B358" s="18" t="s">
        <v>368</v>
      </c>
      <c r="C358" s="18" t="s">
        <v>476</v>
      </c>
      <c r="D358" s="18" t="s">
        <v>900</v>
      </c>
      <c r="E358" s="18" t="s">
        <v>36</v>
      </c>
      <c r="F358" s="18" t="s">
        <v>45</v>
      </c>
      <c r="J358" s="19"/>
      <c r="K358" s="19">
        <v>0.67649999999999999</v>
      </c>
      <c r="L358" s="19">
        <v>0.73791348599999995</v>
      </c>
      <c r="M358" s="19">
        <v>0.64290000000000003</v>
      </c>
      <c r="N358" s="19">
        <v>0</v>
      </c>
      <c r="O358" s="19">
        <v>0.76919999999999999</v>
      </c>
      <c r="P358" s="19">
        <v>0.8</v>
      </c>
      <c r="Q358" s="19" t="s">
        <v>36</v>
      </c>
      <c r="R358" s="20" t="s">
        <v>36</v>
      </c>
      <c r="S358" s="21" t="str">
        <f>HYPERLINK("https://carrington.edu/financial-aid/how-much-will-it-cost/", "$20493")</f>
        <v>$20493</v>
      </c>
      <c r="T358" s="20" t="s">
        <v>36</v>
      </c>
      <c r="U358" s="20">
        <v>26308</v>
      </c>
      <c r="V358" s="20" t="s">
        <v>36</v>
      </c>
      <c r="W358" s="20" t="s">
        <v>36</v>
      </c>
      <c r="Y358" s="19">
        <v>0.44059999999999999</v>
      </c>
      <c r="Z358" s="19">
        <v>0.35360000000000003</v>
      </c>
      <c r="AB358" s="18">
        <v>362</v>
      </c>
      <c r="AC358" s="18">
        <v>6</v>
      </c>
    </row>
    <row r="359" spans="1:29" ht="15.75" customHeight="1" x14ac:dyDescent="0.2">
      <c r="A359" s="36" t="str">
        <f>HYPERLINK("https://www.carroll.edu", "Carroll College")</f>
        <v>Carroll College</v>
      </c>
      <c r="B359" s="18" t="s">
        <v>32</v>
      </c>
      <c r="C359" s="18" t="s">
        <v>421</v>
      </c>
      <c r="D359" s="18" t="s">
        <v>619</v>
      </c>
      <c r="E359" s="18">
        <v>1199</v>
      </c>
      <c r="F359" s="18" t="s">
        <v>35</v>
      </c>
      <c r="J359" s="19"/>
      <c r="K359" s="19">
        <v>0.71509999999999996</v>
      </c>
      <c r="L359" s="19">
        <v>0.44</v>
      </c>
      <c r="M359" s="19">
        <v>0.7258</v>
      </c>
      <c r="N359" s="19">
        <v>1</v>
      </c>
      <c r="O359" s="19">
        <v>0.77780000000000005</v>
      </c>
      <c r="P359" s="19">
        <v>0.8</v>
      </c>
      <c r="Q359" s="19"/>
      <c r="R359" s="20">
        <v>48538</v>
      </c>
      <c r="S359" s="21" t="str">
        <f>HYPERLINK("https://www.carroll.edu/finaid/", "$20669")</f>
        <v>$20669</v>
      </c>
      <c r="T359" s="20">
        <v>23896</v>
      </c>
      <c r="U359" s="20">
        <v>25334</v>
      </c>
      <c r="V359" s="20">
        <v>4450</v>
      </c>
      <c r="W359" s="20">
        <v>16219</v>
      </c>
      <c r="Y359" s="19">
        <v>0.2094</v>
      </c>
      <c r="Z359" s="19">
        <v>0.19170000000000001</v>
      </c>
      <c r="AB359" s="18">
        <v>1309</v>
      </c>
      <c r="AC359" s="18">
        <v>4</v>
      </c>
    </row>
    <row r="360" spans="1:29" ht="15.75" customHeight="1" x14ac:dyDescent="0.2">
      <c r="A360" s="36" t="str">
        <f>HYPERLINK("https://www.carrollcc.edu", "Carroll Community College")</f>
        <v>Carroll Community College</v>
      </c>
      <c r="B360" s="18" t="s">
        <v>49</v>
      </c>
      <c r="C360" s="18" t="s">
        <v>124</v>
      </c>
      <c r="D360" s="18" t="s">
        <v>414</v>
      </c>
      <c r="E360" s="18" t="s">
        <v>36</v>
      </c>
      <c r="F360" s="18" t="s">
        <v>36</v>
      </c>
      <c r="J360" s="19"/>
      <c r="K360" s="19">
        <v>0.34</v>
      </c>
      <c r="L360" s="19">
        <v>0.21951219499999999</v>
      </c>
      <c r="M360" s="19">
        <v>0.35</v>
      </c>
      <c r="N360" s="19">
        <v>0.1</v>
      </c>
      <c r="O360" s="19">
        <v>0.36359999999999998</v>
      </c>
      <c r="P360" s="19">
        <v>0.42859999999999998</v>
      </c>
      <c r="Q360" s="19">
        <v>6.7469879999999996E-2</v>
      </c>
      <c r="R360" s="20">
        <v>17912</v>
      </c>
      <c r="S360" s="21" t="str">
        <f>HYPERLINK("https://www.carrollcc.edu/extassets/NetPriceCalculator/NetPrice/npcalc.htm", "$12708")</f>
        <v>$12708</v>
      </c>
      <c r="T360" s="20">
        <v>15024</v>
      </c>
      <c r="U360" s="20">
        <v>16798</v>
      </c>
      <c r="V360" s="20">
        <v>4500</v>
      </c>
      <c r="W360" s="20">
        <v>8208.693181818182</v>
      </c>
      <c r="Y360" s="19">
        <v>0.2185</v>
      </c>
      <c r="Z360" s="19">
        <v>0.16220000000000001</v>
      </c>
      <c r="AB360" s="18">
        <v>2559</v>
      </c>
      <c r="AC360" s="18">
        <v>6</v>
      </c>
    </row>
    <row r="361" spans="1:29" ht="15.75" customHeight="1" x14ac:dyDescent="0.2">
      <c r="A361" s="36" t="str">
        <f>HYPERLINK("https://www.carrollu.edu", "Carroll University")</f>
        <v>Carroll University</v>
      </c>
      <c r="B361" s="18" t="s">
        <v>32</v>
      </c>
      <c r="C361" s="18" t="s">
        <v>196</v>
      </c>
      <c r="D361" s="18" t="s">
        <v>621</v>
      </c>
      <c r="E361" s="18">
        <v>1163</v>
      </c>
      <c r="F361" s="18" t="s">
        <v>35</v>
      </c>
      <c r="J361" s="19"/>
      <c r="K361" s="19">
        <v>0.65810000000000002</v>
      </c>
      <c r="L361" s="19">
        <v>0.41249999999999998</v>
      </c>
      <c r="M361" s="19">
        <v>0.67989999999999995</v>
      </c>
      <c r="N361" s="19">
        <v>0.42859999999999998</v>
      </c>
      <c r="O361" s="19">
        <v>0.48330000000000001</v>
      </c>
      <c r="P361" s="19">
        <v>0.5</v>
      </c>
      <c r="Q361" s="19"/>
      <c r="R361" s="20">
        <v>44150</v>
      </c>
      <c r="S361" s="21" t="str">
        <f>HYPERLINK("https://www.carrollu.edu/financial-aid/net-price-calculator", "$18590")</f>
        <v>$18590</v>
      </c>
      <c r="T361" s="20">
        <v>20753</v>
      </c>
      <c r="U361" s="20">
        <v>24277</v>
      </c>
      <c r="V361" s="20">
        <v>3512</v>
      </c>
      <c r="W361" s="20">
        <v>15078</v>
      </c>
      <c r="Y361" s="19">
        <v>0.25119999999999998</v>
      </c>
      <c r="Z361" s="19">
        <v>0.19650000000000001</v>
      </c>
      <c r="AB361" s="18">
        <v>2895</v>
      </c>
      <c r="AC361" s="18">
        <v>4</v>
      </c>
    </row>
    <row r="362" spans="1:29" ht="15.75" customHeight="1" x14ac:dyDescent="0.2">
      <c r="A362" s="36" t="str">
        <f>HYPERLINK("https://www.cn.edu", "Carson-Newman University")</f>
        <v>Carson-Newman University</v>
      </c>
      <c r="B362" s="18" t="s">
        <v>32</v>
      </c>
      <c r="C362" s="18" t="s">
        <v>174</v>
      </c>
      <c r="D362" s="18" t="s">
        <v>623</v>
      </c>
      <c r="E362" s="18">
        <v>1130</v>
      </c>
      <c r="F362" s="18" t="s">
        <v>35</v>
      </c>
      <c r="J362" s="19"/>
      <c r="K362" s="19">
        <v>0.45739999999999997</v>
      </c>
      <c r="L362" s="19">
        <v>0.35748792299999999</v>
      </c>
      <c r="M362" s="19">
        <v>0.51080000000000003</v>
      </c>
      <c r="N362" s="19">
        <v>0.18</v>
      </c>
      <c r="O362" s="19">
        <v>0</v>
      </c>
      <c r="P362" s="19">
        <v>1</v>
      </c>
      <c r="Q362" s="19"/>
      <c r="R362" s="20">
        <v>40640</v>
      </c>
      <c r="S362" s="21" t="str">
        <f>HYPERLINK("https://www.cn.edu/administration/financial-assistance/undergraduate-students/net-price-calculator-for-aid-estimates", "$14838")</f>
        <v>$14838</v>
      </c>
      <c r="T362" s="20">
        <v>18343</v>
      </c>
      <c r="U362" s="20">
        <v>22266</v>
      </c>
      <c r="V362" s="20">
        <v>4610</v>
      </c>
      <c r="W362" s="20">
        <v>10228</v>
      </c>
      <c r="Y362" s="19">
        <v>0.40839999999999999</v>
      </c>
      <c r="Z362" s="19">
        <v>0.22470000000000001</v>
      </c>
      <c r="AB362" s="18">
        <v>1633</v>
      </c>
      <c r="AC362" s="18">
        <v>4</v>
      </c>
    </row>
    <row r="363" spans="1:29" ht="15.75" customHeight="1" x14ac:dyDescent="0.2">
      <c r="A363" s="36" t="str">
        <f>HYPERLINK("https://www.carthage.edu", "Carthage College")</f>
        <v>Carthage College</v>
      </c>
      <c r="B363" s="18" t="s">
        <v>32</v>
      </c>
      <c r="C363" s="18" t="s">
        <v>196</v>
      </c>
      <c r="D363" s="18" t="s">
        <v>625</v>
      </c>
      <c r="E363" s="18">
        <v>1179</v>
      </c>
      <c r="F363" s="18" t="s">
        <v>115</v>
      </c>
      <c r="J363" s="19"/>
      <c r="K363" s="19">
        <v>0.59789999999999999</v>
      </c>
      <c r="L363" s="19">
        <v>0.373056995</v>
      </c>
      <c r="M363" s="19">
        <v>0.63780000000000003</v>
      </c>
      <c r="N363" s="19">
        <v>0.51719999999999999</v>
      </c>
      <c r="O363" s="19">
        <v>0.61539999999999995</v>
      </c>
      <c r="P363" s="19">
        <v>0.83330000000000004</v>
      </c>
      <c r="Q363" s="19"/>
      <c r="R363" s="20">
        <v>57250</v>
      </c>
      <c r="S363" s="21" t="str">
        <f>HYPERLINK("https://www.carthage.edu/admissions/afford/netprice.cfm", "$22814")</f>
        <v>$22814</v>
      </c>
      <c r="T363" s="20">
        <v>25909</v>
      </c>
      <c r="U363" s="20">
        <v>28246</v>
      </c>
      <c r="V363" s="20">
        <v>3700</v>
      </c>
      <c r="W363" s="20">
        <v>19114</v>
      </c>
      <c r="Y363" s="19">
        <v>0.27989999999999998</v>
      </c>
      <c r="Z363" s="19">
        <v>0.27360000000000001</v>
      </c>
      <c r="AB363" s="18">
        <v>2723</v>
      </c>
      <c r="AC363" s="18">
        <v>4</v>
      </c>
    </row>
    <row r="364" spans="1:29" ht="15.75" customHeight="1" x14ac:dyDescent="0.2">
      <c r="A364" s="36" t="str">
        <f>HYPERLINK("https://www.carver.edu", "Carver Bible College")</f>
        <v>Carver Bible College</v>
      </c>
      <c r="B364" s="18" t="s">
        <v>32</v>
      </c>
      <c r="C364" s="18" t="s">
        <v>107</v>
      </c>
      <c r="D364" s="18" t="s">
        <v>108</v>
      </c>
      <c r="E364" s="18" t="s">
        <v>36</v>
      </c>
      <c r="F364" s="18" t="s">
        <v>36</v>
      </c>
      <c r="J364" s="19"/>
      <c r="K364" s="19">
        <v>0.4375</v>
      </c>
      <c r="L364" s="19" t="s">
        <v>36</v>
      </c>
      <c r="M364" s="19" t="s">
        <v>36</v>
      </c>
      <c r="N364" s="19">
        <v>0.44440000000000002</v>
      </c>
      <c r="O364" s="19" t="s">
        <v>36</v>
      </c>
      <c r="P364" s="19">
        <v>0</v>
      </c>
      <c r="Q364" s="19" t="s">
        <v>36</v>
      </c>
      <c r="R364" s="20">
        <v>24672</v>
      </c>
      <c r="S364" s="21" t="str">
        <f>HYPERLINK("https://www.carver.edu", "$19605")</f>
        <v>$19605</v>
      </c>
      <c r="T364" s="20" t="s">
        <v>36</v>
      </c>
      <c r="U364" s="20" t="s">
        <v>36</v>
      </c>
      <c r="V364" s="20">
        <v>5291</v>
      </c>
      <c r="W364" s="20">
        <v>14314</v>
      </c>
      <c r="Y364" s="19">
        <v>0.78849999999999998</v>
      </c>
      <c r="Z364" s="19">
        <v>1</v>
      </c>
      <c r="AB364" s="18">
        <v>60</v>
      </c>
      <c r="AC364" s="18">
        <v>6</v>
      </c>
    </row>
    <row r="365" spans="1:29" ht="15.75" customHeight="1" x14ac:dyDescent="0.2">
      <c r="A365" s="36" t="str">
        <f>HYPERLINK("https://www.cascadia.edu", "Cascadia College")</f>
        <v>Cascadia College</v>
      </c>
      <c r="B365" s="18" t="s">
        <v>49</v>
      </c>
      <c r="C365" s="18" t="s">
        <v>184</v>
      </c>
      <c r="D365" s="18" t="s">
        <v>1084</v>
      </c>
      <c r="E365" s="18" t="s">
        <v>36</v>
      </c>
      <c r="F365" s="18" t="s">
        <v>36</v>
      </c>
      <c r="J365" s="19"/>
      <c r="K365" s="19">
        <v>0.28620000000000001</v>
      </c>
      <c r="L365" s="19">
        <v>0.18532818500000001</v>
      </c>
      <c r="M365" s="19">
        <v>0.31119999999999998</v>
      </c>
      <c r="N365" s="19">
        <v>0.25</v>
      </c>
      <c r="O365" s="19">
        <v>0.1</v>
      </c>
      <c r="P365" s="19">
        <v>0.2</v>
      </c>
      <c r="Q365" s="19">
        <v>0.18493150699999999</v>
      </c>
      <c r="R365" s="20">
        <v>23557</v>
      </c>
      <c r="S365" s="21" t="str">
        <f>HYPERLINK("https://tuitioncalculator.cascadia.edu/", "$16376")</f>
        <v>$16376</v>
      </c>
      <c r="T365" s="20">
        <v>20172</v>
      </c>
      <c r="U365" s="20">
        <v>23557</v>
      </c>
      <c r="V365" s="20">
        <v>4236</v>
      </c>
      <c r="W365" s="20">
        <v>12140.68181818182</v>
      </c>
      <c r="Y365" s="19">
        <v>0.1008</v>
      </c>
      <c r="Z365" s="19">
        <v>0.45960000000000001</v>
      </c>
      <c r="AB365" s="18">
        <v>2241</v>
      </c>
      <c r="AC365" s="18">
        <v>6</v>
      </c>
    </row>
    <row r="366" spans="1:29" ht="15.75" customHeight="1" x14ac:dyDescent="0.2">
      <c r="A366" s="36" t="str">
        <f>HYPERLINK("https://www.case.edu", "Case Western Reserve University")</f>
        <v>Case Western Reserve University</v>
      </c>
      <c r="B366" s="18" t="s">
        <v>32</v>
      </c>
      <c r="C366" s="18" t="s">
        <v>75</v>
      </c>
      <c r="D366" s="18" t="s">
        <v>76</v>
      </c>
      <c r="E366" s="18">
        <v>1441</v>
      </c>
      <c r="F366" s="18" t="s">
        <v>35</v>
      </c>
      <c r="J366" s="19"/>
      <c r="K366" s="19">
        <v>0.82569999999999999</v>
      </c>
      <c r="L366" s="19">
        <v>0.92485549099999997</v>
      </c>
      <c r="M366" s="19">
        <v>0.8427</v>
      </c>
      <c r="N366" s="19">
        <v>0.6452</v>
      </c>
      <c r="O366" s="19">
        <v>0.78949999999999998</v>
      </c>
      <c r="P366" s="19">
        <v>0.86209999999999998</v>
      </c>
      <c r="Q366" s="19"/>
      <c r="R366" s="20">
        <v>65384</v>
      </c>
      <c r="S366" s="21" t="str">
        <f>HYPERLINK("https://case.edu/financialaid/resources/net-price-calculator/", "$22328")</f>
        <v>$22328</v>
      </c>
      <c r="T366" s="20">
        <v>30156</v>
      </c>
      <c r="U366" s="20">
        <v>34514</v>
      </c>
      <c r="V366" s="20">
        <v>3100</v>
      </c>
      <c r="W366" s="20">
        <v>19228</v>
      </c>
      <c r="X366" s="18" t="s">
        <v>37</v>
      </c>
      <c r="Y366" s="19">
        <v>0.14099999999999999</v>
      </c>
      <c r="Z366" s="19">
        <v>0.51249999999999996</v>
      </c>
      <c r="AB366" s="18">
        <v>5020</v>
      </c>
      <c r="AC366" s="18">
        <v>1</v>
      </c>
    </row>
    <row r="367" spans="1:29" ht="15.75" customHeight="1" x14ac:dyDescent="0.2">
      <c r="A367" s="36" t="str">
        <f>HYPERLINK("https://www.caspercollege.edu", "Casper College")</f>
        <v>Casper College</v>
      </c>
      <c r="B367" s="18" t="s">
        <v>49</v>
      </c>
      <c r="C367" s="18" t="s">
        <v>1086</v>
      </c>
      <c r="D367" s="18" t="s">
        <v>1087</v>
      </c>
      <c r="E367" s="18" t="s">
        <v>36</v>
      </c>
      <c r="F367" s="18" t="s">
        <v>36</v>
      </c>
      <c r="J367" s="19"/>
      <c r="K367" s="19">
        <v>0.34749999999999998</v>
      </c>
      <c r="L367" s="19">
        <v>6.013363E-2</v>
      </c>
      <c r="M367" s="19">
        <v>0.35749999999999998</v>
      </c>
      <c r="N367" s="19">
        <v>0.33329999999999999</v>
      </c>
      <c r="O367" s="19">
        <v>0.26319999999999999</v>
      </c>
      <c r="P367" s="19">
        <v>0.5</v>
      </c>
      <c r="Q367" s="19">
        <v>0.109833972</v>
      </c>
      <c r="R367" s="20">
        <v>17840</v>
      </c>
      <c r="S367" s="21" t="str">
        <f>HYPERLINK("https://www.caspercollege.edu/sites/default/files/net-price-calculator/npcalc.htm", "$12021")</f>
        <v>$12021</v>
      </c>
      <c r="T367" s="20">
        <v>14401</v>
      </c>
      <c r="U367" s="20">
        <v>16494</v>
      </c>
      <c r="V367" s="20">
        <v>3580</v>
      </c>
      <c r="W367" s="20">
        <v>8441.5182481751835</v>
      </c>
      <c r="Y367" s="19">
        <v>0.20799999999999999</v>
      </c>
      <c r="Z367" s="19">
        <v>0.1797</v>
      </c>
      <c r="AB367" s="18">
        <v>2298</v>
      </c>
      <c r="AC367" s="18">
        <v>6</v>
      </c>
    </row>
    <row r="368" spans="1:29" ht="15.75" customHeight="1" x14ac:dyDescent="0.2">
      <c r="A368" s="36" t="str">
        <f>HYPERLINK("https://www.castleton.edu", "Castleton University")</f>
        <v>Castleton University</v>
      </c>
      <c r="B368" s="18" t="s">
        <v>49</v>
      </c>
      <c r="C368" s="18" t="s">
        <v>47</v>
      </c>
      <c r="D368" s="18" t="s">
        <v>626</v>
      </c>
      <c r="E368" s="18">
        <v>1025</v>
      </c>
      <c r="F368" s="18" t="s">
        <v>35</v>
      </c>
      <c r="J368" s="19"/>
      <c r="K368" s="19">
        <v>0.54179999999999995</v>
      </c>
      <c r="L368" s="19">
        <v>0.51633986899999995</v>
      </c>
      <c r="M368" s="19">
        <v>0.55469999999999997</v>
      </c>
      <c r="N368" s="19">
        <v>0.2</v>
      </c>
      <c r="O368" s="19">
        <v>0.5</v>
      </c>
      <c r="P368" s="19">
        <v>1</v>
      </c>
      <c r="Q368" s="19"/>
      <c r="R368" s="20">
        <v>40216</v>
      </c>
      <c r="S368" s="21" t="str">
        <f>HYPERLINK("https://castleton.studentaidcalculator.com/survey.aspx", "$30188")</f>
        <v>$30188</v>
      </c>
      <c r="T368" s="20">
        <v>34017</v>
      </c>
      <c r="U368" s="20">
        <v>36484</v>
      </c>
      <c r="V368" s="20">
        <v>2404</v>
      </c>
      <c r="W368" s="20">
        <v>27784.234042553191</v>
      </c>
      <c r="Y368" s="19">
        <v>0.3281</v>
      </c>
      <c r="Z368" s="19">
        <v>0.1525</v>
      </c>
      <c r="AB368" s="18">
        <v>1757</v>
      </c>
      <c r="AC368" s="18">
        <v>4</v>
      </c>
    </row>
    <row r="369" spans="1:29" ht="15.75" customHeight="1" x14ac:dyDescent="0.2">
      <c r="A369" s="36" t="str">
        <f>HYPERLINK("https://www.catawba.edu", "Catawba College")</f>
        <v>Catawba College</v>
      </c>
      <c r="B369" s="18" t="s">
        <v>32</v>
      </c>
      <c r="C369" s="18" t="s">
        <v>103</v>
      </c>
      <c r="D369" s="18" t="s">
        <v>469</v>
      </c>
      <c r="E369" s="18">
        <v>1030</v>
      </c>
      <c r="F369" s="18" t="s">
        <v>35</v>
      </c>
      <c r="J369" s="19"/>
      <c r="K369" s="19">
        <v>0.43319999999999997</v>
      </c>
      <c r="L369" s="19">
        <v>0.47826087</v>
      </c>
      <c r="M369" s="19">
        <v>0.47710000000000002</v>
      </c>
      <c r="N369" s="19">
        <v>0.2545</v>
      </c>
      <c r="O369" s="19">
        <v>0.35709999999999997</v>
      </c>
      <c r="P369" s="19">
        <v>0.6</v>
      </c>
      <c r="Q369" s="19"/>
      <c r="R369" s="20">
        <v>44921</v>
      </c>
      <c r="S369" s="21" t="str">
        <f>HYPERLINK("https://www.catawba.edu/calculator", "$17188")</f>
        <v>$17188</v>
      </c>
      <c r="T369" s="20">
        <v>20325</v>
      </c>
      <c r="U369" s="20">
        <v>21116</v>
      </c>
      <c r="V369" s="20">
        <v>4513</v>
      </c>
      <c r="W369" s="20">
        <v>12675</v>
      </c>
      <c r="Y369" s="19">
        <v>0.40860000000000002</v>
      </c>
      <c r="Z369" s="19">
        <v>0.34439999999999998</v>
      </c>
      <c r="AB369" s="18">
        <v>1321</v>
      </c>
      <c r="AC369" s="18">
        <v>4</v>
      </c>
    </row>
    <row r="370" spans="1:29" ht="15.75" customHeight="1" x14ac:dyDescent="0.2">
      <c r="A370" s="36" t="str">
        <f>HYPERLINK("https://www.cvcc.edu", "Catawba Valley Community College")</f>
        <v>Catawba Valley Community College</v>
      </c>
      <c r="B370" s="18" t="s">
        <v>49</v>
      </c>
      <c r="C370" s="18" t="s">
        <v>103</v>
      </c>
      <c r="D370" s="18" t="s">
        <v>908</v>
      </c>
      <c r="E370" s="18" t="s">
        <v>36</v>
      </c>
      <c r="F370" s="18" t="s">
        <v>36</v>
      </c>
      <c r="J370" s="19"/>
      <c r="K370" s="19">
        <v>0.2782</v>
      </c>
      <c r="L370" s="19">
        <v>0.20408163300000001</v>
      </c>
      <c r="M370" s="19">
        <v>0.2913</v>
      </c>
      <c r="N370" s="19">
        <v>0.15379999999999999</v>
      </c>
      <c r="O370" s="19">
        <v>0.25640000000000002</v>
      </c>
      <c r="P370" s="19">
        <v>0.39019999999999999</v>
      </c>
      <c r="Q370" s="19">
        <v>5.9653624000000002E-2</v>
      </c>
      <c r="R370" s="20">
        <v>27878</v>
      </c>
      <c r="S370" s="21" t="str">
        <f>HYPERLINK("https://www.cvcc.edu/Student_Services/Financial_Aid/NetPrice.cfm", "$22267")</f>
        <v>$22267</v>
      </c>
      <c r="T370" s="20">
        <v>23134</v>
      </c>
      <c r="U370" s="20">
        <v>25881</v>
      </c>
      <c r="V370" s="20">
        <v>9699</v>
      </c>
      <c r="W370" s="20">
        <v>12568.149122807021</v>
      </c>
      <c r="Y370" s="19">
        <v>0.38990000000000002</v>
      </c>
      <c r="Z370" s="19">
        <v>0.32150000000000001</v>
      </c>
      <c r="AB370" s="18">
        <v>3437</v>
      </c>
      <c r="AC370" s="18">
        <v>6</v>
      </c>
    </row>
    <row r="371" spans="1:29" ht="15.75" customHeight="1" x14ac:dyDescent="0.2">
      <c r="A371" s="36" t="str">
        <f>HYPERLINK("https://www.catholic.edu", "Catholic University of America")</f>
        <v>Catholic University of America</v>
      </c>
      <c r="B371" s="18" t="s">
        <v>32</v>
      </c>
      <c r="C371" s="18" t="s">
        <v>113</v>
      </c>
      <c r="D371" s="18" t="s">
        <v>114</v>
      </c>
      <c r="E371" s="18" t="s">
        <v>36</v>
      </c>
      <c r="F371" s="18" t="s">
        <v>45</v>
      </c>
      <c r="J371" s="19"/>
      <c r="K371" s="19">
        <v>0.73580000000000001</v>
      </c>
      <c r="L371" s="19">
        <v>0.61538461499999997</v>
      </c>
      <c r="M371" s="19">
        <v>0.75970000000000004</v>
      </c>
      <c r="N371" s="19">
        <v>0.42309999999999998</v>
      </c>
      <c r="O371" s="19">
        <v>0.59140000000000004</v>
      </c>
      <c r="P371" s="19">
        <v>0.77780000000000005</v>
      </c>
      <c r="Q371" s="19"/>
      <c r="R371" s="20">
        <v>62482</v>
      </c>
      <c r="S371" s="21" t="str">
        <f>HYPERLINK("https://admissions.cua.edu/undergrad/finaid/NetPriceCalculator/calculator.html", "$24818")</f>
        <v>$24818</v>
      </c>
      <c r="T371" s="20">
        <v>25533</v>
      </c>
      <c r="U371" s="20">
        <v>30418</v>
      </c>
      <c r="V371" s="20">
        <v>4106</v>
      </c>
      <c r="W371" s="20">
        <v>20712</v>
      </c>
      <c r="Y371" s="19">
        <v>0.1234</v>
      </c>
      <c r="Z371" s="19">
        <v>0.34739999999999999</v>
      </c>
      <c r="AB371" s="18">
        <v>3284</v>
      </c>
      <c r="AC371" s="18">
        <v>3</v>
      </c>
    </row>
    <row r="372" spans="1:29" ht="15.75" customHeight="1" x14ac:dyDescent="0.2">
      <c r="A372" s="36" t="str">
        <f>HYPERLINK("https://www.cayuga-cc.edu/", "SUNY Cayuga County Community College")</f>
        <v>SUNY Cayuga County Community College</v>
      </c>
      <c r="B372" s="18" t="s">
        <v>49</v>
      </c>
      <c r="C372" s="18" t="s">
        <v>38</v>
      </c>
      <c r="D372" s="18" t="s">
        <v>301</v>
      </c>
      <c r="E372" s="18" t="s">
        <v>36</v>
      </c>
      <c r="F372" s="18" t="s">
        <v>36</v>
      </c>
      <c r="J372" s="19"/>
      <c r="K372" s="19">
        <v>0.28670000000000001</v>
      </c>
      <c r="L372" s="19">
        <v>0.16390041499999999</v>
      </c>
      <c r="M372" s="19">
        <v>0.30170000000000002</v>
      </c>
      <c r="N372" s="19">
        <v>0.21740000000000001</v>
      </c>
      <c r="O372" s="19">
        <v>0.2727</v>
      </c>
      <c r="P372" s="19">
        <v>1</v>
      </c>
      <c r="Q372" s="19">
        <v>7.334525900000001E-2</v>
      </c>
      <c r="R372" s="20">
        <v>17219</v>
      </c>
      <c r="S372" s="21" t="str">
        <f>HYPERLINK("https://www.cayuga-cc.edu/financial-aid/resources/npc/", "$3994")</f>
        <v>$3994</v>
      </c>
      <c r="T372" s="20">
        <v>8914</v>
      </c>
      <c r="U372" s="20">
        <v>10362</v>
      </c>
      <c r="V372" s="20">
        <v>3603</v>
      </c>
      <c r="W372" s="20">
        <v>391</v>
      </c>
      <c r="Y372" s="19">
        <v>0.2979</v>
      </c>
      <c r="Z372" s="19">
        <v>0.19700000000000009</v>
      </c>
      <c r="AB372" s="18">
        <v>2157</v>
      </c>
      <c r="AC372" s="18">
        <v>6</v>
      </c>
    </row>
    <row r="373" spans="1:29" ht="15.75" customHeight="1" x14ac:dyDescent="0.2">
      <c r="A373" s="36" t="str">
        <f>HYPERLINK("https://www.cazenovia.edu", "Cazenovia College")</f>
        <v>Cazenovia College</v>
      </c>
      <c r="B373" s="18" t="s">
        <v>32</v>
      </c>
      <c r="C373" s="18" t="s">
        <v>38</v>
      </c>
      <c r="D373" s="18" t="s">
        <v>629</v>
      </c>
      <c r="E373" s="18" t="s">
        <v>36</v>
      </c>
      <c r="F373" s="18" t="s">
        <v>115</v>
      </c>
      <c r="G373" s="18" t="s">
        <v>40</v>
      </c>
      <c r="H373" s="18" t="s">
        <v>630</v>
      </c>
      <c r="I373" s="18" t="s">
        <v>631</v>
      </c>
      <c r="J373" s="19"/>
      <c r="K373" s="19">
        <v>0.54239999999999999</v>
      </c>
      <c r="L373" s="19">
        <v>0.52884615400000001</v>
      </c>
      <c r="M373" s="19">
        <v>0.59419999999999995</v>
      </c>
      <c r="N373" s="19">
        <v>0.39129999999999998</v>
      </c>
      <c r="O373" s="19">
        <v>0.28570000000000001</v>
      </c>
      <c r="P373" s="19">
        <v>0.57140000000000002</v>
      </c>
      <c r="Q373" s="19"/>
      <c r="R373" s="20">
        <v>50166</v>
      </c>
      <c r="S373" s="21" t="str">
        <f>HYPERLINK("https://www.cazenovia.edu/admissions/enrollment-services/financial-aid/true-cost-calculator", "$10796")</f>
        <v>$10796</v>
      </c>
      <c r="T373" s="20">
        <v>17918</v>
      </c>
      <c r="U373" s="20">
        <v>21099</v>
      </c>
      <c r="V373" s="20">
        <v>2300</v>
      </c>
      <c r="W373" s="20">
        <v>8496</v>
      </c>
      <c r="Y373" s="19">
        <v>0.46260000000000001</v>
      </c>
      <c r="Z373" s="19">
        <v>0.34449999999999997</v>
      </c>
      <c r="AB373" s="18">
        <v>836</v>
      </c>
      <c r="AC373" s="18">
        <v>4</v>
      </c>
    </row>
    <row r="374" spans="1:29" ht="15.75" customHeight="1" x14ac:dyDescent="0.2">
      <c r="A374" s="36" t="str">
        <f>HYPERLINK("https://www.cecil.edu", "Cecil College")</f>
        <v>Cecil College</v>
      </c>
      <c r="B374" s="18" t="s">
        <v>49</v>
      </c>
      <c r="C374" s="18" t="s">
        <v>124</v>
      </c>
      <c r="D374" s="18" t="s">
        <v>1089</v>
      </c>
      <c r="E374" s="18" t="s">
        <v>36</v>
      </c>
      <c r="F374" s="18" t="s">
        <v>36</v>
      </c>
      <c r="J374" s="19"/>
      <c r="K374" s="19">
        <v>0.20519999999999999</v>
      </c>
      <c r="L374" s="19">
        <v>0.139072848</v>
      </c>
      <c r="M374" s="19">
        <v>0.23830000000000001</v>
      </c>
      <c r="N374" s="19">
        <v>0.1176</v>
      </c>
      <c r="O374" s="19">
        <v>9.0899999999999995E-2</v>
      </c>
      <c r="P374" s="19">
        <v>0</v>
      </c>
      <c r="Q374" s="19">
        <v>7.0208728999999997E-2</v>
      </c>
      <c r="R374" s="20">
        <v>20865</v>
      </c>
      <c r="S374" s="21" t="str">
        <f>HYPERLINK("https://www.cecil.edu/Admissions-and-Aid/Financial-Aid-and-Scholarships/Documents/Cost-Calculator/npcalc.htm", "$15979")</f>
        <v>$15979</v>
      </c>
      <c r="T374" s="20">
        <v>18042</v>
      </c>
      <c r="U374" s="20">
        <v>20206</v>
      </c>
      <c r="V374" s="20">
        <v>6200</v>
      </c>
      <c r="W374" s="20">
        <v>9779.3513513513517</v>
      </c>
      <c r="Y374" s="19">
        <v>0.31090000000000001</v>
      </c>
      <c r="Z374" s="19">
        <v>0.25049999999999989</v>
      </c>
      <c r="AB374" s="18">
        <v>2112</v>
      </c>
      <c r="AC374" s="18">
        <v>6</v>
      </c>
    </row>
    <row r="375" spans="1:29" ht="15.75" customHeight="1" x14ac:dyDescent="0.2">
      <c r="A375" s="36" t="str">
        <f>HYPERLINK("https://www.cedarcrest.edu", "Cedar Crest College")</f>
        <v>Cedar Crest College</v>
      </c>
      <c r="B375" s="18" t="s">
        <v>32</v>
      </c>
      <c r="C375" s="18" t="s">
        <v>65</v>
      </c>
      <c r="D375" s="18" t="s">
        <v>232</v>
      </c>
      <c r="E375" s="18">
        <v>1069</v>
      </c>
      <c r="F375" s="18" t="s">
        <v>35</v>
      </c>
      <c r="J375" s="19"/>
      <c r="K375" s="19">
        <v>0.50429999999999997</v>
      </c>
      <c r="L375" s="19">
        <v>0.5</v>
      </c>
      <c r="M375" s="19">
        <v>0.52439999999999998</v>
      </c>
      <c r="N375" s="19">
        <v>0.55559999999999998</v>
      </c>
      <c r="O375" s="19">
        <v>0.41670000000000001</v>
      </c>
      <c r="P375" s="19">
        <v>0</v>
      </c>
      <c r="Q375" s="19"/>
      <c r="R375" s="20">
        <v>52150</v>
      </c>
      <c r="S375" s="21" t="str">
        <f>HYPERLINK("https://www.collegecostcalculator.org/cedarcrestcollege", "$17675")</f>
        <v>$17675</v>
      </c>
      <c r="T375" s="20">
        <v>20084</v>
      </c>
      <c r="U375" s="20">
        <v>22111</v>
      </c>
      <c r="V375" s="20">
        <v>2850</v>
      </c>
      <c r="W375" s="20">
        <v>14825</v>
      </c>
      <c r="Y375" s="19">
        <v>0.43070000000000003</v>
      </c>
      <c r="Z375" s="19">
        <v>0.40980000000000011</v>
      </c>
      <c r="AB375" s="18">
        <v>1413</v>
      </c>
      <c r="AC375" s="18">
        <v>4</v>
      </c>
    </row>
    <row r="376" spans="1:29" ht="15.75" customHeight="1" x14ac:dyDescent="0.2">
      <c r="A376" s="36" t="str">
        <f>HYPERLINK("https://www.cedarville.edu", "Cedarville University")</f>
        <v>Cedarville University</v>
      </c>
      <c r="B376" s="18" t="s">
        <v>32</v>
      </c>
      <c r="C376" s="18" t="s">
        <v>75</v>
      </c>
      <c r="D376" s="18" t="s">
        <v>325</v>
      </c>
      <c r="E376" s="18">
        <v>1246</v>
      </c>
      <c r="F376" s="18" t="s">
        <v>35</v>
      </c>
      <c r="J376" s="19"/>
      <c r="K376" s="19">
        <v>0.71679999999999999</v>
      </c>
      <c r="L376" s="19">
        <v>0.440860215</v>
      </c>
      <c r="M376" s="19">
        <v>0.72740000000000005</v>
      </c>
      <c r="N376" s="19">
        <v>0.6</v>
      </c>
      <c r="O376" s="19">
        <v>0.86670000000000003</v>
      </c>
      <c r="P376" s="19">
        <v>0.6875</v>
      </c>
      <c r="Q376" s="19"/>
      <c r="R376" s="20">
        <v>39194</v>
      </c>
      <c r="S376" s="21" t="str">
        <f>HYPERLINK("https://npc.collegeboard.org/app/cedarville", "$17216")</f>
        <v>$17216</v>
      </c>
      <c r="T376" s="20">
        <v>20179</v>
      </c>
      <c r="U376" s="20">
        <v>21731</v>
      </c>
      <c r="V376" s="20">
        <v>2950</v>
      </c>
      <c r="W376" s="20">
        <v>14266</v>
      </c>
      <c r="Y376" s="19">
        <v>0.2009</v>
      </c>
      <c r="Z376" s="19">
        <v>0.12609999999999999</v>
      </c>
      <c r="AB376" s="18">
        <v>3132</v>
      </c>
      <c r="AC376" s="18">
        <v>3</v>
      </c>
    </row>
    <row r="377" spans="1:29" ht="15.75" customHeight="1" x14ac:dyDescent="0.2">
      <c r="A377" s="36" t="str">
        <f>HYPERLINK("https://www.centenary.edu", "Centenary College of Louisiana")</f>
        <v>Centenary College of Louisiana</v>
      </c>
      <c r="B377" s="18" t="s">
        <v>32</v>
      </c>
      <c r="C377" s="18" t="s">
        <v>158</v>
      </c>
      <c r="D377" s="18" t="s">
        <v>633</v>
      </c>
      <c r="E377" s="18">
        <v>1193</v>
      </c>
      <c r="F377" s="18" t="s">
        <v>35</v>
      </c>
      <c r="J377" s="19"/>
      <c r="K377" s="19">
        <v>0.48330000000000001</v>
      </c>
      <c r="L377" s="19">
        <v>0.25423728800000001</v>
      </c>
      <c r="M377" s="19">
        <v>0.54320000000000002</v>
      </c>
      <c r="N377" s="19">
        <v>0.3256</v>
      </c>
      <c r="O377" s="19">
        <v>0.3</v>
      </c>
      <c r="P377" s="19">
        <v>0.5</v>
      </c>
      <c r="Q377" s="19"/>
      <c r="R377" s="20">
        <v>53000</v>
      </c>
      <c r="S377" s="21" t="str">
        <f>HYPERLINK("https://www.centenary.edu/admission/tuition-aid/net-price-calculator/", "$21843")</f>
        <v>$21843</v>
      </c>
      <c r="T377" s="20">
        <v>19367</v>
      </c>
      <c r="U377" s="20">
        <v>27139</v>
      </c>
      <c r="V377" s="20">
        <v>3950</v>
      </c>
      <c r="W377" s="20">
        <v>17893</v>
      </c>
      <c r="Y377" s="19">
        <v>0.35709999999999997</v>
      </c>
      <c r="Z377" s="19">
        <v>0.36570000000000003</v>
      </c>
      <c r="AB377" s="18">
        <v>525</v>
      </c>
      <c r="AC377" s="18">
        <v>4</v>
      </c>
    </row>
    <row r="378" spans="1:29" ht="15.75" customHeight="1" x14ac:dyDescent="0.2">
      <c r="A378" s="36" t="str">
        <f>HYPERLINK("https://www.centenaryuniversity.edu", "Centenary College")</f>
        <v>Centenary College</v>
      </c>
      <c r="B378" s="18" t="s">
        <v>32</v>
      </c>
      <c r="C378" s="18" t="s">
        <v>141</v>
      </c>
      <c r="D378" s="18" t="s">
        <v>678</v>
      </c>
      <c r="E378" s="18">
        <v>1014</v>
      </c>
      <c r="F378" s="18" t="s">
        <v>35</v>
      </c>
      <c r="J378" s="19"/>
      <c r="K378" s="19">
        <v>0.60640000000000005</v>
      </c>
      <c r="L378" s="19">
        <v>0.537878788</v>
      </c>
      <c r="M378" s="19">
        <v>0.63639999999999997</v>
      </c>
      <c r="N378" s="19">
        <v>0.45</v>
      </c>
      <c r="O378" s="19">
        <v>0.7419</v>
      </c>
      <c r="P378" s="19">
        <v>0.5</v>
      </c>
      <c r="Q378" s="19"/>
      <c r="R378" s="20">
        <v>48306</v>
      </c>
      <c r="S378" s="21" t="str">
        <f>HYPERLINK("https://npc.collegeboard.org/student/app/centenarycollege", "$12707")</f>
        <v>$12707</v>
      </c>
      <c r="T378" s="20">
        <v>19509</v>
      </c>
      <c r="U378" s="20">
        <v>26868</v>
      </c>
      <c r="V378" s="20">
        <v>4616</v>
      </c>
      <c r="W378" s="20">
        <v>8091</v>
      </c>
      <c r="Y378" s="19">
        <v>0.33789999999999998</v>
      </c>
      <c r="Z378" s="19">
        <v>0.43149999999999999</v>
      </c>
      <c r="AB378" s="18">
        <v>1351</v>
      </c>
      <c r="AC378" s="18">
        <v>5</v>
      </c>
    </row>
    <row r="379" spans="1:29" ht="15.75" customHeight="1" x14ac:dyDescent="0.2">
      <c r="A379" s="36" t="str">
        <f>HYPERLINK("https://www.centrahealth.com/CCON", "Centra College of Nursing")</f>
        <v>Centra College of Nursing</v>
      </c>
      <c r="B379" s="18" t="s">
        <v>32</v>
      </c>
      <c r="C379" s="18" t="s">
        <v>83</v>
      </c>
      <c r="D379" s="18" t="s">
        <v>449</v>
      </c>
      <c r="E379" s="18" t="s">
        <v>36</v>
      </c>
      <c r="F379" s="18" t="s">
        <v>36</v>
      </c>
      <c r="J379" s="19"/>
      <c r="K379" s="19" t="s">
        <v>36</v>
      </c>
      <c r="L379" s="19">
        <v>0.67567567599999989</v>
      </c>
      <c r="M379" s="19" t="s">
        <v>36</v>
      </c>
      <c r="N379" s="19" t="s">
        <v>36</v>
      </c>
      <c r="O379" s="19" t="s">
        <v>36</v>
      </c>
      <c r="P379" s="19" t="s">
        <v>36</v>
      </c>
      <c r="Q379" s="19" t="s">
        <v>36</v>
      </c>
      <c r="R379" s="20">
        <v>33112</v>
      </c>
      <c r="S379" s="21" t="str">
        <f>HYPERLINK("https://centracon.edu", "Not reported")</f>
        <v>Not reported</v>
      </c>
      <c r="T379" s="20" t="s">
        <v>36</v>
      </c>
      <c r="U379" s="20" t="s">
        <v>36</v>
      </c>
      <c r="V379" s="20">
        <v>9984</v>
      </c>
      <c r="W379" s="20" t="s">
        <v>36</v>
      </c>
      <c r="Y379" s="19">
        <v>0.46820000000000001</v>
      </c>
      <c r="Z379" s="19">
        <v>0.31459999999999999</v>
      </c>
      <c r="AB379" s="18">
        <v>302</v>
      </c>
      <c r="AC379" s="18">
        <v>6</v>
      </c>
    </row>
    <row r="380" spans="1:29" ht="15.75" customHeight="1" x14ac:dyDescent="0.2">
      <c r="A380" s="36" t="str">
        <f>HYPERLINK("https://www.cacc.edu", "Central Alabama Community College")</f>
        <v>Central Alabama Community College</v>
      </c>
      <c r="B380" s="18" t="s">
        <v>49</v>
      </c>
      <c r="C380" s="18" t="s">
        <v>300</v>
      </c>
      <c r="D380" s="18" t="s">
        <v>1090</v>
      </c>
      <c r="E380" s="18" t="s">
        <v>36</v>
      </c>
      <c r="F380" s="18" t="s">
        <v>36</v>
      </c>
      <c r="J380" s="19"/>
      <c r="K380" s="19">
        <v>0.27839999999999998</v>
      </c>
      <c r="L380" s="19" t="s">
        <v>36</v>
      </c>
      <c r="M380" s="19">
        <v>0.31390000000000001</v>
      </c>
      <c r="N380" s="19">
        <v>0.14710000000000001</v>
      </c>
      <c r="O380" s="19">
        <v>0.5</v>
      </c>
      <c r="P380" s="19" t="s">
        <v>36</v>
      </c>
      <c r="Q380" s="19">
        <v>9.037900900000001E-2</v>
      </c>
      <c r="R380" s="20">
        <v>17060</v>
      </c>
      <c r="S380" s="21" t="str">
        <f>HYPERLINK("https://www.cacc.edu/net-price-calculator/", "$11927")</f>
        <v>$11927</v>
      </c>
      <c r="T380" s="20">
        <v>13853</v>
      </c>
      <c r="U380" s="20">
        <v>15646</v>
      </c>
      <c r="V380" s="20">
        <v>3650</v>
      </c>
      <c r="W380" s="20">
        <v>8277.2718446601939</v>
      </c>
      <c r="Y380" s="19">
        <v>0.47920000000000001</v>
      </c>
      <c r="Z380" s="19">
        <v>0.29420000000000002</v>
      </c>
      <c r="AB380" s="18">
        <v>1404</v>
      </c>
      <c r="AC380" s="18">
        <v>6</v>
      </c>
    </row>
    <row r="381" spans="1:29" ht="15.75" customHeight="1" x14ac:dyDescent="0.2">
      <c r="A381" s="36" t="str">
        <f>HYPERLINK("https://www.cctech.edu", "Central Carolina Technical College")</f>
        <v>Central Carolina Technical College</v>
      </c>
      <c r="B381" s="18" t="s">
        <v>49</v>
      </c>
      <c r="C381" s="18" t="s">
        <v>208</v>
      </c>
      <c r="D381" s="18" t="s">
        <v>787</v>
      </c>
      <c r="E381" s="18" t="s">
        <v>36</v>
      </c>
      <c r="F381" s="18" t="s">
        <v>36</v>
      </c>
      <c r="J381" s="19"/>
      <c r="K381" s="19">
        <v>0.18659999999999999</v>
      </c>
      <c r="L381" s="19">
        <v>0.12599469499999999</v>
      </c>
      <c r="M381" s="19">
        <v>0.25119999999999998</v>
      </c>
      <c r="N381" s="19">
        <v>0.1118</v>
      </c>
      <c r="O381" s="19">
        <v>0</v>
      </c>
      <c r="P381" s="19">
        <v>0.25</v>
      </c>
      <c r="Q381" s="19">
        <v>5.0025787000000002E-2</v>
      </c>
      <c r="R381" s="20">
        <v>16962</v>
      </c>
      <c r="S381" s="21" t="str">
        <f>HYPERLINK("https://www.cctech.edu/NetPriceCalculator/npcalc.htm", "$10479")</f>
        <v>$10479</v>
      </c>
      <c r="T381" s="20">
        <v>11224</v>
      </c>
      <c r="U381" s="20">
        <v>12587</v>
      </c>
      <c r="V381" s="20">
        <v>2677</v>
      </c>
      <c r="W381" s="20">
        <v>7802.0436241610732</v>
      </c>
      <c r="Y381" s="19">
        <v>0.5907</v>
      </c>
      <c r="Z381" s="19">
        <v>0.55820000000000003</v>
      </c>
      <c r="AB381" s="18">
        <v>3078</v>
      </c>
      <c r="AC381" s="18">
        <v>6</v>
      </c>
    </row>
    <row r="382" spans="1:29" ht="15.75" customHeight="1" x14ac:dyDescent="0.2">
      <c r="A382" s="36" t="str">
        <f>HYPERLINK("https://www.centralchristian.edu", "Central Christian College of Kansas")</f>
        <v>Central Christian College of Kansas</v>
      </c>
      <c r="B382" s="18" t="s">
        <v>32</v>
      </c>
      <c r="C382" s="18" t="s">
        <v>307</v>
      </c>
      <c r="D382" s="18" t="s">
        <v>635</v>
      </c>
      <c r="E382" s="18">
        <v>1008</v>
      </c>
      <c r="F382" s="18" t="s">
        <v>35</v>
      </c>
      <c r="J382" s="19"/>
      <c r="K382" s="19">
        <v>0.2165</v>
      </c>
      <c r="L382" s="19">
        <v>0.28000000000000003</v>
      </c>
      <c r="M382" s="19">
        <v>0.42649999999999999</v>
      </c>
      <c r="N382" s="19">
        <v>0.31580000000000003</v>
      </c>
      <c r="O382" s="19">
        <v>0.30769999999999997</v>
      </c>
      <c r="P382" s="19">
        <v>1</v>
      </c>
      <c r="Q382" s="19"/>
      <c r="R382" s="20">
        <v>28030</v>
      </c>
      <c r="S382" s="21" t="str">
        <f>HYPERLINK("https://www.centralchristian.edu/_Assets/FinancialAid/net-price-calculator", "$15782")</f>
        <v>$15782</v>
      </c>
      <c r="T382" s="20">
        <v>12016</v>
      </c>
      <c r="U382" s="20">
        <v>12709</v>
      </c>
      <c r="V382" s="20" t="s">
        <v>36</v>
      </c>
      <c r="W382" s="20" t="s">
        <v>36</v>
      </c>
      <c r="Y382" s="19">
        <v>0.4788</v>
      </c>
      <c r="Z382" s="19">
        <v>0.46870000000000001</v>
      </c>
      <c r="AB382" s="18">
        <v>768</v>
      </c>
      <c r="AC382" s="18">
        <v>4</v>
      </c>
    </row>
    <row r="383" spans="1:29" ht="15.75" customHeight="1" x14ac:dyDescent="0.2">
      <c r="A383" s="36" t="str">
        <f>HYPERLINK("https://www.central.edu", "Central College")</f>
        <v>Central College</v>
      </c>
      <c r="B383" s="18" t="s">
        <v>32</v>
      </c>
      <c r="C383" s="18" t="s">
        <v>211</v>
      </c>
      <c r="D383" s="18" t="s">
        <v>326</v>
      </c>
      <c r="E383" s="18">
        <v>1161</v>
      </c>
      <c r="F383" s="18" t="s">
        <v>35</v>
      </c>
      <c r="J383" s="19"/>
      <c r="K383" s="19">
        <v>0.68930000000000002</v>
      </c>
      <c r="L383" s="19">
        <v>0.49367088599999998</v>
      </c>
      <c r="M383" s="19">
        <v>0.70669999999999999</v>
      </c>
      <c r="N383" s="19">
        <v>0.8</v>
      </c>
      <c r="O383" s="19">
        <v>0.3</v>
      </c>
      <c r="P383" s="19">
        <v>0.75</v>
      </c>
      <c r="Q383" s="19"/>
      <c r="R383" s="20">
        <v>50547</v>
      </c>
      <c r="S383" s="21" t="str">
        <f>HYPERLINK("https://www.central.edu/financial-aid/net-price-calculator/", "$16895")</f>
        <v>$16895</v>
      </c>
      <c r="T383" s="20">
        <v>18103</v>
      </c>
      <c r="U383" s="20">
        <v>25291</v>
      </c>
      <c r="V383" s="20">
        <v>4637</v>
      </c>
      <c r="W383" s="20">
        <v>12258</v>
      </c>
      <c r="Y383" s="19">
        <v>0.24840000000000001</v>
      </c>
      <c r="Z383" s="19">
        <v>0.13769999999999999</v>
      </c>
      <c r="AB383" s="18">
        <v>1198</v>
      </c>
      <c r="AC383" s="18">
        <v>3</v>
      </c>
    </row>
    <row r="384" spans="1:29" ht="15.75" customHeight="1" x14ac:dyDescent="0.2">
      <c r="A384" s="36" t="str">
        <f>HYPERLINK("https://www2.ccsu.edu/", "Central Connecticut State University")</f>
        <v>Central Connecticut State University</v>
      </c>
      <c r="B384" s="18" t="s">
        <v>49</v>
      </c>
      <c r="C384" s="18" t="s">
        <v>94</v>
      </c>
      <c r="D384" s="18" t="s">
        <v>638</v>
      </c>
      <c r="E384" s="18">
        <v>1071</v>
      </c>
      <c r="F384" s="18" t="s">
        <v>35</v>
      </c>
      <c r="J384" s="19"/>
      <c r="K384" s="19">
        <v>0.52090000000000003</v>
      </c>
      <c r="L384" s="19">
        <v>0.48281505699999999</v>
      </c>
      <c r="M384" s="19">
        <v>0.55430000000000001</v>
      </c>
      <c r="N384" s="19">
        <v>0.42859999999999998</v>
      </c>
      <c r="O384" s="19">
        <v>0.39229999999999998</v>
      </c>
      <c r="P384" s="19">
        <v>0.51429999999999998</v>
      </c>
      <c r="Q384" s="19"/>
      <c r="R384" s="20">
        <v>37904</v>
      </c>
      <c r="S384" s="21" t="str">
        <f>HYPERLINK("https://web.ccsu.edu/npcalc/", "$29243")</f>
        <v>$29243</v>
      </c>
      <c r="T384" s="20">
        <v>32137</v>
      </c>
      <c r="U384" s="20">
        <v>35246</v>
      </c>
      <c r="V384" s="20">
        <v>3174</v>
      </c>
      <c r="W384" s="20">
        <v>26069.531365313651</v>
      </c>
      <c r="Y384" s="19">
        <v>0.34399999999999997</v>
      </c>
      <c r="Z384" s="19">
        <v>0.3921</v>
      </c>
      <c r="AB384" s="18">
        <v>9317</v>
      </c>
      <c r="AC384" s="18">
        <v>4</v>
      </c>
    </row>
    <row r="385" spans="1:29" ht="15.75" customHeight="1" x14ac:dyDescent="0.2">
      <c r="A385" s="36" t="str">
        <f>HYPERLINK("https://WWW.CLCMN.EDU", "Central Lakes College-Brainerd")</f>
        <v>Central Lakes College-Brainerd</v>
      </c>
      <c r="B385" s="18" t="s">
        <v>49</v>
      </c>
      <c r="C385" s="18" t="s">
        <v>72</v>
      </c>
      <c r="D385" s="18" t="s">
        <v>1092</v>
      </c>
      <c r="E385" s="18" t="s">
        <v>36</v>
      </c>
      <c r="F385" s="18" t="s">
        <v>36</v>
      </c>
      <c r="J385" s="19"/>
      <c r="K385" s="19">
        <v>0.42599999999999999</v>
      </c>
      <c r="L385" s="19">
        <v>0.28128872399999999</v>
      </c>
      <c r="M385" s="19">
        <v>0.47220000000000001</v>
      </c>
      <c r="N385" s="19">
        <v>0.15379999999999999</v>
      </c>
      <c r="O385" s="19">
        <v>0.125</v>
      </c>
      <c r="P385" s="19">
        <v>0.33329999999999999</v>
      </c>
      <c r="Q385" s="19">
        <v>6.2322945999999997E-2</v>
      </c>
      <c r="R385" s="20">
        <v>19001</v>
      </c>
      <c r="S385" s="21" t="str">
        <f>HYPERLINK("https://www.MinnState.edu/admissions/calculator/centrallakes.html", "$12932")</f>
        <v>$12932</v>
      </c>
      <c r="T385" s="20">
        <v>14395</v>
      </c>
      <c r="U385" s="20">
        <v>17385</v>
      </c>
      <c r="V385" s="20">
        <v>7837</v>
      </c>
      <c r="W385" s="20">
        <v>5095.7590361445782</v>
      </c>
      <c r="Y385" s="19">
        <v>0.26340000000000002</v>
      </c>
      <c r="Z385" s="19">
        <v>0.15659999999999999</v>
      </c>
      <c r="AB385" s="18">
        <v>1909</v>
      </c>
      <c r="AC385" s="18">
        <v>6</v>
      </c>
    </row>
    <row r="386" spans="1:29" ht="15.75" customHeight="1" x14ac:dyDescent="0.2">
      <c r="A386" s="36" t="str">
        <f>HYPERLINK("https://www.cmcc.edu", "Central Maine Community College")</f>
        <v>Central Maine Community College</v>
      </c>
      <c r="B386" s="18" t="s">
        <v>49</v>
      </c>
      <c r="C386" s="18" t="s">
        <v>43</v>
      </c>
      <c r="D386" s="18" t="s">
        <v>301</v>
      </c>
      <c r="E386" s="18" t="s">
        <v>36</v>
      </c>
      <c r="F386" s="18" t="s">
        <v>36</v>
      </c>
      <c r="J386" s="19"/>
      <c r="K386" s="19">
        <v>0.23169999999999999</v>
      </c>
      <c r="L386" s="19">
        <v>0.29863481200000003</v>
      </c>
      <c r="M386" s="19">
        <v>0.24160000000000001</v>
      </c>
      <c r="N386" s="19">
        <v>0.1026</v>
      </c>
      <c r="O386" s="19">
        <v>0.1875</v>
      </c>
      <c r="P386" s="19">
        <v>0.4</v>
      </c>
      <c r="Q386" s="19">
        <v>6.0194175000000003E-2</v>
      </c>
      <c r="R386" s="20">
        <v>20623</v>
      </c>
      <c r="S386" s="21" t="str">
        <f>HYPERLINK("https://www.cmcc.edu/npc/npcalc.htm", "$14540")</f>
        <v>$14540</v>
      </c>
      <c r="T386" s="20">
        <v>17293</v>
      </c>
      <c r="U386" s="20">
        <v>19778</v>
      </c>
      <c r="V386" s="20">
        <v>4863</v>
      </c>
      <c r="W386" s="20">
        <v>9677.1376518218622</v>
      </c>
      <c r="Y386" s="19">
        <v>0.45639999999999997</v>
      </c>
      <c r="Z386" s="19">
        <v>0.19889999999999999</v>
      </c>
      <c r="AB386" s="18">
        <v>2272</v>
      </c>
      <c r="AC386" s="18">
        <v>6</v>
      </c>
    </row>
    <row r="387" spans="1:29" ht="15.75" customHeight="1" x14ac:dyDescent="0.2">
      <c r="A387" s="36" t="str">
        <f>HYPERLINK("https://www.cmich.edu", "Central Michigan University")</f>
        <v>Central Michigan University</v>
      </c>
      <c r="B387" s="18" t="s">
        <v>49</v>
      </c>
      <c r="C387" s="18" t="s">
        <v>226</v>
      </c>
      <c r="D387" s="18" t="s">
        <v>639</v>
      </c>
      <c r="E387" s="18">
        <v>1125</v>
      </c>
      <c r="F387" s="18" t="s">
        <v>35</v>
      </c>
      <c r="J387" s="19"/>
      <c r="K387" s="19">
        <v>0.58360000000000001</v>
      </c>
      <c r="L387" s="19">
        <v>0.47191887700000001</v>
      </c>
      <c r="M387" s="19">
        <v>0.61050000000000004</v>
      </c>
      <c r="N387" s="19">
        <v>0.38190000000000002</v>
      </c>
      <c r="O387" s="19">
        <v>0.45100000000000001</v>
      </c>
      <c r="P387" s="19">
        <v>0.60529999999999995</v>
      </c>
      <c r="Q387" s="19"/>
      <c r="R387" s="20">
        <v>35236</v>
      </c>
      <c r="S387" s="21" t="str">
        <f>HYPERLINK("https://netconnect.cmich.edu/netpricecalculator", "$23200")</f>
        <v>$23200</v>
      </c>
      <c r="T387" s="20">
        <v>25916</v>
      </c>
      <c r="U387" s="20">
        <v>29556</v>
      </c>
      <c r="V387" s="20">
        <v>1830</v>
      </c>
      <c r="W387" s="20">
        <v>21370.478260869571</v>
      </c>
      <c r="Y387" s="19">
        <v>0.33839999999999998</v>
      </c>
      <c r="Z387" s="19">
        <v>0.2228</v>
      </c>
      <c r="AB387" s="18">
        <v>17489</v>
      </c>
      <c r="AC387" s="18">
        <v>4</v>
      </c>
    </row>
    <row r="388" spans="1:29" ht="15.75" customHeight="1" x14ac:dyDescent="0.2">
      <c r="A388" s="36" t="str">
        <f>HYPERLINK("https://www.cotc.edu", "Central Ohio Technical College")</f>
        <v>Central Ohio Technical College</v>
      </c>
      <c r="B388" s="18" t="s">
        <v>49</v>
      </c>
      <c r="C388" s="18" t="s">
        <v>75</v>
      </c>
      <c r="D388" s="18" t="s">
        <v>425</v>
      </c>
      <c r="E388" s="18" t="s">
        <v>36</v>
      </c>
      <c r="F388" s="18" t="s">
        <v>36</v>
      </c>
      <c r="J388" s="19"/>
      <c r="K388" s="19">
        <v>0.1731</v>
      </c>
      <c r="L388" s="19">
        <v>0.19830246900000001</v>
      </c>
      <c r="M388" s="19">
        <v>0.1731</v>
      </c>
      <c r="N388" s="19">
        <v>0.1154</v>
      </c>
      <c r="O388" s="19">
        <v>0.125</v>
      </c>
      <c r="P388" s="19">
        <v>0.5</v>
      </c>
      <c r="Q388" s="19">
        <v>4.9648946999999999E-2</v>
      </c>
      <c r="R388" s="20">
        <v>19672</v>
      </c>
      <c r="S388" s="21" t="str">
        <f>HYPERLINK("https://coursecast.cotc.edu/websitemediafiles/NetPriceCalculator/npcalc.htm", "$14963")</f>
        <v>$14963</v>
      </c>
      <c r="T388" s="20">
        <v>17679</v>
      </c>
      <c r="U388" s="20">
        <v>19051</v>
      </c>
      <c r="V388" s="20">
        <v>5696</v>
      </c>
      <c r="W388" s="20">
        <v>9267.1470588235297</v>
      </c>
      <c r="Y388" s="19">
        <v>0.35539999999999999</v>
      </c>
      <c r="Z388" s="19">
        <v>0.25740000000000002</v>
      </c>
      <c r="AB388" s="18">
        <v>2187</v>
      </c>
      <c r="AC388" s="18">
        <v>6</v>
      </c>
    </row>
    <row r="389" spans="1:29" ht="15.75" customHeight="1" x14ac:dyDescent="0.2">
      <c r="A389" s="36" t="str">
        <f>HYPERLINK("https://www.cocc.edu", "Central Oregon Community College")</f>
        <v>Central Oregon Community College</v>
      </c>
      <c r="B389" s="18" t="s">
        <v>49</v>
      </c>
      <c r="C389" s="18" t="s">
        <v>143</v>
      </c>
      <c r="D389" s="18" t="s">
        <v>1040</v>
      </c>
      <c r="E389" s="18" t="s">
        <v>36</v>
      </c>
      <c r="F389" s="18" t="s">
        <v>36</v>
      </c>
      <c r="J389" s="19"/>
      <c r="K389" s="19">
        <v>0.19869999999999999</v>
      </c>
      <c r="L389" s="19">
        <v>0.13036565999999999</v>
      </c>
      <c r="M389" s="19">
        <v>0.19939999999999999</v>
      </c>
      <c r="N389" s="19" t="s">
        <v>36</v>
      </c>
      <c r="O389" s="19">
        <v>0.29270000000000002</v>
      </c>
      <c r="P389" s="19">
        <v>0.2</v>
      </c>
      <c r="Q389" s="19">
        <v>6.6328380000000006E-2</v>
      </c>
      <c r="R389" s="20">
        <v>25356</v>
      </c>
      <c r="S389" s="21" t="str">
        <f>HYPERLINK("https://www.cocc.edu/departments/financial-aid/net-price-calculator.aspx", "$18047")</f>
        <v>$18047</v>
      </c>
      <c r="T389" s="20">
        <v>21160</v>
      </c>
      <c r="U389" s="20">
        <v>22590</v>
      </c>
      <c r="V389" s="20">
        <v>4800</v>
      </c>
      <c r="W389" s="20">
        <v>13247.375</v>
      </c>
      <c r="Y389" s="19">
        <v>0.36580000000000001</v>
      </c>
      <c r="Z389" s="19">
        <v>0.27510000000000001</v>
      </c>
      <c r="AB389" s="18">
        <v>4813</v>
      </c>
      <c r="AC389" s="18">
        <v>6</v>
      </c>
    </row>
    <row r="390" spans="1:29" ht="15.75" customHeight="1" x14ac:dyDescent="0.2">
      <c r="A390" s="36" t="str">
        <f>HYPERLINK("https://www.centralpenn.edu", "Central Penn College")</f>
        <v>Central Penn College</v>
      </c>
      <c r="B390" s="18" t="s">
        <v>368</v>
      </c>
      <c r="C390" s="18" t="s">
        <v>65</v>
      </c>
      <c r="D390" s="18" t="s">
        <v>680</v>
      </c>
      <c r="E390" s="18" t="s">
        <v>36</v>
      </c>
      <c r="F390" s="18" t="s">
        <v>35</v>
      </c>
      <c r="J390" s="19"/>
      <c r="K390" s="19">
        <v>0.44740000000000002</v>
      </c>
      <c r="L390" s="19">
        <v>0.18226601000000001</v>
      </c>
      <c r="M390" s="19">
        <v>0.53849999999999998</v>
      </c>
      <c r="N390" s="19">
        <v>0.41460000000000002</v>
      </c>
      <c r="O390" s="19">
        <v>0.33329999999999999</v>
      </c>
      <c r="P390" s="19" t="s">
        <v>36</v>
      </c>
      <c r="Q390" s="19"/>
      <c r="R390" s="20">
        <v>27672</v>
      </c>
      <c r="S390" s="21" t="str">
        <f>HYPERLINK("https://www.centralpenn.edu/college-services/financial-aid/net-price-calculator/", "$16674")</f>
        <v>$16674</v>
      </c>
      <c r="T390" s="20">
        <v>20594</v>
      </c>
      <c r="U390" s="20">
        <v>22882</v>
      </c>
      <c r="V390" s="20">
        <v>2700</v>
      </c>
      <c r="W390" s="20">
        <v>13974</v>
      </c>
      <c r="Y390" s="19">
        <v>0.55169999999999997</v>
      </c>
      <c r="Z390" s="19">
        <v>0.38640000000000002</v>
      </c>
      <c r="AB390" s="18">
        <v>1188</v>
      </c>
      <c r="AC390" s="18">
        <v>5</v>
      </c>
    </row>
    <row r="391" spans="1:29" ht="15.75" customHeight="1" x14ac:dyDescent="0.2">
      <c r="A391" s="36" t="str">
        <f>HYPERLINK("https://www.cpcc.edu", "Central Piedmont Community College")</f>
        <v>Central Piedmont Community College</v>
      </c>
      <c r="B391" s="18" t="s">
        <v>49</v>
      </c>
      <c r="C391" s="18" t="s">
        <v>103</v>
      </c>
      <c r="D391" s="18" t="s">
        <v>447</v>
      </c>
      <c r="E391" s="18" t="s">
        <v>36</v>
      </c>
      <c r="F391" s="18" t="s">
        <v>36</v>
      </c>
      <c r="J391" s="19"/>
      <c r="K391" s="19">
        <v>0.16500000000000001</v>
      </c>
      <c r="L391" s="19">
        <v>9.4833686999999986E-2</v>
      </c>
      <c r="M391" s="19">
        <v>0.2031</v>
      </c>
      <c r="N391" s="19">
        <v>7.17E-2</v>
      </c>
      <c r="O391" s="19">
        <v>0.18099999999999999</v>
      </c>
      <c r="P391" s="19">
        <v>0.1343</v>
      </c>
      <c r="Q391" s="19">
        <v>8.5457809999999995E-2</v>
      </c>
      <c r="R391" s="20">
        <v>26624</v>
      </c>
      <c r="S391" s="21" t="str">
        <f>HYPERLINK("https://www.cpcc.edu/services/paying-for-college/cost", "$21753")</f>
        <v>$21753</v>
      </c>
      <c r="T391" s="20">
        <v>22492</v>
      </c>
      <c r="U391" s="20">
        <v>23175</v>
      </c>
      <c r="V391" s="20">
        <v>8146</v>
      </c>
      <c r="W391" s="20">
        <v>13607.633802816899</v>
      </c>
      <c r="Y391" s="19">
        <v>0.37740000000000001</v>
      </c>
      <c r="Z391" s="19">
        <v>0.58820000000000006</v>
      </c>
      <c r="AB391" s="18">
        <v>17538</v>
      </c>
      <c r="AC391" s="18">
        <v>6</v>
      </c>
    </row>
    <row r="392" spans="1:29" ht="15.75" customHeight="1" x14ac:dyDescent="0.2">
      <c r="A392" s="36" t="str">
        <f>HYPERLINK("https://www.centralstate.edu", "Central State University")</f>
        <v>Central State University</v>
      </c>
      <c r="B392" s="18" t="s">
        <v>49</v>
      </c>
      <c r="C392" s="18" t="s">
        <v>75</v>
      </c>
      <c r="D392" s="18" t="s">
        <v>641</v>
      </c>
      <c r="E392" s="18">
        <v>868</v>
      </c>
      <c r="F392" s="18" t="s">
        <v>115</v>
      </c>
      <c r="J392" s="19"/>
      <c r="K392" s="19">
        <v>0.20280000000000001</v>
      </c>
      <c r="L392" s="19">
        <v>0.218803419</v>
      </c>
      <c r="M392" s="19">
        <v>0.5</v>
      </c>
      <c r="N392" s="19">
        <v>0.20030000000000001</v>
      </c>
      <c r="O392" s="19">
        <v>0</v>
      </c>
      <c r="P392" s="19" t="s">
        <v>36</v>
      </c>
      <c r="Q392" s="19"/>
      <c r="R392" s="20">
        <v>20730</v>
      </c>
      <c r="S392" s="21" t="str">
        <f>HYPERLINK("https://www.centralstate.edu/prospects/financial_aid/Price_Calculator/npcalc.htm", "$14474")</f>
        <v>$14474</v>
      </c>
      <c r="T392" s="20">
        <v>18808</v>
      </c>
      <c r="U392" s="20">
        <v>20730</v>
      </c>
      <c r="V392" s="20">
        <v>2700</v>
      </c>
      <c r="W392" s="20">
        <v>11774.0599078341</v>
      </c>
      <c r="Y392" s="19">
        <v>0.7752</v>
      </c>
      <c r="Z392" s="19">
        <v>0.98929999999999996</v>
      </c>
      <c r="AB392" s="18">
        <v>1772</v>
      </c>
      <c r="AC392" s="18">
        <v>4</v>
      </c>
    </row>
    <row r="393" spans="1:29" ht="15.75" customHeight="1" x14ac:dyDescent="0.2">
      <c r="A393" s="36" t="str">
        <f>HYPERLINK("https://www.ctcd.edu", "Central Texas College")</f>
        <v>Central Texas College</v>
      </c>
      <c r="B393" s="18" t="s">
        <v>49</v>
      </c>
      <c r="C393" s="18" t="s">
        <v>146</v>
      </c>
      <c r="D393" s="18" t="s">
        <v>1098</v>
      </c>
      <c r="E393" s="18" t="s">
        <v>36</v>
      </c>
      <c r="F393" s="18" t="s">
        <v>36</v>
      </c>
      <c r="J393" s="19"/>
      <c r="K393" s="19">
        <v>0.161</v>
      </c>
      <c r="L393" s="19">
        <v>7.2343149999999995E-2</v>
      </c>
      <c r="M393" s="19">
        <v>0.20280000000000001</v>
      </c>
      <c r="N393" s="19">
        <v>0.12239999999999999</v>
      </c>
      <c r="O393" s="19">
        <v>0.17610000000000001</v>
      </c>
      <c r="P393" s="19">
        <v>5.8799999999999998E-2</v>
      </c>
      <c r="Q393" s="19">
        <v>0.13570236099999999</v>
      </c>
      <c r="R393" s="20">
        <v>17189</v>
      </c>
      <c r="S393" s="21" t="str">
        <f>HYPERLINK("https://www.collegeforalltexans.com/apps/CollegeMoney/", "$11540")</f>
        <v>$11540</v>
      </c>
      <c r="T393" s="20">
        <v>13401</v>
      </c>
      <c r="U393" s="20">
        <v>17166</v>
      </c>
      <c r="V393" s="20">
        <v>4539</v>
      </c>
      <c r="W393" s="20">
        <v>7001.8073394495405</v>
      </c>
      <c r="Y393" s="19">
        <v>0.3165</v>
      </c>
      <c r="Z393" s="19">
        <v>0.65359999999999996</v>
      </c>
      <c r="AB393" s="18">
        <v>10200</v>
      </c>
      <c r="AC393" s="18">
        <v>6</v>
      </c>
    </row>
    <row r="394" spans="1:29" ht="15.75" customHeight="1" x14ac:dyDescent="0.2">
      <c r="A394" s="36" t="str">
        <f>HYPERLINK("https://www.cwu.edu", "Central Washington University")</f>
        <v>Central Washington University</v>
      </c>
      <c r="B394" s="18" t="s">
        <v>49</v>
      </c>
      <c r="C394" s="18" t="s">
        <v>184</v>
      </c>
      <c r="D394" s="18" t="s">
        <v>642</v>
      </c>
      <c r="E394" s="18">
        <v>1012</v>
      </c>
      <c r="F394" s="18" t="s">
        <v>35</v>
      </c>
      <c r="J394" s="19"/>
      <c r="K394" s="19">
        <v>0.51539999999999997</v>
      </c>
      <c r="L394" s="19">
        <v>0.32462686600000001</v>
      </c>
      <c r="M394" s="19">
        <v>0.5373</v>
      </c>
      <c r="N394" s="19">
        <v>0.27029999999999998</v>
      </c>
      <c r="O394" s="19">
        <v>0.50980000000000003</v>
      </c>
      <c r="P394" s="19">
        <v>0.4103</v>
      </c>
      <c r="Q394" s="19"/>
      <c r="R394" s="20">
        <v>36708</v>
      </c>
      <c r="S394" s="21" t="str">
        <f>HYPERLINK("https://www.cwu.edu/financial-aid/net-price-calculator", "$25456")</f>
        <v>$25456</v>
      </c>
      <c r="T394" s="20">
        <v>30203</v>
      </c>
      <c r="U394" s="20">
        <v>34243</v>
      </c>
      <c r="V394" s="20">
        <v>4014</v>
      </c>
      <c r="W394" s="20">
        <v>21442.472049689441</v>
      </c>
      <c r="Y394" s="19">
        <v>0.36009999999999998</v>
      </c>
      <c r="Z394" s="19">
        <v>0.46489999999999998</v>
      </c>
      <c r="AB394" s="18">
        <v>11468</v>
      </c>
      <c r="AC394" s="18">
        <v>4</v>
      </c>
    </row>
    <row r="395" spans="1:29" ht="15.75" customHeight="1" x14ac:dyDescent="0.2">
      <c r="A395" s="36" t="str">
        <f>HYPERLINK("https://www.cwc.edu/", "Central Wyoming College")</f>
        <v>Central Wyoming College</v>
      </c>
      <c r="B395" s="18" t="s">
        <v>49</v>
      </c>
      <c r="C395" s="18" t="s">
        <v>1086</v>
      </c>
      <c r="D395" s="18" t="s">
        <v>1101</v>
      </c>
      <c r="E395" s="18" t="s">
        <v>36</v>
      </c>
      <c r="F395" s="18" t="s">
        <v>36</v>
      </c>
      <c r="J395" s="19"/>
      <c r="K395" s="19">
        <v>0.33019999999999999</v>
      </c>
      <c r="L395" s="19">
        <v>0.21895424799999999</v>
      </c>
      <c r="M395" s="19">
        <v>0.41830000000000001</v>
      </c>
      <c r="N395" s="19">
        <v>0</v>
      </c>
      <c r="O395" s="19">
        <v>0.13639999999999999</v>
      </c>
      <c r="P395" s="19" t="s">
        <v>36</v>
      </c>
      <c r="Q395" s="19">
        <v>3.7578288000000001E-2</v>
      </c>
      <c r="R395" s="20">
        <v>17917</v>
      </c>
      <c r="S395" s="21" t="str">
        <f>HYPERLINK("https://www3.cwc.edu/npc.aspx", "$11048")</f>
        <v>$11048</v>
      </c>
      <c r="T395" s="20">
        <v>12397</v>
      </c>
      <c r="U395" s="20">
        <v>16225</v>
      </c>
      <c r="V395" s="20">
        <v>3700</v>
      </c>
      <c r="W395" s="20">
        <v>7348.2352941176468</v>
      </c>
      <c r="Y395" s="19">
        <v>0.17050000000000001</v>
      </c>
      <c r="Z395" s="19">
        <v>0.36549999999999999</v>
      </c>
      <c r="AB395" s="18">
        <v>944</v>
      </c>
      <c r="AC395" s="18">
        <v>6</v>
      </c>
    </row>
    <row r="396" spans="1:29" ht="15.75" customHeight="1" x14ac:dyDescent="0.2">
      <c r="A396" s="36" t="str">
        <f>HYPERLINK("https://www.centre.edu", "Centre College")</f>
        <v>Centre College</v>
      </c>
      <c r="B396" s="18" t="s">
        <v>32</v>
      </c>
      <c r="C396" s="18" t="s">
        <v>205</v>
      </c>
      <c r="D396" s="18" t="s">
        <v>206</v>
      </c>
      <c r="E396" s="18">
        <v>1334</v>
      </c>
      <c r="F396" s="18" t="s">
        <v>35</v>
      </c>
      <c r="J396" s="19"/>
      <c r="K396" s="19">
        <v>0.82350000000000001</v>
      </c>
      <c r="L396" s="19" t="s">
        <v>36</v>
      </c>
      <c r="M396" s="19">
        <v>0.83130000000000004</v>
      </c>
      <c r="N396" s="19">
        <v>0.77270000000000005</v>
      </c>
      <c r="O396" s="19">
        <v>0.8</v>
      </c>
      <c r="P396" s="19">
        <v>0.75</v>
      </c>
      <c r="Q396" s="19"/>
      <c r="R396" s="20">
        <v>53910</v>
      </c>
      <c r="S396" s="21" t="str">
        <f>HYPERLINK("https://centre.studentaidcalculator.com/survey.aspx", "$14579")</f>
        <v>$14579</v>
      </c>
      <c r="T396" s="20">
        <v>20129</v>
      </c>
      <c r="U396" s="20">
        <v>22910</v>
      </c>
      <c r="V396" s="20">
        <v>3230</v>
      </c>
      <c r="W396" s="20">
        <v>11349</v>
      </c>
      <c r="Y396" s="19">
        <v>0.1573</v>
      </c>
      <c r="Z396" s="19">
        <v>0.26579999999999998</v>
      </c>
      <c r="AB396" s="18">
        <v>1441</v>
      </c>
      <c r="AC396" s="18">
        <v>2</v>
      </c>
    </row>
    <row r="397" spans="1:29" ht="15.75" customHeight="1" x14ac:dyDescent="0.2">
      <c r="A397" s="36" t="str">
        <f>HYPERLINK("https://www.centuracollege.edu", "Centura College-Chesapeake")</f>
        <v>Centura College-Chesapeake</v>
      </c>
      <c r="B397" s="18" t="s">
        <v>368</v>
      </c>
      <c r="C397" s="18" t="s">
        <v>83</v>
      </c>
      <c r="D397" s="18" t="s">
        <v>1105</v>
      </c>
      <c r="E397" s="18" t="s">
        <v>36</v>
      </c>
      <c r="F397" s="18" t="s">
        <v>36</v>
      </c>
      <c r="J397" s="19"/>
      <c r="K397" s="19">
        <v>0.86670000000000003</v>
      </c>
      <c r="L397" s="19">
        <v>0.26465028400000001</v>
      </c>
      <c r="M397" s="19">
        <v>1</v>
      </c>
      <c r="N397" s="19">
        <v>0.71430000000000005</v>
      </c>
      <c r="O397" s="19">
        <v>1</v>
      </c>
      <c r="P397" s="19" t="s">
        <v>36</v>
      </c>
      <c r="Q397" s="19">
        <v>2.1255060999999999E-2</v>
      </c>
      <c r="R397" s="20">
        <v>32766</v>
      </c>
      <c r="S397" s="21" t="str">
        <f>HYPERLINK("https://www.centuracollege.edu/Your_Rights/price_calc.html", "$22494")</f>
        <v>$22494</v>
      </c>
      <c r="T397" s="20">
        <v>28482</v>
      </c>
      <c r="U397" s="20">
        <v>28482</v>
      </c>
      <c r="V397" s="20">
        <v>8779</v>
      </c>
      <c r="W397" s="20">
        <v>13715</v>
      </c>
      <c r="Y397" s="19">
        <v>0.68220000000000003</v>
      </c>
      <c r="Z397" s="19">
        <v>0.74209999999999998</v>
      </c>
      <c r="AB397" s="18">
        <v>190</v>
      </c>
      <c r="AC397" s="18">
        <v>6</v>
      </c>
    </row>
    <row r="398" spans="1:29" ht="15.75" customHeight="1" x14ac:dyDescent="0.2">
      <c r="A398" s="36" t="str">
        <f>HYPERLINK("https://www.centuracollege.edu", "Centura College-Newport News")</f>
        <v>Centura College-Newport News</v>
      </c>
      <c r="B398" s="18" t="s">
        <v>368</v>
      </c>
      <c r="C398" s="18" t="s">
        <v>83</v>
      </c>
      <c r="D398" s="18" t="s">
        <v>329</v>
      </c>
      <c r="E398" s="18" t="s">
        <v>36</v>
      </c>
      <c r="F398" s="18" t="s">
        <v>36</v>
      </c>
      <c r="J398" s="19"/>
      <c r="K398" s="19">
        <v>0.7</v>
      </c>
      <c r="L398" s="19">
        <v>0.26465028400000001</v>
      </c>
      <c r="M398" s="19">
        <v>0.57140000000000002</v>
      </c>
      <c r="N398" s="19">
        <v>0.76470000000000005</v>
      </c>
      <c r="O398" s="19">
        <v>0.75</v>
      </c>
      <c r="P398" s="19" t="s">
        <v>36</v>
      </c>
      <c r="Q398" s="19">
        <v>2.1255060999999999E-2</v>
      </c>
      <c r="R398" s="20">
        <v>32410</v>
      </c>
      <c r="S398" s="21" t="str">
        <f>HYPERLINK("https://www.centuracollege.edu/Your_Rights/price_calc.html", "$24630")</f>
        <v>$24630</v>
      </c>
      <c r="T398" s="20" t="s">
        <v>36</v>
      </c>
      <c r="U398" s="20" t="s">
        <v>36</v>
      </c>
      <c r="V398" s="20">
        <v>9173</v>
      </c>
      <c r="W398" s="20">
        <v>15457</v>
      </c>
      <c r="Y398" s="19">
        <v>0.69820000000000004</v>
      </c>
      <c r="Z398" s="19">
        <v>0.77090000000000003</v>
      </c>
      <c r="AB398" s="18">
        <v>179</v>
      </c>
      <c r="AC398" s="18">
        <v>6</v>
      </c>
    </row>
    <row r="399" spans="1:29" ht="15.75" customHeight="1" x14ac:dyDescent="0.2">
      <c r="A399" s="36" t="str">
        <f>HYPERLINK("https://www.centuracollege.edu", "Centura College-Virginia Beach")</f>
        <v>Centura College-Virginia Beach</v>
      </c>
      <c r="B399" s="18" t="s">
        <v>368</v>
      </c>
      <c r="C399" s="18" t="s">
        <v>83</v>
      </c>
      <c r="D399" s="18" t="s">
        <v>921</v>
      </c>
      <c r="E399" s="18" t="s">
        <v>36</v>
      </c>
      <c r="F399" s="18" t="s">
        <v>36</v>
      </c>
      <c r="J399" s="19"/>
      <c r="K399" s="19">
        <v>0.50790000000000002</v>
      </c>
      <c r="L399" s="19">
        <v>0.26465028400000001</v>
      </c>
      <c r="M399" s="19">
        <v>0.5968</v>
      </c>
      <c r="N399" s="19">
        <v>0.47370000000000001</v>
      </c>
      <c r="O399" s="19">
        <v>0.2</v>
      </c>
      <c r="P399" s="19" t="s">
        <v>36</v>
      </c>
      <c r="Q399" s="19">
        <v>2.1255060999999999E-2</v>
      </c>
      <c r="R399" s="20">
        <v>32410</v>
      </c>
      <c r="S399" s="21" t="str">
        <f>HYPERLINK("https://centuracollege.edu/Your_Rights/Shared_Documents/npcalc/CVABcalc.html", "$23152")</f>
        <v>$23152</v>
      </c>
      <c r="T399" s="20">
        <v>25810</v>
      </c>
      <c r="U399" s="20">
        <v>28193</v>
      </c>
      <c r="V399" s="20">
        <v>9173</v>
      </c>
      <c r="W399" s="20">
        <v>13979</v>
      </c>
      <c r="Y399" s="19">
        <v>0.66920000000000002</v>
      </c>
      <c r="Z399" s="19">
        <v>0.72670000000000001</v>
      </c>
      <c r="AB399" s="18">
        <v>150</v>
      </c>
      <c r="AC399" s="18">
        <v>6</v>
      </c>
    </row>
    <row r="400" spans="1:29" ht="15.75" customHeight="1" x14ac:dyDescent="0.2">
      <c r="A400" s="36" t="str">
        <f>HYPERLINK("https://www.century.edu", "Century College")</f>
        <v>Century College</v>
      </c>
      <c r="B400" s="18" t="s">
        <v>49</v>
      </c>
      <c r="C400" s="18" t="s">
        <v>72</v>
      </c>
      <c r="D400" s="18" t="s">
        <v>1112</v>
      </c>
      <c r="E400" s="18" t="s">
        <v>36</v>
      </c>
      <c r="F400" s="18" t="s">
        <v>36</v>
      </c>
      <c r="J400" s="19"/>
      <c r="K400" s="19">
        <v>0.18379999999999999</v>
      </c>
      <c r="L400" s="19">
        <v>0.17151956300000001</v>
      </c>
      <c r="M400" s="19">
        <v>0.23280000000000001</v>
      </c>
      <c r="N400" s="19">
        <v>9.2600000000000002E-2</v>
      </c>
      <c r="O400" s="19">
        <v>0.18970000000000001</v>
      </c>
      <c r="P400" s="19">
        <v>0.1096</v>
      </c>
      <c r="Q400" s="19">
        <v>7.7672392000000007E-2</v>
      </c>
      <c r="R400" s="20">
        <v>19153</v>
      </c>
      <c r="S400" s="21" t="str">
        <f>HYPERLINK("https://www.century.edu/cost-financial-aid/tuition-rates-fees/net-price-calculator", "$13836")</f>
        <v>$13836</v>
      </c>
      <c r="T400" s="20">
        <v>15437</v>
      </c>
      <c r="U400" s="20">
        <v>17855</v>
      </c>
      <c r="V400" s="20">
        <v>6594</v>
      </c>
      <c r="W400" s="20">
        <v>7242.8860759493673</v>
      </c>
      <c r="Y400" s="19">
        <v>0.38779999999999998</v>
      </c>
      <c r="Z400" s="19">
        <v>0.45190000000000002</v>
      </c>
      <c r="AB400" s="18">
        <v>7502</v>
      </c>
      <c r="AC400" s="18">
        <v>6</v>
      </c>
    </row>
    <row r="401" spans="1:29" ht="15.75" customHeight="1" x14ac:dyDescent="0.2">
      <c r="A401" s="36" t="str">
        <f>HYPERLINK("https://www.cerritos.edu", "Cerritos College")</f>
        <v>Cerritos College</v>
      </c>
      <c r="B401" s="18" t="s">
        <v>49</v>
      </c>
      <c r="C401" s="18" t="s">
        <v>68</v>
      </c>
      <c r="D401" s="18" t="s">
        <v>1116</v>
      </c>
      <c r="E401" s="18" t="s">
        <v>36</v>
      </c>
      <c r="F401" s="18" t="s">
        <v>36</v>
      </c>
      <c r="J401" s="19"/>
      <c r="K401" s="19">
        <v>0.24249999999999999</v>
      </c>
      <c r="L401" s="19">
        <v>6.4957265E-2</v>
      </c>
      <c r="M401" s="19">
        <v>0.18640000000000001</v>
      </c>
      <c r="N401" s="19">
        <v>0.2419</v>
      </c>
      <c r="O401" s="19">
        <v>0.22420000000000001</v>
      </c>
      <c r="P401" s="19">
        <v>0.39839999999999998</v>
      </c>
      <c r="Q401" s="19">
        <v>9.1771499000000006E-2</v>
      </c>
      <c r="R401" s="20">
        <v>28094</v>
      </c>
      <c r="S401" s="21" t="str">
        <f>HYPERLINK("https://misweb.cccco.edu/npc/811/npcalc.htm", "$22247")</f>
        <v>$22247</v>
      </c>
      <c r="T401" s="20">
        <v>25068</v>
      </c>
      <c r="U401" s="20">
        <v>26243</v>
      </c>
      <c r="V401" s="20">
        <v>6092</v>
      </c>
      <c r="W401" s="20">
        <v>16155.302958579879</v>
      </c>
      <c r="Y401" s="19">
        <v>0.41460000000000002</v>
      </c>
      <c r="Z401" s="19">
        <v>0.99009999999999998</v>
      </c>
      <c r="AB401" s="18">
        <v>16744</v>
      </c>
      <c r="AC401" s="18">
        <v>6</v>
      </c>
    </row>
    <row r="402" spans="1:29" ht="15.75" customHeight="1" x14ac:dyDescent="0.2">
      <c r="A402" s="36" t="str">
        <f>HYPERLINK("https://cerrocoso.edu", "Cerro Coso Community College")</f>
        <v>Cerro Coso Community College</v>
      </c>
      <c r="B402" s="18" t="s">
        <v>49</v>
      </c>
      <c r="C402" s="18" t="s">
        <v>68</v>
      </c>
      <c r="D402" s="18" t="s">
        <v>1118</v>
      </c>
      <c r="E402" s="18" t="s">
        <v>36</v>
      </c>
      <c r="F402" s="18" t="s">
        <v>36</v>
      </c>
      <c r="J402" s="19"/>
      <c r="K402" s="19">
        <v>0.18229999999999999</v>
      </c>
      <c r="L402" s="19">
        <v>4.3478260999999997E-2</v>
      </c>
      <c r="M402" s="19">
        <v>0.20549999999999999</v>
      </c>
      <c r="N402" s="19">
        <v>0.22220000000000001</v>
      </c>
      <c r="O402" s="19">
        <v>0.17810000000000001</v>
      </c>
      <c r="P402" s="19">
        <v>0</v>
      </c>
      <c r="Q402" s="19">
        <v>6.1588331000000003E-2</v>
      </c>
      <c r="R402" s="20">
        <v>26614</v>
      </c>
      <c r="S402" s="21" t="str">
        <f>HYPERLINK("https://misweb.cccco.edu/npc/522/npcalc.htm", "$20902")</f>
        <v>$20902</v>
      </c>
      <c r="T402" s="20">
        <v>23653</v>
      </c>
      <c r="U402" s="20" t="s">
        <v>36</v>
      </c>
      <c r="V402" s="20">
        <v>6095</v>
      </c>
      <c r="W402" s="20">
        <v>14807.888888888891</v>
      </c>
      <c r="Y402" s="19">
        <v>0.1585</v>
      </c>
      <c r="Z402" s="19">
        <v>0.57140000000000002</v>
      </c>
      <c r="AB402" s="18">
        <v>4736</v>
      </c>
      <c r="AC402" s="18">
        <v>6</v>
      </c>
    </row>
    <row r="403" spans="1:29" ht="15.75" customHeight="1" x14ac:dyDescent="0.2">
      <c r="A403" s="36" t="str">
        <f>HYPERLINK("https://www.chabotcollege.edu", "Chabot College")</f>
        <v>Chabot College</v>
      </c>
      <c r="B403" s="18" t="s">
        <v>49</v>
      </c>
      <c r="C403" s="18" t="s">
        <v>68</v>
      </c>
      <c r="D403" s="18" t="s">
        <v>606</v>
      </c>
      <c r="E403" s="18" t="s">
        <v>36</v>
      </c>
      <c r="F403" s="18" t="s">
        <v>36</v>
      </c>
      <c r="J403" s="19"/>
      <c r="K403" s="19">
        <v>0.32529999999999998</v>
      </c>
      <c r="L403" s="19">
        <v>4.9914918000000003E-2</v>
      </c>
      <c r="M403" s="19">
        <v>0.4299</v>
      </c>
      <c r="N403" s="19">
        <v>0.2319</v>
      </c>
      <c r="O403" s="19">
        <v>0.21779999999999999</v>
      </c>
      <c r="P403" s="19">
        <v>0.46250000000000002</v>
      </c>
      <c r="Q403" s="19">
        <v>9.8905724E-2</v>
      </c>
      <c r="R403" s="20">
        <v>26404</v>
      </c>
      <c r="S403" s="21" t="str">
        <f>HYPERLINK("https://misweb.cccco.edu/npc/482/npcalc.htm", "$19838")</f>
        <v>$19838</v>
      </c>
      <c r="T403" s="20">
        <v>22708</v>
      </c>
      <c r="U403" s="20">
        <v>22635</v>
      </c>
      <c r="V403" s="20">
        <v>6093</v>
      </c>
      <c r="W403" s="20">
        <v>13745.45299145299</v>
      </c>
      <c r="Y403" s="19">
        <v>0.1993</v>
      </c>
      <c r="Z403" s="19">
        <v>0.84289999999999998</v>
      </c>
      <c r="AB403" s="18">
        <v>12512</v>
      </c>
      <c r="AC403" s="18">
        <v>6</v>
      </c>
    </row>
    <row r="404" spans="1:29" ht="15.75" customHeight="1" x14ac:dyDescent="0.2">
      <c r="A404" s="36" t="str">
        <f>HYPERLINK("https://www.csc.edu", "Chadron State College")</f>
        <v>Chadron State College</v>
      </c>
      <c r="B404" s="18" t="s">
        <v>49</v>
      </c>
      <c r="C404" s="18" t="s">
        <v>341</v>
      </c>
      <c r="D404" s="18" t="s">
        <v>682</v>
      </c>
      <c r="E404" s="18" t="s">
        <v>36</v>
      </c>
      <c r="F404" s="18" t="s">
        <v>36</v>
      </c>
      <c r="J404" s="19"/>
      <c r="K404" s="19">
        <v>0.41839999999999999</v>
      </c>
      <c r="L404" s="19">
        <v>0.42916666700000011</v>
      </c>
      <c r="M404" s="19">
        <v>0.42309999999999998</v>
      </c>
      <c r="N404" s="19">
        <v>0.47060000000000002</v>
      </c>
      <c r="O404" s="19">
        <v>0.39129999999999998</v>
      </c>
      <c r="P404" s="19">
        <v>0</v>
      </c>
      <c r="Q404" s="19"/>
      <c r="R404" s="20">
        <v>20698</v>
      </c>
      <c r="S404" s="21" t="str">
        <f>HYPERLINK("https://www.csc.edu/NetPrice/npcalc.htm", "$13083")</f>
        <v>$13083</v>
      </c>
      <c r="T404" s="20">
        <v>15064</v>
      </c>
      <c r="U404" s="20">
        <v>18352</v>
      </c>
      <c r="V404" s="20">
        <v>6474</v>
      </c>
      <c r="W404" s="20">
        <v>6609.1296296296296</v>
      </c>
      <c r="Y404" s="19">
        <v>0.3518</v>
      </c>
      <c r="Z404" s="19">
        <v>0.2390000000000001</v>
      </c>
      <c r="AB404" s="18">
        <v>1916</v>
      </c>
      <c r="AC404" s="18">
        <v>5</v>
      </c>
    </row>
    <row r="405" spans="1:29" ht="15.75" customHeight="1" x14ac:dyDescent="0.2">
      <c r="A405" s="36" t="str">
        <f>HYPERLINK("https://www.chaffey.edu", "Chaffey College")</f>
        <v>Chaffey College</v>
      </c>
      <c r="B405" s="18" t="s">
        <v>49</v>
      </c>
      <c r="C405" s="18" t="s">
        <v>68</v>
      </c>
      <c r="D405" s="18" t="s">
        <v>1124</v>
      </c>
      <c r="E405" s="18" t="s">
        <v>36</v>
      </c>
      <c r="F405" s="18" t="s">
        <v>36</v>
      </c>
      <c r="J405" s="19"/>
      <c r="K405" s="19">
        <v>0.23269999999999999</v>
      </c>
      <c r="L405" s="19" t="s">
        <v>36</v>
      </c>
      <c r="M405" s="19">
        <v>0.3175</v>
      </c>
      <c r="N405" s="19">
        <v>0.1023</v>
      </c>
      <c r="O405" s="19">
        <v>0.22770000000000001</v>
      </c>
      <c r="P405" s="19">
        <v>0.4118</v>
      </c>
      <c r="Q405" s="19">
        <v>0.125519151</v>
      </c>
      <c r="R405" s="20">
        <v>26436</v>
      </c>
      <c r="S405" s="21" t="str">
        <f>HYPERLINK("https://www.chaffey.edu/finaid/Links.shtml", "$19800")</f>
        <v>$19800</v>
      </c>
      <c r="T405" s="20">
        <v>22855</v>
      </c>
      <c r="U405" s="20" t="s">
        <v>36</v>
      </c>
      <c r="V405" s="20">
        <v>6092</v>
      </c>
      <c r="W405" s="20">
        <v>13708.16350710901</v>
      </c>
      <c r="Y405" s="19">
        <v>0.32319999999999999</v>
      </c>
      <c r="Z405" s="19">
        <v>0.84770000000000001</v>
      </c>
      <c r="AB405" s="18">
        <v>19725</v>
      </c>
      <c r="AC405" s="18">
        <v>6</v>
      </c>
    </row>
    <row r="406" spans="1:29" ht="15.75" customHeight="1" x14ac:dyDescent="0.2">
      <c r="A406" s="36" t="str">
        <f>HYPERLINK("https://www.chaminade.edu", "Chaminade University of Honolulu")</f>
        <v>Chaminade University of Honolulu</v>
      </c>
      <c r="B406" s="18" t="s">
        <v>32</v>
      </c>
      <c r="C406" s="18" t="s">
        <v>313</v>
      </c>
      <c r="D406" s="18" t="s">
        <v>510</v>
      </c>
      <c r="E406" s="18">
        <v>1068</v>
      </c>
      <c r="F406" s="18" t="s">
        <v>35</v>
      </c>
      <c r="J406" s="19"/>
      <c r="K406" s="19">
        <v>0.54279999999999995</v>
      </c>
      <c r="L406" s="19">
        <v>0.38846153900000002</v>
      </c>
      <c r="M406" s="19">
        <v>0.40429999999999999</v>
      </c>
      <c r="N406" s="19">
        <v>0.4375</v>
      </c>
      <c r="O406" s="19">
        <v>0.5</v>
      </c>
      <c r="P406" s="19">
        <v>0.65980000000000005</v>
      </c>
      <c r="Q406" s="19"/>
      <c r="R406" s="20">
        <v>41507</v>
      </c>
      <c r="S406" s="21" t="str">
        <f>HYPERLINK("https://chaminade.studentaidcalculator.com/survey.aspx", "$17239")</f>
        <v>$17239</v>
      </c>
      <c r="T406" s="20">
        <v>21893</v>
      </c>
      <c r="U406" s="20">
        <v>22132</v>
      </c>
      <c r="V406" s="20">
        <v>3893</v>
      </c>
      <c r="W406" s="20">
        <v>13346</v>
      </c>
      <c r="Y406" s="19">
        <v>0.39579999999999999</v>
      </c>
      <c r="Z406" s="19">
        <v>0.8448</v>
      </c>
      <c r="AB406" s="18">
        <v>1785</v>
      </c>
      <c r="AC406" s="18">
        <v>4</v>
      </c>
    </row>
    <row r="407" spans="1:29" ht="15.75" customHeight="1" x14ac:dyDescent="0.2">
      <c r="A407" s="36" t="str">
        <f>HYPERLINK("https://www.champlain.edu", "Champlain College")</f>
        <v>Champlain College</v>
      </c>
      <c r="B407" s="18" t="s">
        <v>32</v>
      </c>
      <c r="C407" s="18" t="s">
        <v>47</v>
      </c>
      <c r="D407" s="18" t="s">
        <v>327</v>
      </c>
      <c r="E407" s="18">
        <v>1210</v>
      </c>
      <c r="F407" s="18" t="s">
        <v>35</v>
      </c>
      <c r="J407" s="19"/>
      <c r="K407" s="19">
        <v>0.60450000000000004</v>
      </c>
      <c r="L407" s="19">
        <v>0.56216216200000002</v>
      </c>
      <c r="M407" s="19">
        <v>0.61380000000000001</v>
      </c>
      <c r="N407" s="19">
        <v>0.16669999999999999</v>
      </c>
      <c r="O407" s="19">
        <v>0.60870000000000002</v>
      </c>
      <c r="P407" s="19">
        <v>0.66669999999999996</v>
      </c>
      <c r="Q407" s="19"/>
      <c r="R407" s="20">
        <v>57997</v>
      </c>
      <c r="S407" s="21" t="str">
        <f>HYPERLINK("https://www.champlain.edu/admissions/undergraduate-admissions/financial-aid-undergraduate/champlain-net-price-calculator", "$27892")</f>
        <v>$27892</v>
      </c>
      <c r="T407" s="20">
        <v>33423</v>
      </c>
      <c r="U407" s="20">
        <v>35770</v>
      </c>
      <c r="V407" s="20">
        <v>3273</v>
      </c>
      <c r="W407" s="20">
        <v>24619</v>
      </c>
      <c r="Y407" s="19">
        <v>0.21110000000000001</v>
      </c>
      <c r="Z407" s="19">
        <v>0.32379999999999998</v>
      </c>
      <c r="AB407" s="18">
        <v>3771</v>
      </c>
      <c r="AC407" s="18">
        <v>3</v>
      </c>
    </row>
    <row r="408" spans="1:29" ht="15.75" customHeight="1" x14ac:dyDescent="0.2">
      <c r="A408" s="36" t="str">
        <f>HYPERLINK("https://www.chapman.edu", "Chapman University")</f>
        <v>Chapman University</v>
      </c>
      <c r="B408" s="18" t="s">
        <v>32</v>
      </c>
      <c r="C408" s="18" t="s">
        <v>68</v>
      </c>
      <c r="D408" s="18" t="s">
        <v>328</v>
      </c>
      <c r="E408" s="18">
        <v>1293</v>
      </c>
      <c r="F408" s="18" t="s">
        <v>35</v>
      </c>
      <c r="J408" s="19"/>
      <c r="K408" s="19">
        <v>0.79049999999999998</v>
      </c>
      <c r="L408" s="19">
        <v>0.28187919500000003</v>
      </c>
      <c r="M408" s="19">
        <v>0.78969999999999996</v>
      </c>
      <c r="N408" s="19">
        <v>0.60870000000000002</v>
      </c>
      <c r="O408" s="19">
        <v>0.80420000000000003</v>
      </c>
      <c r="P408" s="19">
        <v>0.88429999999999997</v>
      </c>
      <c r="Q408" s="19"/>
      <c r="R408" s="20">
        <v>69464</v>
      </c>
      <c r="S408" s="21" t="str">
        <f>HYPERLINK("https://www.chapman.edu/students/tuition-and-aid/financial-aid/net-cost-calculator/index.aspx", "$33099")</f>
        <v>$33099</v>
      </c>
      <c r="T408" s="20">
        <v>34265</v>
      </c>
      <c r="U408" s="20">
        <v>36709</v>
      </c>
      <c r="V408" s="20">
        <v>3960</v>
      </c>
      <c r="W408" s="20">
        <v>29139</v>
      </c>
      <c r="Y408" s="19">
        <v>0.16220000000000001</v>
      </c>
      <c r="Z408" s="19">
        <v>0.45450000000000002</v>
      </c>
      <c r="AB408" s="18">
        <v>6740</v>
      </c>
      <c r="AC408" s="18">
        <v>3</v>
      </c>
    </row>
    <row r="409" spans="1:29" ht="15.75" customHeight="1" x14ac:dyDescent="0.2">
      <c r="A409" s="36" t="str">
        <f>HYPERLINK("https://www.cdrewu.edu", "Charles R Drew University of Medicine and Science")</f>
        <v>Charles R Drew University of Medicine and Science</v>
      </c>
      <c r="B409" s="18" t="s">
        <v>32</v>
      </c>
      <c r="C409" s="18" t="s">
        <v>68</v>
      </c>
      <c r="D409" s="18" t="s">
        <v>140</v>
      </c>
      <c r="E409" s="18">
        <v>1142</v>
      </c>
      <c r="F409" s="18" t="s">
        <v>115</v>
      </c>
      <c r="J409" s="19"/>
      <c r="K409" s="19">
        <v>0.25</v>
      </c>
      <c r="L409" s="19">
        <v>0.735294118</v>
      </c>
      <c r="M409" s="19" t="s">
        <v>36</v>
      </c>
      <c r="N409" s="19">
        <v>0</v>
      </c>
      <c r="O409" s="19">
        <v>0.5</v>
      </c>
      <c r="P409" s="19" t="s">
        <v>36</v>
      </c>
      <c r="Q409" s="19" t="s">
        <v>36</v>
      </c>
      <c r="R409" s="20">
        <v>33356</v>
      </c>
      <c r="S409" s="21" t="str">
        <f>HYPERLINK("https://npc.collegeboard.org/student/app/cdrewu", "Not reported")</f>
        <v>Not reported</v>
      </c>
      <c r="T409" s="20" t="s">
        <v>36</v>
      </c>
      <c r="U409" s="20" t="s">
        <v>36</v>
      </c>
      <c r="V409" s="20">
        <v>6090</v>
      </c>
      <c r="W409" s="20" t="s">
        <v>36</v>
      </c>
      <c r="Y409" s="19">
        <v>0.56820000000000004</v>
      </c>
      <c r="Z409" s="19">
        <v>0.96379999999999999</v>
      </c>
      <c r="AB409" s="18">
        <v>138</v>
      </c>
      <c r="AC409" s="18">
        <v>6</v>
      </c>
    </row>
    <row r="410" spans="1:29" ht="15.75" customHeight="1" x14ac:dyDescent="0.2">
      <c r="A410" s="36" t="str">
        <f>HYPERLINK("https://www.charlestonsouthern.edu", "Charleston Southern University")</f>
        <v>Charleston Southern University</v>
      </c>
      <c r="B410" s="18" t="s">
        <v>32</v>
      </c>
      <c r="C410" s="18" t="s">
        <v>208</v>
      </c>
      <c r="D410" s="18" t="s">
        <v>334</v>
      </c>
      <c r="E410" s="18">
        <v>1061</v>
      </c>
      <c r="F410" s="18" t="s">
        <v>35</v>
      </c>
      <c r="J410" s="19"/>
      <c r="K410" s="19">
        <v>0.34839999999999999</v>
      </c>
      <c r="L410" s="19">
        <v>0.3125</v>
      </c>
      <c r="M410" s="19">
        <v>0.40889999999999999</v>
      </c>
      <c r="N410" s="19">
        <v>0.26900000000000002</v>
      </c>
      <c r="O410" s="19">
        <v>0.16669999999999999</v>
      </c>
      <c r="P410" s="19">
        <v>0.6</v>
      </c>
      <c r="Q410" s="19"/>
      <c r="R410" s="20">
        <v>39940</v>
      </c>
      <c r="S410" s="21" t="str">
        <f>HYPERLINK("https://www.charlestonsouthern.edu/tuition/netpricecalculator.php", "$14873")</f>
        <v>$14873</v>
      </c>
      <c r="T410" s="20">
        <v>17502</v>
      </c>
      <c r="U410" s="20">
        <v>19329</v>
      </c>
      <c r="V410" s="20">
        <v>5200</v>
      </c>
      <c r="W410" s="20">
        <v>9673</v>
      </c>
      <c r="Y410" s="19">
        <v>0.46689999999999998</v>
      </c>
      <c r="Z410" s="19">
        <v>0.38269999999999998</v>
      </c>
      <c r="AB410" s="18">
        <v>3034</v>
      </c>
      <c r="AC410" s="18">
        <v>4</v>
      </c>
    </row>
    <row r="411" spans="1:29" ht="15.75" customHeight="1" x14ac:dyDescent="0.2">
      <c r="A411" s="36" t="str">
        <f>HYPERLINK("https://www.charteroak.edu", "Charter Oak State College")</f>
        <v>Charter Oak State College</v>
      </c>
      <c r="B411" s="18" t="s">
        <v>49</v>
      </c>
      <c r="C411" s="18" t="s">
        <v>94</v>
      </c>
      <c r="D411" s="18" t="s">
        <v>638</v>
      </c>
      <c r="E411" s="18" t="s">
        <v>36</v>
      </c>
      <c r="F411" s="18" t="s">
        <v>36</v>
      </c>
      <c r="J411" s="19"/>
      <c r="K411" s="19" t="s">
        <v>36</v>
      </c>
      <c r="L411" s="19">
        <v>0.37078651699999998</v>
      </c>
      <c r="M411" s="19" t="s">
        <v>36</v>
      </c>
      <c r="N411" s="19" t="s">
        <v>36</v>
      </c>
      <c r="O411" s="19" t="s">
        <v>36</v>
      </c>
      <c r="P411" s="19" t="s">
        <v>36</v>
      </c>
      <c r="Q411" s="19"/>
      <c r="R411" s="20">
        <v>18367</v>
      </c>
      <c r="S411" s="21" t="str">
        <f>HYPERLINK("https://www.charteroak.edu/netcost", "Not reported")</f>
        <v>Not reported</v>
      </c>
      <c r="T411" s="20" t="s">
        <v>36</v>
      </c>
      <c r="U411" s="20" t="s">
        <v>36</v>
      </c>
      <c r="V411" s="20">
        <v>5020</v>
      </c>
      <c r="W411" s="20" t="s">
        <v>36</v>
      </c>
      <c r="Y411" s="19">
        <v>0.31309999999999999</v>
      </c>
      <c r="Z411" s="19">
        <v>0.43859999999999999</v>
      </c>
      <c r="AB411" s="18">
        <v>1352</v>
      </c>
      <c r="AC411" s="18">
        <v>4</v>
      </c>
    </row>
    <row r="412" spans="1:29" ht="15.75" customHeight="1" x14ac:dyDescent="0.2">
      <c r="A412" s="36" t="str">
        <f>HYPERLINK("https://www.chatfield.edu", "Chatfield College")</f>
        <v>Chatfield College</v>
      </c>
      <c r="B412" s="18" t="s">
        <v>32</v>
      </c>
      <c r="C412" s="18" t="s">
        <v>75</v>
      </c>
      <c r="D412" s="18" t="s">
        <v>1125</v>
      </c>
      <c r="E412" s="18" t="s">
        <v>36</v>
      </c>
      <c r="F412" s="18" t="s">
        <v>36</v>
      </c>
      <c r="J412" s="19"/>
      <c r="K412" s="19">
        <v>0.24590000000000001</v>
      </c>
      <c r="L412" s="19" t="s">
        <v>36</v>
      </c>
      <c r="M412" s="19">
        <v>0.4118</v>
      </c>
      <c r="N412" s="19">
        <v>0.17069999999999999</v>
      </c>
      <c r="O412" s="19" t="s">
        <v>36</v>
      </c>
      <c r="P412" s="19">
        <v>1</v>
      </c>
      <c r="Q412" s="19">
        <v>0.12068965500000001</v>
      </c>
      <c r="R412" s="20">
        <v>21240</v>
      </c>
      <c r="S412" s="21" t="str">
        <f>HYPERLINK("https://www.chatfield.edu/net-price-calculator/", "$12328")</f>
        <v>$12328</v>
      </c>
      <c r="T412" s="20">
        <v>9709</v>
      </c>
      <c r="U412" s="20">
        <v>11306</v>
      </c>
      <c r="V412" s="20">
        <v>2700</v>
      </c>
      <c r="W412" s="20">
        <v>9628</v>
      </c>
      <c r="Y412" s="19">
        <v>0.48020000000000002</v>
      </c>
      <c r="Z412" s="19">
        <v>0.68920000000000003</v>
      </c>
      <c r="AB412" s="18">
        <v>148</v>
      </c>
      <c r="AC412" s="18">
        <v>6</v>
      </c>
    </row>
    <row r="413" spans="1:29" ht="15.75" customHeight="1" x14ac:dyDescent="0.2">
      <c r="A413" s="36" t="str">
        <f>HYPERLINK("https://www.chatham.edu", "Chatham University")</f>
        <v>Chatham University</v>
      </c>
      <c r="B413" s="18" t="s">
        <v>32</v>
      </c>
      <c r="C413" s="18" t="s">
        <v>65</v>
      </c>
      <c r="D413" s="18" t="s">
        <v>74</v>
      </c>
      <c r="E413" s="18" t="s">
        <v>36</v>
      </c>
      <c r="F413" s="18" t="s">
        <v>45</v>
      </c>
      <c r="J413" s="19"/>
      <c r="K413" s="19">
        <v>0.63080000000000003</v>
      </c>
      <c r="L413" s="19">
        <v>0.63</v>
      </c>
      <c r="M413" s="19">
        <v>0.57830000000000004</v>
      </c>
      <c r="N413" s="19">
        <v>0.6875</v>
      </c>
      <c r="O413" s="19">
        <v>0.42859999999999998</v>
      </c>
      <c r="P413" s="19">
        <v>0.75</v>
      </c>
      <c r="Q413" s="19"/>
      <c r="R413" s="20">
        <v>50900</v>
      </c>
      <c r="S413" s="21" t="str">
        <f>HYPERLINK("https://www.chatham.edu/admission/financial-aid/calculator.cfm", "$16431")</f>
        <v>$16431</v>
      </c>
      <c r="T413" s="20">
        <v>19088</v>
      </c>
      <c r="U413" s="20">
        <v>22789</v>
      </c>
      <c r="V413" s="20">
        <v>3000</v>
      </c>
      <c r="W413" s="20">
        <v>13431</v>
      </c>
      <c r="Y413" s="19">
        <v>0.2984</v>
      </c>
      <c r="Z413" s="19">
        <v>0.22729999999999989</v>
      </c>
      <c r="AB413" s="18">
        <v>981</v>
      </c>
      <c r="AC413" s="18">
        <v>4</v>
      </c>
    </row>
    <row r="414" spans="1:29" ht="15.75" customHeight="1" x14ac:dyDescent="0.2">
      <c r="A414" s="36" t="str">
        <f>HYPERLINK("https://www.cv.edu", "Chattahoochee Valley Community College")</f>
        <v>Chattahoochee Valley Community College</v>
      </c>
      <c r="B414" s="18" t="s">
        <v>49</v>
      </c>
      <c r="C414" s="18" t="s">
        <v>300</v>
      </c>
      <c r="D414" s="18" t="s">
        <v>1127</v>
      </c>
      <c r="E414" s="18" t="s">
        <v>36</v>
      </c>
      <c r="F414" s="18" t="s">
        <v>36</v>
      </c>
      <c r="J414" s="19"/>
      <c r="K414" s="19">
        <v>0.1958</v>
      </c>
      <c r="L414" s="19">
        <v>0.125</v>
      </c>
      <c r="M414" s="19">
        <v>0.28389999999999999</v>
      </c>
      <c r="N414" s="19">
        <v>0.10829999999999999</v>
      </c>
      <c r="O414" s="19">
        <v>6.6699999999999995E-2</v>
      </c>
      <c r="P414" s="19">
        <v>0.5</v>
      </c>
      <c r="Q414" s="19">
        <v>9.1549296000000002E-2</v>
      </c>
      <c r="R414" s="20">
        <v>15884</v>
      </c>
      <c r="S414" s="21" t="str">
        <f>HYPERLINK("https://www.cv.edu/about/consumer-information/", "Not reported")</f>
        <v>Not reported</v>
      </c>
      <c r="T414" s="20" t="s">
        <v>36</v>
      </c>
      <c r="U414" s="20" t="s">
        <v>36</v>
      </c>
      <c r="V414" s="20">
        <v>2600</v>
      </c>
      <c r="W414" s="20" t="s">
        <v>36</v>
      </c>
      <c r="Y414" s="19">
        <v>0.53799999999999992</v>
      </c>
      <c r="Z414" s="19">
        <v>0.51750000000000007</v>
      </c>
      <c r="AB414" s="18">
        <v>1370</v>
      </c>
      <c r="AC414" s="18">
        <v>6</v>
      </c>
    </row>
    <row r="415" spans="1:29" ht="15.75" customHeight="1" x14ac:dyDescent="0.2">
      <c r="A415" s="36" t="str">
        <f>HYPERLINK("https://www.chattanoogacollege.edu", "Chattanooga College Medical Dental and Technical Careers")</f>
        <v>Chattanooga College Medical Dental and Technical Careers</v>
      </c>
      <c r="B415" s="18" t="s">
        <v>368</v>
      </c>
      <c r="C415" s="18" t="s">
        <v>174</v>
      </c>
      <c r="D415" s="18" t="s">
        <v>1128</v>
      </c>
      <c r="E415" s="18" t="s">
        <v>36</v>
      </c>
      <c r="F415" s="18" t="s">
        <v>36</v>
      </c>
      <c r="J415" s="19"/>
      <c r="K415" s="19">
        <v>0.60980000000000001</v>
      </c>
      <c r="L415" s="19">
        <v>0.38709677399999998</v>
      </c>
      <c r="M415" s="19">
        <v>0.62749999999999995</v>
      </c>
      <c r="N415" s="19">
        <v>0.58620000000000005</v>
      </c>
      <c r="O415" s="19">
        <v>0.5</v>
      </c>
      <c r="P415" s="19" t="s">
        <v>36</v>
      </c>
      <c r="Q415" s="19" t="s">
        <v>36</v>
      </c>
      <c r="R415" s="20">
        <v>30505</v>
      </c>
      <c r="S415" s="21" t="str">
        <f>HYPERLINK("https://www.chattanoogacollege.edu", "$22023")</f>
        <v>$22023</v>
      </c>
      <c r="T415" s="20">
        <v>22651</v>
      </c>
      <c r="U415" s="20" t="s">
        <v>36</v>
      </c>
      <c r="V415" s="20">
        <v>11190</v>
      </c>
      <c r="W415" s="20">
        <v>10833</v>
      </c>
      <c r="Y415" s="19">
        <v>0.83730000000000004</v>
      </c>
      <c r="Z415" s="19">
        <v>0.41760000000000003</v>
      </c>
      <c r="AB415" s="18">
        <v>273</v>
      </c>
      <c r="AC415" s="18">
        <v>6</v>
      </c>
    </row>
    <row r="416" spans="1:29" ht="15.75" customHeight="1" x14ac:dyDescent="0.2">
      <c r="A416" s="36" t="str">
        <f>HYPERLINK("https://www.chattanoogastate.edu", "Chattanooga State Community College")</f>
        <v>Chattanooga State Community College</v>
      </c>
      <c r="B416" s="18" t="s">
        <v>49</v>
      </c>
      <c r="C416" s="18" t="s">
        <v>174</v>
      </c>
      <c r="D416" s="18" t="s">
        <v>1128</v>
      </c>
      <c r="E416" s="18" t="s">
        <v>36</v>
      </c>
      <c r="F416" s="18" t="s">
        <v>36</v>
      </c>
      <c r="J416" s="19"/>
      <c r="K416" s="19">
        <v>0.16350000000000001</v>
      </c>
      <c r="L416" s="19">
        <v>0.23885077199999999</v>
      </c>
      <c r="M416" s="19">
        <v>0.19070000000000001</v>
      </c>
      <c r="N416" s="19">
        <v>4.3499999999999997E-2</v>
      </c>
      <c r="O416" s="19">
        <v>0.22220000000000001</v>
      </c>
      <c r="P416" s="19">
        <v>0</v>
      </c>
      <c r="Q416" s="19">
        <v>5.3717840000000003E-2</v>
      </c>
      <c r="R416" s="20">
        <v>28627</v>
      </c>
      <c r="S416" s="21" t="str">
        <f>HYPERLINK("https://www.chattanoogastate.edu/financial/financial-aid/net-price-calculator", "$22412")</f>
        <v>$22412</v>
      </c>
      <c r="T416" s="20">
        <v>24456</v>
      </c>
      <c r="U416" s="20">
        <v>26984</v>
      </c>
      <c r="V416" s="20">
        <v>5700</v>
      </c>
      <c r="W416" s="20">
        <v>16712.156716417911</v>
      </c>
      <c r="Y416" s="19">
        <v>0.38919999999999999</v>
      </c>
      <c r="Z416" s="19">
        <v>0.22409999999999999</v>
      </c>
      <c r="AB416" s="18">
        <v>6402</v>
      </c>
      <c r="AC416" s="18">
        <v>6</v>
      </c>
    </row>
    <row r="417" spans="1:29" ht="15.75" customHeight="1" x14ac:dyDescent="0.2">
      <c r="A417" s="36" t="str">
        <f>HYPERLINK("https://www.chemeketa.edu", "Chemeketa Community College")</f>
        <v>Chemeketa Community College</v>
      </c>
      <c r="B417" s="18" t="s">
        <v>49</v>
      </c>
      <c r="C417" s="18" t="s">
        <v>143</v>
      </c>
      <c r="D417" s="18" t="s">
        <v>343</v>
      </c>
      <c r="E417" s="18" t="s">
        <v>36</v>
      </c>
      <c r="F417" s="18" t="s">
        <v>36</v>
      </c>
      <c r="J417" s="19"/>
      <c r="K417" s="19">
        <v>0.14799999999999999</v>
      </c>
      <c r="L417" s="19">
        <v>0.13256591200000001</v>
      </c>
      <c r="M417" s="19">
        <v>0.13689999999999999</v>
      </c>
      <c r="N417" s="19">
        <v>0.15379999999999999</v>
      </c>
      <c r="O417" s="19">
        <v>0.15110000000000001</v>
      </c>
      <c r="P417" s="19">
        <v>0.1</v>
      </c>
      <c r="Q417" s="19">
        <v>7.3249196000000003E-2</v>
      </c>
      <c r="R417" s="20">
        <v>26415</v>
      </c>
      <c r="S417" s="21" t="str">
        <f>HYPERLINK("https://www.chemeketa.edu/cost-aid/net-price-calculator/", "$22014")</f>
        <v>$22014</v>
      </c>
      <c r="T417" s="20">
        <v>23792</v>
      </c>
      <c r="U417" s="20">
        <v>26071</v>
      </c>
      <c r="V417" s="20">
        <v>3825</v>
      </c>
      <c r="W417" s="20">
        <v>18189.666666666672</v>
      </c>
      <c r="Y417" s="19">
        <v>0.36530000000000001</v>
      </c>
      <c r="Z417" s="19">
        <v>0.51790000000000003</v>
      </c>
      <c r="AB417" s="18">
        <v>8474</v>
      </c>
      <c r="AC417" s="18">
        <v>6</v>
      </c>
    </row>
    <row r="418" spans="1:29" ht="15.75" customHeight="1" x14ac:dyDescent="0.2">
      <c r="A418" s="36" t="str">
        <f>HYPERLINK("https://www.chesapeake.edu", "Chesapeake College")</f>
        <v>Chesapeake College</v>
      </c>
      <c r="B418" s="18" t="s">
        <v>49</v>
      </c>
      <c r="C418" s="18" t="s">
        <v>124</v>
      </c>
      <c r="D418" s="18" t="s">
        <v>1131</v>
      </c>
      <c r="E418" s="18" t="s">
        <v>36</v>
      </c>
      <c r="F418" s="18" t="s">
        <v>36</v>
      </c>
      <c r="J418" s="19"/>
      <c r="K418" s="19">
        <v>0.18099999999999999</v>
      </c>
      <c r="L418" s="19">
        <v>0.16078431400000001</v>
      </c>
      <c r="M418" s="19">
        <v>0.1888</v>
      </c>
      <c r="N418" s="19">
        <v>4.2599999999999999E-2</v>
      </c>
      <c r="O418" s="19">
        <v>0.375</v>
      </c>
      <c r="P418" s="19">
        <v>0.4</v>
      </c>
      <c r="Q418" s="19">
        <v>6.6473987999999998E-2</v>
      </c>
      <c r="R418" s="20">
        <v>15600</v>
      </c>
      <c r="S418" s="21" t="str">
        <f>HYPERLINK("https://www.chesapeake.edu/sites/default/files/npcalc18_0.htm", "$10315")</f>
        <v>$10315</v>
      </c>
      <c r="T418" s="20">
        <v>12169</v>
      </c>
      <c r="U418" s="20">
        <v>11198</v>
      </c>
      <c r="V418" s="20">
        <v>4672</v>
      </c>
      <c r="W418" s="20">
        <v>5643.4862385321103</v>
      </c>
      <c r="Y418" s="19">
        <v>0.37309999999999999</v>
      </c>
      <c r="Z418" s="19">
        <v>0.31940000000000002</v>
      </c>
      <c r="AB418" s="18">
        <v>1744</v>
      </c>
      <c r="AC418" s="18">
        <v>6</v>
      </c>
    </row>
    <row r="419" spans="1:29" ht="15.75" customHeight="1" x14ac:dyDescent="0.2">
      <c r="A419" s="36" t="str">
        <f>HYPERLINK("https://www.chc.edu", "Chestnut Hill College")</f>
        <v>Chestnut Hill College</v>
      </c>
      <c r="B419" s="18" t="s">
        <v>32</v>
      </c>
      <c r="C419" s="18" t="s">
        <v>65</v>
      </c>
      <c r="D419" s="18" t="s">
        <v>168</v>
      </c>
      <c r="E419" s="18">
        <v>1060</v>
      </c>
      <c r="F419" s="18" t="s">
        <v>35</v>
      </c>
      <c r="J419" s="19"/>
      <c r="K419" s="19">
        <v>0.55000000000000004</v>
      </c>
      <c r="L419" s="19">
        <v>0.56896551699999998</v>
      </c>
      <c r="M419" s="19">
        <v>0.62360000000000004</v>
      </c>
      <c r="N419" s="19">
        <v>0.16669999999999999</v>
      </c>
      <c r="O419" s="19">
        <v>0.56520000000000004</v>
      </c>
      <c r="P419" s="19">
        <v>0.5</v>
      </c>
      <c r="Q419" s="19"/>
      <c r="R419" s="20">
        <v>52256</v>
      </c>
      <c r="S419" s="21" t="str">
        <f>HYPERLINK("https://www.chc.edu/financial-services/undergraduate/net-payment-calculator-first-year-students", "$20533")</f>
        <v>$20533</v>
      </c>
      <c r="T419" s="20">
        <v>22251</v>
      </c>
      <c r="U419" s="20">
        <v>25808</v>
      </c>
      <c r="V419" s="20">
        <v>6476</v>
      </c>
      <c r="W419" s="20">
        <v>14057</v>
      </c>
      <c r="Y419" s="19">
        <v>0.48039999999999999</v>
      </c>
      <c r="Z419" s="19">
        <v>0.60139999999999993</v>
      </c>
      <c r="AB419" s="18">
        <v>1317</v>
      </c>
      <c r="AC419" s="18">
        <v>5</v>
      </c>
    </row>
    <row r="420" spans="1:29" ht="15.75" customHeight="1" x14ac:dyDescent="0.2">
      <c r="A420" s="36" t="str">
        <f>HYPERLINK("https://www.cheyney.edu", "Cheyney University of Pennsylvania")</f>
        <v>Cheyney University of Pennsylvania</v>
      </c>
      <c r="B420" s="18" t="s">
        <v>49</v>
      </c>
      <c r="C420" s="18" t="s">
        <v>65</v>
      </c>
      <c r="D420" s="18" t="s">
        <v>684</v>
      </c>
      <c r="E420" s="18" t="s">
        <v>36</v>
      </c>
      <c r="F420" s="18" t="s">
        <v>36</v>
      </c>
      <c r="J420" s="19"/>
      <c r="K420" s="19">
        <v>0.25619999999999998</v>
      </c>
      <c r="L420" s="19">
        <v>0.162420382</v>
      </c>
      <c r="M420" s="19">
        <v>1</v>
      </c>
      <c r="N420" s="19">
        <v>0.23499999999999999</v>
      </c>
      <c r="O420" s="19">
        <v>0.66669999999999996</v>
      </c>
      <c r="P420" s="19" t="s">
        <v>36</v>
      </c>
      <c r="Q420" s="19"/>
      <c r="R420" s="20">
        <v>33938</v>
      </c>
      <c r="S420" s="21" t="str">
        <f>HYPERLINK("https://www.passhe.edu/answers/Calculator/CH/npcalc-211608.htm", "$24567")</f>
        <v>$24567</v>
      </c>
      <c r="T420" s="20">
        <v>28580</v>
      </c>
      <c r="U420" s="20">
        <v>30196</v>
      </c>
      <c r="V420" s="20">
        <v>4786</v>
      </c>
      <c r="W420" s="20">
        <v>19781.84615384616</v>
      </c>
      <c r="Y420" s="19">
        <v>0.73770000000000002</v>
      </c>
      <c r="Z420" s="19">
        <v>0.98060000000000003</v>
      </c>
      <c r="AB420" s="18">
        <v>722</v>
      </c>
      <c r="AC420" s="18">
        <v>5</v>
      </c>
    </row>
    <row r="421" spans="1:29" ht="15.75" customHeight="1" x14ac:dyDescent="0.2">
      <c r="A421" s="36" t="str">
        <f>HYPERLINK("https://www.csu.edu", "Chicago State University")</f>
        <v>Chicago State University</v>
      </c>
      <c r="B421" s="18" t="s">
        <v>49</v>
      </c>
      <c r="C421" s="18" t="s">
        <v>137</v>
      </c>
      <c r="D421" s="18" t="s">
        <v>161</v>
      </c>
      <c r="E421" s="18">
        <v>952</v>
      </c>
      <c r="F421" s="18" t="s">
        <v>35</v>
      </c>
      <c r="J421" s="19"/>
      <c r="K421" s="19">
        <v>0.13020000000000001</v>
      </c>
      <c r="L421" s="19">
        <v>0.30130668700000002</v>
      </c>
      <c r="M421" s="19">
        <v>0.2</v>
      </c>
      <c r="N421" s="19">
        <v>0.1225</v>
      </c>
      <c r="O421" s="19">
        <v>3.5700000000000003E-2</v>
      </c>
      <c r="P421" s="19" t="s">
        <v>36</v>
      </c>
      <c r="Q421" s="19"/>
      <c r="R421" s="20">
        <v>31636</v>
      </c>
      <c r="S421" s="21" t="str">
        <f>HYPERLINK("https://www.csu.edu/financialaid/netpricecalculator.htm", "$22873")</f>
        <v>$22873</v>
      </c>
      <c r="T421" s="20">
        <v>27347</v>
      </c>
      <c r="U421" s="20" t="s">
        <v>36</v>
      </c>
      <c r="V421" s="20">
        <v>5700</v>
      </c>
      <c r="W421" s="20">
        <v>17173.5</v>
      </c>
      <c r="Y421" s="19">
        <v>0.63439999999999996</v>
      </c>
      <c r="Z421" s="19">
        <v>0.96050000000000002</v>
      </c>
      <c r="AB421" s="18">
        <v>2025</v>
      </c>
      <c r="AC421" s="18">
        <v>4</v>
      </c>
    </row>
    <row r="422" spans="1:29" ht="15.75" customHeight="1" x14ac:dyDescent="0.2">
      <c r="A422" s="36" t="str">
        <f>HYPERLINK("https://cdkc.edu", "Chief Dull Knife College")</f>
        <v>Chief Dull Knife College</v>
      </c>
      <c r="B422" s="18" t="s">
        <v>49</v>
      </c>
      <c r="C422" s="18" t="s">
        <v>421</v>
      </c>
      <c r="D422" s="18" t="s">
        <v>1132</v>
      </c>
      <c r="E422" s="18" t="s">
        <v>36</v>
      </c>
      <c r="F422" s="18" t="s">
        <v>36</v>
      </c>
      <c r="J422" s="19"/>
      <c r="K422" s="19">
        <v>0.3448</v>
      </c>
      <c r="L422" s="19" t="s">
        <v>36</v>
      </c>
      <c r="M422" s="19">
        <v>1</v>
      </c>
      <c r="N422" s="19" t="s">
        <v>36</v>
      </c>
      <c r="O422" s="19" t="s">
        <v>36</v>
      </c>
      <c r="P422" s="19" t="s">
        <v>36</v>
      </c>
      <c r="Q422" s="19" t="s">
        <v>36</v>
      </c>
      <c r="R422" s="20">
        <v>12660</v>
      </c>
      <c r="S422" s="21" t="str">
        <f>HYPERLINK("https://cdkc.edu", "$6794")</f>
        <v>$6794</v>
      </c>
      <c r="T422" s="20">
        <v>8582</v>
      </c>
      <c r="U422" s="20" t="s">
        <v>36</v>
      </c>
      <c r="V422" s="20">
        <v>5000</v>
      </c>
      <c r="W422" s="20">
        <v>1794</v>
      </c>
      <c r="Y422" s="19">
        <v>0.50600000000000001</v>
      </c>
      <c r="Z422" s="19">
        <v>0.90480000000000005</v>
      </c>
      <c r="AB422" s="18">
        <v>126</v>
      </c>
      <c r="AC422" s="18">
        <v>6</v>
      </c>
    </row>
    <row r="423" spans="1:29" ht="15.75" customHeight="1" x14ac:dyDescent="0.2">
      <c r="A423" s="36" t="str">
        <f>HYPERLINK("https://www.chipola.edu", "Chipola College")</f>
        <v>Chipola College</v>
      </c>
      <c r="B423" s="18" t="s">
        <v>49</v>
      </c>
      <c r="C423" s="18" t="s">
        <v>162</v>
      </c>
      <c r="D423" s="18" t="s">
        <v>1134</v>
      </c>
      <c r="E423" s="18" t="s">
        <v>36</v>
      </c>
      <c r="F423" s="18" t="s">
        <v>36</v>
      </c>
      <c r="J423" s="19"/>
      <c r="K423" s="19">
        <v>0.49540000000000001</v>
      </c>
      <c r="L423" s="19">
        <v>0.171348315</v>
      </c>
      <c r="M423" s="19">
        <v>0.5333</v>
      </c>
      <c r="N423" s="19">
        <v>0.33960000000000001</v>
      </c>
      <c r="O423" s="19">
        <v>0.33329999999999999</v>
      </c>
      <c r="P423" s="19">
        <v>0.5</v>
      </c>
      <c r="Q423" s="19">
        <v>0.100917431</v>
      </c>
      <c r="R423" s="20">
        <v>17245</v>
      </c>
      <c r="S423" s="21" t="str">
        <f>HYPERLINK("https://www.chipola.edu/financialaid/NetPriceCalculator-14/npcalc.htm", "$11244")</f>
        <v>$11244</v>
      </c>
      <c r="T423" s="20">
        <v>12951</v>
      </c>
      <c r="U423" s="20" t="s">
        <v>36</v>
      </c>
      <c r="V423" s="20">
        <v>3735</v>
      </c>
      <c r="W423" s="20">
        <v>7509.9363057324836</v>
      </c>
      <c r="Y423" s="19">
        <v>0.35680000000000001</v>
      </c>
      <c r="Z423" s="19">
        <v>0.28480000000000011</v>
      </c>
      <c r="AB423" s="18">
        <v>1482</v>
      </c>
      <c r="AC423" s="18">
        <v>6</v>
      </c>
    </row>
    <row r="424" spans="1:29" ht="15.75" customHeight="1" x14ac:dyDescent="0.2">
      <c r="A424" s="36" t="str">
        <f>HYPERLINK("https://www.cbu.edu", "Christian Brothers University")</f>
        <v>Christian Brothers University</v>
      </c>
      <c r="B424" s="18" t="s">
        <v>32</v>
      </c>
      <c r="C424" s="18" t="s">
        <v>174</v>
      </c>
      <c r="D424" s="18" t="s">
        <v>207</v>
      </c>
      <c r="E424" s="18">
        <v>1180</v>
      </c>
      <c r="F424" s="18" t="s">
        <v>35</v>
      </c>
      <c r="J424" s="19"/>
      <c r="K424" s="19">
        <v>0.43319999999999997</v>
      </c>
      <c r="L424" s="19">
        <v>0.39160839200000003</v>
      </c>
      <c r="M424" s="19">
        <v>0.47289999999999999</v>
      </c>
      <c r="N424" s="19">
        <v>0.33329999999999999</v>
      </c>
      <c r="O424" s="19">
        <v>0.55559999999999998</v>
      </c>
      <c r="P424" s="19">
        <v>0.52939999999999998</v>
      </c>
      <c r="Q424" s="19"/>
      <c r="R424" s="20">
        <v>44430</v>
      </c>
      <c r="S424" s="21" t="str">
        <f>HYPERLINK("https://www.cbu.edu/calculator", "$7895")</f>
        <v>$7895</v>
      </c>
      <c r="T424" s="20">
        <v>11527</v>
      </c>
      <c r="U424" s="20">
        <v>10947</v>
      </c>
      <c r="V424" s="20">
        <v>3806</v>
      </c>
      <c r="W424" s="20">
        <v>4089</v>
      </c>
      <c r="Y424" s="19">
        <v>0.33610000000000001</v>
      </c>
      <c r="Z424" s="19">
        <v>0.59830000000000005</v>
      </c>
      <c r="AB424" s="18">
        <v>1521</v>
      </c>
      <c r="AC424" s="18">
        <v>2</v>
      </c>
    </row>
    <row r="425" spans="1:29" ht="15.75" customHeight="1" x14ac:dyDescent="0.2">
      <c r="A425" s="36" t="str">
        <f>HYPERLINK("https://www.christianlifecollege.edu", "Christian Life College")</f>
        <v>Christian Life College</v>
      </c>
      <c r="B425" s="18" t="s">
        <v>32</v>
      </c>
      <c r="C425" s="18" t="s">
        <v>137</v>
      </c>
      <c r="D425" s="18" t="s">
        <v>1136</v>
      </c>
      <c r="E425" s="18" t="s">
        <v>36</v>
      </c>
      <c r="F425" s="18" t="s">
        <v>36</v>
      </c>
      <c r="J425" s="19"/>
      <c r="K425" s="19">
        <v>0.4</v>
      </c>
      <c r="L425" s="19" t="s">
        <v>36</v>
      </c>
      <c r="M425" s="19">
        <v>0.5</v>
      </c>
      <c r="N425" s="19">
        <v>1</v>
      </c>
      <c r="O425" s="19" t="s">
        <v>36</v>
      </c>
      <c r="P425" s="19" t="s">
        <v>36</v>
      </c>
      <c r="Q425" s="19" t="s">
        <v>36</v>
      </c>
      <c r="R425" s="20">
        <v>12613</v>
      </c>
      <c r="S425" s="21" t="str">
        <f>HYPERLINK("https://www.christianlifecollege.edu/#/admissions/tuition", "Not reported")</f>
        <v>Not reported</v>
      </c>
      <c r="T425" s="20" t="s">
        <v>36</v>
      </c>
      <c r="U425" s="20">
        <v>11425</v>
      </c>
      <c r="V425" s="20">
        <v>2782</v>
      </c>
      <c r="W425" s="20" t="s">
        <v>36</v>
      </c>
      <c r="Y425" s="19">
        <v>0.15379999999999999</v>
      </c>
      <c r="Z425" s="19">
        <v>0.49249999999999999</v>
      </c>
      <c r="AB425" s="18">
        <v>67</v>
      </c>
      <c r="AC425" s="18">
        <v>6</v>
      </c>
    </row>
    <row r="426" spans="1:29" ht="15.75" customHeight="1" x14ac:dyDescent="0.2">
      <c r="A426" s="36" t="str">
        <f>HYPERLINK("https://cnu.edu/", "Christopher Newport University")</f>
        <v>Christopher Newport University</v>
      </c>
      <c r="B426" s="18" t="s">
        <v>49</v>
      </c>
      <c r="C426" s="18" t="s">
        <v>83</v>
      </c>
      <c r="D426" s="18" t="s">
        <v>329</v>
      </c>
      <c r="E426" s="18" t="s">
        <v>36</v>
      </c>
      <c r="F426" s="18" t="s">
        <v>90</v>
      </c>
      <c r="J426" s="19"/>
      <c r="K426" s="19">
        <v>0.74539999999999995</v>
      </c>
      <c r="L426" s="19">
        <v>0.50588235299999995</v>
      </c>
      <c r="M426" s="19">
        <v>0.74950000000000006</v>
      </c>
      <c r="N426" s="19">
        <v>0.69469999999999998</v>
      </c>
      <c r="O426" s="19">
        <v>0.76559999999999995</v>
      </c>
      <c r="P426" s="19">
        <v>0.625</v>
      </c>
      <c r="Q426" s="19"/>
      <c r="R426" s="20">
        <v>41876</v>
      </c>
      <c r="S426" s="21" t="str">
        <f>HYPERLINK("https://cnu.edu/financialaid/calculator/npcalc1415.htm", "$32561")</f>
        <v>$32561</v>
      </c>
      <c r="T426" s="20">
        <v>35486</v>
      </c>
      <c r="U426" s="20">
        <v>36606</v>
      </c>
      <c r="V426" s="20">
        <v>4802</v>
      </c>
      <c r="W426" s="20">
        <v>27759.546511627908</v>
      </c>
      <c r="Y426" s="19">
        <v>0.1469</v>
      </c>
      <c r="Z426" s="19">
        <v>0.24829999999999999</v>
      </c>
      <c r="AB426" s="18">
        <v>4950</v>
      </c>
      <c r="AC426" s="18">
        <v>3</v>
      </c>
    </row>
    <row r="427" spans="1:29" ht="15.75" customHeight="1" x14ac:dyDescent="0.2">
      <c r="A427" s="36" t="str">
        <f>HYPERLINK("https://WWW.CCMS.EDU", "Cincinnati College of Mortuary Science")</f>
        <v>Cincinnati College of Mortuary Science</v>
      </c>
      <c r="B427" s="18" t="s">
        <v>32</v>
      </c>
      <c r="C427" s="18" t="s">
        <v>75</v>
      </c>
      <c r="D427" s="18" t="s">
        <v>502</v>
      </c>
      <c r="E427" s="18" t="s">
        <v>36</v>
      </c>
      <c r="F427" s="18" t="s">
        <v>36</v>
      </c>
      <c r="J427" s="19"/>
      <c r="K427" s="19">
        <v>0.33329999999999999</v>
      </c>
      <c r="L427" s="19">
        <v>0.6875</v>
      </c>
      <c r="M427" s="19">
        <v>0</v>
      </c>
      <c r="N427" s="19">
        <v>0.5</v>
      </c>
      <c r="O427" s="19" t="s">
        <v>36</v>
      </c>
      <c r="P427" s="19" t="s">
        <v>36</v>
      </c>
      <c r="Q427" s="19" t="s">
        <v>36</v>
      </c>
      <c r="R427" s="20" t="s">
        <v>36</v>
      </c>
      <c r="S427" s="21" t="str">
        <f>HYPERLINK("https://WWW.CCMS.EDU", "Not reported")</f>
        <v>Not reported</v>
      </c>
      <c r="T427" s="20" t="s">
        <v>36</v>
      </c>
      <c r="U427" s="20" t="s">
        <v>36</v>
      </c>
      <c r="V427" s="20" t="s">
        <v>36</v>
      </c>
      <c r="W427" s="20" t="s">
        <v>36</v>
      </c>
      <c r="Y427" s="19">
        <v>0.34379999999999999</v>
      </c>
      <c r="Z427" s="19">
        <v>0.2</v>
      </c>
      <c r="AB427" s="18">
        <v>85</v>
      </c>
      <c r="AC427" s="18">
        <v>6</v>
      </c>
    </row>
    <row r="428" spans="1:29" ht="15.75" customHeight="1" x14ac:dyDescent="0.2">
      <c r="A428" s="36" t="str">
        <f>HYPERLINK("https://www.cincinnatistate.edu", "Cincinnati State Technical and Community College")</f>
        <v>Cincinnati State Technical and Community College</v>
      </c>
      <c r="B428" s="18" t="s">
        <v>49</v>
      </c>
      <c r="C428" s="18" t="s">
        <v>75</v>
      </c>
      <c r="D428" s="18" t="s">
        <v>502</v>
      </c>
      <c r="E428" s="18" t="s">
        <v>36</v>
      </c>
      <c r="F428" s="18" t="s">
        <v>36</v>
      </c>
      <c r="J428" s="19"/>
      <c r="K428" s="19">
        <v>0.1497</v>
      </c>
      <c r="L428" s="19">
        <v>6.8675745999999996E-2</v>
      </c>
      <c r="M428" s="19">
        <v>0.1769</v>
      </c>
      <c r="N428" s="19">
        <v>7.22E-2</v>
      </c>
      <c r="O428" s="19">
        <v>0.22220000000000001</v>
      </c>
      <c r="P428" s="19">
        <v>0.2</v>
      </c>
      <c r="Q428" s="19">
        <v>8.7605685000000003E-2</v>
      </c>
      <c r="R428" s="20">
        <v>15157</v>
      </c>
      <c r="S428" s="21" t="str">
        <f>HYPERLINK("https://www.cincinnatistate.edu/academics/financial-aid/financial-aid-resources", "$11869")</f>
        <v>$11869</v>
      </c>
      <c r="T428" s="20">
        <v>13536</v>
      </c>
      <c r="U428" s="20">
        <v>14574</v>
      </c>
      <c r="V428" s="20">
        <v>3492</v>
      </c>
      <c r="W428" s="20">
        <v>8377.9392857142848</v>
      </c>
      <c r="Y428" s="19">
        <v>0.33339999999999997</v>
      </c>
      <c r="Z428" s="19">
        <v>0.42749999999999999</v>
      </c>
      <c r="AB428" s="18">
        <v>6934</v>
      </c>
      <c r="AC428" s="18">
        <v>6</v>
      </c>
    </row>
    <row r="429" spans="1:29" ht="15.75" customHeight="1" x14ac:dyDescent="0.2">
      <c r="A429" s="36" t="str">
        <f>HYPERLINK("https://www.cisco.edu", "Cisco College")</f>
        <v>Cisco College</v>
      </c>
      <c r="B429" s="18" t="s">
        <v>49</v>
      </c>
      <c r="C429" s="18" t="s">
        <v>146</v>
      </c>
      <c r="D429" s="18" t="s">
        <v>1139</v>
      </c>
      <c r="E429" s="18" t="s">
        <v>36</v>
      </c>
      <c r="F429" s="18" t="s">
        <v>36</v>
      </c>
      <c r="J429" s="19"/>
      <c r="K429" s="19">
        <v>0.2379</v>
      </c>
      <c r="L429" s="19">
        <v>2.5025024999999999E-2</v>
      </c>
      <c r="M429" s="19">
        <v>0.26850000000000002</v>
      </c>
      <c r="N429" s="19">
        <v>7.1400000000000005E-2</v>
      </c>
      <c r="O429" s="19">
        <v>0.32429999999999998</v>
      </c>
      <c r="P429" s="19">
        <v>0</v>
      </c>
      <c r="Q429" s="19">
        <v>0.116536458</v>
      </c>
      <c r="R429" s="20">
        <v>15731</v>
      </c>
      <c r="S429" s="21" t="str">
        <f>HYPERLINK("https://www.collegeforalltexans.com/apps/CollegeMoney/", "$9714")</f>
        <v>$9714</v>
      </c>
      <c r="T429" s="20">
        <v>12300</v>
      </c>
      <c r="U429" s="20">
        <v>8351</v>
      </c>
      <c r="V429" s="20">
        <v>6743</v>
      </c>
      <c r="W429" s="20">
        <v>2971.2631578947371</v>
      </c>
      <c r="Y429" s="19">
        <v>0.2737</v>
      </c>
      <c r="Z429" s="19">
        <v>0.39150000000000001</v>
      </c>
      <c r="AB429" s="18">
        <v>3160</v>
      </c>
      <c r="AC429" s="18">
        <v>6</v>
      </c>
    </row>
    <row r="430" spans="1:29" ht="15.75" customHeight="1" x14ac:dyDescent="0.2">
      <c r="A430" s="36" t="str">
        <f>HYPERLINK("https://www.citadel.edu", "Citadel Military College of South Carolina")</f>
        <v>Citadel Military College of South Carolina</v>
      </c>
      <c r="B430" s="18" t="s">
        <v>49</v>
      </c>
      <c r="C430" s="18" t="s">
        <v>208</v>
      </c>
      <c r="D430" s="18" t="s">
        <v>334</v>
      </c>
      <c r="E430" s="18">
        <v>1123</v>
      </c>
      <c r="F430" s="18" t="s">
        <v>35</v>
      </c>
      <c r="J430" s="19"/>
      <c r="K430" s="19">
        <v>0.73429999999999995</v>
      </c>
      <c r="L430" s="19">
        <v>0.52586206899999999</v>
      </c>
      <c r="M430" s="19">
        <v>0.74129999999999996</v>
      </c>
      <c r="N430" s="19">
        <v>0.54169999999999996</v>
      </c>
      <c r="O430" s="19">
        <v>0.75</v>
      </c>
      <c r="P430" s="19">
        <v>0.77780000000000005</v>
      </c>
      <c r="Q430" s="19"/>
      <c r="R430" s="20">
        <v>50506</v>
      </c>
      <c r="S430" s="21" t="str">
        <f>HYPERLINK("https://www.citadel.edu/root/net-price-calculator", "$34550")</f>
        <v>$34550</v>
      </c>
      <c r="T430" s="20">
        <v>36788</v>
      </c>
      <c r="U430" s="20">
        <v>44111</v>
      </c>
      <c r="V430" s="20">
        <v>10087</v>
      </c>
      <c r="W430" s="20">
        <v>24463.038961038961</v>
      </c>
      <c r="Y430" s="19">
        <v>0.22500000000000001</v>
      </c>
      <c r="Z430" s="19">
        <v>0.25230000000000002</v>
      </c>
      <c r="AB430" s="18">
        <v>2814</v>
      </c>
      <c r="AC430" s="18">
        <v>4</v>
      </c>
    </row>
    <row r="431" spans="1:29" ht="15.75" customHeight="1" x14ac:dyDescent="0.2">
      <c r="A431" s="36" t="str">
        <f>HYPERLINK("https://www.citruscollege.edu", "Citrus College")</f>
        <v>Citrus College</v>
      </c>
      <c r="B431" s="18" t="s">
        <v>49</v>
      </c>
      <c r="C431" s="18" t="s">
        <v>68</v>
      </c>
      <c r="D431" s="18" t="s">
        <v>1141</v>
      </c>
      <c r="E431" s="18" t="s">
        <v>36</v>
      </c>
      <c r="F431" s="18" t="s">
        <v>36</v>
      </c>
      <c r="J431" s="19"/>
      <c r="K431" s="19">
        <v>0.38490000000000002</v>
      </c>
      <c r="L431" s="19">
        <v>0.10290827700000001</v>
      </c>
      <c r="M431" s="19">
        <v>0.49059999999999998</v>
      </c>
      <c r="N431" s="19">
        <v>0.27589999999999998</v>
      </c>
      <c r="O431" s="19">
        <v>0.3347</v>
      </c>
      <c r="P431" s="19">
        <v>0.51139999999999997</v>
      </c>
      <c r="Q431" s="19">
        <v>0.100827097</v>
      </c>
      <c r="R431" s="20">
        <v>24400</v>
      </c>
      <c r="S431" s="21" t="str">
        <f>HYPERLINK("https://misweb.cccco.edu/npc/821/npcalc.htm", "$17997")</f>
        <v>$17997</v>
      </c>
      <c r="T431" s="20">
        <v>21435</v>
      </c>
      <c r="U431" s="20">
        <v>22624</v>
      </c>
      <c r="V431" s="20">
        <v>5949</v>
      </c>
      <c r="W431" s="20">
        <v>12048.031055900619</v>
      </c>
      <c r="Y431" s="19">
        <v>0.311</v>
      </c>
      <c r="Z431" s="19">
        <v>0.83360000000000001</v>
      </c>
      <c r="AB431" s="18">
        <v>11629</v>
      </c>
      <c r="AC431" s="18">
        <v>6</v>
      </c>
    </row>
    <row r="432" spans="1:29" ht="15.75" customHeight="1" x14ac:dyDescent="0.2">
      <c r="A432" s="36" t="str">
        <f>HYPERLINK("https://www.msubillings.edu/citycollege/", "City College Montana State University Billings")</f>
        <v>City College Montana State University Billings</v>
      </c>
      <c r="B432" s="18" t="s">
        <v>49</v>
      </c>
      <c r="C432" s="18" t="s">
        <v>421</v>
      </c>
      <c r="D432" s="18" t="s">
        <v>685</v>
      </c>
      <c r="E432" s="18" t="s">
        <v>36</v>
      </c>
      <c r="F432" s="18" t="s">
        <v>36</v>
      </c>
      <c r="J432" s="19"/>
      <c r="K432" s="19" t="s">
        <v>36</v>
      </c>
      <c r="L432" s="19">
        <v>0.15279672599999999</v>
      </c>
      <c r="M432" s="19" t="s">
        <v>36</v>
      </c>
      <c r="N432" s="19" t="s">
        <v>36</v>
      </c>
      <c r="O432" s="19" t="s">
        <v>36</v>
      </c>
      <c r="P432" s="19" t="s">
        <v>36</v>
      </c>
      <c r="Q432" s="19"/>
      <c r="R432" s="20" t="s">
        <v>36</v>
      </c>
      <c r="S432" s="35" t="s">
        <v>36</v>
      </c>
      <c r="T432" s="20" t="s">
        <v>36</v>
      </c>
      <c r="U432" s="20" t="s">
        <v>36</v>
      </c>
      <c r="V432" s="20" t="s">
        <v>36</v>
      </c>
      <c r="W432" s="20" t="s">
        <v>36</v>
      </c>
      <c r="Y432" s="19" t="s">
        <v>36</v>
      </c>
      <c r="Z432" s="19" t="s">
        <v>36</v>
      </c>
      <c r="AB432" s="18" t="s">
        <v>36</v>
      </c>
      <c r="AC432" s="18">
        <v>5</v>
      </c>
    </row>
    <row r="433" spans="1:29" ht="15.75" customHeight="1" x14ac:dyDescent="0.2">
      <c r="A433" s="36" t="str">
        <f>HYPERLINK("https://www.citycollege.edu", "City College-Altamonte Springs")</f>
        <v>City College-Altamonte Springs</v>
      </c>
      <c r="B433" s="18" t="s">
        <v>32</v>
      </c>
      <c r="C433" s="18" t="s">
        <v>162</v>
      </c>
      <c r="D433" s="18" t="s">
        <v>1142</v>
      </c>
      <c r="E433" s="18" t="s">
        <v>36</v>
      </c>
      <c r="F433" s="18" t="s">
        <v>36</v>
      </c>
      <c r="J433" s="19"/>
      <c r="K433" s="19">
        <v>0.28570000000000001</v>
      </c>
      <c r="L433" s="19">
        <v>0.32727272699999999</v>
      </c>
      <c r="M433" s="19">
        <v>0.33329999999999999</v>
      </c>
      <c r="N433" s="19">
        <v>0.1</v>
      </c>
      <c r="O433" s="19">
        <v>0.5</v>
      </c>
      <c r="P433" s="19">
        <v>0</v>
      </c>
      <c r="Q433" s="19">
        <v>5.1903114000000007E-2</v>
      </c>
      <c r="R433" s="20">
        <v>31283</v>
      </c>
      <c r="S433" s="21" t="str">
        <f>HYPERLINK("https://www.citycollege.edu/financial-aid/net-price-calculator/", "$18498")</f>
        <v>$18498</v>
      </c>
      <c r="T433" s="20" t="s">
        <v>36</v>
      </c>
      <c r="U433" s="20" t="s">
        <v>36</v>
      </c>
      <c r="V433" s="20">
        <v>7670</v>
      </c>
      <c r="W433" s="20">
        <v>10828</v>
      </c>
      <c r="Y433" s="19">
        <v>0.76139999999999997</v>
      </c>
      <c r="Z433" s="19">
        <v>0.73540000000000005</v>
      </c>
      <c r="AB433" s="18">
        <v>189</v>
      </c>
      <c r="AC433" s="18">
        <v>6</v>
      </c>
    </row>
    <row r="434" spans="1:29" ht="15.75" customHeight="1" x14ac:dyDescent="0.2">
      <c r="A434" s="36" t="str">
        <f>HYPERLINK("https://www.citycollege.edu", "City College-Fort Lauderdale")</f>
        <v>City College-Fort Lauderdale</v>
      </c>
      <c r="B434" s="18" t="s">
        <v>32</v>
      </c>
      <c r="C434" s="18" t="s">
        <v>162</v>
      </c>
      <c r="D434" s="18" t="s">
        <v>433</v>
      </c>
      <c r="E434" s="18" t="s">
        <v>36</v>
      </c>
      <c r="F434" s="18" t="s">
        <v>36</v>
      </c>
      <c r="J434" s="19"/>
      <c r="K434" s="19">
        <v>0.371</v>
      </c>
      <c r="L434" s="19">
        <v>0.350444225</v>
      </c>
      <c r="M434" s="19">
        <v>0.42859999999999998</v>
      </c>
      <c r="N434" s="19">
        <v>0.47060000000000002</v>
      </c>
      <c r="O434" s="19">
        <v>0.28570000000000001</v>
      </c>
      <c r="P434" s="19">
        <v>0</v>
      </c>
      <c r="Q434" s="19">
        <v>4.8324239999999997E-2</v>
      </c>
      <c r="R434" s="20">
        <v>31306</v>
      </c>
      <c r="S434" s="21" t="str">
        <f>HYPERLINK("https://www.citycollege.edu/financial_aid/net-price-calculator", "$21496")</f>
        <v>$21496</v>
      </c>
      <c r="T434" s="20" t="s">
        <v>36</v>
      </c>
      <c r="U434" s="20" t="s">
        <v>36</v>
      </c>
      <c r="V434" s="20">
        <v>7693</v>
      </c>
      <c r="W434" s="20">
        <v>13803</v>
      </c>
      <c r="Y434" s="19">
        <v>0.70089999999999997</v>
      </c>
      <c r="Z434" s="19">
        <v>0.8579</v>
      </c>
      <c r="AB434" s="18">
        <v>401</v>
      </c>
      <c r="AC434" s="18">
        <v>6</v>
      </c>
    </row>
    <row r="435" spans="1:29" ht="15.75" customHeight="1" x14ac:dyDescent="0.2">
      <c r="A435" s="36" t="str">
        <f>HYPERLINK("https://www.citycollege.edu", "City College-Gainesville")</f>
        <v>City College-Gainesville</v>
      </c>
      <c r="B435" s="18" t="s">
        <v>32</v>
      </c>
      <c r="C435" s="18" t="s">
        <v>162</v>
      </c>
      <c r="D435" s="18" t="s">
        <v>277</v>
      </c>
      <c r="E435" s="18" t="s">
        <v>36</v>
      </c>
      <c r="F435" s="18" t="s">
        <v>36</v>
      </c>
      <c r="J435" s="19"/>
      <c r="K435" s="19">
        <v>0.30430000000000001</v>
      </c>
      <c r="L435" s="19">
        <v>0.350444225</v>
      </c>
      <c r="M435" s="19">
        <v>0.26319999999999999</v>
      </c>
      <c r="N435" s="19">
        <v>0.1905</v>
      </c>
      <c r="O435" s="19">
        <v>1</v>
      </c>
      <c r="P435" s="19" t="s">
        <v>36</v>
      </c>
      <c r="Q435" s="19">
        <v>4.8324239999999997E-2</v>
      </c>
      <c r="R435" s="20">
        <v>31306</v>
      </c>
      <c r="S435" s="21" t="str">
        <f>HYPERLINK("https://www.citycollege.edu/financial_aid/net-price-calculator", "$19147")</f>
        <v>$19147</v>
      </c>
      <c r="T435" s="20">
        <v>19566</v>
      </c>
      <c r="U435" s="20" t="s">
        <v>36</v>
      </c>
      <c r="V435" s="20">
        <v>7693</v>
      </c>
      <c r="W435" s="20">
        <v>11454</v>
      </c>
      <c r="Y435" s="19">
        <v>0.85750000000000004</v>
      </c>
      <c r="Z435" s="19">
        <v>0.59529999999999994</v>
      </c>
      <c r="AB435" s="18">
        <v>257</v>
      </c>
      <c r="AC435" s="18">
        <v>6</v>
      </c>
    </row>
    <row r="436" spans="1:29" ht="15.75" customHeight="1" x14ac:dyDescent="0.2">
      <c r="A436" s="36" t="str">
        <f>HYPERLINK("https://www.citycollege.edu", "City College-Hollywood")</f>
        <v>City College-Hollywood</v>
      </c>
      <c r="B436" s="18" t="s">
        <v>32</v>
      </c>
      <c r="C436" s="18" t="s">
        <v>162</v>
      </c>
      <c r="D436" s="18" t="s">
        <v>762</v>
      </c>
      <c r="E436" s="18" t="s">
        <v>36</v>
      </c>
      <c r="F436" s="18" t="s">
        <v>36</v>
      </c>
      <c r="J436" s="19"/>
      <c r="K436" s="19">
        <v>0.2</v>
      </c>
      <c r="L436" s="19">
        <v>0.350444225</v>
      </c>
      <c r="M436" s="19">
        <v>0</v>
      </c>
      <c r="N436" s="19">
        <v>0</v>
      </c>
      <c r="O436" s="19">
        <v>0.5</v>
      </c>
      <c r="P436" s="19" t="s">
        <v>36</v>
      </c>
      <c r="Q436" s="19">
        <v>4.8324239999999997E-2</v>
      </c>
      <c r="R436" s="20">
        <v>31306</v>
      </c>
      <c r="S436" s="21" t="str">
        <f>HYPERLINK("https://www.citycollege.edu/financial_aid/net-price-calculator", "$18052")</f>
        <v>$18052</v>
      </c>
      <c r="T436" s="20">
        <v>22187</v>
      </c>
      <c r="U436" s="20" t="s">
        <v>36</v>
      </c>
      <c r="V436" s="20">
        <v>7693</v>
      </c>
      <c r="W436" s="20">
        <v>10359</v>
      </c>
      <c r="Y436" s="19">
        <v>0.69359999999999999</v>
      </c>
      <c r="Z436" s="19">
        <v>0.73730000000000007</v>
      </c>
      <c r="AB436" s="18">
        <v>255</v>
      </c>
      <c r="AC436" s="18">
        <v>6</v>
      </c>
    </row>
    <row r="437" spans="1:29" ht="15.75" customHeight="1" x14ac:dyDescent="0.2">
      <c r="A437" s="36" t="str">
        <f>HYPERLINK("https://www.citycollege.edu", "City College-Miami")</f>
        <v>City College-Miami</v>
      </c>
      <c r="B437" s="18" t="s">
        <v>32</v>
      </c>
      <c r="C437" s="18" t="s">
        <v>162</v>
      </c>
      <c r="D437" s="18" t="s">
        <v>359</v>
      </c>
      <c r="E437" s="18" t="s">
        <v>36</v>
      </c>
      <c r="F437" s="18" t="s">
        <v>36</v>
      </c>
      <c r="J437" s="19"/>
      <c r="K437" s="19">
        <v>0.35709999999999997</v>
      </c>
      <c r="L437" s="19">
        <v>0.350444225</v>
      </c>
      <c r="M437" s="19" t="s">
        <v>36</v>
      </c>
      <c r="N437" s="19">
        <v>0.44440000000000002</v>
      </c>
      <c r="O437" s="19">
        <v>0.31580000000000003</v>
      </c>
      <c r="P437" s="19" t="s">
        <v>36</v>
      </c>
      <c r="Q437" s="19">
        <v>4.8324239999999997E-2</v>
      </c>
      <c r="R437" s="20">
        <v>31306</v>
      </c>
      <c r="S437" s="21" t="str">
        <f>HYPERLINK("https://www.citycollege.edu/financial_aid/net-price-calculator", "$17560")</f>
        <v>$17560</v>
      </c>
      <c r="T437" s="20" t="s">
        <v>36</v>
      </c>
      <c r="U437" s="20" t="s">
        <v>36</v>
      </c>
      <c r="V437" s="20">
        <v>7693</v>
      </c>
      <c r="W437" s="20">
        <v>9867</v>
      </c>
      <c r="Y437" s="19">
        <v>0.74439999999999995</v>
      </c>
      <c r="Z437" s="19">
        <v>0.96240000000000003</v>
      </c>
      <c r="AB437" s="18">
        <v>186</v>
      </c>
      <c r="AC437" s="18">
        <v>6</v>
      </c>
    </row>
    <row r="438" spans="1:29" ht="15.75" customHeight="1" x14ac:dyDescent="0.2">
      <c r="A438" s="36" t="str">
        <f>HYPERLINK("https://www.ccc.edu/colleges/washington/Pages/default.aspx", "City Colleges of Chicago-Harold Washington College")</f>
        <v>City Colleges of Chicago-Harold Washington College</v>
      </c>
      <c r="B438" s="18" t="s">
        <v>49</v>
      </c>
      <c r="C438" s="18" t="s">
        <v>137</v>
      </c>
      <c r="D438" s="18" t="s">
        <v>161</v>
      </c>
      <c r="E438" s="18" t="s">
        <v>36</v>
      </c>
      <c r="F438" s="18" t="s">
        <v>36</v>
      </c>
      <c r="J438" s="19"/>
      <c r="K438" s="19">
        <v>0.17960000000000001</v>
      </c>
      <c r="L438" s="19">
        <v>8.4758094000000006E-2</v>
      </c>
      <c r="M438" s="19">
        <v>0.13789999999999999</v>
      </c>
      <c r="N438" s="19">
        <v>9.6000000000000002E-2</v>
      </c>
      <c r="O438" s="19">
        <v>0.2114</v>
      </c>
      <c r="P438" s="19">
        <v>0.3231</v>
      </c>
      <c r="Q438" s="19">
        <v>0.116373087</v>
      </c>
      <c r="R438" s="20">
        <v>22894</v>
      </c>
      <c r="S438" s="21" t="str">
        <f>HYPERLINK("https://www.ccc.edu/colleges/washington/services/Pages/Find-Out-How-Much-College-Will-Cost.aspx", "$17375")</f>
        <v>$17375</v>
      </c>
      <c r="T438" s="20">
        <v>19590</v>
      </c>
      <c r="U438" s="20">
        <v>21000</v>
      </c>
      <c r="V438" s="20">
        <v>3020</v>
      </c>
      <c r="W438" s="20">
        <v>14355.96624472574</v>
      </c>
      <c r="Y438" s="19">
        <v>0.44359999999999999</v>
      </c>
      <c r="Z438" s="19">
        <v>0.90539999999999998</v>
      </c>
      <c r="AB438" s="18">
        <v>7360</v>
      </c>
      <c r="AC438" s="18">
        <v>6</v>
      </c>
    </row>
    <row r="439" spans="1:29" ht="15.75" customHeight="1" x14ac:dyDescent="0.2">
      <c r="A439" s="36" t="str">
        <f>HYPERLINK("https://ccc.edu/colleges/truman/pages/default.aspx", "City Colleges of Chicago-Harry S Truman College")</f>
        <v>City Colleges of Chicago-Harry S Truman College</v>
      </c>
      <c r="B439" s="18" t="s">
        <v>49</v>
      </c>
      <c r="C439" s="18" t="s">
        <v>137</v>
      </c>
      <c r="D439" s="18" t="s">
        <v>161</v>
      </c>
      <c r="E439" s="18" t="s">
        <v>36</v>
      </c>
      <c r="F439" s="18" t="s">
        <v>36</v>
      </c>
      <c r="J439" s="19"/>
      <c r="K439" s="19">
        <v>0.17560000000000001</v>
      </c>
      <c r="L439" s="19">
        <v>0.109339408</v>
      </c>
      <c r="M439" s="19">
        <v>0.20449999999999999</v>
      </c>
      <c r="N439" s="19">
        <v>0.13919999999999999</v>
      </c>
      <c r="O439" s="19">
        <v>0.1933</v>
      </c>
      <c r="P439" s="19">
        <v>0.28570000000000001</v>
      </c>
      <c r="Q439" s="19">
        <v>9.7478176999999999E-2</v>
      </c>
      <c r="R439" s="20">
        <v>22894</v>
      </c>
      <c r="S439" s="21" t="str">
        <f>HYPERLINK("https://ccc.edu/colleges/truman/services/Pages/Find-Out-How-Much-College-Will-Cost.aspx", "$17371")</f>
        <v>$17371</v>
      </c>
      <c r="T439" s="20">
        <v>20035</v>
      </c>
      <c r="U439" s="20">
        <v>21796</v>
      </c>
      <c r="V439" s="20">
        <v>3020</v>
      </c>
      <c r="W439" s="20">
        <v>14351.309012875539</v>
      </c>
      <c r="Y439" s="19">
        <v>0.18</v>
      </c>
      <c r="Z439" s="19">
        <v>0.82109999999999994</v>
      </c>
      <c r="AB439" s="18">
        <v>3068</v>
      </c>
      <c r="AC439" s="18">
        <v>6</v>
      </c>
    </row>
    <row r="440" spans="1:29" ht="15.75" customHeight="1" x14ac:dyDescent="0.2">
      <c r="A440" s="36" t="str">
        <f>HYPERLINK("https://ccc.edu/colleges/wright/pages/default.aspx", "City Colleges of Chicago-Wilbur Wright College")</f>
        <v>City Colleges of Chicago-Wilbur Wright College</v>
      </c>
      <c r="B440" s="18" t="s">
        <v>49</v>
      </c>
      <c r="C440" s="18" t="s">
        <v>137</v>
      </c>
      <c r="D440" s="18" t="s">
        <v>161</v>
      </c>
      <c r="E440" s="18" t="s">
        <v>36</v>
      </c>
      <c r="F440" s="18" t="s">
        <v>36</v>
      </c>
      <c r="J440" s="19"/>
      <c r="K440" s="19">
        <v>0.1663</v>
      </c>
      <c r="L440" s="19">
        <v>0.13584117000000001</v>
      </c>
      <c r="M440" s="19">
        <v>0.16220000000000001</v>
      </c>
      <c r="N440" s="19">
        <v>0.16669999999999999</v>
      </c>
      <c r="O440" s="19">
        <v>0.1464</v>
      </c>
      <c r="P440" s="19">
        <v>0.2273</v>
      </c>
      <c r="Q440" s="19">
        <v>8.6728520000000003E-2</v>
      </c>
      <c r="R440" s="20">
        <v>22894</v>
      </c>
      <c r="S440" s="21" t="str">
        <f>HYPERLINK("https://www.ccc.edu/colleges/wright/services/Pages/Find-Out-How-Much-College-Will-Cost.aspx", "$17602")</f>
        <v>$17602</v>
      </c>
      <c r="T440" s="20">
        <v>19710</v>
      </c>
      <c r="U440" s="20">
        <v>20253</v>
      </c>
      <c r="V440" s="20">
        <v>3020</v>
      </c>
      <c r="W440" s="20">
        <v>14582.31775700935</v>
      </c>
      <c r="Y440" s="19">
        <v>0.29699999999999999</v>
      </c>
      <c r="Z440" s="19">
        <v>0.79649999999999999</v>
      </c>
      <c r="AB440" s="18">
        <v>6660</v>
      </c>
      <c r="AC440" s="18">
        <v>6</v>
      </c>
    </row>
    <row r="441" spans="1:29" ht="15.75" customHeight="1" x14ac:dyDescent="0.2">
      <c r="A441" s="36" t="str">
        <f>HYPERLINK("https://www.clackamas.edu", "Clackamas Community College")</f>
        <v>Clackamas Community College</v>
      </c>
      <c r="B441" s="18" t="s">
        <v>49</v>
      </c>
      <c r="C441" s="18" t="s">
        <v>143</v>
      </c>
      <c r="D441" s="18" t="s">
        <v>1144</v>
      </c>
      <c r="E441" s="18" t="s">
        <v>36</v>
      </c>
      <c r="F441" s="18" t="s">
        <v>36</v>
      </c>
      <c r="J441" s="19"/>
      <c r="K441" s="19">
        <v>0.20960000000000001</v>
      </c>
      <c r="L441" s="19">
        <v>0.149617258</v>
      </c>
      <c r="M441" s="19">
        <v>0.21460000000000001</v>
      </c>
      <c r="N441" s="19">
        <v>0.1875</v>
      </c>
      <c r="O441" s="19">
        <v>0.18279999999999999</v>
      </c>
      <c r="P441" s="19">
        <v>0.2</v>
      </c>
      <c r="Q441" s="19">
        <v>7.6106195000000001E-2</v>
      </c>
      <c r="R441" s="20">
        <v>26049</v>
      </c>
      <c r="S441" s="21" t="str">
        <f>HYPERLINK("https://www.clackamas.edu/docs/default-source/admissions-and-financial-aid/educational-tax-credits/net-price-calculator.htm", "$22971")</f>
        <v>$22971</v>
      </c>
      <c r="T441" s="20">
        <v>23263</v>
      </c>
      <c r="U441" s="20">
        <v>26049</v>
      </c>
      <c r="V441" s="20">
        <v>4650</v>
      </c>
      <c r="W441" s="20">
        <v>18321.10526315789</v>
      </c>
      <c r="Y441" s="19">
        <v>0.27060000000000001</v>
      </c>
      <c r="Z441" s="19">
        <v>0.33479999999999999</v>
      </c>
      <c r="AB441" s="18">
        <v>5591</v>
      </c>
      <c r="AC441" s="18">
        <v>6</v>
      </c>
    </row>
    <row r="442" spans="1:29" ht="15.75" customHeight="1" x14ac:dyDescent="0.2">
      <c r="A442" s="36" t="str">
        <f>HYPERLINK("https://www.claflin.edu", "Claflin University")</f>
        <v>Claflin University</v>
      </c>
      <c r="B442" s="18" t="s">
        <v>32</v>
      </c>
      <c r="C442" s="18" t="s">
        <v>208</v>
      </c>
      <c r="D442" s="18" t="s">
        <v>647</v>
      </c>
      <c r="E442" s="18">
        <v>958</v>
      </c>
      <c r="F442" s="18" t="s">
        <v>35</v>
      </c>
      <c r="J442" s="19"/>
      <c r="K442" s="19">
        <v>0.53190000000000004</v>
      </c>
      <c r="L442" s="19">
        <v>0.43859649099999998</v>
      </c>
      <c r="M442" s="19">
        <v>0.8</v>
      </c>
      <c r="N442" s="19">
        <v>0.52080000000000004</v>
      </c>
      <c r="O442" s="19">
        <v>0</v>
      </c>
      <c r="P442" s="19" t="s">
        <v>36</v>
      </c>
      <c r="Q442" s="19"/>
      <c r="R442" s="20">
        <v>32642</v>
      </c>
      <c r="S442" s="21" t="str">
        <f>HYPERLINK("https://www.claflin.edu/admissions-aid/tuition-and-fees/cost-of-attending-claflin", "$19774")</f>
        <v>$19774</v>
      </c>
      <c r="T442" s="20">
        <v>22302</v>
      </c>
      <c r="U442" s="20">
        <v>24321</v>
      </c>
      <c r="V442" s="20">
        <v>7050</v>
      </c>
      <c r="W442" s="20">
        <v>12724</v>
      </c>
      <c r="Y442" s="19">
        <v>0.73599999999999999</v>
      </c>
      <c r="Z442" s="19">
        <v>0.98740000000000006</v>
      </c>
      <c r="AB442" s="18">
        <v>1990</v>
      </c>
      <c r="AC442" s="18">
        <v>4</v>
      </c>
    </row>
    <row r="443" spans="1:29" ht="15.75" customHeight="1" x14ac:dyDescent="0.2">
      <c r="A443" s="36" t="str">
        <f>HYPERLINK("https://www.cmc.edu", "Claremont McKenna College")</f>
        <v>Claremont McKenna College</v>
      </c>
      <c r="B443" s="18" t="s">
        <v>32</v>
      </c>
      <c r="C443" s="18" t="s">
        <v>68</v>
      </c>
      <c r="D443" s="18" t="s">
        <v>77</v>
      </c>
      <c r="E443" s="18">
        <v>1452</v>
      </c>
      <c r="F443" s="18" t="s">
        <v>35</v>
      </c>
      <c r="J443" s="19"/>
      <c r="K443" s="19">
        <v>0.89800000000000002</v>
      </c>
      <c r="L443" s="19" t="s">
        <v>36</v>
      </c>
      <c r="M443" s="19">
        <v>0.88619999999999999</v>
      </c>
      <c r="N443" s="19">
        <v>0.81820000000000004</v>
      </c>
      <c r="O443" s="19">
        <v>0.88239999999999996</v>
      </c>
      <c r="P443" s="19">
        <v>0.9667</v>
      </c>
      <c r="Q443" s="19"/>
      <c r="R443" s="20">
        <v>71745</v>
      </c>
      <c r="S443" s="21" t="str">
        <f>HYPERLINK("https://npc.collegeboard.org/student/app/claremontmckenna", "$8419")</f>
        <v>$8419</v>
      </c>
      <c r="T443" s="20">
        <v>14737</v>
      </c>
      <c r="U443" s="20">
        <v>24412</v>
      </c>
      <c r="V443" s="20">
        <v>2700</v>
      </c>
      <c r="W443" s="20">
        <v>5719</v>
      </c>
      <c r="X443" s="18" t="s">
        <v>37</v>
      </c>
      <c r="Y443" s="19">
        <v>0.1225</v>
      </c>
      <c r="Z443" s="19">
        <v>0.5877</v>
      </c>
      <c r="AA443" s="18" t="s">
        <v>37</v>
      </c>
      <c r="AB443" s="18">
        <v>1334</v>
      </c>
      <c r="AC443" s="18">
        <v>1</v>
      </c>
    </row>
    <row r="444" spans="1:29" ht="15.75" customHeight="1" x14ac:dyDescent="0.2">
      <c r="A444" s="36" t="str">
        <f>HYPERLINK("https://www.clarendoncollege.edu", "Clarendon College")</f>
        <v>Clarendon College</v>
      </c>
      <c r="B444" s="18" t="s">
        <v>49</v>
      </c>
      <c r="C444" s="18" t="s">
        <v>146</v>
      </c>
      <c r="D444" s="18" t="s">
        <v>1145</v>
      </c>
      <c r="E444" s="18" t="s">
        <v>36</v>
      </c>
      <c r="F444" s="18" t="s">
        <v>36</v>
      </c>
      <c r="J444" s="19"/>
      <c r="K444" s="19">
        <v>0.4027</v>
      </c>
      <c r="L444" s="19">
        <v>5.5555555999999999E-2</v>
      </c>
      <c r="M444" s="19">
        <v>0.41799999999999998</v>
      </c>
      <c r="N444" s="19">
        <v>0.26469999999999999</v>
      </c>
      <c r="O444" s="19">
        <v>0.5</v>
      </c>
      <c r="P444" s="19">
        <v>1</v>
      </c>
      <c r="Q444" s="19">
        <v>0.114583333</v>
      </c>
      <c r="R444" s="20">
        <v>13596</v>
      </c>
      <c r="S444" s="21" t="str">
        <f>HYPERLINK("https://www.collegeforalltexans.com/apps/CollegeMoney/", "$7595")</f>
        <v>$7595</v>
      </c>
      <c r="T444" s="20">
        <v>9634</v>
      </c>
      <c r="U444" s="20">
        <v>12008</v>
      </c>
      <c r="V444" s="20">
        <v>5700</v>
      </c>
      <c r="W444" s="20">
        <v>1895.485714285714</v>
      </c>
      <c r="Y444" s="19">
        <v>0.31169999999999998</v>
      </c>
      <c r="Z444" s="19">
        <v>0.47030000000000011</v>
      </c>
      <c r="AB444" s="18">
        <v>1648</v>
      </c>
      <c r="AC444" s="18">
        <v>6</v>
      </c>
    </row>
    <row r="445" spans="1:29" ht="15.75" customHeight="1" x14ac:dyDescent="0.2">
      <c r="A445" s="36" t="str">
        <f>HYPERLINK("https://www.clarion.edu", "Clarion University of Pennsylvania")</f>
        <v>Clarion University of Pennsylvania</v>
      </c>
      <c r="B445" s="18" t="s">
        <v>49</v>
      </c>
      <c r="C445" s="18" t="s">
        <v>65</v>
      </c>
      <c r="D445" s="18" t="s">
        <v>650</v>
      </c>
      <c r="E445" s="18">
        <v>1024</v>
      </c>
      <c r="F445" s="18" t="s">
        <v>35</v>
      </c>
      <c r="J445" s="19"/>
      <c r="K445" s="19">
        <v>0.50329999999999997</v>
      </c>
      <c r="L445" s="19">
        <v>0.37455830400000001</v>
      </c>
      <c r="M445" s="19">
        <v>0.53690000000000004</v>
      </c>
      <c r="N445" s="19">
        <v>0.28000000000000003</v>
      </c>
      <c r="O445" s="19">
        <v>0.31030000000000002</v>
      </c>
      <c r="P445" s="19">
        <v>0.25</v>
      </c>
      <c r="Q445" s="19"/>
      <c r="R445" s="20">
        <v>32106</v>
      </c>
      <c r="S445" s="21" t="str">
        <f>HYPERLINK("https://www.passhe.edu/answers/Calculator/CL/npcalc-211644.htm", "$23556")</f>
        <v>$23556</v>
      </c>
      <c r="T445" s="20">
        <v>26705</v>
      </c>
      <c r="U445" s="20">
        <v>30061</v>
      </c>
      <c r="V445" s="20">
        <v>4950</v>
      </c>
      <c r="W445" s="20">
        <v>18606.511194029848</v>
      </c>
      <c r="Y445" s="19">
        <v>0.38800000000000001</v>
      </c>
      <c r="Z445" s="19">
        <v>0.17419999999999999</v>
      </c>
      <c r="AB445" s="18">
        <v>4214</v>
      </c>
      <c r="AC445" s="18">
        <v>4</v>
      </c>
    </row>
    <row r="446" spans="1:29" ht="15.75" customHeight="1" x14ac:dyDescent="0.2">
      <c r="A446" s="36" t="str">
        <f>HYPERLINK("https://www.cau.edu", "Clark Atlanta University")</f>
        <v>Clark Atlanta University</v>
      </c>
      <c r="B446" s="18" t="s">
        <v>32</v>
      </c>
      <c r="C446" s="18" t="s">
        <v>107</v>
      </c>
      <c r="D446" s="18" t="s">
        <v>108</v>
      </c>
      <c r="E446" s="18">
        <v>1000</v>
      </c>
      <c r="F446" s="18" t="s">
        <v>35</v>
      </c>
      <c r="J446" s="19"/>
      <c r="K446" s="19">
        <v>0.39760000000000001</v>
      </c>
      <c r="L446" s="19">
        <v>0.36981132100000003</v>
      </c>
      <c r="M446" s="19">
        <v>0.5</v>
      </c>
      <c r="N446" s="19">
        <v>0.3947</v>
      </c>
      <c r="O446" s="19">
        <v>0</v>
      </c>
      <c r="P446" s="19">
        <v>0</v>
      </c>
      <c r="Q446" s="19"/>
      <c r="R446" s="20">
        <v>37382</v>
      </c>
      <c r="S446" s="21" t="str">
        <f>HYPERLINK("https://cau.studentaidcalculator.com/survey.aspx", "$32472")</f>
        <v>$32472</v>
      </c>
      <c r="T446" s="20">
        <v>36375</v>
      </c>
      <c r="U446" s="20">
        <v>37755</v>
      </c>
      <c r="V446" s="20">
        <v>4612</v>
      </c>
      <c r="W446" s="20">
        <v>27860</v>
      </c>
      <c r="Y446" s="19">
        <v>0.68569999999999998</v>
      </c>
      <c r="Z446" s="19">
        <v>0.99909999999999999</v>
      </c>
      <c r="AB446" s="18">
        <v>3302</v>
      </c>
      <c r="AC446" s="18">
        <v>4</v>
      </c>
    </row>
    <row r="447" spans="1:29" ht="15.75" customHeight="1" x14ac:dyDescent="0.2">
      <c r="A447" s="36" t="str">
        <f>HYPERLINK("https://www.clark.edu", "Clark College")</f>
        <v>Clark College</v>
      </c>
      <c r="B447" s="18" t="s">
        <v>49</v>
      </c>
      <c r="C447" s="18" t="s">
        <v>184</v>
      </c>
      <c r="D447" s="18" t="s">
        <v>1146</v>
      </c>
      <c r="E447" s="18" t="s">
        <v>36</v>
      </c>
      <c r="F447" s="18" t="s">
        <v>36</v>
      </c>
      <c r="J447" s="19"/>
      <c r="K447" s="19">
        <v>0.2477</v>
      </c>
      <c r="L447" s="19">
        <v>0.19033989300000001</v>
      </c>
      <c r="M447" s="19">
        <v>0.25619999999999998</v>
      </c>
      <c r="N447" s="19">
        <v>0.23810000000000001</v>
      </c>
      <c r="O447" s="19">
        <v>0.19439999999999999</v>
      </c>
      <c r="P447" s="19">
        <v>0.37930000000000003</v>
      </c>
      <c r="Q447" s="19">
        <v>6.1865875000000001E-2</v>
      </c>
      <c r="R447" s="20">
        <v>23516</v>
      </c>
      <c r="S447" s="21" t="str">
        <f>HYPERLINK("https://www.clark.edu/NetPriceCalculator/", "$16456")</f>
        <v>$16456</v>
      </c>
      <c r="T447" s="20">
        <v>19107</v>
      </c>
      <c r="U447" s="20">
        <v>23369</v>
      </c>
      <c r="V447" s="20">
        <v>4290</v>
      </c>
      <c r="W447" s="20">
        <v>12166.304511278189</v>
      </c>
      <c r="Y447" s="19">
        <v>0.28170000000000001</v>
      </c>
      <c r="Z447" s="19">
        <v>0.34789999999999999</v>
      </c>
      <c r="AB447" s="18">
        <v>8170</v>
      </c>
      <c r="AC447" s="18">
        <v>6</v>
      </c>
    </row>
    <row r="448" spans="1:29" ht="15.75" customHeight="1" x14ac:dyDescent="0.2">
      <c r="A448" s="36" t="str">
        <f>HYPERLINK("https://www.clarku.edu", "Clark University")</f>
        <v>Clark University</v>
      </c>
      <c r="B448" s="18" t="s">
        <v>32</v>
      </c>
      <c r="C448" s="18" t="s">
        <v>33</v>
      </c>
      <c r="D448" s="18" t="s">
        <v>86</v>
      </c>
      <c r="E448" s="18" t="s">
        <v>36</v>
      </c>
      <c r="F448" s="18" t="s">
        <v>45</v>
      </c>
      <c r="J448" s="19"/>
      <c r="K448" s="19">
        <v>0.82840000000000003</v>
      </c>
      <c r="L448" s="19">
        <v>0.59770114899999993</v>
      </c>
      <c r="M448" s="19">
        <v>0.83609999999999995</v>
      </c>
      <c r="N448" s="19">
        <v>0.8095</v>
      </c>
      <c r="O448" s="19">
        <v>0.77139999999999997</v>
      </c>
      <c r="P448" s="19">
        <v>0.84379999999999999</v>
      </c>
      <c r="Q448" s="19"/>
      <c r="R448" s="20">
        <v>55010</v>
      </c>
      <c r="S448" s="21" t="str">
        <f>HYPERLINK("https://www.clarku.edu/resources", "$21925")</f>
        <v>$21925</v>
      </c>
      <c r="T448" s="20">
        <v>21077</v>
      </c>
      <c r="U448" s="20">
        <v>24217</v>
      </c>
      <c r="V448" s="20">
        <v>1750</v>
      </c>
      <c r="W448" s="20">
        <v>20175</v>
      </c>
      <c r="Y448" s="19">
        <v>0.19919999999999999</v>
      </c>
      <c r="Z448" s="19">
        <v>0.42359999999999998</v>
      </c>
      <c r="AB448" s="18">
        <v>2205</v>
      </c>
      <c r="AC448" s="18">
        <v>2</v>
      </c>
    </row>
    <row r="449" spans="1:29" ht="15.75" customHeight="1" x14ac:dyDescent="0.2">
      <c r="A449" s="36" t="str">
        <f>HYPERLINK("https://www.clarkson.edu", "Clarkson University")</f>
        <v>Clarkson University</v>
      </c>
      <c r="B449" s="18" t="s">
        <v>32</v>
      </c>
      <c r="C449" s="18" t="s">
        <v>38</v>
      </c>
      <c r="D449" s="18" t="s">
        <v>330</v>
      </c>
      <c r="E449" s="18">
        <v>1247</v>
      </c>
      <c r="F449" s="18" t="s">
        <v>35</v>
      </c>
      <c r="G449" s="18" t="s">
        <v>40</v>
      </c>
      <c r="H449" s="18" t="s">
        <v>331</v>
      </c>
      <c r="I449" s="18" t="s">
        <v>332</v>
      </c>
      <c r="J449" s="19"/>
      <c r="K449" s="19">
        <v>0.72940000000000005</v>
      </c>
      <c r="L449" s="19">
        <v>0.67375886500000004</v>
      </c>
      <c r="M449" s="19">
        <v>0.73740000000000006</v>
      </c>
      <c r="N449" s="19">
        <v>0.62960000000000005</v>
      </c>
      <c r="O449" s="19">
        <v>0.8125</v>
      </c>
      <c r="P449" s="19">
        <v>0.68969999999999998</v>
      </c>
      <c r="Q449" s="19"/>
      <c r="R449" s="20">
        <v>66106</v>
      </c>
      <c r="S449" s="21" t="str">
        <f>HYPERLINK("https://www.clarkson.edu/admissions/undergrad_admissions/calculator.php", "$19156")</f>
        <v>$19156</v>
      </c>
      <c r="T449" s="20">
        <v>26464</v>
      </c>
      <c r="U449" s="20">
        <v>31592</v>
      </c>
      <c r="V449" s="20">
        <v>3668</v>
      </c>
      <c r="W449" s="20">
        <v>15488</v>
      </c>
      <c r="Y449" s="19">
        <v>0.224</v>
      </c>
      <c r="Z449" s="19">
        <v>0.18790000000000001</v>
      </c>
      <c r="AB449" s="18">
        <v>2991</v>
      </c>
      <c r="AC449" s="18">
        <v>3</v>
      </c>
    </row>
    <row r="450" spans="1:29" ht="15.75" customHeight="1" x14ac:dyDescent="0.2">
      <c r="A450" s="36" t="str">
        <f>HYPERLINK("https://www.clayton.edu", "Clayton  State University")</f>
        <v>Clayton  State University</v>
      </c>
      <c r="B450" s="18" t="s">
        <v>49</v>
      </c>
      <c r="C450" s="18" t="s">
        <v>107</v>
      </c>
      <c r="D450" s="18" t="s">
        <v>686</v>
      </c>
      <c r="E450" s="18" t="s">
        <v>36</v>
      </c>
      <c r="F450" s="18" t="s">
        <v>90</v>
      </c>
      <c r="J450" s="19"/>
      <c r="K450" s="19">
        <v>0.30180000000000001</v>
      </c>
      <c r="L450" s="19">
        <v>0.36137071700000001</v>
      </c>
      <c r="M450" s="19">
        <v>0.27779999999999999</v>
      </c>
      <c r="N450" s="19">
        <v>0.30580000000000002</v>
      </c>
      <c r="O450" s="19">
        <v>0.25</v>
      </c>
      <c r="P450" s="19">
        <v>0.46150000000000002</v>
      </c>
      <c r="Q450" s="19"/>
      <c r="R450" s="20">
        <v>30092</v>
      </c>
      <c r="S450" s="21" t="str">
        <f>HYPERLINK("https://www.clayton.edu/Portals/20/netpricecalculator20122013/npcalc.htm", "$22824")</f>
        <v>$22824</v>
      </c>
      <c r="T450" s="20">
        <v>25865</v>
      </c>
      <c r="U450" s="20">
        <v>27972</v>
      </c>
      <c r="V450" s="20">
        <v>3722</v>
      </c>
      <c r="W450" s="20">
        <v>19102.72183098592</v>
      </c>
      <c r="Y450" s="19">
        <v>0.52780000000000005</v>
      </c>
      <c r="Z450" s="19">
        <v>0.83820000000000006</v>
      </c>
      <c r="AB450" s="18">
        <v>5754</v>
      </c>
      <c r="AC450" s="18">
        <v>5</v>
      </c>
    </row>
    <row r="451" spans="1:29" ht="15.75" customHeight="1" x14ac:dyDescent="0.2">
      <c r="A451" s="36" t="str">
        <f>HYPERLINK("https://www.clemson.edu", "Clemson University")</f>
        <v>Clemson University</v>
      </c>
      <c r="B451" s="18" t="s">
        <v>49</v>
      </c>
      <c r="C451" s="18" t="s">
        <v>208</v>
      </c>
      <c r="D451" s="18" t="s">
        <v>209</v>
      </c>
      <c r="E451" s="18">
        <v>1338</v>
      </c>
      <c r="F451" s="18" t="s">
        <v>35</v>
      </c>
      <c r="J451" s="19"/>
      <c r="K451" s="19">
        <v>0.82099999999999995</v>
      </c>
      <c r="L451" s="19">
        <v>0.70255474500000004</v>
      </c>
      <c r="M451" s="19">
        <v>0.83989999999999998</v>
      </c>
      <c r="N451" s="19">
        <v>0.63639999999999997</v>
      </c>
      <c r="O451" s="19">
        <v>0.77629999999999999</v>
      </c>
      <c r="P451" s="19">
        <v>0.79310000000000003</v>
      </c>
      <c r="Q451" s="19"/>
      <c r="R451" s="20">
        <v>50516</v>
      </c>
      <c r="S451" s="21" t="str">
        <f>HYPERLINK("https://workgroups.clemson.edu/A_A_5690_OIR/cunpc/", "$35260")</f>
        <v>$35260</v>
      </c>
      <c r="T451" s="20">
        <v>39992</v>
      </c>
      <c r="U451" s="20">
        <v>41934</v>
      </c>
      <c r="V451" s="20">
        <v>4866</v>
      </c>
      <c r="W451" s="20">
        <v>30394.141304347821</v>
      </c>
      <c r="Y451" s="19">
        <v>0.16919999999999999</v>
      </c>
      <c r="Z451" s="19">
        <v>0.16900000000000001</v>
      </c>
      <c r="AB451" s="18">
        <v>19172</v>
      </c>
      <c r="AC451" s="18">
        <v>2</v>
      </c>
    </row>
    <row r="452" spans="1:29" ht="15.75" customHeight="1" x14ac:dyDescent="0.2">
      <c r="A452" s="36" t="str">
        <f>HYPERLINK("https://www.cia.edu", "Cleveland Institute of Art")</f>
        <v>Cleveland Institute of Art</v>
      </c>
      <c r="B452" s="18" t="s">
        <v>32</v>
      </c>
      <c r="C452" s="18" t="s">
        <v>75</v>
      </c>
      <c r="D452" s="18" t="s">
        <v>76</v>
      </c>
      <c r="E452" s="18">
        <v>1144</v>
      </c>
      <c r="F452" s="18" t="s">
        <v>115</v>
      </c>
      <c r="J452" s="19"/>
      <c r="K452" s="19">
        <v>0.5625</v>
      </c>
      <c r="L452" s="19" t="s">
        <v>36</v>
      </c>
      <c r="M452" s="19">
        <v>0.56469999999999998</v>
      </c>
      <c r="N452" s="19">
        <v>0.52</v>
      </c>
      <c r="O452" s="19">
        <v>0.75</v>
      </c>
      <c r="P452" s="19">
        <v>0.55559999999999998</v>
      </c>
      <c r="Q452" s="19"/>
      <c r="R452" s="20">
        <v>57210</v>
      </c>
      <c r="S452" s="21" t="str">
        <f>HYPERLINK("https://www.cia.edu/admissions/tuition-fees/net-price-calculator", "$31868")</f>
        <v>$31868</v>
      </c>
      <c r="T452" s="20">
        <v>34399</v>
      </c>
      <c r="U452" s="20">
        <v>35351</v>
      </c>
      <c r="V452" s="20">
        <v>5755</v>
      </c>
      <c r="W452" s="20">
        <v>26113</v>
      </c>
      <c r="Y452" s="19">
        <v>0.40639999999999998</v>
      </c>
      <c r="Z452" s="19">
        <v>0.3397</v>
      </c>
      <c r="AB452" s="18">
        <v>630</v>
      </c>
      <c r="AC452" s="18">
        <v>4</v>
      </c>
    </row>
    <row r="453" spans="1:29" ht="15.75" customHeight="1" x14ac:dyDescent="0.2">
      <c r="A453" s="36" t="str">
        <f>HYPERLINK("https://www.csuohio.edu/", "Cleveland State University")</f>
        <v>Cleveland State University</v>
      </c>
      <c r="B453" s="18" t="s">
        <v>49</v>
      </c>
      <c r="C453" s="18" t="s">
        <v>75</v>
      </c>
      <c r="D453" s="18" t="s">
        <v>76</v>
      </c>
      <c r="E453" s="18">
        <v>1104</v>
      </c>
      <c r="F453" s="18" t="s">
        <v>35</v>
      </c>
      <c r="J453" s="19"/>
      <c r="K453" s="19">
        <v>0.43149999999999999</v>
      </c>
      <c r="L453" s="19">
        <v>0.422346369</v>
      </c>
      <c r="M453" s="19">
        <v>0.49359999999999998</v>
      </c>
      <c r="N453" s="19">
        <v>0.2218</v>
      </c>
      <c r="O453" s="19">
        <v>0.3871</v>
      </c>
      <c r="P453" s="19">
        <v>0.5</v>
      </c>
      <c r="Q453" s="19"/>
      <c r="R453" s="20">
        <v>30825</v>
      </c>
      <c r="S453" s="21" t="str">
        <f>HYPERLINK("https://www.csuohio.edu/netprice/netprice", "$22736")</f>
        <v>$22736</v>
      </c>
      <c r="T453" s="20">
        <v>26593</v>
      </c>
      <c r="U453" s="20">
        <v>28214</v>
      </c>
      <c r="V453" s="20">
        <v>4496</v>
      </c>
      <c r="W453" s="20">
        <v>18240.650326797389</v>
      </c>
      <c r="Y453" s="19">
        <v>0.39389999999999997</v>
      </c>
      <c r="Z453" s="19">
        <v>0.36009999999999998</v>
      </c>
      <c r="AB453" s="18">
        <v>11647</v>
      </c>
      <c r="AC453" s="18">
        <v>4</v>
      </c>
    </row>
    <row r="454" spans="1:29" ht="15.75" customHeight="1" x14ac:dyDescent="0.2">
      <c r="A454" s="36" t="str">
        <f>HYPERLINK("https://www.clintoncollege.edu", "Clinton College")</f>
        <v>Clinton College</v>
      </c>
      <c r="B454" s="18" t="s">
        <v>32</v>
      </c>
      <c r="C454" s="18" t="s">
        <v>208</v>
      </c>
      <c r="D454" s="18" t="s">
        <v>1147</v>
      </c>
      <c r="E454" s="18" t="s">
        <v>36</v>
      </c>
      <c r="F454" s="18" t="s">
        <v>36</v>
      </c>
      <c r="J454" s="19"/>
      <c r="K454" s="19">
        <v>0.34849999999999998</v>
      </c>
      <c r="L454" s="19">
        <v>0.29824561399999999</v>
      </c>
      <c r="M454" s="19" t="s">
        <v>36</v>
      </c>
      <c r="N454" s="19">
        <v>0.34849999999999998</v>
      </c>
      <c r="O454" s="19" t="s">
        <v>36</v>
      </c>
      <c r="P454" s="19" t="s">
        <v>36</v>
      </c>
      <c r="Q454" s="19" t="s">
        <v>36</v>
      </c>
      <c r="R454" s="20">
        <v>19700</v>
      </c>
      <c r="S454" s="21" t="str">
        <f>HYPERLINK("https://www.clintoncollege.edu/studentaffairs.htm", "$13312")</f>
        <v>$13312</v>
      </c>
      <c r="T454" s="20">
        <v>16505</v>
      </c>
      <c r="U454" s="20">
        <v>17487</v>
      </c>
      <c r="V454" s="20">
        <v>2200</v>
      </c>
      <c r="W454" s="20">
        <v>11112</v>
      </c>
      <c r="Y454" s="19">
        <v>0.91</v>
      </c>
      <c r="Z454" s="19">
        <v>1</v>
      </c>
      <c r="AB454" s="18">
        <v>170</v>
      </c>
      <c r="AC454" s="18">
        <v>6</v>
      </c>
    </row>
    <row r="455" spans="1:29" ht="15.75" customHeight="1" x14ac:dyDescent="0.2">
      <c r="A455" s="36" t="str">
        <f>HYPERLINK("https://www.clinton.edu", "SUNY Clinton Community College")</f>
        <v>SUNY Clinton Community College</v>
      </c>
      <c r="B455" s="18" t="s">
        <v>49</v>
      </c>
      <c r="C455" s="18" t="s">
        <v>38</v>
      </c>
      <c r="D455" s="18" t="s">
        <v>1106</v>
      </c>
      <c r="E455" s="18" t="s">
        <v>36</v>
      </c>
      <c r="F455" s="18" t="s">
        <v>36</v>
      </c>
      <c r="J455" s="19"/>
      <c r="K455" s="19">
        <v>0.36840000000000001</v>
      </c>
      <c r="L455" s="19">
        <v>0.13902439</v>
      </c>
      <c r="M455" s="19">
        <v>0.42749999999999999</v>
      </c>
      <c r="N455" s="19">
        <v>3.2300000000000002E-2</v>
      </c>
      <c r="O455" s="19">
        <v>0.18179999999999999</v>
      </c>
      <c r="P455" s="19">
        <v>0.33329999999999999</v>
      </c>
      <c r="Q455" s="19">
        <v>9.5757575999999997E-2</v>
      </c>
      <c r="R455" s="20">
        <v>18614</v>
      </c>
      <c r="S455" s="21" t="str">
        <f>HYPERLINK("https://www.clinton.edu/FinancialAid/NetPriceCalculator.cxml", "$4436")</f>
        <v>$4436</v>
      </c>
      <c r="T455" s="20">
        <v>8475</v>
      </c>
      <c r="U455" s="20">
        <v>10636</v>
      </c>
      <c r="V455" s="20">
        <v>3140</v>
      </c>
      <c r="W455" s="20">
        <v>1296</v>
      </c>
      <c r="Y455" s="19">
        <v>0.36549999999999999</v>
      </c>
      <c r="Z455" s="19">
        <v>0.2379</v>
      </c>
      <c r="AB455" s="18">
        <v>950</v>
      </c>
      <c r="AC455" s="18">
        <v>6</v>
      </c>
    </row>
    <row r="456" spans="1:29" ht="15.75" customHeight="1" x14ac:dyDescent="0.2">
      <c r="A456" s="36" t="str">
        <f>HYPERLINK("https://www.cloud.edu", "Cloud County Community College")</f>
        <v>Cloud County Community College</v>
      </c>
      <c r="B456" s="18" t="s">
        <v>49</v>
      </c>
      <c r="C456" s="18" t="s">
        <v>307</v>
      </c>
      <c r="D456" s="18" t="s">
        <v>1149</v>
      </c>
      <c r="E456" s="18" t="s">
        <v>36</v>
      </c>
      <c r="F456" s="18" t="s">
        <v>36</v>
      </c>
      <c r="J456" s="19"/>
      <c r="K456" s="19">
        <v>0.36459999999999998</v>
      </c>
      <c r="L456" s="19">
        <v>0.14035087700000001</v>
      </c>
      <c r="M456" s="19">
        <v>0.41110000000000002</v>
      </c>
      <c r="N456" s="19">
        <v>0.3125</v>
      </c>
      <c r="O456" s="19">
        <v>0.13950000000000001</v>
      </c>
      <c r="P456" s="19">
        <v>0.5</v>
      </c>
      <c r="Q456" s="19">
        <v>0.12021857900000001</v>
      </c>
      <c r="R456" s="20">
        <v>12624</v>
      </c>
      <c r="S456" s="21" t="str">
        <f>HYPERLINK("https://www.cloud.edu/Admissions/Covering-the-Cost/Cost-Calculator/index", "$7189")</f>
        <v>$7189</v>
      </c>
      <c r="T456" s="20">
        <v>9763</v>
      </c>
      <c r="U456" s="20">
        <v>11527</v>
      </c>
      <c r="V456" s="20">
        <v>3554</v>
      </c>
      <c r="W456" s="20">
        <v>3635.0689655172409</v>
      </c>
      <c r="Y456" s="19">
        <v>0.26500000000000001</v>
      </c>
      <c r="Z456" s="19">
        <v>0.37690000000000001</v>
      </c>
      <c r="AB456" s="18">
        <v>1080</v>
      </c>
      <c r="AC456" s="18">
        <v>6</v>
      </c>
    </row>
    <row r="457" spans="1:29" ht="15.75" customHeight="1" x14ac:dyDescent="0.2">
      <c r="A457" s="36" t="str">
        <f>HYPERLINK("https://www.coahomacc.edu/", "Coahoma Community College")</f>
        <v>Coahoma Community College</v>
      </c>
      <c r="B457" s="18" t="s">
        <v>49</v>
      </c>
      <c r="C457" s="18" t="s">
        <v>59</v>
      </c>
      <c r="D457" s="18" t="s">
        <v>1152</v>
      </c>
      <c r="E457" s="18" t="s">
        <v>36</v>
      </c>
      <c r="F457" s="18" t="s">
        <v>36</v>
      </c>
      <c r="J457" s="19"/>
      <c r="K457" s="19">
        <v>0.29210000000000003</v>
      </c>
      <c r="L457" s="19">
        <v>0.22828282799999999</v>
      </c>
      <c r="M457" s="19">
        <v>9.5200000000000007E-2</v>
      </c>
      <c r="N457" s="19">
        <v>0.30149999999999999</v>
      </c>
      <c r="O457" s="19">
        <v>0</v>
      </c>
      <c r="P457" s="19" t="s">
        <v>36</v>
      </c>
      <c r="Q457" s="19">
        <v>3.7788018E-2</v>
      </c>
      <c r="R457" s="20">
        <v>9623</v>
      </c>
      <c r="S457" s="21" t="str">
        <f>HYPERLINK("https://www.coahomacc.edu/admissions-financial-aid/financial-aid/NetPriceCalculator/npcalc.htm", "$3533")</f>
        <v>$3533</v>
      </c>
      <c r="T457" s="20">
        <v>4509</v>
      </c>
      <c r="U457" s="20" t="s">
        <v>36</v>
      </c>
      <c r="V457" s="20">
        <v>2300</v>
      </c>
      <c r="W457" s="20">
        <v>1233.8791540785501</v>
      </c>
      <c r="Y457" s="19">
        <v>0.79510000000000003</v>
      </c>
      <c r="Z457" s="19">
        <v>0.95689999999999997</v>
      </c>
      <c r="AB457" s="18">
        <v>1625</v>
      </c>
      <c r="AC457" s="18">
        <v>6</v>
      </c>
    </row>
    <row r="458" spans="1:29" ht="15.75" customHeight="1" x14ac:dyDescent="0.2">
      <c r="A458" s="36" t="str">
        <f>HYPERLINK("https://www.coastalalabama.edu", "James H Faulkner State Community College")</f>
        <v>James H Faulkner State Community College</v>
      </c>
      <c r="B458" s="18" t="s">
        <v>49</v>
      </c>
      <c r="C458" s="18" t="s">
        <v>300</v>
      </c>
      <c r="D458" s="18" t="s">
        <v>1154</v>
      </c>
      <c r="E458" s="18" t="s">
        <v>36</v>
      </c>
      <c r="F458" s="18" t="s">
        <v>36</v>
      </c>
      <c r="J458" s="19"/>
      <c r="K458" s="19">
        <v>0.14319999999999999</v>
      </c>
      <c r="L458" s="19">
        <v>0.108221477</v>
      </c>
      <c r="M458" s="19">
        <v>0.14430000000000001</v>
      </c>
      <c r="N458" s="19">
        <v>0.14530000000000001</v>
      </c>
      <c r="O458" s="19">
        <v>0.16669999999999999</v>
      </c>
      <c r="P458" s="19">
        <v>0</v>
      </c>
      <c r="Q458" s="19">
        <v>0.119854091</v>
      </c>
      <c r="R458" s="20">
        <v>17550</v>
      </c>
      <c r="S458" s="21" t="str">
        <f>HYPERLINK("https://www.coastalalabama.edu", "$11165")</f>
        <v>$11165</v>
      </c>
      <c r="T458" s="20">
        <v>14055</v>
      </c>
      <c r="U458" s="20">
        <v>16336</v>
      </c>
      <c r="V458" s="20">
        <v>3860</v>
      </c>
      <c r="W458" s="20">
        <v>7305.1106471816274</v>
      </c>
      <c r="Y458" s="19">
        <v>0.40089999999999998</v>
      </c>
      <c r="Z458" s="19">
        <v>0.30480000000000002</v>
      </c>
      <c r="AB458" s="18">
        <v>4101</v>
      </c>
      <c r="AC458" s="18">
        <v>6</v>
      </c>
    </row>
    <row r="459" spans="1:29" ht="15.75" customHeight="1" x14ac:dyDescent="0.2">
      <c r="A459" s="36" t="str">
        <f>HYPERLINK("https://www.coastal.edu", "Coastal Carolina University")</f>
        <v>Coastal Carolina University</v>
      </c>
      <c r="B459" s="18" t="s">
        <v>49</v>
      </c>
      <c r="C459" s="18" t="s">
        <v>208</v>
      </c>
      <c r="D459" s="18" t="s">
        <v>372</v>
      </c>
      <c r="E459" s="18">
        <v>1089</v>
      </c>
      <c r="F459" s="18" t="s">
        <v>35</v>
      </c>
      <c r="J459" s="19"/>
      <c r="K459" s="19">
        <v>0.4229</v>
      </c>
      <c r="L459" s="19">
        <v>0.44502617799999999</v>
      </c>
      <c r="M459" s="19">
        <v>0.4284</v>
      </c>
      <c r="N459" s="19">
        <v>0.42280000000000001</v>
      </c>
      <c r="O459" s="19">
        <v>0.32050000000000001</v>
      </c>
      <c r="P459" s="19">
        <v>0.30769999999999997</v>
      </c>
      <c r="Q459" s="19"/>
      <c r="R459" s="20">
        <v>40260</v>
      </c>
      <c r="S459" s="21" t="str">
        <f>HYPERLINK("https://www.coastal.edu/financialaid/calculator/", "$30400")</f>
        <v>$30400</v>
      </c>
      <c r="T459" s="20">
        <v>33505</v>
      </c>
      <c r="U459" s="20">
        <v>35981</v>
      </c>
      <c r="V459" s="20">
        <v>4974</v>
      </c>
      <c r="W459" s="20">
        <v>25426.16455696202</v>
      </c>
      <c r="Y459" s="19">
        <v>0.35799999999999998</v>
      </c>
      <c r="Z459" s="19">
        <v>0.3306</v>
      </c>
      <c r="AB459" s="18">
        <v>9546</v>
      </c>
      <c r="AC459" s="18">
        <v>4</v>
      </c>
    </row>
    <row r="460" spans="1:29" ht="15.75" customHeight="1" x14ac:dyDescent="0.2">
      <c r="A460" s="36" t="str">
        <f>HYPERLINK("https://www.coastline.edu", "Coastline Community College")</f>
        <v>Coastline Community College</v>
      </c>
      <c r="B460" s="18" t="s">
        <v>49</v>
      </c>
      <c r="C460" s="18" t="s">
        <v>68</v>
      </c>
      <c r="D460" s="18" t="s">
        <v>1156</v>
      </c>
      <c r="E460" s="18" t="s">
        <v>36</v>
      </c>
      <c r="F460" s="18" t="s">
        <v>36</v>
      </c>
      <c r="J460" s="19"/>
      <c r="K460" s="19">
        <v>0.19139999999999999</v>
      </c>
      <c r="L460" s="19">
        <v>0.13141994000000001</v>
      </c>
      <c r="M460" s="19">
        <v>0.24390000000000001</v>
      </c>
      <c r="N460" s="19">
        <v>2.63E-2</v>
      </c>
      <c r="O460" s="19">
        <v>0.16</v>
      </c>
      <c r="P460" s="19">
        <v>0.30909999999999999</v>
      </c>
      <c r="Q460" s="19">
        <v>0.11874272399999999</v>
      </c>
      <c r="R460" s="20">
        <v>25891</v>
      </c>
      <c r="S460" s="21" t="str">
        <f>HYPERLINK("https://misweb.cccco.edu/npc/831/npcalc.htm", "$18976")</f>
        <v>$18976</v>
      </c>
      <c r="T460" s="20">
        <v>23158</v>
      </c>
      <c r="U460" s="20">
        <v>22337</v>
      </c>
      <c r="V460" s="20">
        <v>6094</v>
      </c>
      <c r="W460" s="20">
        <v>12882.409523809531</v>
      </c>
      <c r="Y460" s="19">
        <v>0.1447</v>
      </c>
      <c r="Z460" s="19">
        <v>0.68710000000000004</v>
      </c>
      <c r="AB460" s="18">
        <v>9764</v>
      </c>
      <c r="AC460" s="18">
        <v>6</v>
      </c>
    </row>
    <row r="461" spans="1:29" ht="15.75" customHeight="1" x14ac:dyDescent="0.2">
      <c r="A461" s="36" t="str">
        <f>HYPERLINK("https://www.cochise.edu", "Cochise County Community College District")</f>
        <v>Cochise County Community College District</v>
      </c>
      <c r="B461" s="18" t="s">
        <v>49</v>
      </c>
      <c r="C461" s="18" t="s">
        <v>354</v>
      </c>
      <c r="D461" s="18" t="s">
        <v>1157</v>
      </c>
      <c r="E461" s="18" t="s">
        <v>36</v>
      </c>
      <c r="F461" s="18" t="s">
        <v>36</v>
      </c>
      <c r="J461" s="19"/>
      <c r="K461" s="19">
        <v>0.25140000000000001</v>
      </c>
      <c r="L461" s="19">
        <v>9.1319053000000011E-2</v>
      </c>
      <c r="M461" s="19">
        <v>0.3</v>
      </c>
      <c r="N461" s="19">
        <v>0.28570000000000001</v>
      </c>
      <c r="O461" s="19">
        <v>0.21659999999999999</v>
      </c>
      <c r="P461" s="19">
        <v>0.5</v>
      </c>
      <c r="Q461" s="19">
        <v>0.105932203</v>
      </c>
      <c r="R461" s="20">
        <v>17735</v>
      </c>
      <c r="S461" s="21" t="str">
        <f>HYPERLINK("https://www.cochise.edu/netprice/npcalc.htm", "$12343")</f>
        <v>$12343</v>
      </c>
      <c r="T461" s="20">
        <v>14205</v>
      </c>
      <c r="U461" s="20" t="s">
        <v>36</v>
      </c>
      <c r="V461" s="20">
        <v>4591</v>
      </c>
      <c r="W461" s="20">
        <v>7752.4755555555566</v>
      </c>
      <c r="Y461" s="19">
        <v>0.35489999999999999</v>
      </c>
      <c r="Z461" s="19">
        <v>0.60799999999999998</v>
      </c>
      <c r="AB461" s="18">
        <v>3528</v>
      </c>
      <c r="AC461" s="18">
        <v>6</v>
      </c>
    </row>
    <row r="462" spans="1:29" ht="15.75" customHeight="1" x14ac:dyDescent="0.2">
      <c r="A462" s="36" t="str">
        <f>HYPERLINK("https://www.cochranschoolofnursing.us", "Cochran School of Nursing")</f>
        <v>Cochran School of Nursing</v>
      </c>
      <c r="B462" s="18" t="s">
        <v>32</v>
      </c>
      <c r="C462" s="18" t="s">
        <v>38</v>
      </c>
      <c r="D462" s="18" t="s">
        <v>1159</v>
      </c>
      <c r="E462" s="18" t="s">
        <v>36</v>
      </c>
      <c r="F462" s="18" t="s">
        <v>36</v>
      </c>
      <c r="J462" s="19"/>
      <c r="K462" s="19" t="s">
        <v>36</v>
      </c>
      <c r="L462" s="19" t="s">
        <v>36</v>
      </c>
      <c r="M462" s="19" t="s">
        <v>36</v>
      </c>
      <c r="N462" s="19" t="s">
        <v>36</v>
      </c>
      <c r="O462" s="19" t="s">
        <v>36</v>
      </c>
      <c r="P462" s="19" t="s">
        <v>36</v>
      </c>
      <c r="Q462" s="19" t="s">
        <v>36</v>
      </c>
      <c r="R462" s="20" t="s">
        <v>36</v>
      </c>
      <c r="S462" s="21" t="str">
        <f>HYPERLINK("https://www.cochranschoolofnursing.us/Admissions/SummaryofCost.aspx", "Not reported")</f>
        <v>Not reported</v>
      </c>
      <c r="T462" s="20" t="s">
        <v>36</v>
      </c>
      <c r="U462" s="20" t="s">
        <v>36</v>
      </c>
      <c r="V462" s="20" t="s">
        <v>36</v>
      </c>
      <c r="W462" s="20" t="s">
        <v>36</v>
      </c>
      <c r="Y462" s="19">
        <v>0.36459999999999998</v>
      </c>
      <c r="Z462" s="19">
        <v>0.93330000000000002</v>
      </c>
      <c r="AB462" s="18">
        <v>120</v>
      </c>
      <c r="AC462" s="18">
        <v>6</v>
      </c>
    </row>
    <row r="463" spans="1:29" ht="15.75" customHeight="1" x14ac:dyDescent="0.2">
      <c r="A463" s="36" t="str">
        <f>HYPERLINK("https://www.coconino.edu/", "Coconino Community College")</f>
        <v>Coconino Community College</v>
      </c>
      <c r="B463" s="18" t="s">
        <v>49</v>
      </c>
      <c r="C463" s="18" t="s">
        <v>354</v>
      </c>
      <c r="D463" s="18" t="s">
        <v>1014</v>
      </c>
      <c r="E463" s="18" t="s">
        <v>36</v>
      </c>
      <c r="F463" s="18" t="s">
        <v>36</v>
      </c>
      <c r="J463" s="19"/>
      <c r="K463" s="19">
        <v>0.1782</v>
      </c>
      <c r="L463" s="19">
        <v>8.4179970999999992E-2</v>
      </c>
      <c r="M463" s="19">
        <v>0.20860000000000001</v>
      </c>
      <c r="N463" s="19">
        <v>0</v>
      </c>
      <c r="O463" s="19">
        <v>0.18390000000000001</v>
      </c>
      <c r="P463" s="19">
        <v>0.33329999999999999</v>
      </c>
      <c r="Q463" s="19">
        <v>0.120837298</v>
      </c>
      <c r="R463" s="20">
        <v>27749</v>
      </c>
      <c r="S463" s="21" t="str">
        <f>HYPERLINK("https://www.coconino.edu/ccc-pages/netprice-calculator/", "$22000")</f>
        <v>$22000</v>
      </c>
      <c r="T463" s="20">
        <v>24811</v>
      </c>
      <c r="U463" s="20">
        <v>26790</v>
      </c>
      <c r="V463" s="20">
        <v>7140</v>
      </c>
      <c r="W463" s="20">
        <v>14860.36893203884</v>
      </c>
      <c r="Y463" s="19">
        <v>0.23139999999999999</v>
      </c>
      <c r="Z463" s="19">
        <v>0.49740000000000001</v>
      </c>
      <c r="AB463" s="18">
        <v>2459</v>
      </c>
      <c r="AC463" s="18">
        <v>6</v>
      </c>
    </row>
    <row r="464" spans="1:29" ht="15.75" customHeight="1" x14ac:dyDescent="0.2">
      <c r="A464" s="36" t="str">
        <f>HYPERLINK("https://www.coe.edu", "Coe College")</f>
        <v>Coe College</v>
      </c>
      <c r="B464" s="18" t="s">
        <v>32</v>
      </c>
      <c r="C464" s="18" t="s">
        <v>211</v>
      </c>
      <c r="D464" s="18" t="s">
        <v>333</v>
      </c>
      <c r="E464" s="18">
        <v>1213</v>
      </c>
      <c r="F464" s="18" t="s">
        <v>35</v>
      </c>
      <c r="J464" s="19"/>
      <c r="K464" s="19">
        <v>0.6925</v>
      </c>
      <c r="L464" s="19">
        <v>0.50909090899999998</v>
      </c>
      <c r="M464" s="19">
        <v>0.69799999999999995</v>
      </c>
      <c r="N464" s="19">
        <v>0.77780000000000005</v>
      </c>
      <c r="O464" s="19">
        <v>0.83330000000000004</v>
      </c>
      <c r="P464" s="19">
        <v>0.7</v>
      </c>
      <c r="Q464" s="19"/>
      <c r="R464" s="20">
        <v>55240</v>
      </c>
      <c r="S464" s="21" t="str">
        <f>HYPERLINK("https://www.coe.edu/admission/financial-aid-scholarships/resources/net-price-calculator", "$16665")</f>
        <v>$16665</v>
      </c>
      <c r="T464" s="20">
        <v>18613</v>
      </c>
      <c r="U464" s="20">
        <v>21336</v>
      </c>
      <c r="V464" s="20">
        <v>3670</v>
      </c>
      <c r="W464" s="20">
        <v>12995</v>
      </c>
      <c r="Y464" s="19">
        <v>0.29520000000000002</v>
      </c>
      <c r="Z464" s="19">
        <v>0.32150000000000001</v>
      </c>
      <c r="AB464" s="18">
        <v>1350</v>
      </c>
      <c r="AC464" s="18">
        <v>3</v>
      </c>
    </row>
    <row r="465" spans="1:29" ht="15.75" customHeight="1" x14ac:dyDescent="0.2">
      <c r="A465" s="36" t="str">
        <f>HYPERLINK("https://www.coffeyville.edu", "Coffeyville Community College")</f>
        <v>Coffeyville Community College</v>
      </c>
      <c r="B465" s="18" t="s">
        <v>49</v>
      </c>
      <c r="C465" s="18" t="s">
        <v>307</v>
      </c>
      <c r="D465" s="18" t="s">
        <v>1163</v>
      </c>
      <c r="E465" s="18" t="s">
        <v>36</v>
      </c>
      <c r="F465" s="18" t="s">
        <v>36</v>
      </c>
      <c r="J465" s="19"/>
      <c r="K465" s="19">
        <v>0.39639999999999997</v>
      </c>
      <c r="L465" s="19">
        <v>0.163978495</v>
      </c>
      <c r="M465" s="19">
        <v>0.36509999999999998</v>
      </c>
      <c r="N465" s="19">
        <v>0.38269999999999998</v>
      </c>
      <c r="O465" s="19">
        <v>0.55259999999999998</v>
      </c>
      <c r="P465" s="19">
        <v>0.5</v>
      </c>
      <c r="Q465" s="19">
        <v>9.7756410000000002E-2</v>
      </c>
      <c r="R465" s="20">
        <v>13279</v>
      </c>
      <c r="S465" s="21" t="str">
        <f>HYPERLINK("https://access.coffeyville.edu/netprice/npcalc.htm", "$6983")</f>
        <v>$6983</v>
      </c>
      <c r="T465" s="20">
        <v>9064</v>
      </c>
      <c r="U465" s="20">
        <v>11122</v>
      </c>
      <c r="V465" s="20">
        <v>3367</v>
      </c>
      <c r="W465" s="20">
        <v>3616.708333333333</v>
      </c>
      <c r="Y465" s="19">
        <v>0.40110000000000001</v>
      </c>
      <c r="Z465" s="19">
        <v>0.53160000000000007</v>
      </c>
      <c r="AB465" s="18">
        <v>1044</v>
      </c>
      <c r="AC465" s="18">
        <v>6</v>
      </c>
    </row>
    <row r="466" spans="1:29" ht="15.75" customHeight="1" x14ac:dyDescent="0.2">
      <c r="A466" s="36" t="str">
        <f>HYPERLINK("https://www.cogswell.edu", "Cogswell College")</f>
        <v>Cogswell College</v>
      </c>
      <c r="B466" s="18" t="s">
        <v>368</v>
      </c>
      <c r="C466" s="18" t="s">
        <v>68</v>
      </c>
      <c r="D466" s="18" t="s">
        <v>659</v>
      </c>
      <c r="E466" s="18" t="s">
        <v>36</v>
      </c>
      <c r="F466" s="18" t="s">
        <v>90</v>
      </c>
      <c r="J466" s="19"/>
      <c r="K466" s="19">
        <v>0.37209999999999999</v>
      </c>
      <c r="L466" s="19" t="s">
        <v>36</v>
      </c>
      <c r="M466" s="19">
        <v>0.375</v>
      </c>
      <c r="N466" s="19">
        <v>1</v>
      </c>
      <c r="O466" s="19">
        <v>0.1111</v>
      </c>
      <c r="P466" s="19">
        <v>0.33329999999999999</v>
      </c>
      <c r="Q466" s="19"/>
      <c r="R466" s="20">
        <v>38265</v>
      </c>
      <c r="S466" s="21" t="str">
        <f>HYPERLINK("https://cogswell.edu/admission/financial-aid/", "$22746")</f>
        <v>$22746</v>
      </c>
      <c r="T466" s="20">
        <v>26259</v>
      </c>
      <c r="U466" s="20">
        <v>30611</v>
      </c>
      <c r="V466" s="20">
        <v>5094</v>
      </c>
      <c r="W466" s="20">
        <v>17652</v>
      </c>
      <c r="Y466" s="19">
        <v>0.45379999999999998</v>
      </c>
      <c r="Z466" s="19">
        <v>0.64510000000000001</v>
      </c>
      <c r="AB466" s="18">
        <v>603</v>
      </c>
      <c r="AC466" s="18">
        <v>4</v>
      </c>
    </row>
    <row r="467" spans="1:29" ht="15.75" customHeight="1" x14ac:dyDescent="0.2">
      <c r="A467" s="36" t="str">
        <f>HYPERLINK("https://coker.edu", "Coker College")</f>
        <v>Coker College</v>
      </c>
      <c r="B467" s="18" t="s">
        <v>32</v>
      </c>
      <c r="C467" s="18" t="s">
        <v>208</v>
      </c>
      <c r="D467" s="18" t="s">
        <v>666</v>
      </c>
      <c r="E467" s="18">
        <v>999</v>
      </c>
      <c r="F467" s="18" t="s">
        <v>35</v>
      </c>
      <c r="J467" s="19"/>
      <c r="K467" s="19">
        <v>0.46600000000000003</v>
      </c>
      <c r="L467" s="19">
        <v>0.558510638</v>
      </c>
      <c r="M467" s="19">
        <v>0.45040000000000002</v>
      </c>
      <c r="N467" s="19">
        <v>0.45</v>
      </c>
      <c r="O467" s="19">
        <v>0.57140000000000002</v>
      </c>
      <c r="P467" s="19" t="s">
        <v>36</v>
      </c>
      <c r="Q467" s="19"/>
      <c r="R467" s="20">
        <v>40230</v>
      </c>
      <c r="S467" s="21" t="str">
        <f>HYPERLINK("https://www.coker.edu/admissions-aid/traditional-students/costs-aid/financial-aid/net-price-calculator/", "$15508")</f>
        <v>$15508</v>
      </c>
      <c r="T467" s="20">
        <v>26850</v>
      </c>
      <c r="U467" s="20" t="s">
        <v>36</v>
      </c>
      <c r="V467" s="20">
        <v>2722</v>
      </c>
      <c r="W467" s="20">
        <v>12786</v>
      </c>
      <c r="Y467" s="19">
        <v>0.47689999999999999</v>
      </c>
      <c r="Z467" s="19">
        <v>0.47130000000000011</v>
      </c>
      <c r="AB467" s="18">
        <v>1012</v>
      </c>
      <c r="AC467" s="18">
        <v>4</v>
      </c>
    </row>
    <row r="468" spans="1:29" ht="15.75" customHeight="1" x14ac:dyDescent="0.2">
      <c r="A468" s="36" t="str">
        <f>HYPERLINK("https://www.colby.edu", "Colby College")</f>
        <v>Colby College</v>
      </c>
      <c r="B468" s="18" t="s">
        <v>32</v>
      </c>
      <c r="C468" s="18" t="s">
        <v>43</v>
      </c>
      <c r="D468" s="18" t="s">
        <v>79</v>
      </c>
      <c r="E468" s="18">
        <v>1444</v>
      </c>
      <c r="F468" s="18" t="s">
        <v>35</v>
      </c>
      <c r="J468" s="19"/>
      <c r="K468" s="19">
        <v>0.91610000000000003</v>
      </c>
      <c r="L468" s="19" t="s">
        <v>36</v>
      </c>
      <c r="M468" s="19">
        <v>0.93189999999999995</v>
      </c>
      <c r="N468" s="19">
        <v>0.86670000000000003</v>
      </c>
      <c r="O468" s="19">
        <v>0.95830000000000004</v>
      </c>
      <c r="P468" s="19">
        <v>0.90910000000000002</v>
      </c>
      <c r="Q468" s="19"/>
      <c r="R468" s="20">
        <v>68582</v>
      </c>
      <c r="S468" s="21" t="str">
        <f>HYPERLINK("https://colby.studentaidcalculator.com/welcome.aspx", "$7630")</f>
        <v>$7630</v>
      </c>
      <c r="T468" s="20">
        <v>7524</v>
      </c>
      <c r="U468" s="20">
        <v>15658</v>
      </c>
      <c r="V468" s="20">
        <v>1802</v>
      </c>
      <c r="W468" s="20">
        <v>5828</v>
      </c>
      <c r="X468" s="18" t="s">
        <v>37</v>
      </c>
      <c r="Y468" s="19">
        <v>0.1075</v>
      </c>
      <c r="Z468" s="19">
        <v>0.36199999999999999</v>
      </c>
      <c r="AA468" s="18" t="s">
        <v>37</v>
      </c>
      <c r="AB468" s="18">
        <v>1917</v>
      </c>
      <c r="AC468" s="18">
        <v>1</v>
      </c>
    </row>
    <row r="469" spans="1:29" ht="15.75" customHeight="1" x14ac:dyDescent="0.2">
      <c r="A469" s="36" t="str">
        <f>HYPERLINK("https://www.colbycc.edu", "Colby Community College")</f>
        <v>Colby Community College</v>
      </c>
      <c r="B469" s="18" t="s">
        <v>49</v>
      </c>
      <c r="C469" s="18" t="s">
        <v>307</v>
      </c>
      <c r="D469" s="18" t="s">
        <v>1165</v>
      </c>
      <c r="E469" s="18" t="s">
        <v>36</v>
      </c>
      <c r="F469" s="18" t="s">
        <v>36</v>
      </c>
      <c r="J469" s="19"/>
      <c r="K469" s="19">
        <v>0.46970000000000001</v>
      </c>
      <c r="L469" s="19">
        <v>0.238410596</v>
      </c>
      <c r="M469" s="19">
        <v>0.56940000000000002</v>
      </c>
      <c r="N469" s="19">
        <v>0.66669999999999996</v>
      </c>
      <c r="O469" s="19">
        <v>0.36</v>
      </c>
      <c r="P469" s="19">
        <v>0.25</v>
      </c>
      <c r="Q469" s="19">
        <v>0.127071823</v>
      </c>
      <c r="R469" s="20">
        <v>15399</v>
      </c>
      <c r="S469" s="21" t="str">
        <f>HYPERLINK("https://nces.ed.gov/ipeds/netpricecalculator/", "$9162")</f>
        <v>$9162</v>
      </c>
      <c r="T469" s="20">
        <v>11950</v>
      </c>
      <c r="U469" s="20">
        <v>13263</v>
      </c>
      <c r="V469" s="20">
        <v>4100</v>
      </c>
      <c r="W469" s="20">
        <v>5062.3617021276586</v>
      </c>
      <c r="Y469" s="19">
        <v>0.26729999999999998</v>
      </c>
      <c r="Z469" s="19">
        <v>0.29659999999999997</v>
      </c>
      <c r="AB469" s="18">
        <v>799</v>
      </c>
      <c r="AC469" s="18">
        <v>6</v>
      </c>
    </row>
    <row r="470" spans="1:29" ht="15.75" customHeight="1" x14ac:dyDescent="0.2">
      <c r="A470" s="36" t="str">
        <f>HYPERLINK("https://www.colby-sawyer.edu", "Colby-Sawyer College")</f>
        <v>Colby-Sawyer College</v>
      </c>
      <c r="B470" s="18" t="s">
        <v>32</v>
      </c>
      <c r="C470" s="18" t="s">
        <v>101</v>
      </c>
      <c r="D470" s="18" t="s">
        <v>95</v>
      </c>
      <c r="E470" s="18" t="s">
        <v>36</v>
      </c>
      <c r="F470" s="18" t="s">
        <v>45</v>
      </c>
      <c r="J470" s="19"/>
      <c r="K470" s="19">
        <v>0.58940000000000003</v>
      </c>
      <c r="L470" s="19">
        <v>0.39705882399999998</v>
      </c>
      <c r="M470" s="19">
        <v>0.57240000000000002</v>
      </c>
      <c r="N470" s="19">
        <v>0.77780000000000005</v>
      </c>
      <c r="O470" s="19">
        <v>0.41670000000000001</v>
      </c>
      <c r="P470" s="19">
        <v>0.85709999999999997</v>
      </c>
      <c r="Q470" s="19"/>
      <c r="R470" s="20">
        <v>57836</v>
      </c>
      <c r="S470" s="21" t="str">
        <f>HYPERLINK("https://colby-sawyer.edu/net-price-calculator", "$22695")</f>
        <v>$22695</v>
      </c>
      <c r="T470" s="20">
        <v>24429</v>
      </c>
      <c r="U470" s="20">
        <v>26746</v>
      </c>
      <c r="V470" s="20">
        <v>3000</v>
      </c>
      <c r="W470" s="20">
        <v>19695</v>
      </c>
      <c r="Y470" s="19">
        <v>0.27160000000000001</v>
      </c>
      <c r="Z470" s="19">
        <v>0.2492</v>
      </c>
      <c r="AB470" s="18">
        <v>963</v>
      </c>
      <c r="AC470" s="18">
        <v>4</v>
      </c>
    </row>
    <row r="471" spans="1:29" ht="15.75" customHeight="1" x14ac:dyDescent="0.2">
      <c r="A471" s="36" t="str">
        <f>HYPERLINK("https://www.colgate.edu", "Colgate University")</f>
        <v>Colgate University</v>
      </c>
      <c r="B471" s="18" t="s">
        <v>32</v>
      </c>
      <c r="C471" s="18" t="s">
        <v>38</v>
      </c>
      <c r="D471" s="18" t="s">
        <v>80</v>
      </c>
      <c r="E471" s="18">
        <v>1443</v>
      </c>
      <c r="F471" s="18" t="s">
        <v>35</v>
      </c>
      <c r="G471" s="18" t="s">
        <v>40</v>
      </c>
      <c r="H471" s="18" t="s">
        <v>81</v>
      </c>
      <c r="I471" s="18" t="s">
        <v>82</v>
      </c>
      <c r="J471" s="19"/>
      <c r="K471" s="19">
        <v>0.9123</v>
      </c>
      <c r="L471" s="19">
        <v>0.8</v>
      </c>
      <c r="M471" s="19">
        <v>0.92179999999999995</v>
      </c>
      <c r="N471" s="19">
        <v>0.91180000000000005</v>
      </c>
      <c r="O471" s="19">
        <v>0.84379999999999999</v>
      </c>
      <c r="P471" s="19">
        <v>0.92310000000000003</v>
      </c>
      <c r="Q471" s="19"/>
      <c r="R471" s="20">
        <v>69860</v>
      </c>
      <c r="S471" s="21" t="str">
        <f>HYPERLINK("https://www.colgate.edu/admission-financial-aid/financial-aid/net-price-calculator", "$7249")</f>
        <v>$7249</v>
      </c>
      <c r="T471" s="20">
        <v>15055</v>
      </c>
      <c r="U471" s="20">
        <v>22315</v>
      </c>
      <c r="V471" s="20">
        <v>2360</v>
      </c>
      <c r="W471" s="20">
        <v>4889</v>
      </c>
      <c r="X471" s="18" t="s">
        <v>37</v>
      </c>
      <c r="Y471" s="19">
        <v>0.1173</v>
      </c>
      <c r="Z471" s="19">
        <v>0.35210000000000002</v>
      </c>
      <c r="AB471" s="18">
        <v>2854</v>
      </c>
      <c r="AC471" s="18">
        <v>1</v>
      </c>
    </row>
    <row r="472" spans="1:29" ht="15.75" customHeight="1" x14ac:dyDescent="0.2">
      <c r="A472" s="36" t="str">
        <f>HYPERLINK("https://www.collegeforcreativestudies.edu", "College for Creative Studies")</f>
        <v>College for Creative Studies</v>
      </c>
      <c r="B472" s="18" t="s">
        <v>32</v>
      </c>
      <c r="C472" s="18" t="s">
        <v>226</v>
      </c>
      <c r="D472" s="18" t="s">
        <v>668</v>
      </c>
      <c r="E472" s="18">
        <v>1149</v>
      </c>
      <c r="F472" s="18" t="s">
        <v>35</v>
      </c>
      <c r="J472" s="19"/>
      <c r="K472" s="19">
        <v>0.59719999999999995</v>
      </c>
      <c r="L472" s="19">
        <v>0.48091603100000002</v>
      </c>
      <c r="M472" s="19">
        <v>0.70369999999999999</v>
      </c>
      <c r="N472" s="19">
        <v>0.30769999999999997</v>
      </c>
      <c r="O472" s="19">
        <v>0.71430000000000005</v>
      </c>
      <c r="P472" s="19">
        <v>0.25</v>
      </c>
      <c r="Q472" s="19"/>
      <c r="R472" s="20">
        <v>57810</v>
      </c>
      <c r="S472" s="21" t="str">
        <f>HYPERLINK("https://www.collegeforcreativestudies.edu/admissions/tuition-and-aid/undergraduate-tuition-and-financial-aid/net-price-calculator", "$32698")</f>
        <v>$32698</v>
      </c>
      <c r="T472" s="20">
        <v>35155</v>
      </c>
      <c r="U472" s="20">
        <v>37606</v>
      </c>
      <c r="V472" s="20">
        <v>6700</v>
      </c>
      <c r="W472" s="20">
        <v>25998</v>
      </c>
      <c r="Y472" s="19">
        <v>0.314</v>
      </c>
      <c r="Z472" s="19">
        <v>0.4254</v>
      </c>
      <c r="AB472" s="18">
        <v>1347</v>
      </c>
      <c r="AC472" s="18">
        <v>4</v>
      </c>
    </row>
    <row r="473" spans="1:29" ht="15.75" customHeight="1" x14ac:dyDescent="0.2">
      <c r="A473" s="36" t="str">
        <f>HYPERLINK("https://www.cbt.edu", "College of Business and Technology-Kendall")</f>
        <v>College of Business and Technology-Kendall</v>
      </c>
      <c r="B473" s="18" t="s">
        <v>368</v>
      </c>
      <c r="C473" s="18" t="s">
        <v>162</v>
      </c>
      <c r="D473" s="18" t="s">
        <v>359</v>
      </c>
      <c r="E473" s="18" t="s">
        <v>36</v>
      </c>
      <c r="F473" s="18" t="s">
        <v>36</v>
      </c>
      <c r="J473" s="19"/>
      <c r="K473" s="19">
        <v>0.63370000000000004</v>
      </c>
      <c r="L473" s="19">
        <v>0.69642857099999989</v>
      </c>
      <c r="M473" s="19">
        <v>0</v>
      </c>
      <c r="N473" s="19">
        <v>0.8</v>
      </c>
      <c r="O473" s="19">
        <v>0.65769999999999995</v>
      </c>
      <c r="P473" s="19" t="s">
        <v>36</v>
      </c>
      <c r="Q473" s="19" t="s">
        <v>36</v>
      </c>
      <c r="R473" s="20">
        <v>24672</v>
      </c>
      <c r="S473" s="21" t="str">
        <f>HYPERLINK("https://www.cbt.edu/financial-aid/financial-aid-calculator", "Not reported")</f>
        <v>Not reported</v>
      </c>
      <c r="T473" s="20" t="s">
        <v>36</v>
      </c>
      <c r="U473" s="20" t="s">
        <v>36</v>
      </c>
      <c r="V473" s="20">
        <v>3300</v>
      </c>
      <c r="W473" s="20" t="s">
        <v>36</v>
      </c>
      <c r="Y473" s="19">
        <v>1</v>
      </c>
      <c r="Z473" s="19">
        <v>1</v>
      </c>
      <c r="AB473" s="18">
        <v>5</v>
      </c>
      <c r="AC473" s="18">
        <v>6</v>
      </c>
    </row>
    <row r="474" spans="1:29" ht="15.75" customHeight="1" x14ac:dyDescent="0.2">
      <c r="A474" s="36" t="str">
        <f>HYPERLINK("https://www.cf.edu", "College of Central Florida")</f>
        <v>College of Central Florida</v>
      </c>
      <c r="B474" s="18" t="s">
        <v>49</v>
      </c>
      <c r="C474" s="18" t="s">
        <v>162</v>
      </c>
      <c r="D474" s="18" t="s">
        <v>1167</v>
      </c>
      <c r="E474" s="18" t="s">
        <v>36</v>
      </c>
      <c r="F474" s="18" t="s">
        <v>36</v>
      </c>
      <c r="J474" s="19"/>
      <c r="K474" s="19">
        <v>0.37140000000000001</v>
      </c>
      <c r="L474" s="19">
        <v>0.228250702</v>
      </c>
      <c r="M474" s="19">
        <v>0.38590000000000002</v>
      </c>
      <c r="N474" s="19">
        <v>0.22919999999999999</v>
      </c>
      <c r="O474" s="19">
        <v>0.4</v>
      </c>
      <c r="P474" s="19">
        <v>0.61109999999999998</v>
      </c>
      <c r="Q474" s="19">
        <v>7.7284105000000006E-2</v>
      </c>
      <c r="R474" s="20">
        <v>20272</v>
      </c>
      <c r="S474" s="21" t="str">
        <f>HYPERLINK("https://mycf.cf.edu/ics/clientconfig/HtmlContent/npcalc.htm", "$15470")</f>
        <v>$15470</v>
      </c>
      <c r="T474" s="20">
        <v>17806</v>
      </c>
      <c r="U474" s="20">
        <v>19892</v>
      </c>
      <c r="V474" s="20">
        <v>4404</v>
      </c>
      <c r="W474" s="20">
        <v>11066.985748218531</v>
      </c>
      <c r="Y474" s="19">
        <v>0.45319999999999999</v>
      </c>
      <c r="Z474" s="19">
        <v>0.40289999999999998</v>
      </c>
      <c r="AB474" s="18">
        <v>5932</v>
      </c>
      <c r="AC474" s="18">
        <v>6</v>
      </c>
    </row>
    <row r="475" spans="1:29" ht="15.75" customHeight="1" x14ac:dyDescent="0.2">
      <c r="A475" s="36" t="str">
        <f>HYPERLINK("https://www.cofc.edu", "College of Charleston")</f>
        <v>College of Charleston</v>
      </c>
      <c r="B475" s="18" t="s">
        <v>49</v>
      </c>
      <c r="C475" s="18" t="s">
        <v>208</v>
      </c>
      <c r="D475" s="18" t="s">
        <v>334</v>
      </c>
      <c r="E475" s="18">
        <v>1176</v>
      </c>
      <c r="F475" s="18" t="s">
        <v>35</v>
      </c>
      <c r="J475" s="19"/>
      <c r="K475" s="19">
        <v>0.69210000000000005</v>
      </c>
      <c r="L475" s="19">
        <v>0.59560067700000008</v>
      </c>
      <c r="M475" s="19">
        <v>0.69430000000000003</v>
      </c>
      <c r="N475" s="19">
        <v>0.66169999999999995</v>
      </c>
      <c r="O475" s="19">
        <v>0.64439999999999997</v>
      </c>
      <c r="P475" s="19">
        <v>0.7097</v>
      </c>
      <c r="Q475" s="19"/>
      <c r="R475" s="20">
        <v>48057</v>
      </c>
      <c r="S475" s="21" t="str">
        <f>HYPERLINK("https://cofc.studentaidcalculator.com/survey.aspx", "$35332")</f>
        <v>$35332</v>
      </c>
      <c r="T475" s="20">
        <v>39275</v>
      </c>
      <c r="U475" s="20">
        <v>41878</v>
      </c>
      <c r="V475" s="20">
        <v>5199</v>
      </c>
      <c r="W475" s="20">
        <v>30133.008356545961</v>
      </c>
      <c r="Y475" s="19">
        <v>0.23400000000000001</v>
      </c>
      <c r="Z475" s="19">
        <v>0.221</v>
      </c>
      <c r="AB475" s="18">
        <v>9599</v>
      </c>
      <c r="AC475" s="18">
        <v>3</v>
      </c>
    </row>
    <row r="476" spans="1:29" ht="15.75" customHeight="1" x14ac:dyDescent="0.2">
      <c r="A476" s="36" t="str">
        <f>HYPERLINK("https://www.ccga.edu", "College of Coastal Georgia")</f>
        <v>College of Coastal Georgia</v>
      </c>
      <c r="B476" s="18" t="s">
        <v>49</v>
      </c>
      <c r="C476" s="18" t="s">
        <v>107</v>
      </c>
      <c r="D476" s="18" t="s">
        <v>57</v>
      </c>
      <c r="E476" s="18">
        <v>937</v>
      </c>
      <c r="F476" s="18" t="s">
        <v>35</v>
      </c>
      <c r="J476" s="19"/>
      <c r="K476" s="19">
        <v>0.1318</v>
      </c>
      <c r="L476" s="19">
        <v>0.178657074</v>
      </c>
      <c r="M476" s="19">
        <v>0.1108</v>
      </c>
      <c r="N476" s="19">
        <v>4.7E-2</v>
      </c>
      <c r="O476" s="19">
        <v>6.25E-2</v>
      </c>
      <c r="P476" s="19">
        <v>0</v>
      </c>
      <c r="Q476" s="19">
        <v>6.8685377000000006E-2</v>
      </c>
      <c r="R476" s="20">
        <v>29460</v>
      </c>
      <c r="S476" s="21" t="str">
        <f>HYPERLINK("https://www.ccga.edu/page.cfm?p=836", "$22839")</f>
        <v>$22839</v>
      </c>
      <c r="T476" s="20">
        <v>26097</v>
      </c>
      <c r="U476" s="20">
        <v>27513</v>
      </c>
      <c r="V476" s="20">
        <v>6692</v>
      </c>
      <c r="W476" s="20">
        <v>16147.6511627907</v>
      </c>
      <c r="Y476" s="19">
        <v>0.4698</v>
      </c>
      <c r="Z476" s="19">
        <v>0.35709999999999997</v>
      </c>
      <c r="AB476" s="18">
        <v>3190</v>
      </c>
      <c r="AC476" s="18">
        <v>6</v>
      </c>
    </row>
    <row r="477" spans="1:29" ht="15.75" customHeight="1" x14ac:dyDescent="0.2">
      <c r="A477" s="36" t="str">
        <f>HYPERLINK("https://www.ccr.edu", "College of Court Reporting Inc")</f>
        <v>College of Court Reporting Inc</v>
      </c>
      <c r="B477" s="18" t="s">
        <v>368</v>
      </c>
      <c r="C477" s="18" t="s">
        <v>148</v>
      </c>
      <c r="D477" s="18" t="s">
        <v>530</v>
      </c>
      <c r="E477" s="18" t="s">
        <v>36</v>
      </c>
      <c r="F477" s="18" t="s">
        <v>36</v>
      </c>
      <c r="J477" s="19"/>
      <c r="K477" s="19">
        <v>0.15670000000000001</v>
      </c>
      <c r="L477" s="19" t="s">
        <v>36</v>
      </c>
      <c r="M477" s="19">
        <v>0.19769999999999999</v>
      </c>
      <c r="N477" s="19">
        <v>6.25E-2</v>
      </c>
      <c r="O477" s="19">
        <v>0.1111</v>
      </c>
      <c r="P477" s="19">
        <v>0</v>
      </c>
      <c r="Q477" s="19">
        <v>6.7567567999999995E-2</v>
      </c>
      <c r="R477" s="20">
        <v>42171</v>
      </c>
      <c r="S477" s="21" t="str">
        <f>HYPERLINK("https://www.ccr.edu/index.php/financial/net-price-calculator", "$30750")</f>
        <v>$30750</v>
      </c>
      <c r="T477" s="20">
        <v>32932</v>
      </c>
      <c r="U477" s="20">
        <v>33862</v>
      </c>
      <c r="V477" s="20">
        <v>14794</v>
      </c>
      <c r="W477" s="20">
        <v>15956</v>
      </c>
      <c r="Y477" s="19">
        <v>0.49209999999999998</v>
      </c>
      <c r="Z477" s="19">
        <v>0.29690000000000011</v>
      </c>
      <c r="AB477" s="18">
        <v>229</v>
      </c>
      <c r="AC477" s="18">
        <v>6</v>
      </c>
    </row>
    <row r="478" spans="1:29" ht="15.75" customHeight="1" x14ac:dyDescent="0.2">
      <c r="A478" s="36" t="str">
        <f>HYPERLINK("https://www.cod.edu", "College of DuPage")</f>
        <v>College of DuPage</v>
      </c>
      <c r="B478" s="18" t="s">
        <v>49</v>
      </c>
      <c r="C478" s="18" t="s">
        <v>137</v>
      </c>
      <c r="D478" s="18" t="s">
        <v>1171</v>
      </c>
      <c r="E478" s="18" t="s">
        <v>36</v>
      </c>
      <c r="F478" s="18" t="s">
        <v>36</v>
      </c>
      <c r="J478" s="19"/>
      <c r="K478" s="19">
        <v>0.2261</v>
      </c>
      <c r="L478" s="19">
        <v>1.8558481000000002E-2</v>
      </c>
      <c r="M478" s="19">
        <v>0.25580000000000003</v>
      </c>
      <c r="N478" s="19">
        <v>0.1139</v>
      </c>
      <c r="O478" s="19">
        <v>0.18079999999999999</v>
      </c>
      <c r="P478" s="19">
        <v>0.25840000000000002</v>
      </c>
      <c r="Q478" s="19">
        <v>0.194305694</v>
      </c>
      <c r="R478" s="20">
        <v>26256</v>
      </c>
      <c r="S478" s="21" t="str">
        <f>HYPERLINK("https://www.cod.edu/about/consumerinformation/net_price_calculator/index.aspx", "$20086")</f>
        <v>$20086</v>
      </c>
      <c r="T478" s="20">
        <v>22788</v>
      </c>
      <c r="U478" s="20">
        <v>23353</v>
      </c>
      <c r="V478" s="20">
        <v>5343</v>
      </c>
      <c r="W478" s="20">
        <v>14743.27203065134</v>
      </c>
      <c r="Y478" s="19">
        <v>0.20780000000000001</v>
      </c>
      <c r="Z478" s="19">
        <v>0.47770000000000001</v>
      </c>
      <c r="AB478" s="18">
        <v>16628</v>
      </c>
      <c r="AC478" s="18">
        <v>6</v>
      </c>
    </row>
    <row r="479" spans="1:29" ht="15.75" customHeight="1" x14ac:dyDescent="0.2">
      <c r="A479" s="36" t="str">
        <f>HYPERLINK("https://www.cei.edu", "Eastern Idaho Technical College")</f>
        <v>Eastern Idaho Technical College</v>
      </c>
      <c r="B479" s="18" t="s">
        <v>49</v>
      </c>
      <c r="C479" s="18" t="s">
        <v>486</v>
      </c>
      <c r="D479" s="18" t="s">
        <v>1172</v>
      </c>
      <c r="E479" s="18" t="s">
        <v>36</v>
      </c>
      <c r="F479" s="18" t="s">
        <v>36</v>
      </c>
      <c r="J479" s="19"/>
      <c r="K479" s="19">
        <v>0.5333</v>
      </c>
      <c r="L479" s="19">
        <v>0.40865384599999999</v>
      </c>
      <c r="M479" s="19">
        <v>0.47220000000000001</v>
      </c>
      <c r="N479" s="19">
        <v>0</v>
      </c>
      <c r="O479" s="19">
        <v>1</v>
      </c>
      <c r="P479" s="19" t="s">
        <v>36</v>
      </c>
      <c r="Q479" s="19">
        <v>7.0287539999999996E-2</v>
      </c>
      <c r="R479" s="20">
        <v>25163</v>
      </c>
      <c r="S479" s="21" t="str">
        <f>HYPERLINK("https://www.cei.edu/NPCalc/index.html", "$20161")</f>
        <v>$20161</v>
      </c>
      <c r="T479" s="20">
        <v>22722</v>
      </c>
      <c r="U479" s="20">
        <v>25163</v>
      </c>
      <c r="V479" s="20">
        <v>9438</v>
      </c>
      <c r="W479" s="20">
        <v>10723.17948717949</v>
      </c>
      <c r="Y479" s="19">
        <v>0.47960000000000003</v>
      </c>
      <c r="Z479" s="19">
        <v>0.18770000000000001</v>
      </c>
      <c r="AB479" s="18">
        <v>698</v>
      </c>
      <c r="AC479" s="18">
        <v>6</v>
      </c>
    </row>
    <row r="480" spans="1:29" ht="15.75" customHeight="1" x14ac:dyDescent="0.2">
      <c r="A480" s="36" t="str">
        <f>HYPERLINK("https://www.marin.edu", "College of Marin")</f>
        <v>College of Marin</v>
      </c>
      <c r="B480" s="18" t="s">
        <v>49</v>
      </c>
      <c r="C480" s="18" t="s">
        <v>68</v>
      </c>
      <c r="D480" s="18" t="s">
        <v>1173</v>
      </c>
      <c r="E480" s="18" t="s">
        <v>36</v>
      </c>
      <c r="F480" s="18" t="s">
        <v>36</v>
      </c>
      <c r="J480" s="19"/>
      <c r="K480" s="19">
        <v>0.29559999999999997</v>
      </c>
      <c r="L480" s="19">
        <v>0.10492228000000001</v>
      </c>
      <c r="M480" s="19">
        <v>0.32879999999999998</v>
      </c>
      <c r="N480" s="19">
        <v>0</v>
      </c>
      <c r="O480" s="19">
        <v>0.28789999999999999</v>
      </c>
      <c r="P480" s="19">
        <v>0.36840000000000001</v>
      </c>
      <c r="Q480" s="19">
        <v>9.0618336999999993E-2</v>
      </c>
      <c r="R480" s="20">
        <v>32741</v>
      </c>
      <c r="S480" s="21" t="str">
        <f>HYPERLINK("https://www.marin.edu/financial_aid/NetPriceCalculator/npcalc.htm", "$24708")</f>
        <v>$24708</v>
      </c>
      <c r="T480" s="20">
        <v>28840</v>
      </c>
      <c r="U480" s="20">
        <v>29296</v>
      </c>
      <c r="V480" s="20">
        <v>5949</v>
      </c>
      <c r="W480" s="20">
        <v>18759.887323943662</v>
      </c>
      <c r="Y480" s="19">
        <v>0.1293</v>
      </c>
      <c r="Z480" s="19">
        <v>0.49239999999999989</v>
      </c>
      <c r="AB480" s="18">
        <v>4190</v>
      </c>
      <c r="AC480" s="18">
        <v>6</v>
      </c>
    </row>
    <row r="481" spans="1:29" ht="15.75" customHeight="1" x14ac:dyDescent="0.2">
      <c r="A481" s="36" t="str">
        <f>HYPERLINK("https://www.menominee.edu", "College of Menominee Nation")</f>
        <v>College of Menominee Nation</v>
      </c>
      <c r="B481" s="18" t="s">
        <v>32</v>
      </c>
      <c r="C481" s="18" t="s">
        <v>196</v>
      </c>
      <c r="D481" s="18" t="s">
        <v>1174</v>
      </c>
      <c r="E481" s="18" t="s">
        <v>36</v>
      </c>
      <c r="F481" s="18" t="s">
        <v>36</v>
      </c>
      <c r="J481" s="19"/>
      <c r="K481" s="19">
        <v>0.14710000000000001</v>
      </c>
      <c r="L481" s="19" t="s">
        <v>36</v>
      </c>
      <c r="M481" s="19">
        <v>0.1176</v>
      </c>
      <c r="N481" s="19">
        <v>0</v>
      </c>
      <c r="O481" s="19" t="s">
        <v>36</v>
      </c>
      <c r="P481" s="19" t="s">
        <v>36</v>
      </c>
      <c r="Q481" s="19" t="s">
        <v>36</v>
      </c>
      <c r="R481" s="20">
        <v>17783</v>
      </c>
      <c r="S481" s="21" t="str">
        <f>HYPERLINK("https://www.menominee.edu/npcalc/npcalc.htm", "$4560")</f>
        <v>$4560</v>
      </c>
      <c r="T481" s="20">
        <v>7440</v>
      </c>
      <c r="U481" s="20" t="s">
        <v>36</v>
      </c>
      <c r="V481" s="20">
        <v>4017</v>
      </c>
      <c r="W481" s="20">
        <v>543</v>
      </c>
      <c r="Y481" s="19">
        <v>0.55579999999999996</v>
      </c>
      <c r="Z481" s="19">
        <v>0.85919999999999996</v>
      </c>
      <c r="AB481" s="18">
        <v>213</v>
      </c>
      <c r="AC481" s="18">
        <v>6</v>
      </c>
    </row>
    <row r="482" spans="1:29" ht="15.75" customHeight="1" x14ac:dyDescent="0.2">
      <c r="A482" s="36" t="str">
        <f>HYPERLINK("https://www.comfsm.fm", "College of Micronesia-FSM")</f>
        <v>College of Micronesia-FSM</v>
      </c>
      <c r="B482" s="18" t="s">
        <v>49</v>
      </c>
      <c r="C482" s="18" t="s">
        <v>1176</v>
      </c>
      <c r="D482" s="18" t="s">
        <v>1177</v>
      </c>
      <c r="E482" s="18" t="s">
        <v>36</v>
      </c>
      <c r="F482" s="18" t="s">
        <v>90</v>
      </c>
      <c r="J482" s="19"/>
      <c r="K482" s="19">
        <v>0.22639999999999999</v>
      </c>
      <c r="L482" s="19" t="s">
        <v>36</v>
      </c>
      <c r="M482" s="19" t="s">
        <v>36</v>
      </c>
      <c r="N482" s="19" t="s">
        <v>36</v>
      </c>
      <c r="O482" s="19" t="s">
        <v>36</v>
      </c>
      <c r="P482" s="19" t="s">
        <v>36</v>
      </c>
      <c r="Q482" s="19">
        <v>5.2931599999999999E-3</v>
      </c>
      <c r="R482" s="20">
        <v>12113</v>
      </c>
      <c r="S482" s="21" t="str">
        <f>HYPERLINK("https://comfsm.fm/fao/NetPriceCalculator/npcalc.htm", "$6732")</f>
        <v>$6732</v>
      </c>
      <c r="T482" s="20">
        <v>6157</v>
      </c>
      <c r="U482" s="20" t="s">
        <v>36</v>
      </c>
      <c r="V482" s="20">
        <v>3100</v>
      </c>
      <c r="W482" s="20">
        <v>3632.3782837127851</v>
      </c>
      <c r="Y482" s="19">
        <v>0.89329999999999998</v>
      </c>
      <c r="Z482" s="19">
        <v>1</v>
      </c>
      <c r="AB482" s="18">
        <v>2016</v>
      </c>
      <c r="AC482" s="18">
        <v>6</v>
      </c>
    </row>
    <row r="483" spans="1:29" ht="15.75" customHeight="1" x14ac:dyDescent="0.2">
      <c r="A483" s="36" t="str">
        <f>HYPERLINK("https://www.mountsaintvincent.edu", "College of Mount Saint Vincent")</f>
        <v>College of Mount Saint Vincent</v>
      </c>
      <c r="B483" s="18" t="s">
        <v>32</v>
      </c>
      <c r="C483" s="18" t="s">
        <v>38</v>
      </c>
      <c r="D483" s="18" t="s">
        <v>217</v>
      </c>
      <c r="E483" s="18">
        <v>981</v>
      </c>
      <c r="F483" s="18" t="s">
        <v>35</v>
      </c>
      <c r="G483" s="18" t="s">
        <v>40</v>
      </c>
      <c r="H483" s="18" t="s">
        <v>671</v>
      </c>
      <c r="I483" s="18" t="s">
        <v>672</v>
      </c>
      <c r="J483" s="19"/>
      <c r="K483" s="19">
        <v>0.53990000000000005</v>
      </c>
      <c r="L483" s="19">
        <v>0.53439153399999995</v>
      </c>
      <c r="M483" s="19">
        <v>0.4919</v>
      </c>
      <c r="N483" s="19">
        <v>0.5</v>
      </c>
      <c r="O483" s="19">
        <v>0.54320000000000002</v>
      </c>
      <c r="P483" s="19">
        <v>0.71430000000000005</v>
      </c>
      <c r="Q483" s="19"/>
      <c r="R483" s="20">
        <v>49985</v>
      </c>
      <c r="S483" s="21" t="str">
        <f>HYPERLINK("https://www.mountsaintvincent.edu/admission/financial-aid/net-price-calculator/", "$13866")</f>
        <v>$13866</v>
      </c>
      <c r="T483" s="20">
        <v>17090</v>
      </c>
      <c r="U483" s="20">
        <v>21851</v>
      </c>
      <c r="V483" s="20">
        <v>3385</v>
      </c>
      <c r="W483" s="20">
        <v>10481</v>
      </c>
      <c r="Y483" s="19">
        <v>0.45879999999999999</v>
      </c>
      <c r="Z483" s="19">
        <v>0.75119999999999998</v>
      </c>
      <c r="AB483" s="18">
        <v>1676</v>
      </c>
      <c r="AC483" s="18">
        <v>4</v>
      </c>
    </row>
    <row r="484" spans="1:29" ht="15.75" customHeight="1" x14ac:dyDescent="0.2">
      <c r="A484" s="36" t="str">
        <f>HYPERLINK("https://www.elms.edu", "College of Our Lady of the Elms")</f>
        <v>College of Our Lady of the Elms</v>
      </c>
      <c r="B484" s="18" t="s">
        <v>32</v>
      </c>
      <c r="C484" s="18" t="s">
        <v>33</v>
      </c>
      <c r="D484" s="18" t="s">
        <v>335</v>
      </c>
      <c r="E484" s="18">
        <v>1033</v>
      </c>
      <c r="F484" s="18" t="s">
        <v>35</v>
      </c>
      <c r="J484" s="19"/>
      <c r="K484" s="19">
        <v>0.57069999999999999</v>
      </c>
      <c r="L484" s="19">
        <v>0.5</v>
      </c>
      <c r="M484" s="19">
        <v>0.66669999999999996</v>
      </c>
      <c r="N484" s="19">
        <v>0.35</v>
      </c>
      <c r="O484" s="19">
        <v>0.35289999999999999</v>
      </c>
      <c r="P484" s="19">
        <v>0.85709999999999997</v>
      </c>
      <c r="Q484" s="19"/>
      <c r="R484" s="20">
        <v>50792</v>
      </c>
      <c r="S484" s="21" t="str">
        <f>HYPERLINK("https://tcc.noellevitz.com/(S(fwtmfnosjzw40vqinl1pafji))/Elms%20College/Freshman-Students", "$16843")</f>
        <v>$16843</v>
      </c>
      <c r="T484" s="20">
        <v>17969</v>
      </c>
      <c r="U484" s="20">
        <v>22283</v>
      </c>
      <c r="V484" s="20">
        <v>3550</v>
      </c>
      <c r="W484" s="20">
        <v>13293</v>
      </c>
      <c r="Y484" s="19">
        <v>0.4461</v>
      </c>
      <c r="Z484" s="19">
        <v>0.43519999999999998</v>
      </c>
      <c r="AB484" s="18">
        <v>1142</v>
      </c>
      <c r="AC484" s="18">
        <v>3</v>
      </c>
    </row>
    <row r="485" spans="1:29" ht="15.75" customHeight="1" x14ac:dyDescent="0.2">
      <c r="A485" s="36" t="str">
        <f>HYPERLINK("https://www.csbsju.edu", "College of Saint Benedict")</f>
        <v>College of Saint Benedict</v>
      </c>
      <c r="B485" s="18" t="s">
        <v>32</v>
      </c>
      <c r="C485" s="18" t="s">
        <v>72</v>
      </c>
      <c r="D485" s="18" t="s">
        <v>336</v>
      </c>
      <c r="E485" s="18">
        <v>1208</v>
      </c>
      <c r="F485" s="18" t="s">
        <v>35</v>
      </c>
      <c r="J485" s="19"/>
      <c r="K485" s="19">
        <v>0.81710000000000005</v>
      </c>
      <c r="L485" s="19">
        <v>0.67241379299999993</v>
      </c>
      <c r="M485" s="19">
        <v>0.83599999999999997</v>
      </c>
      <c r="N485" s="19">
        <v>0.7</v>
      </c>
      <c r="O485" s="19">
        <v>0.8</v>
      </c>
      <c r="P485" s="19">
        <v>0.73529999999999995</v>
      </c>
      <c r="Q485" s="19"/>
      <c r="R485" s="20">
        <v>56880</v>
      </c>
      <c r="S485" s="21" t="str">
        <f>HYPERLINK("https://csbsju.studentaidcalculator.com/survey.aspx", "$16327")</f>
        <v>$16327</v>
      </c>
      <c r="T485" s="20">
        <v>20963</v>
      </c>
      <c r="U485" s="20">
        <v>27230</v>
      </c>
      <c r="V485" s="20">
        <v>2400</v>
      </c>
      <c r="W485" s="20">
        <v>13927</v>
      </c>
      <c r="Y485" s="19">
        <v>0.2349</v>
      </c>
      <c r="Z485" s="19">
        <v>0.2034</v>
      </c>
      <c r="AB485" s="18">
        <v>1937</v>
      </c>
      <c r="AC485" s="18">
        <v>3</v>
      </c>
    </row>
    <row r="486" spans="1:29" ht="15.75" customHeight="1" x14ac:dyDescent="0.2">
      <c r="A486" s="36" t="str">
        <f>HYPERLINK("https://www.cse.edu", "College of Saint Elizabeth")</f>
        <v>College of Saint Elizabeth</v>
      </c>
      <c r="B486" s="18" t="s">
        <v>32</v>
      </c>
      <c r="C486" s="18" t="s">
        <v>141</v>
      </c>
      <c r="D486" s="18" t="s">
        <v>688</v>
      </c>
      <c r="E486" s="18">
        <v>885</v>
      </c>
      <c r="F486" s="18" t="s">
        <v>35</v>
      </c>
      <c r="J486" s="19"/>
      <c r="K486" s="19">
        <v>0.41010000000000002</v>
      </c>
      <c r="L486" s="19">
        <v>0.52941176499999998</v>
      </c>
      <c r="M486" s="19">
        <v>0.39579999999999999</v>
      </c>
      <c r="N486" s="19">
        <v>0.46589999999999998</v>
      </c>
      <c r="O486" s="19">
        <v>0.25929999999999997</v>
      </c>
      <c r="P486" s="19">
        <v>0.5</v>
      </c>
      <c r="Q486" s="19"/>
      <c r="R486" s="20">
        <v>52074</v>
      </c>
      <c r="S486" s="21" t="str">
        <f>HYPERLINK("https://cse.studentaidcalculator.com/survey.aspx", "$14340")</f>
        <v>$14340</v>
      </c>
      <c r="T486" s="20">
        <v>26366</v>
      </c>
      <c r="U486" s="20">
        <v>30240</v>
      </c>
      <c r="V486" s="20">
        <v>6199</v>
      </c>
      <c r="W486" s="20">
        <v>8141</v>
      </c>
      <c r="Y486" s="19">
        <v>0.49930000000000002</v>
      </c>
      <c r="Z486" s="19">
        <v>0.75170000000000003</v>
      </c>
      <c r="AB486" s="18">
        <v>749</v>
      </c>
      <c r="AC486" s="18">
        <v>5</v>
      </c>
    </row>
    <row r="487" spans="1:29" ht="15.75" customHeight="1" x14ac:dyDescent="0.2">
      <c r="A487" s="36" t="str">
        <f>HYPERLINK("https://WWW.CSM.EDU", "College of Saint Mary")</f>
        <v>College of Saint Mary</v>
      </c>
      <c r="B487" s="18" t="s">
        <v>32</v>
      </c>
      <c r="C487" s="18" t="s">
        <v>341</v>
      </c>
      <c r="D487" s="18" t="s">
        <v>345</v>
      </c>
      <c r="E487" s="18" t="s">
        <v>36</v>
      </c>
      <c r="F487" s="18" t="s">
        <v>90</v>
      </c>
      <c r="J487" s="19"/>
      <c r="K487" s="19">
        <v>0.4773</v>
      </c>
      <c r="L487" s="19">
        <v>0.47826087</v>
      </c>
      <c r="M487" s="19">
        <v>0.4844</v>
      </c>
      <c r="N487" s="19">
        <v>0.1429</v>
      </c>
      <c r="O487" s="19">
        <v>0.57140000000000002</v>
      </c>
      <c r="P487" s="19">
        <v>1</v>
      </c>
      <c r="Q487" s="19"/>
      <c r="R487" s="20">
        <v>30970</v>
      </c>
      <c r="S487" s="21" t="str">
        <f>HYPERLINK("https://www.csm.edu/admissions/affordability/financial-aid-resources", "$18307")</f>
        <v>$18307</v>
      </c>
      <c r="T487" s="20">
        <v>18088</v>
      </c>
      <c r="U487" s="20">
        <v>20683</v>
      </c>
      <c r="V487" s="20">
        <v>3470</v>
      </c>
      <c r="W487" s="20">
        <v>14837</v>
      </c>
      <c r="Y487" s="19">
        <v>0.36969999999999997</v>
      </c>
      <c r="Z487" s="19">
        <v>0.30380000000000001</v>
      </c>
      <c r="AB487" s="18">
        <v>780</v>
      </c>
      <c r="AC487" s="18">
        <v>4</v>
      </c>
    </row>
    <row r="488" spans="1:29" ht="15.75" customHeight="1" x14ac:dyDescent="0.2">
      <c r="A488" s="36" t="str">
        <f>HYPERLINK("https://www.csi.edu", "College of Southern Idaho")</f>
        <v>College of Southern Idaho</v>
      </c>
      <c r="B488" s="18" t="s">
        <v>49</v>
      </c>
      <c r="C488" s="18" t="s">
        <v>486</v>
      </c>
      <c r="D488" s="18" t="s">
        <v>1178</v>
      </c>
      <c r="E488" s="18" t="s">
        <v>36</v>
      </c>
      <c r="F488" s="18" t="s">
        <v>36</v>
      </c>
      <c r="J488" s="19"/>
      <c r="K488" s="19">
        <v>0.26490000000000002</v>
      </c>
      <c r="L488" s="19">
        <v>8.5010409000000009E-2</v>
      </c>
      <c r="M488" s="19">
        <v>0.26819999999999999</v>
      </c>
      <c r="N488" s="19">
        <v>0.3846</v>
      </c>
      <c r="O488" s="19">
        <v>0.23080000000000001</v>
      </c>
      <c r="P488" s="19">
        <v>0.1429</v>
      </c>
      <c r="Q488" s="19">
        <v>0.102807514</v>
      </c>
      <c r="R488" s="20">
        <v>17058</v>
      </c>
      <c r="S488" s="21" t="str">
        <f>HYPERLINK("https://www.csi.edu/prospectiveStudents_/studentServices/tuition_fees/npc/", "$11646")</f>
        <v>$11646</v>
      </c>
      <c r="T488" s="20">
        <v>13476</v>
      </c>
      <c r="U488" s="20">
        <v>14881</v>
      </c>
      <c r="V488" s="20">
        <v>5438</v>
      </c>
      <c r="W488" s="20">
        <v>6208.5989847715737</v>
      </c>
      <c r="Y488" s="19">
        <v>0.24099999999999999</v>
      </c>
      <c r="Z488" s="19">
        <v>0.36820000000000003</v>
      </c>
      <c r="AB488" s="18">
        <v>3696</v>
      </c>
      <c r="AC488" s="18">
        <v>6</v>
      </c>
    </row>
    <row r="489" spans="1:29" ht="15.75" customHeight="1" x14ac:dyDescent="0.2">
      <c r="A489" s="36" t="str">
        <f>HYPERLINK("https://www.csmd.edu/", "College of Southern Maryland")</f>
        <v>College of Southern Maryland</v>
      </c>
      <c r="B489" s="18" t="s">
        <v>49</v>
      </c>
      <c r="C489" s="18" t="s">
        <v>124</v>
      </c>
      <c r="D489" s="18" t="s">
        <v>1180</v>
      </c>
      <c r="E489" s="18" t="s">
        <v>36</v>
      </c>
      <c r="F489" s="18" t="s">
        <v>36</v>
      </c>
      <c r="J489" s="19"/>
      <c r="K489" s="19">
        <v>0.27900000000000003</v>
      </c>
      <c r="L489" s="19">
        <v>0.123348018</v>
      </c>
      <c r="M489" s="19">
        <v>0.32869999999999999</v>
      </c>
      <c r="N489" s="19">
        <v>0.17610000000000001</v>
      </c>
      <c r="O489" s="19">
        <v>0.23680000000000001</v>
      </c>
      <c r="P489" s="19">
        <v>0.46150000000000002</v>
      </c>
      <c r="Q489" s="19">
        <v>8.5947301999999989E-2</v>
      </c>
      <c r="R489" s="20">
        <v>23617</v>
      </c>
      <c r="S489" s="21" t="str">
        <f>HYPERLINK("https://www.csmd.edu/Financial/NPC.html", "$17778")</f>
        <v>$17778</v>
      </c>
      <c r="T489" s="20">
        <v>21347</v>
      </c>
      <c r="U489" s="20">
        <v>22595</v>
      </c>
      <c r="V489" s="20">
        <v>5359</v>
      </c>
      <c r="W489" s="20">
        <v>12419</v>
      </c>
      <c r="Y489" s="19">
        <v>0.2261</v>
      </c>
      <c r="Z489" s="19">
        <v>0.45100000000000012</v>
      </c>
      <c r="AB489" s="18">
        <v>6699</v>
      </c>
      <c r="AC489" s="18">
        <v>6</v>
      </c>
    </row>
    <row r="490" spans="1:29" ht="15.75" customHeight="1" x14ac:dyDescent="0.2">
      <c r="A490" s="36" t="str">
        <f>HYPERLINK("https://www.csn.edu", "College of Southern Nevada")</f>
        <v>College of Southern Nevada</v>
      </c>
      <c r="B490" s="18" t="s">
        <v>49</v>
      </c>
      <c r="C490" s="18" t="s">
        <v>476</v>
      </c>
      <c r="D490" s="18" t="s">
        <v>796</v>
      </c>
      <c r="E490" s="18" t="s">
        <v>36</v>
      </c>
      <c r="F490" s="18" t="s">
        <v>36</v>
      </c>
      <c r="J490" s="19"/>
      <c r="K490" s="19">
        <v>8.6400000000000005E-2</v>
      </c>
      <c r="L490" s="19">
        <v>7.5304540000000003E-2</v>
      </c>
      <c r="M490" s="19">
        <v>9.5799999999999996E-2</v>
      </c>
      <c r="N490" s="19">
        <v>3.9100000000000003E-2</v>
      </c>
      <c r="O490" s="19">
        <v>6.7100000000000007E-2</v>
      </c>
      <c r="P490" s="19">
        <v>6.4699999999999994E-2</v>
      </c>
      <c r="Q490" s="19">
        <v>7.4326935999999996E-2</v>
      </c>
      <c r="R490" s="20">
        <v>24261</v>
      </c>
      <c r="S490" s="21" t="str">
        <f>HYPERLINK("https://www.csn.edu/net-price-calculator", "$18993")</f>
        <v>$18993</v>
      </c>
      <c r="T490" s="20">
        <v>20853</v>
      </c>
      <c r="U490" s="20">
        <v>23018</v>
      </c>
      <c r="V490" s="20">
        <v>6432</v>
      </c>
      <c r="W490" s="20">
        <v>12561.322580645159</v>
      </c>
      <c r="Y490" s="19">
        <v>0.30380000000000001</v>
      </c>
      <c r="Z490" s="19">
        <v>0.69769999999999999</v>
      </c>
      <c r="AB490" s="18">
        <v>28959</v>
      </c>
      <c r="AC490" s="18">
        <v>6</v>
      </c>
    </row>
    <row r="491" spans="1:29" ht="15.75" customHeight="1" x14ac:dyDescent="0.2">
      <c r="A491" s="36" t="str">
        <f>HYPERLINK("https://www.csj.edu", "College of St Joseph")</f>
        <v>College of St Joseph</v>
      </c>
      <c r="B491" s="18" t="s">
        <v>32</v>
      </c>
      <c r="C491" s="18" t="s">
        <v>47</v>
      </c>
      <c r="D491" s="18" t="s">
        <v>692</v>
      </c>
      <c r="E491" s="18">
        <v>1003</v>
      </c>
      <c r="F491" s="18" t="s">
        <v>115</v>
      </c>
      <c r="J491" s="19"/>
      <c r="K491" s="19">
        <v>0.31709999999999999</v>
      </c>
      <c r="L491" s="19">
        <v>0.26190476200000001</v>
      </c>
      <c r="M491" s="19">
        <v>0.26669999999999999</v>
      </c>
      <c r="N491" s="19">
        <v>0.5</v>
      </c>
      <c r="O491" s="19">
        <v>0</v>
      </c>
      <c r="P491" s="19" t="s">
        <v>36</v>
      </c>
      <c r="Q491" s="19"/>
      <c r="R491" s="20">
        <v>39200</v>
      </c>
      <c r="S491" s="21" t="str">
        <f>HYPERLINK("https://www.csj.edu/admissions/tuition-and-costs/cost-calculator/", "$17429")</f>
        <v>$17429</v>
      </c>
      <c r="T491" s="20">
        <v>19698</v>
      </c>
      <c r="U491" s="20">
        <v>18395</v>
      </c>
      <c r="V491" s="20">
        <v>3300</v>
      </c>
      <c r="W491" s="20">
        <v>14129</v>
      </c>
      <c r="Y491" s="19">
        <v>0.63480000000000003</v>
      </c>
      <c r="Z491" s="19">
        <v>0.47270000000000001</v>
      </c>
      <c r="AB491" s="18">
        <v>220</v>
      </c>
      <c r="AC491" s="18">
        <v>5</v>
      </c>
    </row>
    <row r="492" spans="1:29" ht="15.75" customHeight="1" x14ac:dyDescent="0.2">
      <c r="A492" s="36" t="str">
        <f>HYPERLINK("https://www.csi.cuny.edu", "CUNY College of Staten Island")</f>
        <v>CUNY College of Staten Island</v>
      </c>
      <c r="B492" s="18" t="s">
        <v>49</v>
      </c>
      <c r="C492" s="18" t="s">
        <v>38</v>
      </c>
      <c r="D492" s="18" t="s">
        <v>533</v>
      </c>
      <c r="E492" s="18" t="s">
        <v>36</v>
      </c>
      <c r="F492" s="18" t="s">
        <v>36</v>
      </c>
      <c r="G492" s="18" t="s">
        <v>655</v>
      </c>
      <c r="H492" s="18" t="s">
        <v>695</v>
      </c>
      <c r="I492" s="18" t="s">
        <v>696</v>
      </c>
      <c r="J492" s="19" t="s">
        <v>697</v>
      </c>
      <c r="K492" s="19">
        <v>0.30180000000000001</v>
      </c>
      <c r="L492" s="19">
        <v>0.23773364499999999</v>
      </c>
      <c r="M492" s="19">
        <v>0.34660000000000002</v>
      </c>
      <c r="N492" s="19">
        <v>0.1852</v>
      </c>
      <c r="O492" s="19">
        <v>0.23719999999999999</v>
      </c>
      <c r="P492" s="19">
        <v>0.29909999999999998</v>
      </c>
      <c r="Q492" s="19"/>
      <c r="R492" s="20">
        <v>12562</v>
      </c>
      <c r="S492" s="21" t="str">
        <f>HYPERLINK("https://portal0.uapc.cuny.edu/uapc/public/fin_aid/financial_aid_estimator/FinAidEstimator.jsp", "$4219")</f>
        <v>$4219</v>
      </c>
      <c r="T492" s="20">
        <v>9527</v>
      </c>
      <c r="U492" s="20">
        <v>13036</v>
      </c>
      <c r="V492" s="20">
        <v>5472</v>
      </c>
      <c r="W492" s="20">
        <v>-1253</v>
      </c>
      <c r="Y492" s="19">
        <v>0.4577</v>
      </c>
      <c r="Z492" s="19">
        <v>0.57540000000000002</v>
      </c>
      <c r="AB492" s="18">
        <v>12118</v>
      </c>
      <c r="AC492" s="18">
        <v>5</v>
      </c>
    </row>
    <row r="493" spans="1:29" ht="15.75" customHeight="1" x14ac:dyDescent="0.2">
      <c r="A493" s="36" t="str">
        <f>HYPERLINK("https://cwidaho.cc/", "College of Western Idaho")</f>
        <v>College of Western Idaho</v>
      </c>
      <c r="B493" s="18" t="s">
        <v>49</v>
      </c>
      <c r="C493" s="18" t="s">
        <v>486</v>
      </c>
      <c r="D493" s="18" t="s">
        <v>1021</v>
      </c>
      <c r="E493" s="18" t="s">
        <v>36</v>
      </c>
      <c r="F493" s="18" t="s">
        <v>36</v>
      </c>
      <c r="J493" s="19"/>
      <c r="K493" s="19">
        <v>0.1182</v>
      </c>
      <c r="L493" s="19" t="s">
        <v>36</v>
      </c>
      <c r="M493" s="19">
        <v>0.11550000000000001</v>
      </c>
      <c r="N493" s="19">
        <v>0.15379999999999999</v>
      </c>
      <c r="O493" s="19">
        <v>0.1333</v>
      </c>
      <c r="P493" s="19">
        <v>0.25</v>
      </c>
      <c r="Q493" s="19" t="s">
        <v>36</v>
      </c>
      <c r="R493" s="20">
        <v>17200</v>
      </c>
      <c r="S493" s="21" t="str">
        <f>HYPERLINK("https://cwidaho.studentaidcalculator.com/welcome.aspx", "$11866")</f>
        <v>$11866</v>
      </c>
      <c r="T493" s="20">
        <v>14358</v>
      </c>
      <c r="U493" s="20">
        <v>16596</v>
      </c>
      <c r="V493" s="20">
        <v>4360</v>
      </c>
      <c r="W493" s="20">
        <v>7506.9371727748694</v>
      </c>
      <c r="Y493" s="19">
        <v>0.37930000000000003</v>
      </c>
      <c r="Z493" s="19">
        <v>0.32340000000000002</v>
      </c>
      <c r="AB493" s="18">
        <v>6641</v>
      </c>
      <c r="AC493" s="18">
        <v>6</v>
      </c>
    </row>
    <row r="494" spans="1:29" ht="15.75" customHeight="1" x14ac:dyDescent="0.2">
      <c r="A494" s="36" t="str">
        <f>HYPERLINK("https://www.wm.edu", "College of William and Mary")</f>
        <v>College of William and Mary</v>
      </c>
      <c r="B494" s="18" t="s">
        <v>49</v>
      </c>
      <c r="C494" s="18" t="s">
        <v>83</v>
      </c>
      <c r="D494" s="18" t="s">
        <v>84</v>
      </c>
      <c r="E494" s="18">
        <v>1406</v>
      </c>
      <c r="F494" s="18" t="s">
        <v>35</v>
      </c>
      <c r="J494" s="19"/>
      <c r="K494" s="19">
        <v>0.92099999999999993</v>
      </c>
      <c r="L494" s="19">
        <v>0.84172661900000001</v>
      </c>
      <c r="M494" s="19">
        <v>0.93840000000000001</v>
      </c>
      <c r="N494" s="19">
        <v>0.83509999999999995</v>
      </c>
      <c r="O494" s="19">
        <v>0.92720000000000002</v>
      </c>
      <c r="P494" s="19">
        <v>0.89900000000000002</v>
      </c>
      <c r="Q494" s="19"/>
      <c r="R494" s="20">
        <v>59012</v>
      </c>
      <c r="S494" s="21" t="str">
        <f>HYPERLINK("https://www.wm.edu/financialaid/", "$29938")</f>
        <v>$29938</v>
      </c>
      <c r="T494" s="20">
        <v>33363</v>
      </c>
      <c r="U494" s="20">
        <v>42606</v>
      </c>
      <c r="V494" s="20">
        <v>3543</v>
      </c>
      <c r="W494" s="20">
        <v>26395.14851485148</v>
      </c>
      <c r="Y494" s="19">
        <v>0.11119999999999999</v>
      </c>
      <c r="Z494" s="19">
        <v>0.40620000000000001</v>
      </c>
      <c r="AB494" s="18">
        <v>6243</v>
      </c>
      <c r="AC494" s="18">
        <v>1</v>
      </c>
    </row>
    <row r="495" spans="1:29" ht="15.75" customHeight="1" x14ac:dyDescent="0.2">
      <c r="A495" s="36" t="str">
        <f>HYPERLINK("https://www.albemarle.edu", "College of the Albemarle")</f>
        <v>College of the Albemarle</v>
      </c>
      <c r="B495" s="18" t="s">
        <v>49</v>
      </c>
      <c r="C495" s="18" t="s">
        <v>103</v>
      </c>
      <c r="D495" s="18" t="s">
        <v>725</v>
      </c>
      <c r="E495" s="18" t="s">
        <v>36</v>
      </c>
      <c r="F495" s="18" t="s">
        <v>36</v>
      </c>
      <c r="J495" s="19"/>
      <c r="K495" s="19">
        <v>0.2326</v>
      </c>
      <c r="L495" s="19">
        <v>0.18484288400000001</v>
      </c>
      <c r="M495" s="19">
        <v>0.25259999999999999</v>
      </c>
      <c r="N495" s="19">
        <v>0.21310000000000001</v>
      </c>
      <c r="O495" s="19">
        <v>0.2273</v>
      </c>
      <c r="P495" s="19">
        <v>0</v>
      </c>
      <c r="Q495" s="19">
        <v>5.7803467999999997E-2</v>
      </c>
      <c r="R495" s="20">
        <v>22552</v>
      </c>
      <c r="S495" s="21" t="str">
        <f>HYPERLINK("https://www.albemarle.edu", "$16498")</f>
        <v>$16498</v>
      </c>
      <c r="T495" s="20">
        <v>17228</v>
      </c>
      <c r="U495" s="20">
        <v>16557</v>
      </c>
      <c r="V495" s="20">
        <v>5345</v>
      </c>
      <c r="W495" s="20">
        <v>11153.872093023259</v>
      </c>
      <c r="Y495" s="19">
        <v>0.29770000000000002</v>
      </c>
      <c r="Z495" s="19">
        <v>0.32569999999999999</v>
      </c>
      <c r="AB495" s="18">
        <v>1526</v>
      </c>
      <c r="AC495" s="18">
        <v>6</v>
      </c>
    </row>
    <row r="496" spans="1:29" ht="15.75" customHeight="1" x14ac:dyDescent="0.2">
      <c r="A496" s="36" t="str">
        <f>HYPERLINK("https://www.coa.edu", "College of the Atlantic")</f>
        <v>College of the Atlantic</v>
      </c>
      <c r="B496" s="18" t="s">
        <v>32</v>
      </c>
      <c r="C496" s="18" t="s">
        <v>43</v>
      </c>
      <c r="D496" s="18" t="s">
        <v>337</v>
      </c>
      <c r="E496" s="18" t="s">
        <v>36</v>
      </c>
      <c r="F496" s="18" t="s">
        <v>45</v>
      </c>
      <c r="J496" s="19"/>
      <c r="K496" s="19">
        <v>0.65790000000000004</v>
      </c>
      <c r="L496" s="19" t="s">
        <v>36</v>
      </c>
      <c r="M496" s="19">
        <v>0.59650000000000003</v>
      </c>
      <c r="N496" s="19">
        <v>0</v>
      </c>
      <c r="O496" s="19">
        <v>1</v>
      </c>
      <c r="P496" s="19" t="s">
        <v>36</v>
      </c>
      <c r="Q496" s="19"/>
      <c r="R496" s="20">
        <v>54969</v>
      </c>
      <c r="S496" s="21" t="str">
        <f>HYPERLINK("https://coa.studentaidcalculator.com", "$12746")</f>
        <v>$12746</v>
      </c>
      <c r="T496" s="20">
        <v>17988</v>
      </c>
      <c r="U496" s="20">
        <v>22859</v>
      </c>
      <c r="V496" s="20">
        <v>1680</v>
      </c>
      <c r="W496" s="20">
        <v>11066</v>
      </c>
      <c r="Y496" s="19">
        <v>0.31630000000000003</v>
      </c>
      <c r="Z496" s="19">
        <v>0.33329999999999999</v>
      </c>
      <c r="AB496" s="18">
        <v>339</v>
      </c>
      <c r="AC496" s="18">
        <v>3</v>
      </c>
    </row>
    <row r="497" spans="1:29" ht="15.75" customHeight="1" x14ac:dyDescent="0.2">
      <c r="A497" s="36" t="str">
        <f>HYPERLINK("https://www.canyons.edu", "College of the Canyons")</f>
        <v>College of the Canyons</v>
      </c>
      <c r="B497" s="18" t="s">
        <v>49</v>
      </c>
      <c r="C497" s="18" t="s">
        <v>68</v>
      </c>
      <c r="D497" s="18" t="s">
        <v>1185</v>
      </c>
      <c r="E497" s="18" t="s">
        <v>36</v>
      </c>
      <c r="F497" s="18" t="s">
        <v>36</v>
      </c>
      <c r="J497" s="19"/>
      <c r="K497" s="19">
        <v>0.36180000000000001</v>
      </c>
      <c r="L497" s="19">
        <v>0.11695040700000001</v>
      </c>
      <c r="M497" s="19">
        <v>0.4264</v>
      </c>
      <c r="N497" s="19">
        <v>0.2</v>
      </c>
      <c r="O497" s="19">
        <v>0.31090000000000001</v>
      </c>
      <c r="P497" s="19">
        <v>0.45390000000000003</v>
      </c>
      <c r="Q497" s="19">
        <v>0.17961654899999999</v>
      </c>
      <c r="R497" s="20">
        <v>25844</v>
      </c>
      <c r="S497" s="21" t="str">
        <f>HYPERLINK("https://www.canyons.edu/offices/FinAid/netcalc.asp", "$20038")</f>
        <v>$20038</v>
      </c>
      <c r="T497" s="20">
        <v>22658</v>
      </c>
      <c r="U497" s="20">
        <v>24543</v>
      </c>
      <c r="V497" s="20">
        <v>6093</v>
      </c>
      <c r="W497" s="20">
        <v>13945.018281535649</v>
      </c>
      <c r="Y497" s="19">
        <v>0.1978</v>
      </c>
      <c r="Z497" s="19">
        <v>0.6835</v>
      </c>
      <c r="AB497" s="18">
        <v>17828</v>
      </c>
      <c r="AC497" s="18">
        <v>6</v>
      </c>
    </row>
    <row r="498" spans="1:29" ht="15.75" customHeight="1" x14ac:dyDescent="0.2">
      <c r="A498" s="36" t="str">
        <f>HYPERLINK("https://collegeofthedesert.edu", "College of the Desert")</f>
        <v>College of the Desert</v>
      </c>
      <c r="B498" s="18" t="s">
        <v>49</v>
      </c>
      <c r="C498" s="18" t="s">
        <v>68</v>
      </c>
      <c r="D498" s="18" t="s">
        <v>1187</v>
      </c>
      <c r="E498" s="18" t="s">
        <v>36</v>
      </c>
      <c r="F498" s="18" t="s">
        <v>36</v>
      </c>
      <c r="J498" s="19"/>
      <c r="K498" s="19">
        <v>0.26400000000000001</v>
      </c>
      <c r="L498" s="19">
        <v>0.10263720599999999</v>
      </c>
      <c r="M498" s="19">
        <v>0.24579999999999999</v>
      </c>
      <c r="N498" s="19">
        <v>0.1176</v>
      </c>
      <c r="O498" s="19">
        <v>0.2661</v>
      </c>
      <c r="P498" s="19">
        <v>0.45710000000000001</v>
      </c>
      <c r="Q498" s="19">
        <v>8.0435910999999999E-2</v>
      </c>
      <c r="R498" s="20">
        <v>27049</v>
      </c>
      <c r="S498" s="21" t="str">
        <f>HYPERLINK("https://misweb.cccco.edu/npc/931/npcalc.htm", "$20183")</f>
        <v>$20183</v>
      </c>
      <c r="T498" s="20">
        <v>23624</v>
      </c>
      <c r="U498" s="20" t="s">
        <v>36</v>
      </c>
      <c r="V498" s="20">
        <v>6093</v>
      </c>
      <c r="W498" s="20">
        <v>14090.185059422751</v>
      </c>
      <c r="Y498" s="19">
        <v>0.38319999999999999</v>
      </c>
      <c r="Z498" s="19">
        <v>0.82489999999999997</v>
      </c>
      <c r="AB498" s="18">
        <v>10074</v>
      </c>
      <c r="AC498" s="18">
        <v>6</v>
      </c>
    </row>
    <row r="499" spans="1:29" ht="15.75" customHeight="1" x14ac:dyDescent="0.2">
      <c r="A499" s="36" t="str">
        <f>HYPERLINK("https://www.holycross.edu", "College of the Holy Cross")</f>
        <v>College of the Holy Cross</v>
      </c>
      <c r="B499" s="18" t="s">
        <v>32</v>
      </c>
      <c r="C499" s="18" t="s">
        <v>33</v>
      </c>
      <c r="D499" s="18" t="s">
        <v>86</v>
      </c>
      <c r="E499" s="18" t="s">
        <v>36</v>
      </c>
      <c r="F499" s="18" t="s">
        <v>45</v>
      </c>
      <c r="J499" s="19"/>
      <c r="K499" s="19">
        <v>0.92279999999999995</v>
      </c>
      <c r="L499" s="19" t="s">
        <v>36</v>
      </c>
      <c r="M499" s="19">
        <v>0.92530000000000001</v>
      </c>
      <c r="N499" s="19">
        <v>0.91890000000000005</v>
      </c>
      <c r="O499" s="19">
        <v>0.89410000000000001</v>
      </c>
      <c r="P499" s="19">
        <v>0.94440000000000002</v>
      </c>
      <c r="Q499" s="19"/>
      <c r="R499" s="20">
        <v>66220</v>
      </c>
      <c r="S499" s="21" t="str">
        <f>HYPERLINK("https://www.holycross.edu/financial-aid/financial-aid-calculator", "$12275")</f>
        <v>$12275</v>
      </c>
      <c r="T499" s="20">
        <v>16888</v>
      </c>
      <c r="U499" s="20">
        <v>27422</v>
      </c>
      <c r="V499" s="20">
        <v>1900</v>
      </c>
      <c r="W499" s="20">
        <v>10375</v>
      </c>
      <c r="X499" s="18" t="s">
        <v>37</v>
      </c>
      <c r="Y499" s="19">
        <v>0.15</v>
      </c>
      <c r="Z499" s="19">
        <v>0.29780000000000001</v>
      </c>
      <c r="AB499" s="18">
        <v>2827</v>
      </c>
      <c r="AC499" s="18">
        <v>1</v>
      </c>
    </row>
    <row r="500" spans="1:29" ht="15.75" customHeight="1" x14ac:dyDescent="0.2">
      <c r="A500" s="36" t="str">
        <f>HYPERLINK("https://www.com.edu", "College of the Mainland")</f>
        <v>College of the Mainland</v>
      </c>
      <c r="B500" s="18" t="s">
        <v>49</v>
      </c>
      <c r="C500" s="18" t="s">
        <v>146</v>
      </c>
      <c r="D500" s="18" t="s">
        <v>1189</v>
      </c>
      <c r="E500" s="18" t="s">
        <v>36</v>
      </c>
      <c r="F500" s="18" t="s">
        <v>36</v>
      </c>
      <c r="J500" s="19"/>
      <c r="K500" s="19">
        <v>0.21290000000000001</v>
      </c>
      <c r="L500" s="19">
        <v>0.13777777799999999</v>
      </c>
      <c r="M500" s="19">
        <v>0.24</v>
      </c>
      <c r="N500" s="19">
        <v>0.15</v>
      </c>
      <c r="O500" s="19">
        <v>0.18870000000000001</v>
      </c>
      <c r="P500" s="19">
        <v>0</v>
      </c>
      <c r="Q500" s="19">
        <v>7.1165644E-2</v>
      </c>
      <c r="R500" s="20">
        <v>14010</v>
      </c>
      <c r="S500" s="21" t="str">
        <f>HYPERLINK("https://www.collegeforalltexans.com/apps/CollegeMoney/index.php", "$9268")</f>
        <v>$9268</v>
      </c>
      <c r="T500" s="20" t="s">
        <v>36</v>
      </c>
      <c r="U500" s="20" t="s">
        <v>36</v>
      </c>
      <c r="V500" s="20">
        <v>4472</v>
      </c>
      <c r="W500" s="20">
        <v>4796.6842105263167</v>
      </c>
      <c r="Y500" s="19">
        <v>0.20699999999999999</v>
      </c>
      <c r="Z500" s="19">
        <v>0.56279999999999997</v>
      </c>
      <c r="AB500" s="18">
        <v>3047</v>
      </c>
      <c r="AC500" s="18">
        <v>6</v>
      </c>
    </row>
    <row r="501" spans="1:29" ht="15.75" customHeight="1" x14ac:dyDescent="0.2">
      <c r="A501" s="36" t="str">
        <f>HYPERLINK("https://www.cmi.edu", "College of the Marshall Islands")</f>
        <v>College of the Marshall Islands</v>
      </c>
      <c r="B501" s="18" t="s">
        <v>49</v>
      </c>
      <c r="C501" s="18" t="s">
        <v>1191</v>
      </c>
      <c r="D501" s="18" t="s">
        <v>1192</v>
      </c>
      <c r="E501" s="18" t="s">
        <v>36</v>
      </c>
      <c r="F501" s="18" t="s">
        <v>36</v>
      </c>
      <c r="J501" s="19"/>
      <c r="K501" s="19">
        <v>4.9799999999999997E-2</v>
      </c>
      <c r="L501" s="19" t="s">
        <v>36</v>
      </c>
      <c r="M501" s="19" t="s">
        <v>36</v>
      </c>
      <c r="N501" s="19" t="s">
        <v>36</v>
      </c>
      <c r="O501" s="19" t="s">
        <v>36</v>
      </c>
      <c r="P501" s="19">
        <v>0</v>
      </c>
      <c r="Q501" s="19" t="s">
        <v>36</v>
      </c>
      <c r="R501" s="20">
        <v>9635</v>
      </c>
      <c r="S501" s="21" t="str">
        <f>HYPERLINK("https://www.cmi.edu", "$4584")</f>
        <v>$4584</v>
      </c>
      <c r="T501" s="20">
        <v>5205</v>
      </c>
      <c r="U501" s="20" t="s">
        <v>36</v>
      </c>
      <c r="V501" s="20">
        <v>3210</v>
      </c>
      <c r="W501" s="20">
        <v>1374.505660377358</v>
      </c>
      <c r="Y501" s="19">
        <v>0.87809999999999999</v>
      </c>
      <c r="Z501" s="19">
        <v>1</v>
      </c>
      <c r="AB501" s="18">
        <v>1024</v>
      </c>
      <c r="AC501" s="18">
        <v>6</v>
      </c>
    </row>
    <row r="502" spans="1:29" ht="15.75" customHeight="1" x14ac:dyDescent="0.2">
      <c r="A502" s="36" t="str">
        <f>HYPERLINK("https://cmn.edu", "College of the Muscogee Nation")</f>
        <v>College of the Muscogee Nation</v>
      </c>
      <c r="B502" s="18" t="s">
        <v>49</v>
      </c>
      <c r="C502" s="18" t="s">
        <v>290</v>
      </c>
      <c r="D502" s="18" t="s">
        <v>1193</v>
      </c>
      <c r="E502" s="18" t="s">
        <v>36</v>
      </c>
      <c r="F502" s="18" t="s">
        <v>36</v>
      </c>
      <c r="J502" s="19"/>
      <c r="K502" s="19">
        <v>0.17499999999999999</v>
      </c>
      <c r="L502" s="19" t="s">
        <v>36</v>
      </c>
      <c r="M502" s="19" t="s">
        <v>36</v>
      </c>
      <c r="N502" s="19" t="s">
        <v>36</v>
      </c>
      <c r="O502" s="19">
        <v>0</v>
      </c>
      <c r="P502" s="19" t="s">
        <v>36</v>
      </c>
      <c r="Q502" s="19" t="s">
        <v>36</v>
      </c>
      <c r="R502" s="20">
        <v>21940</v>
      </c>
      <c r="S502" s="21" t="str">
        <f>HYPERLINK("https://cmn.edu/NetPriceCalculator.html?authuser=0&amp;feat=directlink", "Not reported")</f>
        <v>Not reported</v>
      </c>
      <c r="T502" s="20">
        <v>10532</v>
      </c>
      <c r="U502" s="20" t="s">
        <v>36</v>
      </c>
      <c r="V502" s="20">
        <v>6840</v>
      </c>
      <c r="W502" s="20" t="s">
        <v>36</v>
      </c>
      <c r="Y502" s="19">
        <v>0.37090000000000001</v>
      </c>
      <c r="Z502" s="19">
        <v>1</v>
      </c>
      <c r="AB502" s="18">
        <v>194</v>
      </c>
      <c r="AC502" s="18">
        <v>6</v>
      </c>
    </row>
    <row r="503" spans="1:29" ht="15.75" customHeight="1" x14ac:dyDescent="0.2">
      <c r="A503" s="36" t="str">
        <f>HYPERLINK("https://www.redwoods.edu", "College of the Redwoods")</f>
        <v>College of the Redwoods</v>
      </c>
      <c r="B503" s="18" t="s">
        <v>49</v>
      </c>
      <c r="C503" s="18" t="s">
        <v>68</v>
      </c>
      <c r="D503" s="18" t="s">
        <v>742</v>
      </c>
      <c r="E503" s="18" t="s">
        <v>36</v>
      </c>
      <c r="F503" s="18" t="s">
        <v>36</v>
      </c>
      <c r="J503" s="19"/>
      <c r="K503" s="19">
        <v>0.2009</v>
      </c>
      <c r="L503" s="19">
        <v>0.107714702</v>
      </c>
      <c r="M503" s="19">
        <v>0.22550000000000001</v>
      </c>
      <c r="N503" s="19">
        <v>0</v>
      </c>
      <c r="O503" s="19">
        <v>0.12939999999999999</v>
      </c>
      <c r="P503" s="19">
        <v>0.2</v>
      </c>
      <c r="Q503" s="19">
        <v>5.7193395999999987E-2</v>
      </c>
      <c r="R503" s="20">
        <v>19299</v>
      </c>
      <c r="S503" s="21" t="str">
        <f>HYPERLINK("https://www.redwoods.edu/financialaid/Cost", "$12808")</f>
        <v>$12808</v>
      </c>
      <c r="T503" s="20">
        <v>12405</v>
      </c>
      <c r="U503" s="20" t="s">
        <v>36</v>
      </c>
      <c r="V503" s="20">
        <v>4392</v>
      </c>
      <c r="W503" s="20">
        <v>8416.7638888888887</v>
      </c>
      <c r="Y503" s="19">
        <v>0.36070000000000002</v>
      </c>
      <c r="Z503" s="19">
        <v>0.43930000000000002</v>
      </c>
      <c r="AB503" s="18">
        <v>3877</v>
      </c>
      <c r="AC503" s="18">
        <v>6</v>
      </c>
    </row>
    <row r="504" spans="1:29" ht="15.75" customHeight="1" x14ac:dyDescent="0.2">
      <c r="A504" s="36" t="str">
        <f>HYPERLINK("https://www.cos.edu", "College of the Sequoias")</f>
        <v>College of the Sequoias</v>
      </c>
      <c r="B504" s="18" t="s">
        <v>49</v>
      </c>
      <c r="C504" s="18" t="s">
        <v>68</v>
      </c>
      <c r="D504" s="18" t="s">
        <v>1197</v>
      </c>
      <c r="E504" s="18" t="s">
        <v>36</v>
      </c>
      <c r="F504" s="18" t="s">
        <v>36</v>
      </c>
      <c r="J504" s="19"/>
      <c r="K504" s="19">
        <v>0.29160000000000003</v>
      </c>
      <c r="L504" s="19">
        <v>9.7571189000000003E-2</v>
      </c>
      <c r="M504" s="19">
        <v>0.33650000000000002</v>
      </c>
      <c r="N504" s="19">
        <v>0.2326</v>
      </c>
      <c r="O504" s="19">
        <v>0.27700000000000002</v>
      </c>
      <c r="P504" s="19">
        <v>0.32</v>
      </c>
      <c r="Q504" s="19">
        <v>7.7324332999999995E-2</v>
      </c>
      <c r="R504" s="20">
        <v>24186</v>
      </c>
      <c r="S504" s="21" t="str">
        <f>HYPERLINK("https://www.cos.edu/FinancialAid/NetPriceCalculator/Pages/default.aspx", "$16992")</f>
        <v>$16992</v>
      </c>
      <c r="T504" s="20">
        <v>20134</v>
      </c>
      <c r="U504" s="20">
        <v>21772</v>
      </c>
      <c r="V504" s="20">
        <v>6000</v>
      </c>
      <c r="W504" s="20">
        <v>10992.501758499409</v>
      </c>
      <c r="Y504" s="19">
        <v>0.40670000000000001</v>
      </c>
      <c r="Z504" s="19">
        <v>0.78129999999999999</v>
      </c>
      <c r="AB504" s="18">
        <v>10727</v>
      </c>
      <c r="AC504" s="18">
        <v>6</v>
      </c>
    </row>
    <row r="505" spans="1:29" ht="15.75" customHeight="1" x14ac:dyDescent="0.2">
      <c r="A505" s="36" t="str">
        <f>HYPERLINK("https://www.siskiyous.edu", "College of the Siskiyous")</f>
        <v>College of the Siskiyous</v>
      </c>
      <c r="B505" s="18" t="s">
        <v>49</v>
      </c>
      <c r="C505" s="18" t="s">
        <v>68</v>
      </c>
      <c r="D505" s="18" t="s">
        <v>1198</v>
      </c>
      <c r="E505" s="18" t="s">
        <v>36</v>
      </c>
      <c r="F505" s="18" t="s">
        <v>36</v>
      </c>
      <c r="J505" s="19"/>
      <c r="K505" s="19">
        <v>0.29520000000000002</v>
      </c>
      <c r="L505" s="19">
        <v>6.9724770999999991E-2</v>
      </c>
      <c r="M505" s="19">
        <v>0.36359999999999998</v>
      </c>
      <c r="N505" s="19">
        <v>0.21429999999999999</v>
      </c>
      <c r="O505" s="19">
        <v>0.23080000000000001</v>
      </c>
      <c r="P505" s="19">
        <v>0.33329999999999999</v>
      </c>
      <c r="Q505" s="19">
        <v>5.6318681000000002E-2</v>
      </c>
      <c r="R505" s="20">
        <v>20856</v>
      </c>
      <c r="S505" s="21" t="str">
        <f>HYPERLINK("https://misweb.cccco.edu/npc/181/npcalc.htm", "$13228")</f>
        <v>$13228</v>
      </c>
      <c r="T505" s="20">
        <v>17624</v>
      </c>
      <c r="U505" s="20">
        <v>19250</v>
      </c>
      <c r="V505" s="20">
        <v>5094</v>
      </c>
      <c r="W505" s="20">
        <v>8134.424242424242</v>
      </c>
      <c r="Y505" s="19">
        <v>0.28149999999999997</v>
      </c>
      <c r="Z505" s="19">
        <v>0.4506</v>
      </c>
      <c r="AB505" s="18">
        <v>1791</v>
      </c>
      <c r="AC505" s="18">
        <v>6</v>
      </c>
    </row>
    <row r="506" spans="1:29" ht="15.75" customHeight="1" x14ac:dyDescent="0.2">
      <c r="A506" s="36" t="str">
        <f>HYPERLINK("https://www.collegeamerica.edu/", "CollegeAmerica-Colorado Springs")</f>
        <v>CollegeAmerica-Colorado Springs</v>
      </c>
      <c r="B506" s="18" t="s">
        <v>32</v>
      </c>
      <c r="C506" s="18" t="s">
        <v>87</v>
      </c>
      <c r="D506" s="18" t="s">
        <v>88</v>
      </c>
      <c r="E506" s="18" t="s">
        <v>36</v>
      </c>
      <c r="F506" s="18" t="s">
        <v>36</v>
      </c>
      <c r="J506" s="19"/>
      <c r="K506" s="19">
        <v>0.3347</v>
      </c>
      <c r="L506" s="19">
        <v>0.29132690900000002</v>
      </c>
      <c r="M506" s="19">
        <v>0.30370000000000003</v>
      </c>
      <c r="N506" s="19">
        <v>0.40539999999999998</v>
      </c>
      <c r="O506" s="19">
        <v>0.40479999999999999</v>
      </c>
      <c r="P506" s="19">
        <v>1</v>
      </c>
      <c r="Q506" s="19">
        <v>3.0642309999999999E-2</v>
      </c>
      <c r="R506" s="20">
        <v>33104</v>
      </c>
      <c r="S506" s="21" t="str">
        <f>HYPERLINK("https://collegeamerica.studentaidcalculator.com", "$27026")</f>
        <v>$27026</v>
      </c>
      <c r="T506" s="20">
        <v>31050</v>
      </c>
      <c r="U506" s="20" t="s">
        <v>36</v>
      </c>
      <c r="V506" s="20">
        <v>7424</v>
      </c>
      <c r="W506" s="20">
        <v>19602</v>
      </c>
      <c r="Y506" s="19">
        <v>0.79659999999999997</v>
      </c>
      <c r="Z506" s="19">
        <v>0.58250000000000002</v>
      </c>
      <c r="AB506" s="18">
        <v>206</v>
      </c>
      <c r="AC506" s="18">
        <v>6</v>
      </c>
    </row>
    <row r="507" spans="1:29" ht="15.75" customHeight="1" x14ac:dyDescent="0.2">
      <c r="A507" s="36" t="str">
        <f>HYPERLINK("https://www.collegeamerica.edu", "CollegeAmerica-Denver")</f>
        <v>CollegeAmerica-Denver</v>
      </c>
      <c r="B507" s="18" t="s">
        <v>32</v>
      </c>
      <c r="C507" s="18" t="s">
        <v>87</v>
      </c>
      <c r="D507" s="18" t="s">
        <v>508</v>
      </c>
      <c r="E507" s="18" t="s">
        <v>36</v>
      </c>
      <c r="F507" s="18" t="s">
        <v>36</v>
      </c>
      <c r="J507" s="19"/>
      <c r="K507" s="19">
        <v>0.38550000000000001</v>
      </c>
      <c r="L507" s="19">
        <v>0.29132690900000002</v>
      </c>
      <c r="M507" s="19">
        <v>0.30430000000000001</v>
      </c>
      <c r="N507" s="19">
        <v>0.5</v>
      </c>
      <c r="O507" s="19">
        <v>0.5333</v>
      </c>
      <c r="P507" s="19">
        <v>0.4</v>
      </c>
      <c r="Q507" s="19">
        <v>3.0642309999999999E-2</v>
      </c>
      <c r="R507" s="20">
        <v>33104</v>
      </c>
      <c r="S507" s="21" t="str">
        <f>HYPERLINK("https://collegeamerica.studentaidcalculator.com", "$27685")</f>
        <v>$27685</v>
      </c>
      <c r="T507" s="20">
        <v>29152</v>
      </c>
      <c r="U507" s="20" t="s">
        <v>36</v>
      </c>
      <c r="V507" s="20">
        <v>7424</v>
      </c>
      <c r="W507" s="20">
        <v>20261</v>
      </c>
      <c r="Y507" s="19">
        <v>0.6915</v>
      </c>
      <c r="Z507" s="19">
        <v>0.71940000000000004</v>
      </c>
      <c r="AB507" s="18">
        <v>139</v>
      </c>
      <c r="AC507" s="18">
        <v>6</v>
      </c>
    </row>
    <row r="508" spans="1:29" ht="15.75" customHeight="1" x14ac:dyDescent="0.2">
      <c r="A508" s="36" t="str">
        <f>HYPERLINK("https://www.collegeamerica.edu", "CollegeAmerica-Flagstaff")</f>
        <v>CollegeAmerica-Flagstaff</v>
      </c>
      <c r="B508" s="18" t="s">
        <v>32</v>
      </c>
      <c r="C508" s="18" t="s">
        <v>354</v>
      </c>
      <c r="D508" s="18" t="s">
        <v>1014</v>
      </c>
      <c r="E508" s="18" t="s">
        <v>36</v>
      </c>
      <c r="F508" s="18" t="s">
        <v>36</v>
      </c>
      <c r="J508" s="19"/>
      <c r="K508" s="19">
        <v>0.2893</v>
      </c>
      <c r="L508" s="19">
        <v>0.46112600500000001</v>
      </c>
      <c r="M508" s="19">
        <v>0.37140000000000001</v>
      </c>
      <c r="N508" s="19">
        <v>0.25</v>
      </c>
      <c r="O508" s="19">
        <v>0.25</v>
      </c>
      <c r="P508" s="19" t="s">
        <v>36</v>
      </c>
      <c r="Q508" s="19">
        <v>2.8634361000000001E-2</v>
      </c>
      <c r="R508" s="20">
        <v>33104</v>
      </c>
      <c r="S508" s="21" t="str">
        <f>HYPERLINK("https://www.collegeamerica.edu/net-price-calculator", "$26831")</f>
        <v>$26831</v>
      </c>
      <c r="T508" s="20">
        <v>30731</v>
      </c>
      <c r="U508" s="20" t="s">
        <v>36</v>
      </c>
      <c r="V508" s="20">
        <v>7424</v>
      </c>
      <c r="W508" s="20">
        <v>19407</v>
      </c>
      <c r="Y508" s="19">
        <v>0.78220000000000001</v>
      </c>
      <c r="Z508" s="19">
        <v>0.78210000000000002</v>
      </c>
      <c r="AB508" s="18">
        <v>78</v>
      </c>
      <c r="AC508" s="18">
        <v>6</v>
      </c>
    </row>
    <row r="509" spans="1:29" ht="15.75" customHeight="1" x14ac:dyDescent="0.2">
      <c r="A509" s="36" t="str">
        <f>HYPERLINK("https://www.collegeamerica.edu", "CollegeAmerica-Fort Collins")</f>
        <v>CollegeAmerica-Fort Collins</v>
      </c>
      <c r="B509" s="18" t="s">
        <v>32</v>
      </c>
      <c r="C509" s="18" t="s">
        <v>87</v>
      </c>
      <c r="D509" s="18" t="s">
        <v>339</v>
      </c>
      <c r="E509" s="18" t="s">
        <v>36</v>
      </c>
      <c r="F509" s="18" t="s">
        <v>36</v>
      </c>
      <c r="J509" s="19"/>
      <c r="K509" s="19">
        <v>0.26129999999999998</v>
      </c>
      <c r="L509" s="19">
        <v>0.29132690900000002</v>
      </c>
      <c r="M509" s="19">
        <v>0.2586</v>
      </c>
      <c r="N509" s="19">
        <v>0.5</v>
      </c>
      <c r="O509" s="19">
        <v>0.26190000000000002</v>
      </c>
      <c r="P509" s="19" t="s">
        <v>36</v>
      </c>
      <c r="Q509" s="19">
        <v>3.0642309999999999E-2</v>
      </c>
      <c r="R509" s="20">
        <v>33104</v>
      </c>
      <c r="S509" s="21" t="str">
        <f>HYPERLINK("https://collegeamerica.studentaidcalculator.com", "$27546")</f>
        <v>$27546</v>
      </c>
      <c r="T509" s="20">
        <v>31411</v>
      </c>
      <c r="U509" s="20" t="s">
        <v>36</v>
      </c>
      <c r="V509" s="20">
        <v>7424</v>
      </c>
      <c r="W509" s="20">
        <v>20122</v>
      </c>
      <c r="Y509" s="19">
        <v>0.76519999999999999</v>
      </c>
      <c r="Z509" s="19">
        <v>0.46829999999999999</v>
      </c>
      <c r="AB509" s="18">
        <v>126</v>
      </c>
      <c r="AC509" s="18">
        <v>6</v>
      </c>
    </row>
    <row r="510" spans="1:29" ht="15.75" customHeight="1" x14ac:dyDescent="0.2">
      <c r="A510" s="36" t="str">
        <f>HYPERLINK("https://www.collegeamerica.edu", "CollegeAmerica-Phoenix")</f>
        <v>CollegeAmerica-Phoenix</v>
      </c>
      <c r="B510" s="18" t="s">
        <v>32</v>
      </c>
      <c r="C510" s="18" t="s">
        <v>354</v>
      </c>
      <c r="D510" s="18" t="s">
        <v>369</v>
      </c>
      <c r="E510" s="18" t="s">
        <v>36</v>
      </c>
      <c r="F510" s="18" t="s">
        <v>36</v>
      </c>
      <c r="J510" s="19"/>
      <c r="K510" s="19">
        <v>0.4128</v>
      </c>
      <c r="L510" s="19">
        <v>0.46112600500000001</v>
      </c>
      <c r="M510" s="19">
        <v>0.51280000000000003</v>
      </c>
      <c r="N510" s="19">
        <v>0.31580000000000003</v>
      </c>
      <c r="O510" s="19">
        <v>0.4844</v>
      </c>
      <c r="P510" s="19" t="s">
        <v>36</v>
      </c>
      <c r="Q510" s="19">
        <v>2.8634361000000001E-2</v>
      </c>
      <c r="R510" s="20">
        <v>33104</v>
      </c>
      <c r="S510" s="21" t="str">
        <f>HYPERLINK("https://collegeamerica.studentaidcalculator.com/survey.aspx", "$26317")</f>
        <v>$26317</v>
      </c>
      <c r="T510" s="20">
        <v>30456</v>
      </c>
      <c r="U510" s="20" t="s">
        <v>36</v>
      </c>
      <c r="V510" s="20">
        <v>7424</v>
      </c>
      <c r="W510" s="20">
        <v>18893</v>
      </c>
      <c r="Y510" s="19">
        <v>0.86209999999999998</v>
      </c>
      <c r="Z510" s="19">
        <v>0.72070000000000001</v>
      </c>
      <c r="AB510" s="18">
        <v>512</v>
      </c>
      <c r="AC510" s="18">
        <v>6</v>
      </c>
    </row>
    <row r="511" spans="1:29" ht="15.75" customHeight="1" x14ac:dyDescent="0.2">
      <c r="A511" s="36" t="str">
        <f>HYPERLINK("https://www.collin.edu", "Collin County Community College District")</f>
        <v>Collin County Community College District</v>
      </c>
      <c r="B511" s="18" t="s">
        <v>49</v>
      </c>
      <c r="C511" s="18" t="s">
        <v>146</v>
      </c>
      <c r="D511" s="18" t="s">
        <v>1207</v>
      </c>
      <c r="E511" s="18" t="s">
        <v>36</v>
      </c>
      <c r="F511" s="18" t="s">
        <v>36</v>
      </c>
      <c r="J511" s="19"/>
      <c r="K511" s="19">
        <v>0.1628</v>
      </c>
      <c r="L511" s="19">
        <v>6.1756809000000003E-2</v>
      </c>
      <c r="M511" s="19">
        <v>0.1709</v>
      </c>
      <c r="N511" s="19">
        <v>0.1159</v>
      </c>
      <c r="O511" s="19">
        <v>0.1447</v>
      </c>
      <c r="P511" s="19">
        <v>0.20449999999999999</v>
      </c>
      <c r="Q511" s="19">
        <v>0.188795765</v>
      </c>
      <c r="R511" s="20">
        <v>20234</v>
      </c>
      <c r="S511" s="21" t="str">
        <f>HYPERLINK("https://www.collegeforalltexans.com/apps/CollegeMoney/", "$14866")</f>
        <v>$14866</v>
      </c>
      <c r="T511" s="20">
        <v>17760</v>
      </c>
      <c r="U511" s="20">
        <v>19456</v>
      </c>
      <c r="V511" s="20">
        <v>6092</v>
      </c>
      <c r="W511" s="20">
        <v>8774.0193548387106</v>
      </c>
      <c r="Y511" s="19">
        <v>0.16139999999999999</v>
      </c>
      <c r="Z511" s="19">
        <v>0.53859999999999997</v>
      </c>
      <c r="AB511" s="18">
        <v>25701</v>
      </c>
      <c r="AC511" s="18">
        <v>6</v>
      </c>
    </row>
    <row r="512" spans="1:29" ht="15.75" customHeight="1" x14ac:dyDescent="0.2">
      <c r="A512" s="36" t="str">
        <f>HYPERLINK("https://www.cavt.edu", "Colorado Academy of Veterinary Technology")</f>
        <v>Colorado Academy of Veterinary Technology</v>
      </c>
      <c r="B512" s="18" t="s">
        <v>368</v>
      </c>
      <c r="C512" s="18" t="s">
        <v>87</v>
      </c>
      <c r="D512" s="18" t="s">
        <v>88</v>
      </c>
      <c r="E512" s="18" t="s">
        <v>36</v>
      </c>
      <c r="F512" s="18" t="s">
        <v>45</v>
      </c>
      <c r="J512" s="19"/>
      <c r="K512" s="19">
        <v>0.33329999999999999</v>
      </c>
      <c r="L512" s="19" t="s">
        <v>36</v>
      </c>
      <c r="M512" s="19">
        <v>0.5</v>
      </c>
      <c r="N512" s="19" t="s">
        <v>36</v>
      </c>
      <c r="O512" s="19">
        <v>0</v>
      </c>
      <c r="P512" s="19" t="s">
        <v>36</v>
      </c>
      <c r="Q512" s="19" t="s">
        <v>36</v>
      </c>
      <c r="R512" s="20">
        <v>20859</v>
      </c>
      <c r="S512" s="21" t="str">
        <f>HYPERLINK("https://www.cavt.edu", "$15664")</f>
        <v>$15664</v>
      </c>
      <c r="T512" s="20">
        <v>19697</v>
      </c>
      <c r="U512" s="20">
        <v>19992</v>
      </c>
      <c r="V512" s="20">
        <v>3649</v>
      </c>
      <c r="W512" s="20">
        <v>12015</v>
      </c>
      <c r="Y512" s="19">
        <v>0.70509999999999995</v>
      </c>
      <c r="Z512" s="19">
        <v>0.22020000000000001</v>
      </c>
      <c r="AB512" s="18">
        <v>109</v>
      </c>
      <c r="AC512" s="18">
        <v>6</v>
      </c>
    </row>
    <row r="513" spans="1:29" ht="15.75" customHeight="1" x14ac:dyDescent="0.2">
      <c r="A513" s="36" t="str">
        <f>HYPERLINK("https://WWW.CCU.EDU", "Colorado Christian University")</f>
        <v>Colorado Christian University</v>
      </c>
      <c r="B513" s="18" t="s">
        <v>32</v>
      </c>
      <c r="C513" s="18" t="s">
        <v>87</v>
      </c>
      <c r="D513" s="18" t="s">
        <v>338</v>
      </c>
      <c r="E513" s="18" t="s">
        <v>36</v>
      </c>
      <c r="F513" s="18" t="s">
        <v>36</v>
      </c>
      <c r="J513" s="19"/>
      <c r="K513" s="19">
        <v>0.50170000000000003</v>
      </c>
      <c r="L513" s="19">
        <v>0.23263888899999999</v>
      </c>
      <c r="M513" s="19">
        <v>0.47910000000000003</v>
      </c>
      <c r="N513" s="19">
        <v>0.2</v>
      </c>
      <c r="O513" s="19">
        <v>0.5</v>
      </c>
      <c r="P513" s="19">
        <v>0.66669999999999996</v>
      </c>
      <c r="Q513" s="19"/>
      <c r="R513" s="20">
        <v>43486</v>
      </c>
      <c r="S513" s="21" t="str">
        <f>HYPERLINK("https://www.ccu.edu/finaid/calculator/", "$22052")</f>
        <v>$22052</v>
      </c>
      <c r="T513" s="20">
        <v>21952</v>
      </c>
      <c r="U513" s="20">
        <v>24825</v>
      </c>
      <c r="V513" s="20">
        <v>2600</v>
      </c>
      <c r="W513" s="20">
        <v>19452</v>
      </c>
      <c r="Y513" s="19">
        <v>0.34670000000000001</v>
      </c>
      <c r="Z513" s="19">
        <v>0.36659999999999998</v>
      </c>
      <c r="AB513" s="18">
        <v>4918</v>
      </c>
      <c r="AC513" s="18">
        <v>3</v>
      </c>
    </row>
    <row r="514" spans="1:29" ht="15.75" customHeight="1" x14ac:dyDescent="0.2">
      <c r="A514" s="36" t="str">
        <f>HYPERLINK("https://www.coloradocollege.edu", "Colorado College")</f>
        <v>Colorado College</v>
      </c>
      <c r="B514" s="18" t="s">
        <v>32</v>
      </c>
      <c r="C514" s="18" t="s">
        <v>87</v>
      </c>
      <c r="D514" s="18" t="s">
        <v>88</v>
      </c>
      <c r="E514" s="18" t="s">
        <v>36</v>
      </c>
      <c r="F514" s="18" t="s">
        <v>90</v>
      </c>
      <c r="J514" s="19"/>
      <c r="K514" s="19">
        <v>0.88109999999999999</v>
      </c>
      <c r="L514" s="19" t="s">
        <v>36</v>
      </c>
      <c r="M514" s="19">
        <v>0.87770000000000004</v>
      </c>
      <c r="N514" s="19">
        <v>1</v>
      </c>
      <c r="O514" s="19">
        <v>0.92310000000000003</v>
      </c>
      <c r="P514" s="19">
        <v>0.77780000000000005</v>
      </c>
      <c r="Q514" s="19"/>
      <c r="R514" s="20">
        <v>68616</v>
      </c>
      <c r="S514" s="21" t="str">
        <f>HYPERLINK("https://npc.collegeboard.org/student/app/coloradocollege", "$6268")</f>
        <v>$6268</v>
      </c>
      <c r="T514" s="20">
        <v>20667</v>
      </c>
      <c r="U514" s="20">
        <v>24088</v>
      </c>
      <c r="V514" s="20">
        <v>3722</v>
      </c>
      <c r="W514" s="20">
        <v>2546</v>
      </c>
      <c r="X514" s="18" t="s">
        <v>37</v>
      </c>
      <c r="Y514" s="19">
        <v>0.1138</v>
      </c>
      <c r="Z514" s="19">
        <v>0.34050000000000002</v>
      </c>
      <c r="AA514" s="18" t="s">
        <v>37</v>
      </c>
      <c r="AB514" s="18">
        <v>2091</v>
      </c>
      <c r="AC514" s="18">
        <v>1</v>
      </c>
    </row>
    <row r="515" spans="1:29" ht="15.75" customHeight="1" x14ac:dyDescent="0.2">
      <c r="A515" s="36" t="str">
        <f>HYPERLINK("https://www.coloradomesa.edu", "Colorado Mesa University")</f>
        <v>Colorado Mesa University</v>
      </c>
      <c r="B515" s="18" t="s">
        <v>49</v>
      </c>
      <c r="C515" s="18" t="s">
        <v>87</v>
      </c>
      <c r="D515" s="18" t="s">
        <v>674</v>
      </c>
      <c r="E515" s="18">
        <v>1066</v>
      </c>
      <c r="F515" s="18" t="s">
        <v>35</v>
      </c>
      <c r="J515" s="19"/>
      <c r="K515" s="19">
        <v>0.32629999999999998</v>
      </c>
      <c r="L515" s="19">
        <v>0.24062500000000001</v>
      </c>
      <c r="M515" s="19">
        <v>0.36009999999999998</v>
      </c>
      <c r="N515" s="19">
        <v>0.1449</v>
      </c>
      <c r="O515" s="19">
        <v>0.2402</v>
      </c>
      <c r="P515" s="19">
        <v>0.4</v>
      </c>
      <c r="Q515" s="19"/>
      <c r="R515" s="20">
        <v>35655</v>
      </c>
      <c r="S515" s="21" t="str">
        <f>HYPERLINK("https://www.coloradomesa.edu/financial-aid/financial-aid-calculator.html", "$30712")</f>
        <v>$30712</v>
      </c>
      <c r="T515" s="20">
        <v>34019</v>
      </c>
      <c r="U515" s="20">
        <v>35589</v>
      </c>
      <c r="V515" s="20">
        <v>4590</v>
      </c>
      <c r="W515" s="20">
        <v>26122.156308851219</v>
      </c>
      <c r="Y515" s="19">
        <v>0.35720000000000002</v>
      </c>
      <c r="Z515" s="19">
        <v>0.31330000000000002</v>
      </c>
      <c r="AB515" s="18">
        <v>8494</v>
      </c>
      <c r="AC515" s="18">
        <v>4</v>
      </c>
    </row>
    <row r="516" spans="1:29" ht="15.75" customHeight="1" x14ac:dyDescent="0.2">
      <c r="A516" s="36" t="str">
        <f>HYPERLINK("https://www.cncc.edu", "Colorado Northwestern Community College")</f>
        <v>Colorado Northwestern Community College</v>
      </c>
      <c r="B516" s="18" t="s">
        <v>49</v>
      </c>
      <c r="C516" s="18" t="s">
        <v>87</v>
      </c>
      <c r="D516" s="18" t="s">
        <v>1210</v>
      </c>
      <c r="E516" s="18" t="s">
        <v>36</v>
      </c>
      <c r="F516" s="18" t="s">
        <v>36</v>
      </c>
      <c r="J516" s="19"/>
      <c r="K516" s="19">
        <v>0.36670000000000003</v>
      </c>
      <c r="L516" s="19">
        <v>0.24083769599999999</v>
      </c>
      <c r="M516" s="19">
        <v>0.42709999999999998</v>
      </c>
      <c r="N516" s="19">
        <v>7.6899999999999996E-2</v>
      </c>
      <c r="O516" s="19">
        <v>0.26319999999999999</v>
      </c>
      <c r="P516" s="19" t="s">
        <v>36</v>
      </c>
      <c r="Q516" s="19">
        <v>7.0821529999999994E-2</v>
      </c>
      <c r="R516" s="20">
        <v>20612</v>
      </c>
      <c r="S516" s="21" t="str">
        <f>HYPERLINK("https://www.cncc.edu/net-price-calculator/npcalc.htm", "$13241")</f>
        <v>$13241</v>
      </c>
      <c r="T516" s="20">
        <v>16469</v>
      </c>
      <c r="U516" s="20">
        <v>18967</v>
      </c>
      <c r="V516" s="20">
        <v>7254</v>
      </c>
      <c r="W516" s="20">
        <v>5987.7567567567567</v>
      </c>
      <c r="Y516" s="19">
        <v>0.22040000000000001</v>
      </c>
      <c r="Z516" s="19">
        <v>0.2873</v>
      </c>
      <c r="AB516" s="18">
        <v>637</v>
      </c>
      <c r="AC516" s="18">
        <v>6</v>
      </c>
    </row>
    <row r="517" spans="1:29" ht="15.75" customHeight="1" x14ac:dyDescent="0.2">
      <c r="A517" s="36" t="str">
        <f>HYPERLINK("https://www.mines.edu", "Colorado School of Mines")</f>
        <v>Colorado School of Mines</v>
      </c>
      <c r="B517" s="18" t="s">
        <v>49</v>
      </c>
      <c r="C517" s="18" t="s">
        <v>87</v>
      </c>
      <c r="D517" s="18" t="s">
        <v>210</v>
      </c>
      <c r="E517" s="18">
        <v>1391</v>
      </c>
      <c r="F517" s="18" t="s">
        <v>35</v>
      </c>
      <c r="J517" s="19"/>
      <c r="K517" s="19">
        <v>0.78039999999999998</v>
      </c>
      <c r="L517" s="19">
        <v>0.63265306099999996</v>
      </c>
      <c r="M517" s="19">
        <v>0.8014</v>
      </c>
      <c r="N517" s="19">
        <v>0.5</v>
      </c>
      <c r="O517" s="19">
        <v>0.72499999999999998</v>
      </c>
      <c r="P517" s="19">
        <v>0.73080000000000001</v>
      </c>
      <c r="Q517" s="19"/>
      <c r="R517" s="20">
        <v>52698</v>
      </c>
      <c r="S517" s="21" t="str">
        <f>HYPERLINK("https://ir.mines.edu/net-price-calculator/", "$36660")</f>
        <v>$36660</v>
      </c>
      <c r="T517" s="20">
        <v>40450</v>
      </c>
      <c r="U517" s="20">
        <v>49006</v>
      </c>
      <c r="V517" s="20">
        <v>3365</v>
      </c>
      <c r="W517" s="20">
        <v>33295.452830188668</v>
      </c>
      <c r="Y517" s="19">
        <v>0.14599999999999999</v>
      </c>
      <c r="Z517" s="19">
        <v>0.27050000000000002</v>
      </c>
      <c r="AB517" s="18">
        <v>4751</v>
      </c>
      <c r="AC517" s="18">
        <v>2</v>
      </c>
    </row>
    <row r="518" spans="1:29" ht="15.75" customHeight="1" x14ac:dyDescent="0.2">
      <c r="A518" s="36" t="str">
        <f>HYPERLINK("https://schooloftrades.edu/about", "Colorado School of Trades")</f>
        <v>Colorado School of Trades</v>
      </c>
      <c r="B518" s="18" t="s">
        <v>368</v>
      </c>
      <c r="C518" s="18" t="s">
        <v>87</v>
      </c>
      <c r="D518" s="18" t="s">
        <v>338</v>
      </c>
      <c r="E518" s="18" t="s">
        <v>36</v>
      </c>
      <c r="F518" s="18" t="s">
        <v>36</v>
      </c>
      <c r="J518" s="19"/>
      <c r="K518" s="19">
        <v>0.82350000000000001</v>
      </c>
      <c r="L518" s="19">
        <v>0.63013698600000001</v>
      </c>
      <c r="M518" s="19">
        <v>0.84719999999999995</v>
      </c>
      <c r="N518" s="19">
        <v>1</v>
      </c>
      <c r="O518" s="19">
        <v>0.875</v>
      </c>
      <c r="P518" s="19">
        <v>1</v>
      </c>
      <c r="Q518" s="19" t="s">
        <v>36</v>
      </c>
      <c r="R518" s="20" t="s">
        <v>36</v>
      </c>
      <c r="S518" s="21" t="str">
        <f>HYPERLINK("https://www.schooloftrades.edu/npc", "$17007")</f>
        <v>$17007</v>
      </c>
      <c r="T518" s="20" t="s">
        <v>36</v>
      </c>
      <c r="U518" s="20" t="s">
        <v>36</v>
      </c>
      <c r="V518" s="20" t="s">
        <v>36</v>
      </c>
      <c r="W518" s="20" t="s">
        <v>36</v>
      </c>
      <c r="Y518" s="19">
        <v>0.41980000000000001</v>
      </c>
      <c r="Z518" s="19">
        <v>0.63460000000000005</v>
      </c>
      <c r="AB518" s="18">
        <v>156</v>
      </c>
      <c r="AC518" s="18">
        <v>6</v>
      </c>
    </row>
    <row r="519" spans="1:29" ht="15.75" customHeight="1" x14ac:dyDescent="0.2">
      <c r="A519" s="36" t="str">
        <f>HYPERLINK("https://www.colostate.edu", "Colorado State University-Fort Collins")</f>
        <v>Colorado State University-Fort Collins</v>
      </c>
      <c r="B519" s="18" t="s">
        <v>49</v>
      </c>
      <c r="C519" s="18" t="s">
        <v>87</v>
      </c>
      <c r="D519" s="18" t="s">
        <v>339</v>
      </c>
      <c r="E519" s="18">
        <v>1212</v>
      </c>
      <c r="F519" s="18" t="s">
        <v>35</v>
      </c>
      <c r="J519" s="19"/>
      <c r="K519" s="19">
        <v>0.68599999999999994</v>
      </c>
      <c r="L519" s="19">
        <v>0.58139534900000001</v>
      </c>
      <c r="M519" s="19">
        <v>0.70979999999999999</v>
      </c>
      <c r="N519" s="19">
        <v>0.61480000000000001</v>
      </c>
      <c r="O519" s="19">
        <v>0.5948</v>
      </c>
      <c r="P519" s="19">
        <v>0.60760000000000003</v>
      </c>
      <c r="Q519" s="19"/>
      <c r="R519" s="20">
        <v>43437</v>
      </c>
      <c r="S519" s="21" t="str">
        <f>HYPERLINK("https://npc.collegeboard.org/student/app/colostate", "$29497")</f>
        <v>$29497</v>
      </c>
      <c r="T519" s="20">
        <v>33479</v>
      </c>
      <c r="U519" s="20">
        <v>39502</v>
      </c>
      <c r="V519" s="20">
        <v>2560</v>
      </c>
      <c r="W519" s="20">
        <v>26937.385008517889</v>
      </c>
      <c r="Y519" s="19">
        <v>0.22720000000000001</v>
      </c>
      <c r="Z519" s="19">
        <v>0.27850000000000003</v>
      </c>
      <c r="AB519" s="18">
        <v>23804</v>
      </c>
      <c r="AC519" s="18">
        <v>3</v>
      </c>
    </row>
    <row r="520" spans="1:29" ht="15.75" customHeight="1" x14ac:dyDescent="0.2">
      <c r="A520" s="36" t="str">
        <f>HYPERLINK("https://www.coloradotech.edu/Colorado-Springs", "Colorado Technical University-Colorado Springs")</f>
        <v>Colorado Technical University-Colorado Springs</v>
      </c>
      <c r="B520" s="18" t="s">
        <v>368</v>
      </c>
      <c r="C520" s="18" t="s">
        <v>87</v>
      </c>
      <c r="D520" s="18" t="s">
        <v>88</v>
      </c>
      <c r="E520" s="18" t="s">
        <v>36</v>
      </c>
      <c r="F520" s="18" t="s">
        <v>36</v>
      </c>
      <c r="J520" s="19"/>
      <c r="K520" s="19">
        <v>0.25530000000000003</v>
      </c>
      <c r="L520" s="19">
        <v>0.21737795500000001</v>
      </c>
      <c r="M520" s="19">
        <v>0.28720000000000001</v>
      </c>
      <c r="N520" s="19">
        <v>0.21</v>
      </c>
      <c r="O520" s="19">
        <v>0.28910000000000002</v>
      </c>
      <c r="P520" s="19">
        <v>0.55000000000000004</v>
      </c>
      <c r="Q520" s="19"/>
      <c r="R520" s="20">
        <v>21855</v>
      </c>
      <c r="S520" s="21" t="str">
        <f>HYPERLINK("https://coloradotech.studentaidcalculator.com", "$18298")</f>
        <v>$18298</v>
      </c>
      <c r="T520" s="20">
        <v>19941</v>
      </c>
      <c r="U520" s="20">
        <v>22228</v>
      </c>
      <c r="V520" s="20">
        <v>2925</v>
      </c>
      <c r="W520" s="20">
        <v>15373</v>
      </c>
      <c r="Y520" s="19">
        <v>0.60399999999999998</v>
      </c>
      <c r="Z520" s="19">
        <v>0.61880000000000002</v>
      </c>
      <c r="AB520" s="18">
        <v>22129</v>
      </c>
      <c r="AC520" s="18">
        <v>5</v>
      </c>
    </row>
    <row r="521" spans="1:29" ht="15.75" customHeight="1" x14ac:dyDescent="0.2">
      <c r="A521" s="36" t="str">
        <f>HYPERLINK("https://www.coloradotech.edu/Denver", "Colorado Technical University-Greenwood Village")</f>
        <v>Colorado Technical University-Greenwood Village</v>
      </c>
      <c r="B521" s="18" t="s">
        <v>368</v>
      </c>
      <c r="C521" s="18" t="s">
        <v>87</v>
      </c>
      <c r="D521" s="18" t="s">
        <v>537</v>
      </c>
      <c r="E521" s="18" t="s">
        <v>36</v>
      </c>
      <c r="F521" s="18" t="s">
        <v>36</v>
      </c>
      <c r="J521" s="19"/>
      <c r="K521" s="19" t="s">
        <v>36</v>
      </c>
      <c r="L521" s="19" t="s">
        <v>36</v>
      </c>
      <c r="M521" s="19" t="s">
        <v>36</v>
      </c>
      <c r="N521" s="19" t="s">
        <v>36</v>
      </c>
      <c r="O521" s="19" t="s">
        <v>36</v>
      </c>
      <c r="P521" s="19" t="s">
        <v>36</v>
      </c>
      <c r="Q521" s="19"/>
      <c r="R521" s="20" t="s">
        <v>36</v>
      </c>
      <c r="S521" s="35" t="s">
        <v>36</v>
      </c>
      <c r="T521" s="20" t="s">
        <v>36</v>
      </c>
      <c r="U521" s="20" t="s">
        <v>36</v>
      </c>
      <c r="V521" s="20" t="s">
        <v>36</v>
      </c>
      <c r="W521" s="20" t="s">
        <v>36</v>
      </c>
      <c r="Y521" s="19" t="s">
        <v>36</v>
      </c>
      <c r="Z521" s="19" t="s">
        <v>36</v>
      </c>
      <c r="AB521" s="18" t="s">
        <v>36</v>
      </c>
      <c r="AC521" s="18">
        <v>5</v>
      </c>
    </row>
    <row r="522" spans="1:29" ht="15.75" customHeight="1" x14ac:dyDescent="0.2">
      <c r="A522" s="36" t="str">
        <f>HYPERLINK("https://www.columbiabasin.edu", "Columbia Basin College")</f>
        <v>Columbia Basin College</v>
      </c>
      <c r="B522" s="18" t="s">
        <v>49</v>
      </c>
      <c r="C522" s="18" t="s">
        <v>184</v>
      </c>
      <c r="D522" s="18" t="s">
        <v>1212</v>
      </c>
      <c r="E522" s="18" t="s">
        <v>36</v>
      </c>
      <c r="F522" s="18" t="s">
        <v>36</v>
      </c>
      <c r="J522" s="19"/>
      <c r="K522" s="19">
        <v>0.29670000000000002</v>
      </c>
      <c r="L522" s="19">
        <v>0.145811789</v>
      </c>
      <c r="M522" s="19">
        <v>0.28989999999999999</v>
      </c>
      <c r="N522" s="19">
        <v>0.16669999999999999</v>
      </c>
      <c r="O522" s="19">
        <v>0.31</v>
      </c>
      <c r="P522" s="19">
        <v>0.47060000000000002</v>
      </c>
      <c r="Q522" s="19">
        <v>0.107776262</v>
      </c>
      <c r="R522" s="20">
        <v>19120</v>
      </c>
      <c r="S522" s="21" t="str">
        <f>HYPERLINK("https://www.columbiabasin.edu/npcalc/", "$12240")</f>
        <v>$12240</v>
      </c>
      <c r="T522" s="20">
        <v>14824</v>
      </c>
      <c r="U522" s="20">
        <v>19007</v>
      </c>
      <c r="V522" s="20">
        <v>2910</v>
      </c>
      <c r="W522" s="20">
        <v>9330.0407523510985</v>
      </c>
      <c r="Y522" s="19">
        <v>0.28089999999999998</v>
      </c>
      <c r="Z522" s="19">
        <v>0.5252</v>
      </c>
      <c r="AB522" s="18">
        <v>5731</v>
      </c>
      <c r="AC522" s="18">
        <v>6</v>
      </c>
    </row>
    <row r="523" spans="1:29" ht="15.75" customHeight="1" x14ac:dyDescent="0.2">
      <c r="A523" s="36" t="str">
        <f>HYPERLINK("https://www.columbiacentral.edu", "Columbia Central University-Caguas")</f>
        <v>Columbia Central University-Caguas</v>
      </c>
      <c r="B523" s="18" t="s">
        <v>368</v>
      </c>
      <c r="C523" s="18" t="s">
        <v>284</v>
      </c>
      <c r="D523" s="18" t="s">
        <v>1214</v>
      </c>
      <c r="E523" s="18" t="s">
        <v>36</v>
      </c>
      <c r="F523" s="18" t="s">
        <v>36</v>
      </c>
      <c r="J523" s="19"/>
      <c r="K523" s="19">
        <v>0.39350000000000002</v>
      </c>
      <c r="L523" s="19">
        <v>0.18653846199999999</v>
      </c>
      <c r="M523" s="19" t="s">
        <v>36</v>
      </c>
      <c r="N523" s="19" t="s">
        <v>36</v>
      </c>
      <c r="O523" s="19">
        <v>0.39350000000000002</v>
      </c>
      <c r="P523" s="19" t="s">
        <v>36</v>
      </c>
      <c r="Q523" s="19">
        <v>6.1485909999999998E-2</v>
      </c>
      <c r="R523" s="20">
        <v>15799</v>
      </c>
      <c r="S523" s="21" t="str">
        <f>HYPERLINK("https://www.columbiacentral.edu/asistencia-economica/net-price-calculator/net-price-calculator-caguas/", "$3619")</f>
        <v>$3619</v>
      </c>
      <c r="T523" s="20">
        <v>4630</v>
      </c>
      <c r="U523" s="20">
        <v>6330</v>
      </c>
      <c r="V523" s="20">
        <v>2422</v>
      </c>
      <c r="W523" s="20">
        <v>1197</v>
      </c>
      <c r="Y523" s="19">
        <v>0.89280000000000004</v>
      </c>
      <c r="Z523" s="19">
        <v>1</v>
      </c>
      <c r="AB523" s="18">
        <v>1270</v>
      </c>
      <c r="AC523" s="18">
        <v>6</v>
      </c>
    </row>
    <row r="524" spans="1:29" ht="15.75" customHeight="1" x14ac:dyDescent="0.2">
      <c r="A524" s="36" t="str">
        <f>HYPERLINK("https://www.columbiacentral.edu", "Columbia Central University-Yauco")</f>
        <v>Columbia Central University-Yauco</v>
      </c>
      <c r="B524" s="18" t="s">
        <v>368</v>
      </c>
      <c r="C524" s="18" t="s">
        <v>284</v>
      </c>
      <c r="D524" s="18" t="s">
        <v>1216</v>
      </c>
      <c r="E524" s="18" t="s">
        <v>36</v>
      </c>
      <c r="F524" s="18" t="s">
        <v>36</v>
      </c>
      <c r="J524" s="19"/>
      <c r="K524" s="19">
        <v>0.4516</v>
      </c>
      <c r="L524" s="19">
        <v>0.18653846199999999</v>
      </c>
      <c r="M524" s="19" t="s">
        <v>36</v>
      </c>
      <c r="N524" s="19" t="s">
        <v>36</v>
      </c>
      <c r="O524" s="19">
        <v>0.4516</v>
      </c>
      <c r="P524" s="19" t="s">
        <v>36</v>
      </c>
      <c r="Q524" s="19">
        <v>6.1485909999999998E-2</v>
      </c>
      <c r="R524" s="20">
        <v>15799</v>
      </c>
      <c r="S524" s="21" t="str">
        <f>HYPERLINK("https://www.columbiacentral.edu/asistencia-economica/net-price-calculator/net-price-calculator-yauco/", "$4582")</f>
        <v>$4582</v>
      </c>
      <c r="T524" s="20">
        <v>7839</v>
      </c>
      <c r="U524" s="20" t="s">
        <v>36</v>
      </c>
      <c r="V524" s="20">
        <v>2422</v>
      </c>
      <c r="W524" s="20">
        <v>2160</v>
      </c>
      <c r="Y524" s="19">
        <v>0.91390000000000005</v>
      </c>
      <c r="Z524" s="19">
        <v>1</v>
      </c>
      <c r="AB524" s="18">
        <v>345</v>
      </c>
      <c r="AC524" s="18">
        <v>6</v>
      </c>
    </row>
    <row r="525" spans="1:29" ht="15.75" customHeight="1" x14ac:dyDescent="0.2">
      <c r="A525" s="36" t="str">
        <f>HYPERLINK("https://www.columbiasc.edu/", "Columbia College")</f>
        <v>Columbia College</v>
      </c>
      <c r="B525" s="18" t="s">
        <v>32</v>
      </c>
      <c r="C525" s="18" t="s">
        <v>208</v>
      </c>
      <c r="D525" s="18" t="s">
        <v>165</v>
      </c>
      <c r="E525" s="18">
        <v>1009</v>
      </c>
      <c r="F525" s="18" t="s">
        <v>115</v>
      </c>
      <c r="J525" s="19"/>
      <c r="K525" s="19">
        <v>0.49220000000000003</v>
      </c>
      <c r="L525" s="19">
        <v>0.41011236000000001</v>
      </c>
      <c r="M525" s="19">
        <v>0.4194</v>
      </c>
      <c r="N525" s="19">
        <v>0.55130000000000001</v>
      </c>
      <c r="O525" s="19">
        <v>0.36359999999999998</v>
      </c>
      <c r="P525" s="19">
        <v>1</v>
      </c>
      <c r="Q525" s="19"/>
      <c r="R525" s="20">
        <v>33121</v>
      </c>
      <c r="S525" s="21" t="str">
        <f>HYPERLINK("https://www.columbiasc.edu/admissions/financial-aid/net-price-calculator", "$17039")</f>
        <v>$17039</v>
      </c>
      <c r="T525" s="20">
        <v>18573</v>
      </c>
      <c r="U525" s="20">
        <v>19471</v>
      </c>
      <c r="V525" s="20">
        <v>5721</v>
      </c>
      <c r="W525" s="20">
        <v>11318</v>
      </c>
      <c r="Y525" s="19">
        <v>0.46500000000000002</v>
      </c>
      <c r="Z525" s="19">
        <v>0.45789999999999997</v>
      </c>
      <c r="AB525" s="18">
        <v>1378</v>
      </c>
      <c r="AC525" s="18">
        <v>4</v>
      </c>
    </row>
    <row r="526" spans="1:29" ht="15.75" customHeight="1" x14ac:dyDescent="0.2">
      <c r="A526" s="36" t="str">
        <f>HYPERLINK("https://www.gocolumbia.edu/", "Columbia College")</f>
        <v>Columbia College</v>
      </c>
      <c r="B526" s="18" t="s">
        <v>49</v>
      </c>
      <c r="C526" s="18" t="s">
        <v>68</v>
      </c>
      <c r="D526" s="18" t="s">
        <v>1217</v>
      </c>
      <c r="E526" s="18" t="s">
        <v>36</v>
      </c>
      <c r="F526" s="18" t="s">
        <v>36</v>
      </c>
      <c r="J526" s="19"/>
      <c r="K526" s="19">
        <v>0.2316</v>
      </c>
      <c r="L526" s="19">
        <v>9.1603053000000004E-2</v>
      </c>
      <c r="M526" s="19">
        <v>0.23180000000000001</v>
      </c>
      <c r="N526" s="19">
        <v>0</v>
      </c>
      <c r="O526" s="19">
        <v>0.28129999999999999</v>
      </c>
      <c r="P526" s="19">
        <v>0</v>
      </c>
      <c r="Q526" s="19">
        <v>6.9815194999999997E-2</v>
      </c>
      <c r="R526" s="20">
        <v>24607</v>
      </c>
      <c r="S526" s="21" t="str">
        <f>HYPERLINK("https://misweb.cccco.edu/npc/591/npcalc.htm", "$18323")</f>
        <v>$18323</v>
      </c>
      <c r="T526" s="20">
        <v>21308</v>
      </c>
      <c r="U526" s="20" t="s">
        <v>36</v>
      </c>
      <c r="V526" s="20">
        <v>5859</v>
      </c>
      <c r="W526" s="20">
        <v>12464.1875</v>
      </c>
      <c r="Y526" s="19">
        <v>0.29160000000000003</v>
      </c>
      <c r="Z526" s="19">
        <v>0.2712</v>
      </c>
      <c r="AB526" s="18">
        <v>2216</v>
      </c>
      <c r="AC526" s="18">
        <v>6</v>
      </c>
    </row>
    <row r="527" spans="1:29" ht="15.75" customHeight="1" x14ac:dyDescent="0.2">
      <c r="A527" s="36" t="str">
        <f>HYPERLINK("https://www.ccis.edu", "Columbia College")</f>
        <v>Columbia College</v>
      </c>
      <c r="B527" s="18" t="s">
        <v>32</v>
      </c>
      <c r="C527" s="18" t="s">
        <v>164</v>
      </c>
      <c r="D527" s="18" t="s">
        <v>165</v>
      </c>
      <c r="E527" s="18" t="s">
        <v>36</v>
      </c>
      <c r="F527" s="18" t="s">
        <v>36</v>
      </c>
      <c r="J527" s="19"/>
      <c r="K527" s="19">
        <v>0.26269999999999999</v>
      </c>
      <c r="L527" s="19">
        <v>0.23955847299999999</v>
      </c>
      <c r="M527" s="19">
        <v>0.3014</v>
      </c>
      <c r="N527" s="19">
        <v>0.1351</v>
      </c>
      <c r="O527" s="19">
        <v>0.28129999999999999</v>
      </c>
      <c r="P527" s="19">
        <v>0.16669999999999999</v>
      </c>
      <c r="Q527" s="19"/>
      <c r="R527" s="20">
        <v>34208</v>
      </c>
      <c r="S527" s="21" t="str">
        <f>HYPERLINK("https://www.ccis.edu/offices/financialaid/net-price-calculators.aspx", "$25857")</f>
        <v>$25857</v>
      </c>
      <c r="T527" s="20">
        <v>24934</v>
      </c>
      <c r="U527" s="20">
        <v>23727</v>
      </c>
      <c r="V527" s="20">
        <v>5178</v>
      </c>
      <c r="W527" s="20">
        <v>20679</v>
      </c>
      <c r="Y527" s="19">
        <v>0.4793</v>
      </c>
      <c r="Z527" s="19">
        <v>0.44519999999999998</v>
      </c>
      <c r="AB527" s="18">
        <v>11975</v>
      </c>
      <c r="AC527" s="18">
        <v>4</v>
      </c>
    </row>
    <row r="528" spans="1:29" ht="15.75" customHeight="1" x14ac:dyDescent="0.2">
      <c r="A528" s="36" t="str">
        <f>HYPERLINK("https://www.colum.edu", "Columbia College-Chicago")</f>
        <v>Columbia College-Chicago</v>
      </c>
      <c r="B528" s="18" t="s">
        <v>32</v>
      </c>
      <c r="C528" s="18" t="s">
        <v>137</v>
      </c>
      <c r="D528" s="18" t="s">
        <v>161</v>
      </c>
      <c r="E528" s="18" t="s">
        <v>36</v>
      </c>
      <c r="F528" s="18" t="s">
        <v>90</v>
      </c>
      <c r="J528" s="19"/>
      <c r="K528" s="19">
        <v>0.43969999999999998</v>
      </c>
      <c r="L528" s="19">
        <v>0.39105613700000003</v>
      </c>
      <c r="M528" s="19">
        <v>0.50560000000000005</v>
      </c>
      <c r="N528" s="19">
        <v>0.27229999999999999</v>
      </c>
      <c r="O528" s="19">
        <v>0.43490000000000001</v>
      </c>
      <c r="P528" s="19">
        <v>0.55259999999999998</v>
      </c>
      <c r="Q528" s="19"/>
      <c r="R528" s="20">
        <v>43707</v>
      </c>
      <c r="S528" s="21" t="str">
        <f>HYPERLINK("https://colum.studentaidcalculator.com/survey.aspx", "$28910")</f>
        <v>$28910</v>
      </c>
      <c r="T528" s="20">
        <v>31319</v>
      </c>
      <c r="U528" s="20">
        <v>33988</v>
      </c>
      <c r="V528" s="20">
        <v>3603</v>
      </c>
      <c r="W528" s="20">
        <v>25307</v>
      </c>
      <c r="Y528" s="19">
        <v>0.35370000000000001</v>
      </c>
      <c r="Z528" s="19">
        <v>0.45240000000000002</v>
      </c>
      <c r="AB528" s="18">
        <v>6934</v>
      </c>
      <c r="AC528" s="18">
        <v>5</v>
      </c>
    </row>
    <row r="529" spans="1:29" ht="15.75" customHeight="1" x14ac:dyDescent="0.2">
      <c r="A529" s="36" t="str">
        <f>HYPERLINK("https://www.cgcc.edu", "Columbia Gorge Community College")</f>
        <v>Columbia Gorge Community College</v>
      </c>
      <c r="B529" s="18" t="s">
        <v>49</v>
      </c>
      <c r="C529" s="18" t="s">
        <v>143</v>
      </c>
      <c r="D529" s="18" t="s">
        <v>1219</v>
      </c>
      <c r="E529" s="18" t="s">
        <v>36</v>
      </c>
      <c r="F529" s="18" t="s">
        <v>36</v>
      </c>
      <c r="J529" s="19"/>
      <c r="K529" s="19">
        <v>0.2</v>
      </c>
      <c r="L529" s="19" t="s">
        <v>36</v>
      </c>
      <c r="M529" s="19">
        <v>0.1212</v>
      </c>
      <c r="N529" s="19" t="s">
        <v>36</v>
      </c>
      <c r="O529" s="19">
        <v>0.2432</v>
      </c>
      <c r="P529" s="19">
        <v>0</v>
      </c>
      <c r="Q529" s="19" t="s">
        <v>36</v>
      </c>
      <c r="R529" s="20">
        <v>23584</v>
      </c>
      <c r="S529" s="21" t="str">
        <f>HYPERLINK("https://www.cgcc.edu/sites/default/files/financial-aid/npc/npcalc.htm", "$17870")</f>
        <v>$17870</v>
      </c>
      <c r="T529" s="20">
        <v>19305</v>
      </c>
      <c r="U529" s="20">
        <v>22207</v>
      </c>
      <c r="V529" s="20">
        <v>4900</v>
      </c>
      <c r="W529" s="20">
        <v>12970.07317073171</v>
      </c>
      <c r="Y529" s="19">
        <v>0.37540000000000001</v>
      </c>
      <c r="Z529" s="19">
        <v>0.40389999999999998</v>
      </c>
      <c r="AB529" s="18">
        <v>661</v>
      </c>
      <c r="AC529" s="18">
        <v>6</v>
      </c>
    </row>
    <row r="530" spans="1:29" ht="15.75" customHeight="1" x14ac:dyDescent="0.2">
      <c r="A530" s="36" t="str">
        <f>HYPERLINK("https://www.columbiastate.edu", "Columbia State Community College")</f>
        <v>Columbia State Community College</v>
      </c>
      <c r="B530" s="18" t="s">
        <v>49</v>
      </c>
      <c r="C530" s="18" t="s">
        <v>174</v>
      </c>
      <c r="D530" s="18" t="s">
        <v>165</v>
      </c>
      <c r="E530" s="18" t="s">
        <v>36</v>
      </c>
      <c r="F530" s="18" t="s">
        <v>36</v>
      </c>
      <c r="J530" s="19"/>
      <c r="K530" s="19">
        <v>0.28289999999999998</v>
      </c>
      <c r="L530" s="19">
        <v>0.14833501499999999</v>
      </c>
      <c r="M530" s="19">
        <v>0.29509999999999997</v>
      </c>
      <c r="N530" s="19">
        <v>0.1739</v>
      </c>
      <c r="O530" s="19">
        <v>0.40629999999999999</v>
      </c>
      <c r="P530" s="19">
        <v>0.28570000000000001</v>
      </c>
      <c r="Q530" s="19">
        <v>8.2980012000000006E-2</v>
      </c>
      <c r="R530" s="20">
        <v>32129</v>
      </c>
      <c r="S530" s="21" t="str">
        <f>HYPERLINK("https://www.columbiastate.edu/IR/NetPriceCalc/NetPriceCalculator/npcalc.htm", "$25024")</f>
        <v>$25024</v>
      </c>
      <c r="T530" s="20">
        <v>26937</v>
      </c>
      <c r="U530" s="20">
        <v>27686</v>
      </c>
      <c r="V530" s="20">
        <v>5378</v>
      </c>
      <c r="W530" s="20">
        <v>19646.95550351288</v>
      </c>
      <c r="Y530" s="19">
        <v>0.33489999999999998</v>
      </c>
      <c r="Z530" s="19">
        <v>0.19839999999999999</v>
      </c>
      <c r="AB530" s="18">
        <v>4742</v>
      </c>
      <c r="AC530" s="18">
        <v>6</v>
      </c>
    </row>
    <row r="531" spans="1:29" ht="15.75" customHeight="1" x14ac:dyDescent="0.2">
      <c r="A531" s="36" t="str">
        <f>HYPERLINK("https://www.columbia.edu", "Columbia University in the City of New York")</f>
        <v>Columbia University in the City of New York</v>
      </c>
      <c r="B531" s="18" t="s">
        <v>32</v>
      </c>
      <c r="C531" s="18" t="s">
        <v>38</v>
      </c>
      <c r="D531" s="18" t="s">
        <v>39</v>
      </c>
      <c r="E531" s="18">
        <v>1488</v>
      </c>
      <c r="F531" s="18" t="s">
        <v>35</v>
      </c>
      <c r="G531" s="18" t="s">
        <v>40</v>
      </c>
      <c r="H531" s="18" t="s">
        <v>91</v>
      </c>
      <c r="I531" s="18" t="s">
        <v>92</v>
      </c>
      <c r="J531" s="19"/>
      <c r="K531" s="19">
        <v>0.95140000000000002</v>
      </c>
      <c r="L531" s="19">
        <v>0.74600355200000001</v>
      </c>
      <c r="M531" s="19">
        <v>0.94289999999999996</v>
      </c>
      <c r="N531" s="19">
        <v>0.91739999999999999</v>
      </c>
      <c r="O531" s="19">
        <v>0.93299999999999994</v>
      </c>
      <c r="P531" s="19">
        <v>0.97889999999999999</v>
      </c>
      <c r="Q531" s="19"/>
      <c r="R531" s="20">
        <v>74199</v>
      </c>
      <c r="S531" s="21" t="str">
        <f>HYPERLINK("https://cc-seas.financialaid.columbia.edu/estimate-cost", "$8212")</f>
        <v>$8212</v>
      </c>
      <c r="T531" s="20">
        <v>7648</v>
      </c>
      <c r="U531" s="20">
        <v>17463</v>
      </c>
      <c r="V531" s="20">
        <v>3347</v>
      </c>
      <c r="W531" s="20">
        <v>4865</v>
      </c>
      <c r="X531" s="18" t="s">
        <v>37</v>
      </c>
      <c r="Y531" s="19">
        <v>0.22109999999999999</v>
      </c>
      <c r="Z531" s="19">
        <v>0.63229999999999997</v>
      </c>
      <c r="AA531" s="18" t="s">
        <v>37</v>
      </c>
      <c r="AB531" s="18">
        <v>8170</v>
      </c>
      <c r="AC531" s="18">
        <v>1</v>
      </c>
    </row>
    <row r="532" spans="1:29" ht="15.75" customHeight="1" x14ac:dyDescent="0.2">
      <c r="A532" s="36" t="str">
        <f>HYPERLINK("https://www.sunycgcc.edu", "SUNY Columbia-Greene Community College")</f>
        <v>SUNY Columbia-Greene Community College</v>
      </c>
      <c r="B532" s="18" t="s">
        <v>49</v>
      </c>
      <c r="C532" s="18" t="s">
        <v>38</v>
      </c>
      <c r="D532" s="18" t="s">
        <v>1065</v>
      </c>
      <c r="E532" s="18" t="s">
        <v>36</v>
      </c>
      <c r="F532" s="18" t="s">
        <v>36</v>
      </c>
      <c r="J532" s="19"/>
      <c r="K532" s="19">
        <v>0.32990000000000003</v>
      </c>
      <c r="L532" s="19">
        <v>0.31609195400000001</v>
      </c>
      <c r="M532" s="19">
        <v>0.3624</v>
      </c>
      <c r="N532" s="19">
        <v>0.15379999999999999</v>
      </c>
      <c r="O532" s="19">
        <v>0.18179999999999999</v>
      </c>
      <c r="P532" s="19">
        <v>0.5</v>
      </c>
      <c r="Q532" s="19">
        <v>4.6128501000000002E-2</v>
      </c>
      <c r="R532" s="20">
        <v>15704</v>
      </c>
      <c r="S532" s="21" t="str">
        <f>HYPERLINK("https://www.sunycgcc.edu/financial-aid/net-price-calculator/", "$4008")</f>
        <v>$4008</v>
      </c>
      <c r="T532" s="20">
        <v>8287</v>
      </c>
      <c r="U532" s="20">
        <v>10129</v>
      </c>
      <c r="V532" s="20">
        <v>3816</v>
      </c>
      <c r="W532" s="20">
        <v>192</v>
      </c>
      <c r="Y532" s="19">
        <v>0.36780000000000002</v>
      </c>
      <c r="Z532" s="19">
        <v>0.25119999999999998</v>
      </c>
      <c r="AB532" s="18">
        <v>1083</v>
      </c>
      <c r="AC532" s="18">
        <v>6</v>
      </c>
    </row>
    <row r="533" spans="1:29" ht="15.75" customHeight="1" x14ac:dyDescent="0.2">
      <c r="A533" s="36" t="str">
        <f>HYPERLINK("https://WWW.CCAD.EDU", "Columbus College of Art and Design")</f>
        <v>Columbus College of Art and Design</v>
      </c>
      <c r="B533" s="18" t="s">
        <v>32</v>
      </c>
      <c r="C533" s="18" t="s">
        <v>75</v>
      </c>
      <c r="D533" s="18" t="s">
        <v>237</v>
      </c>
      <c r="E533" s="18" t="s">
        <v>36</v>
      </c>
      <c r="F533" s="18" t="s">
        <v>90</v>
      </c>
      <c r="J533" s="19"/>
      <c r="K533" s="19">
        <v>0.6119</v>
      </c>
      <c r="L533" s="19">
        <v>0.504950495</v>
      </c>
      <c r="M533" s="19">
        <v>0.66349999999999998</v>
      </c>
      <c r="N533" s="19">
        <v>0.3</v>
      </c>
      <c r="O533" s="19">
        <v>0.53849999999999998</v>
      </c>
      <c r="P533" s="19">
        <v>0.5</v>
      </c>
      <c r="Q533" s="19"/>
      <c r="R533" s="20">
        <v>49110</v>
      </c>
      <c r="S533" s="21" t="str">
        <f>HYPERLINK("https://ccad.studentaidcalculator.com/survey.aspx", "$22370")</f>
        <v>$22370</v>
      </c>
      <c r="T533" s="20">
        <v>24571</v>
      </c>
      <c r="U533" s="20">
        <v>29083</v>
      </c>
      <c r="V533" s="20">
        <v>5300</v>
      </c>
      <c r="W533" s="20">
        <v>17070</v>
      </c>
      <c r="Y533" s="19">
        <v>0.37169999999999997</v>
      </c>
      <c r="Z533" s="19">
        <v>0.34670000000000001</v>
      </c>
      <c r="AB533" s="18">
        <v>1024</v>
      </c>
      <c r="AC533" s="18">
        <v>4</v>
      </c>
    </row>
    <row r="534" spans="1:29" ht="15.75" customHeight="1" x14ac:dyDescent="0.2">
      <c r="A534" s="36" t="str">
        <f>HYPERLINK("https://www.columbusstate.edu", "Columbus State University")</f>
        <v>Columbus State University</v>
      </c>
      <c r="B534" s="18" t="s">
        <v>49</v>
      </c>
      <c r="C534" s="18" t="s">
        <v>107</v>
      </c>
      <c r="D534" s="18" t="s">
        <v>237</v>
      </c>
      <c r="E534" s="18">
        <v>1011</v>
      </c>
      <c r="F534" s="18" t="s">
        <v>35</v>
      </c>
      <c r="J534" s="19"/>
      <c r="K534" s="19">
        <v>0.32779999999999998</v>
      </c>
      <c r="L534" s="19">
        <v>0.26095238100000001</v>
      </c>
      <c r="M534" s="19">
        <v>0.34770000000000001</v>
      </c>
      <c r="N534" s="19">
        <v>0.31190000000000001</v>
      </c>
      <c r="O534" s="19">
        <v>0.31340000000000001</v>
      </c>
      <c r="P534" s="19">
        <v>0.4118</v>
      </c>
      <c r="Q534" s="19"/>
      <c r="R534" s="20">
        <v>32200</v>
      </c>
      <c r="S534" s="21" t="str">
        <f>HYPERLINK("https://finaid.columbusstate.edu/netprice.php", "$23984")</f>
        <v>$23984</v>
      </c>
      <c r="T534" s="20">
        <v>27630</v>
      </c>
      <c r="U534" s="20">
        <v>28649</v>
      </c>
      <c r="V534" s="20">
        <v>4730</v>
      </c>
      <c r="W534" s="20">
        <v>19254.040431266851</v>
      </c>
      <c r="Y534" s="19">
        <v>0.4556</v>
      </c>
      <c r="Z534" s="19">
        <v>0.50929999999999997</v>
      </c>
      <c r="AB534" s="18">
        <v>6474</v>
      </c>
      <c r="AC534" s="18">
        <v>4</v>
      </c>
    </row>
    <row r="535" spans="1:29" ht="15.75" customHeight="1" x14ac:dyDescent="0.2">
      <c r="A535" s="36" t="str">
        <f>HYPERLINK("https://www.commonwealth.edu", "Commonwealth Institute of Funeral Service")</f>
        <v>Commonwealth Institute of Funeral Service</v>
      </c>
      <c r="B535" s="18" t="s">
        <v>32</v>
      </c>
      <c r="C535" s="18" t="s">
        <v>146</v>
      </c>
      <c r="D535" s="18" t="s">
        <v>147</v>
      </c>
      <c r="E535" s="18" t="s">
        <v>36</v>
      </c>
      <c r="F535" s="18" t="s">
        <v>36</v>
      </c>
      <c r="J535" s="19"/>
      <c r="K535" s="19">
        <v>0.75</v>
      </c>
      <c r="L535" s="19">
        <v>0.55555555600000006</v>
      </c>
      <c r="M535" s="19">
        <v>0.84619999999999995</v>
      </c>
      <c r="N535" s="19">
        <v>0.5</v>
      </c>
      <c r="O535" s="19">
        <v>0.75</v>
      </c>
      <c r="P535" s="19">
        <v>1</v>
      </c>
      <c r="Q535" s="19" t="s">
        <v>36</v>
      </c>
      <c r="R535" s="20">
        <v>31755</v>
      </c>
      <c r="S535" s="21" t="str">
        <f>HYPERLINK("https://www.commonwealth.edu", "$22418")</f>
        <v>$22418</v>
      </c>
      <c r="T535" s="20" t="s">
        <v>36</v>
      </c>
      <c r="U535" s="20" t="s">
        <v>36</v>
      </c>
      <c r="V535" s="20" t="s">
        <v>36</v>
      </c>
      <c r="W535" s="20" t="s">
        <v>36</v>
      </c>
      <c r="Y535" s="19">
        <v>0.35659999999999997</v>
      </c>
      <c r="Z535" s="19">
        <v>0.48839999999999989</v>
      </c>
      <c r="AB535" s="18">
        <v>215</v>
      </c>
      <c r="AC535" s="18">
        <v>6</v>
      </c>
    </row>
    <row r="536" spans="1:29" ht="15.75" customHeight="1" x14ac:dyDescent="0.2">
      <c r="A536" s="36" t="str">
        <f>HYPERLINK("https://www.cccollege.edu", "Community Christian College")</f>
        <v>Community Christian College</v>
      </c>
      <c r="B536" s="18" t="s">
        <v>32</v>
      </c>
      <c r="C536" s="18" t="s">
        <v>68</v>
      </c>
      <c r="D536" s="18" t="s">
        <v>521</v>
      </c>
      <c r="E536" s="18" t="s">
        <v>36</v>
      </c>
      <c r="F536" s="18" t="s">
        <v>36</v>
      </c>
      <c r="J536" s="19"/>
      <c r="K536" s="19">
        <v>0.26529999999999998</v>
      </c>
      <c r="L536" s="19" t="s">
        <v>36</v>
      </c>
      <c r="M536" s="19">
        <v>0.25</v>
      </c>
      <c r="N536" s="19">
        <v>0.66669999999999996</v>
      </c>
      <c r="O536" s="19">
        <v>0.27589999999999998</v>
      </c>
      <c r="P536" s="19" t="s">
        <v>36</v>
      </c>
      <c r="Q536" s="19">
        <v>0.17105263200000001</v>
      </c>
      <c r="R536" s="20">
        <v>22848</v>
      </c>
      <c r="S536" s="21" t="str">
        <f>HYPERLINK("https://www.cccollege.edu", "$5468")</f>
        <v>$5468</v>
      </c>
      <c r="T536" s="20" t="s">
        <v>36</v>
      </c>
      <c r="U536" s="20" t="s">
        <v>36</v>
      </c>
      <c r="V536" s="20">
        <v>7491</v>
      </c>
      <c r="W536" s="20">
        <v>-2023</v>
      </c>
      <c r="Y536" s="19">
        <v>0.29549999999999998</v>
      </c>
      <c r="Z536" s="19">
        <v>0.72340000000000004</v>
      </c>
      <c r="AB536" s="18">
        <v>47</v>
      </c>
      <c r="AC536" s="18">
        <v>6</v>
      </c>
    </row>
    <row r="537" spans="1:29" ht="15.75" customHeight="1" x14ac:dyDescent="0.2">
      <c r="A537" s="36" t="str">
        <f>HYPERLINK("https://www.ccac.edu", "Community College of Allegheny County")</f>
        <v>Community College of Allegheny County</v>
      </c>
      <c r="B537" s="18" t="s">
        <v>49</v>
      </c>
      <c r="C537" s="18" t="s">
        <v>65</v>
      </c>
      <c r="D537" s="18" t="s">
        <v>74</v>
      </c>
      <c r="E537" s="18" t="s">
        <v>36</v>
      </c>
      <c r="F537" s="18" t="s">
        <v>36</v>
      </c>
      <c r="J537" s="19"/>
      <c r="K537" s="19">
        <v>0.1363</v>
      </c>
      <c r="L537" s="19">
        <v>0.160949114</v>
      </c>
      <c r="M537" s="19">
        <v>0.15290000000000001</v>
      </c>
      <c r="N537" s="19">
        <v>6.6699999999999995E-2</v>
      </c>
      <c r="O537" s="19">
        <v>0.2</v>
      </c>
      <c r="P537" s="19">
        <v>0.12239999999999999</v>
      </c>
      <c r="Q537" s="19">
        <v>9.4712061E-2</v>
      </c>
      <c r="R537" s="20">
        <v>24113</v>
      </c>
      <c r="S537" s="21" t="str">
        <f>HYPERLINK("https://webapps.ccac.edu/NetPriceCalc/npcalc.htm", "$19165")</f>
        <v>$19165</v>
      </c>
      <c r="T537" s="20">
        <v>21467</v>
      </c>
      <c r="U537" s="20">
        <v>23753</v>
      </c>
      <c r="V537" s="20">
        <v>6860</v>
      </c>
      <c r="W537" s="20">
        <v>12305.102301790281</v>
      </c>
      <c r="Y537" s="19">
        <v>0.35099999999999998</v>
      </c>
      <c r="Z537" s="19">
        <v>0.39750000000000002</v>
      </c>
      <c r="AB537" s="18">
        <v>14804</v>
      </c>
      <c r="AC537" s="18">
        <v>6</v>
      </c>
    </row>
    <row r="538" spans="1:29" ht="15.75" customHeight="1" x14ac:dyDescent="0.2">
      <c r="A538" s="36" t="str">
        <f>HYPERLINK("https://www.ccaurora.edu", "Community College of Aurora")</f>
        <v>Community College of Aurora</v>
      </c>
      <c r="B538" s="18" t="s">
        <v>49</v>
      </c>
      <c r="C538" s="18" t="s">
        <v>87</v>
      </c>
      <c r="D538" s="18" t="s">
        <v>537</v>
      </c>
      <c r="E538" s="18" t="s">
        <v>36</v>
      </c>
      <c r="F538" s="18" t="s">
        <v>36</v>
      </c>
      <c r="J538" s="19"/>
      <c r="K538" s="19">
        <v>0.28520000000000001</v>
      </c>
      <c r="L538" s="19">
        <v>0.12878787899999999</v>
      </c>
      <c r="M538" s="19">
        <v>0.39679999999999999</v>
      </c>
      <c r="N538" s="19">
        <v>0.125</v>
      </c>
      <c r="O538" s="19">
        <v>0.23530000000000001</v>
      </c>
      <c r="P538" s="19">
        <v>0</v>
      </c>
      <c r="Q538" s="19">
        <v>9.6801706000000001E-2</v>
      </c>
      <c r="R538" s="20">
        <v>31482</v>
      </c>
      <c r="S538" s="21" t="str">
        <f>HYPERLINK("https://www.ccaurora.edu/net-price-calculator/index.htm", "$24205")</f>
        <v>$24205</v>
      </c>
      <c r="T538" s="20">
        <v>26776</v>
      </c>
      <c r="U538" s="20">
        <v>31069</v>
      </c>
      <c r="V538" s="20">
        <v>7254</v>
      </c>
      <c r="W538" s="20">
        <v>16951.464566929131</v>
      </c>
      <c r="Y538" s="19">
        <v>0.28349999999999997</v>
      </c>
      <c r="Z538" s="19">
        <v>0.6774</v>
      </c>
      <c r="AB538" s="18">
        <v>4711</v>
      </c>
      <c r="AC538" s="18">
        <v>6</v>
      </c>
    </row>
    <row r="539" spans="1:29" ht="15.75" customHeight="1" x14ac:dyDescent="0.2">
      <c r="A539" s="36" t="str">
        <f>HYPERLINK("https://www.ccbcmd.edu", "The Community College of Baltimore County")</f>
        <v>The Community College of Baltimore County</v>
      </c>
      <c r="B539" s="18" t="s">
        <v>49</v>
      </c>
      <c r="C539" s="18" t="s">
        <v>124</v>
      </c>
      <c r="D539" s="18" t="s">
        <v>125</v>
      </c>
      <c r="E539" s="18" t="s">
        <v>36</v>
      </c>
      <c r="F539" s="18" t="s">
        <v>36</v>
      </c>
      <c r="J539" s="19"/>
      <c r="K539" s="19">
        <v>0.1162</v>
      </c>
      <c r="L539" s="19">
        <v>0.127610209</v>
      </c>
      <c r="M539" s="19">
        <v>0.1825</v>
      </c>
      <c r="N539" s="19">
        <v>7.0999999999999994E-2</v>
      </c>
      <c r="O539" s="19">
        <v>3.8199999999999998E-2</v>
      </c>
      <c r="P539" s="19">
        <v>0.1203</v>
      </c>
      <c r="Q539" s="19">
        <v>6.7412379000000008E-2</v>
      </c>
      <c r="R539" s="20">
        <v>25341</v>
      </c>
      <c r="S539" s="21" t="str">
        <f>HYPERLINK("https://www.ccbcmd.edu/About-CCBC/Policies-and-Procedures/Consumer-Information.aspx", "$19949")</f>
        <v>$19949</v>
      </c>
      <c r="T539" s="20">
        <v>23061</v>
      </c>
      <c r="U539" s="20">
        <v>24656</v>
      </c>
      <c r="V539" s="20">
        <v>5108</v>
      </c>
      <c r="W539" s="20">
        <v>14841.2755344418</v>
      </c>
      <c r="Y539" s="19">
        <v>0.4163</v>
      </c>
      <c r="Z539" s="19">
        <v>0.60959999999999992</v>
      </c>
      <c r="AB539" s="18">
        <v>17614</v>
      </c>
      <c r="AC539" s="18">
        <v>6</v>
      </c>
    </row>
    <row r="540" spans="1:29" ht="15.75" customHeight="1" x14ac:dyDescent="0.2">
      <c r="A540" s="36" t="str">
        <f>HYPERLINK("https://www.ccbc.edu", "Community College of Beaver County")</f>
        <v>Community College of Beaver County</v>
      </c>
      <c r="B540" s="18" t="s">
        <v>49</v>
      </c>
      <c r="C540" s="18" t="s">
        <v>65</v>
      </c>
      <c r="D540" s="18" t="s">
        <v>1053</v>
      </c>
      <c r="E540" s="18" t="s">
        <v>36</v>
      </c>
      <c r="F540" s="18" t="s">
        <v>36</v>
      </c>
      <c r="J540" s="19"/>
      <c r="K540" s="19">
        <v>0.2492</v>
      </c>
      <c r="L540" s="19">
        <v>0.22986247500000001</v>
      </c>
      <c r="M540" s="19">
        <v>0.25879999999999997</v>
      </c>
      <c r="N540" s="19">
        <v>0.14710000000000001</v>
      </c>
      <c r="O540" s="19">
        <v>0.2</v>
      </c>
      <c r="P540" s="19">
        <v>0</v>
      </c>
      <c r="Q540" s="19">
        <v>8.934338E-2</v>
      </c>
      <c r="R540" s="20">
        <v>27175</v>
      </c>
      <c r="S540" s="21" t="str">
        <f>HYPERLINK("https://www.ccbc.edu/netpricecalculator/npcalc.htm", "$21325")</f>
        <v>$21325</v>
      </c>
      <c r="T540" s="20">
        <v>24133</v>
      </c>
      <c r="U540" s="20">
        <v>26358</v>
      </c>
      <c r="V540" s="20">
        <v>4020</v>
      </c>
      <c r="W540" s="20">
        <v>17305.023255813951</v>
      </c>
      <c r="Y540" s="19">
        <v>0.36309999999999998</v>
      </c>
      <c r="Z540" s="19">
        <v>0.19839999999999999</v>
      </c>
      <c r="AB540" s="18">
        <v>1769</v>
      </c>
      <c r="AC540" s="18">
        <v>6</v>
      </c>
    </row>
    <row r="541" spans="1:29" ht="15.75" customHeight="1" x14ac:dyDescent="0.2">
      <c r="A541" s="36" t="str">
        <f>HYPERLINK("https://www.ccd.edu", "Community College of Denver")</f>
        <v>Community College of Denver</v>
      </c>
      <c r="B541" s="18" t="s">
        <v>49</v>
      </c>
      <c r="C541" s="18" t="s">
        <v>87</v>
      </c>
      <c r="D541" s="18" t="s">
        <v>508</v>
      </c>
      <c r="E541" s="18" t="s">
        <v>36</v>
      </c>
      <c r="F541" s="18" t="s">
        <v>36</v>
      </c>
      <c r="J541" s="19"/>
      <c r="K541" s="19">
        <v>0.1008</v>
      </c>
      <c r="L541" s="19">
        <v>0.10144927500000001</v>
      </c>
      <c r="M541" s="19">
        <v>9.64E-2</v>
      </c>
      <c r="N541" s="19">
        <v>9.35E-2</v>
      </c>
      <c r="O541" s="19">
        <v>0.1139</v>
      </c>
      <c r="P541" s="19">
        <v>0.1111</v>
      </c>
      <c r="Q541" s="19">
        <v>9.1536339000000008E-2</v>
      </c>
      <c r="R541" s="20">
        <v>30936</v>
      </c>
      <c r="S541" s="21" t="str">
        <f>HYPERLINK("https://ccd.edu/cost_calculator/", "$23454")</f>
        <v>$23454</v>
      </c>
      <c r="T541" s="20">
        <v>26469</v>
      </c>
      <c r="U541" s="20">
        <v>29259</v>
      </c>
      <c r="V541" s="20">
        <v>5931</v>
      </c>
      <c r="W541" s="20">
        <v>17523.261904761901</v>
      </c>
      <c r="Y541" s="19">
        <v>0.62629999999999997</v>
      </c>
      <c r="Z541" s="19">
        <v>0.65010000000000001</v>
      </c>
      <c r="AB541" s="18">
        <v>6656</v>
      </c>
      <c r="AC541" s="18">
        <v>6</v>
      </c>
    </row>
    <row r="542" spans="1:29" ht="15.75" customHeight="1" x14ac:dyDescent="0.2">
      <c r="A542" s="36" t="str">
        <f>HYPERLINK("https://www.ccp.edu", "Community College of Philadelphia")</f>
        <v>Community College of Philadelphia</v>
      </c>
      <c r="B542" s="18" t="s">
        <v>49</v>
      </c>
      <c r="C542" s="18" t="s">
        <v>65</v>
      </c>
      <c r="D542" s="18" t="s">
        <v>168</v>
      </c>
      <c r="E542" s="18" t="s">
        <v>36</v>
      </c>
      <c r="F542" s="18" t="s">
        <v>36</v>
      </c>
      <c r="J542" s="19"/>
      <c r="K542" s="19">
        <v>0.13289999999999999</v>
      </c>
      <c r="L542" s="19">
        <v>0.135531136</v>
      </c>
      <c r="M542" s="19">
        <v>0.18590000000000001</v>
      </c>
      <c r="N542" s="19">
        <v>9.9500000000000005E-2</v>
      </c>
      <c r="O542" s="19">
        <v>0.11600000000000001</v>
      </c>
      <c r="P542" s="19">
        <v>0.1575</v>
      </c>
      <c r="Q542" s="19">
        <v>8.9816315999999993E-2</v>
      </c>
      <c r="R542" s="20">
        <v>27306</v>
      </c>
      <c r="S542" s="21" t="str">
        <f>HYPERLINK("https://www.ccp.edu/paying-college/financial-aid/net-price-calculator", "$22099")</f>
        <v>$22099</v>
      </c>
      <c r="T542" s="20">
        <v>25534</v>
      </c>
      <c r="U542" s="20">
        <v>27099</v>
      </c>
      <c r="V542" s="20">
        <v>4385</v>
      </c>
      <c r="W542" s="20">
        <v>17714.137931034478</v>
      </c>
      <c r="Y542" s="19">
        <v>0.60650000000000004</v>
      </c>
      <c r="Z542" s="19">
        <v>0.78410000000000002</v>
      </c>
      <c r="AB542" s="18">
        <v>16012</v>
      </c>
      <c r="AC542" s="18">
        <v>6</v>
      </c>
    </row>
    <row r="543" spans="1:29" ht="15.75" customHeight="1" x14ac:dyDescent="0.2">
      <c r="A543" s="36" t="str">
        <f>HYPERLINK("https://www.ccri.edu", "Community College of Rhode Island")</f>
        <v>Community College of Rhode Island</v>
      </c>
      <c r="B543" s="18" t="s">
        <v>49</v>
      </c>
      <c r="C543" s="18" t="s">
        <v>63</v>
      </c>
      <c r="D543" s="18" t="s">
        <v>1224</v>
      </c>
      <c r="E543" s="18" t="s">
        <v>36</v>
      </c>
      <c r="F543" s="18" t="s">
        <v>36</v>
      </c>
      <c r="J543" s="19"/>
      <c r="K543" s="19">
        <v>0.17899999999999999</v>
      </c>
      <c r="L543" s="19">
        <v>0.15116739200000001</v>
      </c>
      <c r="M543" s="19">
        <v>0.21790000000000001</v>
      </c>
      <c r="N543" s="19">
        <v>0.04</v>
      </c>
      <c r="O543" s="19">
        <v>8.6599999999999996E-2</v>
      </c>
      <c r="P543" s="19">
        <v>0.11899999999999999</v>
      </c>
      <c r="Q543" s="19">
        <v>7.9393172999999997E-2</v>
      </c>
      <c r="R543" s="20">
        <v>27460</v>
      </c>
      <c r="S543" s="21" t="str">
        <f>HYPERLINK("https://webfor.ccri.edu/calc/calc_pell.cfm", "$21757")</f>
        <v>$21757</v>
      </c>
      <c r="T543" s="20">
        <v>23576</v>
      </c>
      <c r="U543" s="20">
        <v>26537</v>
      </c>
      <c r="V543" s="20">
        <v>5828</v>
      </c>
      <c r="W543" s="20">
        <v>15929.10576923077</v>
      </c>
      <c r="Y543" s="19">
        <v>0.54079999999999995</v>
      </c>
      <c r="Z543" s="19">
        <v>0.43399999999999989</v>
      </c>
      <c r="AB543" s="18">
        <v>14013</v>
      </c>
      <c r="AC543" s="18">
        <v>6</v>
      </c>
    </row>
    <row r="544" spans="1:29" ht="15.75" customHeight="1" x14ac:dyDescent="0.2">
      <c r="A544" s="36" t="str">
        <f>HYPERLINK("https://www.ccv.edu", "Community College of Vermont")</f>
        <v>Community College of Vermont</v>
      </c>
      <c r="B544" s="18" t="s">
        <v>49</v>
      </c>
      <c r="C544" s="18" t="s">
        <v>47</v>
      </c>
      <c r="D544" s="18" t="s">
        <v>1225</v>
      </c>
      <c r="E544" s="18" t="s">
        <v>36</v>
      </c>
      <c r="F544" s="18" t="s">
        <v>36</v>
      </c>
      <c r="J544" s="19"/>
      <c r="K544" s="19">
        <v>0.2137</v>
      </c>
      <c r="L544" s="19">
        <v>0.123809524</v>
      </c>
      <c r="M544" s="19">
        <v>0.24210000000000001</v>
      </c>
      <c r="N544" s="19">
        <v>0.16669999999999999</v>
      </c>
      <c r="O544" s="19">
        <v>0</v>
      </c>
      <c r="P544" s="19">
        <v>0</v>
      </c>
      <c r="Q544" s="19">
        <v>0.133799534</v>
      </c>
      <c r="R544" s="20">
        <v>24760</v>
      </c>
      <c r="S544" s="21" t="str">
        <f>HYPERLINK("https://ccv.studentaidcalculator.com/survey.aspx", "$19311")</f>
        <v>$19311</v>
      </c>
      <c r="T544" s="20">
        <v>20303</v>
      </c>
      <c r="U544" s="20">
        <v>23889</v>
      </c>
      <c r="V544" s="20">
        <v>2712</v>
      </c>
      <c r="W544" s="20">
        <v>16599</v>
      </c>
      <c r="Y544" s="19">
        <v>0.30330000000000001</v>
      </c>
      <c r="Z544" s="19">
        <v>0.17710000000000001</v>
      </c>
      <c r="AB544" s="18">
        <v>3874</v>
      </c>
      <c r="AC544" s="18">
        <v>6</v>
      </c>
    </row>
    <row r="545" spans="1:29" ht="15.75" customHeight="1" x14ac:dyDescent="0.2">
      <c r="A545" s="36" t="str">
        <f>HYPERLINK("https://www.compton.edu", "El Camino College-Compton Center")</f>
        <v>El Camino College-Compton Center</v>
      </c>
      <c r="B545" s="18" t="s">
        <v>49</v>
      </c>
      <c r="C545" s="18" t="s">
        <v>68</v>
      </c>
      <c r="D545" s="18" t="s">
        <v>1226</v>
      </c>
      <c r="E545" s="18" t="s">
        <v>36</v>
      </c>
      <c r="F545" s="18" t="s">
        <v>36</v>
      </c>
      <c r="J545" s="19"/>
      <c r="K545" s="19">
        <v>0.18140000000000001</v>
      </c>
      <c r="L545" s="19">
        <v>0.102667745</v>
      </c>
      <c r="M545" s="19">
        <v>0.25</v>
      </c>
      <c r="N545" s="19">
        <v>0.1047</v>
      </c>
      <c r="O545" s="19">
        <v>0.2051</v>
      </c>
      <c r="P545" s="19">
        <v>0.33329999999999999</v>
      </c>
      <c r="Q545" s="19">
        <v>0.103280423</v>
      </c>
      <c r="R545" s="20">
        <v>25266</v>
      </c>
      <c r="S545" s="21" t="str">
        <f>HYPERLINK("https://misweb.cccco.edu/npc/721/npcalc.htm", "$18414")</f>
        <v>$18414</v>
      </c>
      <c r="T545" s="20">
        <v>21971</v>
      </c>
      <c r="U545" s="20" t="s">
        <v>36</v>
      </c>
      <c r="V545" s="20">
        <v>6127</v>
      </c>
      <c r="W545" s="20">
        <v>12287.88432835821</v>
      </c>
      <c r="Y545" s="19">
        <v>0.29349999999999998</v>
      </c>
      <c r="Z545" s="19">
        <v>0.96889999999999998</v>
      </c>
      <c r="AB545" s="18">
        <v>6212</v>
      </c>
      <c r="AC545" s="18">
        <v>6</v>
      </c>
    </row>
    <row r="546" spans="1:29" ht="15.75" customHeight="1" x14ac:dyDescent="0.2">
      <c r="A546" s="36" t="str">
        <f>HYPERLINK("https://www.concord.edu", "Concord University")</f>
        <v>Concord University</v>
      </c>
      <c r="B546" s="18" t="s">
        <v>49</v>
      </c>
      <c r="C546" s="18" t="s">
        <v>574</v>
      </c>
      <c r="D546" s="18" t="s">
        <v>278</v>
      </c>
      <c r="E546" s="18">
        <v>1038</v>
      </c>
      <c r="F546" s="18" t="s">
        <v>35</v>
      </c>
      <c r="J546" s="19"/>
      <c r="K546" s="19">
        <v>0.34599999999999997</v>
      </c>
      <c r="L546" s="19">
        <v>0.32247556999999999</v>
      </c>
      <c r="M546" s="19">
        <v>0.35799999999999998</v>
      </c>
      <c r="N546" s="19">
        <v>0.22919999999999999</v>
      </c>
      <c r="O546" s="19">
        <v>0.16669999999999999</v>
      </c>
      <c r="P546" s="19">
        <v>0.66669999999999996</v>
      </c>
      <c r="Q546" s="19"/>
      <c r="R546" s="20">
        <v>29498</v>
      </c>
      <c r="S546" s="21" t="str">
        <f>HYPERLINK("https://concord.studentaidcalculator.com/survey.aspx", "$20841")</f>
        <v>$20841</v>
      </c>
      <c r="T546" s="20">
        <v>23373</v>
      </c>
      <c r="U546" s="20">
        <v>27552</v>
      </c>
      <c r="V546" s="20">
        <v>4044</v>
      </c>
      <c r="W546" s="20">
        <v>16797.93548387097</v>
      </c>
      <c r="Y546" s="19">
        <v>0.48670000000000002</v>
      </c>
      <c r="Z546" s="19">
        <v>0.17050000000000001</v>
      </c>
      <c r="AB546" s="18">
        <v>1830</v>
      </c>
      <c r="AC546" s="18">
        <v>5</v>
      </c>
    </row>
    <row r="547" spans="1:29" ht="15.75" customHeight="1" x14ac:dyDescent="0.2">
      <c r="A547" s="36" t="str">
        <f>HYPERLINK("https://www.ccal.edu/", "Concordia College Alabama")</f>
        <v>Concordia College Alabama</v>
      </c>
      <c r="B547" s="18" t="s">
        <v>32</v>
      </c>
      <c r="C547" s="18" t="s">
        <v>300</v>
      </c>
      <c r="D547" s="18" t="s">
        <v>1227</v>
      </c>
      <c r="E547" s="18" t="s">
        <v>36</v>
      </c>
      <c r="F547" s="18" t="s">
        <v>36</v>
      </c>
      <c r="J547" s="19"/>
      <c r="K547" s="19">
        <v>0.15129999999999999</v>
      </c>
      <c r="L547" s="19" t="s">
        <v>36</v>
      </c>
      <c r="M547" s="19">
        <v>0</v>
      </c>
      <c r="N547" s="19">
        <v>0.1729</v>
      </c>
      <c r="O547" s="19">
        <v>0</v>
      </c>
      <c r="P547" s="19">
        <v>0</v>
      </c>
      <c r="Q547" s="19">
        <v>0.11418685100000001</v>
      </c>
      <c r="R547" s="20">
        <v>27620</v>
      </c>
      <c r="S547" s="21" t="str">
        <f>HYPERLINK("https://www.ccal.edu/admissions/net-pricing-calculator/", "$22167")</f>
        <v>$22167</v>
      </c>
      <c r="T547" s="20">
        <v>25160</v>
      </c>
      <c r="U547" s="20" t="s">
        <v>36</v>
      </c>
      <c r="V547" s="20">
        <v>11600</v>
      </c>
      <c r="W547" s="20">
        <v>10567</v>
      </c>
      <c r="Y547" s="19">
        <v>0.85589999999999999</v>
      </c>
      <c r="Z547" s="19">
        <v>0.96660000000000001</v>
      </c>
      <c r="AB547" s="18">
        <v>389</v>
      </c>
      <c r="AC547" s="18">
        <v>6</v>
      </c>
    </row>
    <row r="548" spans="1:29" ht="15.75" customHeight="1" x14ac:dyDescent="0.2">
      <c r="A548" s="36" t="str">
        <f>HYPERLINK("https://www.concordiacollege.edu", "Concordia College at Moorhead")</f>
        <v>Concordia College at Moorhead</v>
      </c>
      <c r="B548" s="18" t="s">
        <v>32</v>
      </c>
      <c r="C548" s="18" t="s">
        <v>72</v>
      </c>
      <c r="D548" s="18" t="s">
        <v>679</v>
      </c>
      <c r="E548" s="18">
        <v>1213</v>
      </c>
      <c r="F548" s="18" t="s">
        <v>35</v>
      </c>
      <c r="J548" s="19"/>
      <c r="K548" s="19">
        <v>0.69669999999999999</v>
      </c>
      <c r="L548" s="19">
        <v>0.63013698600000001</v>
      </c>
      <c r="M548" s="19">
        <v>0.69979999999999998</v>
      </c>
      <c r="N548" s="19">
        <v>0.4</v>
      </c>
      <c r="O548" s="19">
        <v>0.7</v>
      </c>
      <c r="P548" s="19">
        <v>0.66669999999999996</v>
      </c>
      <c r="Q548" s="19"/>
      <c r="R548" s="20">
        <v>49488</v>
      </c>
      <c r="S548" s="21" t="str">
        <f>HYPERLINK("https://www.concordiacollege.edu/tuition-aid/net-price-calculator/", "$19338")</f>
        <v>$19338</v>
      </c>
      <c r="T548" s="20">
        <v>21491</v>
      </c>
      <c r="U548" s="20">
        <v>22425</v>
      </c>
      <c r="V548" s="20">
        <v>3070</v>
      </c>
      <c r="W548" s="20">
        <v>16268</v>
      </c>
      <c r="Y548" s="19">
        <v>0.1968</v>
      </c>
      <c r="Z548" s="19">
        <v>0.16819999999999999</v>
      </c>
      <c r="AB548" s="18">
        <v>1980</v>
      </c>
      <c r="AC548" s="18">
        <v>4</v>
      </c>
    </row>
    <row r="549" spans="1:29" ht="15.75" customHeight="1" x14ac:dyDescent="0.2">
      <c r="A549" s="36" t="str">
        <f>HYPERLINK("https://www.concordia-ny.edu", "Concordia College-New York")</f>
        <v>Concordia College-New York</v>
      </c>
      <c r="B549" s="18" t="s">
        <v>32</v>
      </c>
      <c r="C549" s="18" t="s">
        <v>38</v>
      </c>
      <c r="D549" s="18" t="s">
        <v>245</v>
      </c>
      <c r="E549" s="18">
        <v>1041</v>
      </c>
      <c r="F549" s="18" t="s">
        <v>115</v>
      </c>
      <c r="J549" s="19"/>
      <c r="K549" s="19">
        <v>0.45929999999999999</v>
      </c>
      <c r="L549" s="19">
        <v>0.32352941200000002</v>
      </c>
      <c r="M549" s="19">
        <v>0.59570000000000001</v>
      </c>
      <c r="N549" s="19">
        <v>0.56000000000000005</v>
      </c>
      <c r="O549" s="19">
        <v>0.32140000000000002</v>
      </c>
      <c r="P549" s="19">
        <v>0.33329999999999999</v>
      </c>
      <c r="Q549" s="19"/>
      <c r="R549" s="20">
        <v>46260</v>
      </c>
      <c r="S549" s="21" t="str">
        <f>HYPERLINK("https://netprice.concordia-ny.edu/npcalc.htm", "$13332")</f>
        <v>$13332</v>
      </c>
      <c r="T549" s="20">
        <v>17832</v>
      </c>
      <c r="U549" s="20">
        <v>19351</v>
      </c>
      <c r="V549" s="20">
        <v>2784</v>
      </c>
      <c r="W549" s="20">
        <v>10548</v>
      </c>
      <c r="Y549" s="19">
        <v>0.37030000000000002</v>
      </c>
      <c r="Z549" s="19">
        <v>0.57179999999999997</v>
      </c>
      <c r="AB549" s="18">
        <v>1086</v>
      </c>
      <c r="AC549" s="18">
        <v>4</v>
      </c>
    </row>
    <row r="550" spans="1:29" ht="15.75" customHeight="1" x14ac:dyDescent="0.2">
      <c r="A550" s="36" t="str">
        <f>HYPERLINK("https://www.concordia.edu", "Concordia University-Texas")</f>
        <v>Concordia University-Texas</v>
      </c>
      <c r="B550" s="18" t="s">
        <v>32</v>
      </c>
      <c r="C550" s="18" t="s">
        <v>146</v>
      </c>
      <c r="D550" s="18" t="s">
        <v>264</v>
      </c>
      <c r="E550" s="18">
        <v>1063</v>
      </c>
      <c r="F550" s="18" t="s">
        <v>35</v>
      </c>
      <c r="J550" s="19"/>
      <c r="K550" s="19">
        <v>0.34939999999999999</v>
      </c>
      <c r="L550" s="19">
        <v>0.36734693899999998</v>
      </c>
      <c r="M550" s="19">
        <v>0.34229999999999999</v>
      </c>
      <c r="N550" s="19">
        <v>0.2727</v>
      </c>
      <c r="O550" s="19">
        <v>0.3548</v>
      </c>
      <c r="P550" s="19">
        <v>0.4</v>
      </c>
      <c r="Q550" s="19"/>
      <c r="R550" s="20">
        <v>45420</v>
      </c>
      <c r="S550" s="21" t="str">
        <f>HYPERLINK("https://concordia.studentaidcalculator.com/survey.aspx", "$20750")</f>
        <v>$20750</v>
      </c>
      <c r="T550" s="20">
        <v>22278</v>
      </c>
      <c r="U550" s="20">
        <v>24831</v>
      </c>
      <c r="V550" s="20">
        <v>4414</v>
      </c>
      <c r="W550" s="20">
        <v>16336</v>
      </c>
      <c r="Y550" s="19">
        <v>0.44800000000000001</v>
      </c>
      <c r="Z550" s="19">
        <v>0.57600000000000007</v>
      </c>
      <c r="AB550" s="18">
        <v>1703</v>
      </c>
      <c r="AC550" s="18">
        <v>4</v>
      </c>
    </row>
    <row r="551" spans="1:29" ht="15.75" customHeight="1" x14ac:dyDescent="0.2">
      <c r="A551" s="36" t="str">
        <f>HYPERLINK("https://www.cuchicago.edu", "Concordia University-Chicago")</f>
        <v>Concordia University-Chicago</v>
      </c>
      <c r="B551" s="18" t="s">
        <v>32</v>
      </c>
      <c r="C551" s="18" t="s">
        <v>137</v>
      </c>
      <c r="D551" s="18" t="s">
        <v>681</v>
      </c>
      <c r="E551" s="18">
        <v>1100</v>
      </c>
      <c r="F551" s="18" t="s">
        <v>35</v>
      </c>
      <c r="J551" s="19"/>
      <c r="K551" s="19">
        <v>0.47810000000000002</v>
      </c>
      <c r="L551" s="19">
        <v>0.312</v>
      </c>
      <c r="M551" s="19">
        <v>0.58420000000000005</v>
      </c>
      <c r="N551" s="19">
        <v>0.3</v>
      </c>
      <c r="O551" s="19">
        <v>0.38040000000000002</v>
      </c>
      <c r="P551" s="19">
        <v>0.6</v>
      </c>
      <c r="Q551" s="19"/>
      <c r="R551" s="20">
        <v>43636</v>
      </c>
      <c r="S551" s="21" t="str">
        <f>HYPERLINK("https://www.cuchicago.edu/admission-financial-aid/undergraduate/tuition-financial-aid/net-price-calculator", "$14189")</f>
        <v>$14189</v>
      </c>
      <c r="T551" s="20">
        <v>16795</v>
      </c>
      <c r="U551" s="20">
        <v>19514</v>
      </c>
      <c r="V551" s="20">
        <v>2600</v>
      </c>
      <c r="W551" s="20">
        <v>11589</v>
      </c>
      <c r="Y551" s="19">
        <v>0.41439999999999999</v>
      </c>
      <c r="Z551" s="19">
        <v>0.53520000000000001</v>
      </c>
      <c r="AB551" s="18">
        <v>1405</v>
      </c>
      <c r="AC551" s="18">
        <v>4</v>
      </c>
    </row>
    <row r="552" spans="1:29" ht="15.75" customHeight="1" x14ac:dyDescent="0.2">
      <c r="A552" s="36" t="str">
        <f>HYPERLINK("https://www.cui.edu", "Concordia University-Irvine")</f>
        <v>Concordia University-Irvine</v>
      </c>
      <c r="B552" s="18" t="s">
        <v>32</v>
      </c>
      <c r="C552" s="18" t="s">
        <v>68</v>
      </c>
      <c r="D552" s="18" t="s">
        <v>340</v>
      </c>
      <c r="E552" s="18">
        <v>1121</v>
      </c>
      <c r="F552" s="18" t="s">
        <v>35</v>
      </c>
      <c r="J552" s="19"/>
      <c r="K552" s="19">
        <v>0.64629999999999999</v>
      </c>
      <c r="L552" s="19">
        <v>0.48031496099999998</v>
      </c>
      <c r="M552" s="19">
        <v>0.69410000000000005</v>
      </c>
      <c r="N552" s="19">
        <v>0.5</v>
      </c>
      <c r="O552" s="19">
        <v>0.54390000000000005</v>
      </c>
      <c r="P552" s="19">
        <v>0.47060000000000002</v>
      </c>
      <c r="Q552" s="19"/>
      <c r="R552" s="20">
        <v>50180</v>
      </c>
      <c r="S552" s="21" t="str">
        <f>HYPERLINK("https://www.cui.edu/studentlife/financial-aid/undergraduate/index.aspx?id=21911", "$19815")</f>
        <v>$19815</v>
      </c>
      <c r="T552" s="20">
        <v>21139</v>
      </c>
      <c r="U552" s="20">
        <v>24482</v>
      </c>
      <c r="V552" s="20">
        <v>5120</v>
      </c>
      <c r="W552" s="20">
        <v>14695</v>
      </c>
      <c r="Y552" s="19">
        <v>0.27379999999999999</v>
      </c>
      <c r="Z552" s="19">
        <v>0.48599999999999999</v>
      </c>
      <c r="AB552" s="18">
        <v>1821</v>
      </c>
      <c r="AC552" s="18">
        <v>3</v>
      </c>
    </row>
    <row r="553" spans="1:29" ht="15.75" customHeight="1" x14ac:dyDescent="0.2">
      <c r="A553" s="36" t="str">
        <f>HYPERLINK("https://www.cune.edu", "Concordia University-Nebraska")</f>
        <v>Concordia University-Nebraska</v>
      </c>
      <c r="B553" s="18" t="s">
        <v>32</v>
      </c>
      <c r="C553" s="18" t="s">
        <v>341</v>
      </c>
      <c r="D553" s="18" t="s">
        <v>342</v>
      </c>
      <c r="E553" s="18">
        <v>1134</v>
      </c>
      <c r="F553" s="18" t="s">
        <v>35</v>
      </c>
      <c r="J553" s="19"/>
      <c r="K553" s="19">
        <v>0.66239999999999999</v>
      </c>
      <c r="L553" s="19">
        <v>0.43137254899999999</v>
      </c>
      <c r="M553" s="19">
        <v>0.71650000000000003</v>
      </c>
      <c r="N553" s="19">
        <v>0.2727</v>
      </c>
      <c r="O553" s="19">
        <v>0.66669999999999996</v>
      </c>
      <c r="P553" s="19">
        <v>1</v>
      </c>
      <c r="Q553" s="19"/>
      <c r="R553" s="20">
        <v>42520</v>
      </c>
      <c r="S553" s="21" t="str">
        <f>HYPERLINK("https://www.cune.edu/netpricecalculator", "$15597")</f>
        <v>$15597</v>
      </c>
      <c r="T553" s="20">
        <v>19968</v>
      </c>
      <c r="U553" s="20">
        <v>21198</v>
      </c>
      <c r="V553" s="20">
        <v>3420</v>
      </c>
      <c r="W553" s="20">
        <v>12177</v>
      </c>
      <c r="Y553" s="19">
        <v>0.18729999999999999</v>
      </c>
      <c r="Z553" s="19">
        <v>0.22140000000000001</v>
      </c>
      <c r="AB553" s="18">
        <v>1233</v>
      </c>
      <c r="AC553" s="18">
        <v>3</v>
      </c>
    </row>
    <row r="554" spans="1:29" ht="15.75" customHeight="1" x14ac:dyDescent="0.2">
      <c r="A554" s="36" t="str">
        <f>HYPERLINK("https://www.cu-portland.edu", "Concordia University-Portland")</f>
        <v>Concordia University-Portland</v>
      </c>
      <c r="B554" s="18" t="s">
        <v>32</v>
      </c>
      <c r="C554" s="18" t="s">
        <v>143</v>
      </c>
      <c r="D554" s="18" t="s">
        <v>144</v>
      </c>
      <c r="E554" s="18">
        <v>1048</v>
      </c>
      <c r="F554" s="18" t="s">
        <v>35</v>
      </c>
      <c r="J554" s="19"/>
      <c r="K554" s="19">
        <v>0.47620000000000001</v>
      </c>
      <c r="L554" s="19">
        <v>0.44217687100000003</v>
      </c>
      <c r="M554" s="19">
        <v>0.51200000000000001</v>
      </c>
      <c r="N554" s="19">
        <v>0.44440000000000002</v>
      </c>
      <c r="O554" s="19">
        <v>0.36</v>
      </c>
      <c r="P554" s="19">
        <v>0.52380000000000004</v>
      </c>
      <c r="Q554" s="19"/>
      <c r="R554" s="20">
        <v>42750</v>
      </c>
      <c r="S554" s="21" t="str">
        <f>HYPERLINK("https://concordia.simpleapply.com/", "$19722")</f>
        <v>$19722</v>
      </c>
      <c r="T554" s="20">
        <v>22339</v>
      </c>
      <c r="U554" s="20">
        <v>24369</v>
      </c>
      <c r="V554" s="20">
        <v>3700</v>
      </c>
      <c r="W554" s="20">
        <v>16022</v>
      </c>
      <c r="Y554" s="19">
        <v>0.37680000000000002</v>
      </c>
      <c r="Z554" s="19">
        <v>0.37919999999999998</v>
      </c>
      <c r="AB554" s="18">
        <v>1353</v>
      </c>
      <c r="AC554" s="18">
        <v>4</v>
      </c>
    </row>
    <row r="555" spans="1:29" ht="15.75" customHeight="1" x14ac:dyDescent="0.2">
      <c r="A555" s="36" t="str">
        <f>HYPERLINK("https://www.csp.edu", "Concordia University-Saint Paul")</f>
        <v>Concordia University-Saint Paul</v>
      </c>
      <c r="B555" s="18" t="s">
        <v>32</v>
      </c>
      <c r="C555" s="18" t="s">
        <v>72</v>
      </c>
      <c r="D555" s="18" t="s">
        <v>131</v>
      </c>
      <c r="E555" s="18" t="s">
        <v>36</v>
      </c>
      <c r="F555" s="18" t="s">
        <v>90</v>
      </c>
      <c r="J555" s="19"/>
      <c r="K555" s="19">
        <v>0.55330000000000001</v>
      </c>
      <c r="L555" s="19">
        <v>0.40641711200000002</v>
      </c>
      <c r="M555" s="19">
        <v>0.63480000000000003</v>
      </c>
      <c r="N555" s="19">
        <v>0.40479999999999999</v>
      </c>
      <c r="O555" s="19">
        <v>0.25</v>
      </c>
      <c r="P555" s="19">
        <v>0.57889999999999997</v>
      </c>
      <c r="Q555" s="19"/>
      <c r="R555" s="20">
        <v>34500</v>
      </c>
      <c r="S555" s="21" t="str">
        <f>HYPERLINK("https://www.csp.edu/tuition-financial-aid/undergraduate/net-price-calculator/", "$15466")</f>
        <v>$15466</v>
      </c>
      <c r="T555" s="20">
        <v>15984</v>
      </c>
      <c r="U555" s="20">
        <v>18834</v>
      </c>
      <c r="V555" s="20">
        <v>4000</v>
      </c>
      <c r="W555" s="20">
        <v>11466</v>
      </c>
      <c r="Y555" s="19">
        <v>0.3241</v>
      </c>
      <c r="Z555" s="19">
        <v>0.35770000000000002</v>
      </c>
      <c r="AB555" s="18">
        <v>2575</v>
      </c>
      <c r="AC555" s="18">
        <v>4</v>
      </c>
    </row>
    <row r="556" spans="1:29" ht="15.75" customHeight="1" x14ac:dyDescent="0.2">
      <c r="A556" s="36" t="str">
        <f>HYPERLINK("https://www.cuw.edu", "Concordia University-Wisconsin")</f>
        <v>Concordia University-Wisconsin</v>
      </c>
      <c r="B556" s="18" t="s">
        <v>32</v>
      </c>
      <c r="C556" s="18" t="s">
        <v>196</v>
      </c>
      <c r="D556" s="18" t="s">
        <v>683</v>
      </c>
      <c r="E556" s="18">
        <v>1145</v>
      </c>
      <c r="F556" s="18" t="s">
        <v>35</v>
      </c>
      <c r="J556" s="19"/>
      <c r="K556" s="19">
        <v>0.53480000000000005</v>
      </c>
      <c r="L556" s="19">
        <v>0.308788599</v>
      </c>
      <c r="M556" s="19">
        <v>0.55979999999999996</v>
      </c>
      <c r="N556" s="19">
        <v>0.38890000000000002</v>
      </c>
      <c r="O556" s="19">
        <v>0.42859999999999998</v>
      </c>
      <c r="P556" s="19">
        <v>0.5</v>
      </c>
      <c r="Q556" s="19"/>
      <c r="R556" s="20">
        <v>43530</v>
      </c>
      <c r="S556" s="21" t="str">
        <f>HYPERLINK("https://cuw.studentaidcalculator.com/survey.aspx", "$21493")</f>
        <v>$21493</v>
      </c>
      <c r="T556" s="20">
        <v>22277</v>
      </c>
      <c r="U556" s="20">
        <v>26781</v>
      </c>
      <c r="V556" s="20">
        <v>4400</v>
      </c>
      <c r="W556" s="20">
        <v>17093</v>
      </c>
      <c r="Y556" s="19">
        <v>0.28149999999999997</v>
      </c>
      <c r="Z556" s="19">
        <v>0.26490000000000002</v>
      </c>
      <c r="AB556" s="18">
        <v>3533</v>
      </c>
      <c r="AC556" s="18">
        <v>4</v>
      </c>
    </row>
    <row r="557" spans="1:29" ht="15.75" customHeight="1" x14ac:dyDescent="0.2">
      <c r="A557" s="36" t="str">
        <f>HYPERLINK("https://www.conncoll.edu", "Connecticut College")</f>
        <v>Connecticut College</v>
      </c>
      <c r="B557" s="18" t="s">
        <v>32</v>
      </c>
      <c r="C557" s="18" t="s">
        <v>94</v>
      </c>
      <c r="D557" s="18" t="s">
        <v>95</v>
      </c>
      <c r="E557" s="18" t="s">
        <v>36</v>
      </c>
      <c r="F557" s="18" t="s">
        <v>45</v>
      </c>
      <c r="J557" s="19"/>
      <c r="K557" s="19">
        <v>0.84840000000000004</v>
      </c>
      <c r="L557" s="19" t="s">
        <v>36</v>
      </c>
      <c r="M557" s="19">
        <v>0.85329999999999995</v>
      </c>
      <c r="N557" s="19">
        <v>0.76470000000000005</v>
      </c>
      <c r="O557" s="19">
        <v>0.875</v>
      </c>
      <c r="P557" s="19">
        <v>0.84619999999999995</v>
      </c>
      <c r="Q557" s="19"/>
      <c r="R557" s="20">
        <v>69440</v>
      </c>
      <c r="S557" s="21" t="str">
        <f>HYPERLINK("https://conncoll.studentaidcalculator.com/survey.aspx", "$15909")</f>
        <v>$15909</v>
      </c>
      <c r="T557" s="20">
        <v>20969</v>
      </c>
      <c r="U557" s="20">
        <v>27917</v>
      </c>
      <c r="V557" s="20">
        <v>2000</v>
      </c>
      <c r="W557" s="20">
        <v>13909</v>
      </c>
      <c r="X557" s="18" t="s">
        <v>37</v>
      </c>
      <c r="Y557" s="19">
        <v>0.1598</v>
      </c>
      <c r="Z557" s="19">
        <v>0.28649999999999998</v>
      </c>
      <c r="AB557" s="18">
        <v>1766</v>
      </c>
      <c r="AC557" s="18">
        <v>1</v>
      </c>
    </row>
    <row r="558" spans="1:29" ht="15.75" customHeight="1" x14ac:dyDescent="0.2">
      <c r="A558" s="36" t="str">
        <f>HYPERLINK("https://www.connorsstate.edu", "Connors State College")</f>
        <v>Connors State College</v>
      </c>
      <c r="B558" s="18" t="s">
        <v>49</v>
      </c>
      <c r="C558" s="18" t="s">
        <v>290</v>
      </c>
      <c r="D558" s="18" t="s">
        <v>1229</v>
      </c>
      <c r="E558" s="18" t="s">
        <v>36</v>
      </c>
      <c r="F558" s="18" t="s">
        <v>36</v>
      </c>
      <c r="J558" s="19"/>
      <c r="K558" s="19">
        <v>0.2296</v>
      </c>
      <c r="L558" s="19">
        <v>0.15236427299999999</v>
      </c>
      <c r="M558" s="19">
        <v>0.2412</v>
      </c>
      <c r="N558" s="19">
        <v>0.14580000000000001</v>
      </c>
      <c r="O558" s="19">
        <v>7.1400000000000005E-2</v>
      </c>
      <c r="P558" s="19">
        <v>0</v>
      </c>
      <c r="Q558" s="19">
        <v>8.2949308999999999E-2</v>
      </c>
      <c r="R558" s="20">
        <v>21573</v>
      </c>
      <c r="S558" s="21" t="str">
        <f>HYPERLINK("https://www.connorsstate.edu/coa/", "$15193")</f>
        <v>$15193</v>
      </c>
      <c r="T558" s="20">
        <v>19446</v>
      </c>
      <c r="U558" s="20">
        <v>19487</v>
      </c>
      <c r="V558" s="20">
        <v>7040</v>
      </c>
      <c r="W558" s="20">
        <v>8153.3198653198651</v>
      </c>
      <c r="Y558" s="19">
        <v>0.48249999999999998</v>
      </c>
      <c r="Z558" s="19">
        <v>0.52839999999999998</v>
      </c>
      <c r="AB558" s="18">
        <v>1900</v>
      </c>
      <c r="AC558" s="18">
        <v>6</v>
      </c>
    </row>
    <row r="559" spans="1:29" ht="15.75" customHeight="1" x14ac:dyDescent="0.2">
      <c r="A559" s="36" t="str">
        <f>HYPERLINK("https://www.csb.edu", "Consolidated School of Business-York")</f>
        <v>Consolidated School of Business-York</v>
      </c>
      <c r="B559" s="18" t="s">
        <v>368</v>
      </c>
      <c r="C559" s="18" t="s">
        <v>65</v>
      </c>
      <c r="D559" s="18" t="s">
        <v>1064</v>
      </c>
      <c r="E559" s="18" t="s">
        <v>36</v>
      </c>
      <c r="F559" s="18" t="s">
        <v>36</v>
      </c>
      <c r="J559" s="19"/>
      <c r="K559" s="19">
        <v>0.59179999999999999</v>
      </c>
      <c r="L559" s="19" t="s">
        <v>36</v>
      </c>
      <c r="M559" s="19">
        <v>0.8</v>
      </c>
      <c r="N559" s="19">
        <v>0.66669999999999996</v>
      </c>
      <c r="O559" s="19">
        <v>0.35709999999999997</v>
      </c>
      <c r="P559" s="19" t="s">
        <v>36</v>
      </c>
      <c r="Q559" s="19" t="s">
        <v>36</v>
      </c>
      <c r="R559" s="20" t="s">
        <v>36</v>
      </c>
      <c r="S559" s="21" t="str">
        <f>HYPERLINK("https://www.csb.edu", "$10808")</f>
        <v>$10808</v>
      </c>
      <c r="T559" s="20">
        <v>11714</v>
      </c>
      <c r="U559" s="20">
        <v>12897</v>
      </c>
      <c r="V559" s="20" t="s">
        <v>36</v>
      </c>
      <c r="W559" s="20" t="s">
        <v>36</v>
      </c>
      <c r="Y559" s="19">
        <v>0.86209999999999998</v>
      </c>
      <c r="Z559" s="19">
        <v>0.73680000000000001</v>
      </c>
      <c r="AB559" s="18">
        <v>114</v>
      </c>
      <c r="AC559" s="18">
        <v>6</v>
      </c>
    </row>
    <row r="560" spans="1:29" ht="15.75" customHeight="1" x14ac:dyDescent="0.2">
      <c r="A560" s="36" t="str">
        <f>HYPERLINK("https://www.contracosta.edu", "Contra Costa College")</f>
        <v>Contra Costa College</v>
      </c>
      <c r="B560" s="18" t="s">
        <v>49</v>
      </c>
      <c r="C560" s="18" t="s">
        <v>68</v>
      </c>
      <c r="D560" s="18" t="s">
        <v>1231</v>
      </c>
      <c r="E560" s="18" t="s">
        <v>36</v>
      </c>
      <c r="F560" s="18" t="s">
        <v>36</v>
      </c>
      <c r="J560" s="19"/>
      <c r="K560" s="19">
        <v>0.24629999999999999</v>
      </c>
      <c r="L560" s="19" t="s">
        <v>36</v>
      </c>
      <c r="M560" s="19">
        <v>0.23530000000000001</v>
      </c>
      <c r="N560" s="19">
        <v>0.1837</v>
      </c>
      <c r="O560" s="19">
        <v>0.2321</v>
      </c>
      <c r="P560" s="19">
        <v>0.2979</v>
      </c>
      <c r="Q560" s="19">
        <v>7.8391274999999996E-2</v>
      </c>
      <c r="R560" s="20">
        <v>27812</v>
      </c>
      <c r="S560" s="21" t="str">
        <f>HYPERLINK("https://misweb.cccco.edu/npc/311/npcalc.htm", "$20903")</f>
        <v>$20903</v>
      </c>
      <c r="T560" s="20">
        <v>23340</v>
      </c>
      <c r="U560" s="20">
        <v>25671</v>
      </c>
      <c r="V560" s="20">
        <v>6094</v>
      </c>
      <c r="W560" s="20">
        <v>14809.675324675331</v>
      </c>
      <c r="Y560" s="19">
        <v>0.26269999999999999</v>
      </c>
      <c r="Z560" s="19">
        <v>0.88480000000000003</v>
      </c>
      <c r="AB560" s="18">
        <v>5372</v>
      </c>
      <c r="AC560" s="18">
        <v>6</v>
      </c>
    </row>
    <row r="561" spans="1:29" ht="15.75" customHeight="1" x14ac:dyDescent="0.2">
      <c r="A561" s="36" t="str">
        <f>HYPERLINK("https://www.converse.edu/", "Converse College")</f>
        <v>Converse College</v>
      </c>
      <c r="B561" s="18" t="s">
        <v>32</v>
      </c>
      <c r="C561" s="18" t="s">
        <v>208</v>
      </c>
      <c r="D561" s="18" t="s">
        <v>542</v>
      </c>
      <c r="E561" s="18">
        <v>1112</v>
      </c>
      <c r="F561" s="18" t="s">
        <v>35</v>
      </c>
      <c r="J561" s="19"/>
      <c r="K561" s="19">
        <v>0.7208</v>
      </c>
      <c r="L561" s="19">
        <v>0.47727272700000001</v>
      </c>
      <c r="M561" s="19">
        <v>0.87339999999999995</v>
      </c>
      <c r="N561" s="19">
        <v>0.625</v>
      </c>
      <c r="O561" s="19">
        <v>0.66669999999999996</v>
      </c>
      <c r="P561" s="19">
        <v>0.5</v>
      </c>
      <c r="Q561" s="19"/>
      <c r="R561" s="20">
        <v>34190</v>
      </c>
      <c r="S561" s="21" t="str">
        <f>HYPERLINK("https://www.converse.edu/admissions/financial-aid-and-tuition/undergraduate-freshmen-and-transfer-students/net-cost-calculator-for-freshman/", "$20313")</f>
        <v>$20313</v>
      </c>
      <c r="T561" s="20">
        <v>21061</v>
      </c>
      <c r="U561" s="20">
        <v>20726</v>
      </c>
      <c r="V561" s="20">
        <v>5900</v>
      </c>
      <c r="W561" s="20">
        <v>14413</v>
      </c>
      <c r="Y561" s="19">
        <v>0.4506</v>
      </c>
      <c r="Z561" s="19">
        <v>0.33950000000000002</v>
      </c>
      <c r="AB561" s="18">
        <v>916</v>
      </c>
      <c r="AC561" s="18">
        <v>4</v>
      </c>
    </row>
    <row r="562" spans="1:29" ht="15.75" customHeight="1" x14ac:dyDescent="0.2">
      <c r="A562" s="36" t="str">
        <f>HYPERLINK("https://www.cooper.edu", "Cooper Union for the Advancement of Science and Art")</f>
        <v>Cooper Union for the Advancement of Science and Art</v>
      </c>
      <c r="B562" s="18" t="s">
        <v>32</v>
      </c>
      <c r="C562" s="18" t="s">
        <v>38</v>
      </c>
      <c r="D562" s="18" t="s">
        <v>39</v>
      </c>
      <c r="E562" s="18">
        <v>1424</v>
      </c>
      <c r="F562" s="18" t="s">
        <v>35</v>
      </c>
      <c r="J562" s="19"/>
      <c r="K562" s="19">
        <v>0.84619999999999995</v>
      </c>
      <c r="L562" s="19" t="s">
        <v>36</v>
      </c>
      <c r="M562" s="19">
        <v>0.87880000000000003</v>
      </c>
      <c r="N562" s="19">
        <v>0.73680000000000001</v>
      </c>
      <c r="O562" s="19">
        <v>0.83330000000000004</v>
      </c>
      <c r="P562" s="19">
        <v>0.86839999999999995</v>
      </c>
      <c r="Q562" s="19"/>
      <c r="R562" s="20">
        <v>65045</v>
      </c>
      <c r="S562" s="21" t="str">
        <f>HYPERLINK("https://npc.collegeboard.org/student/app/cooper", "$8577")</f>
        <v>$8577</v>
      </c>
      <c r="T562" s="20">
        <v>9948</v>
      </c>
      <c r="U562" s="20">
        <v>16363</v>
      </c>
      <c r="V562" s="20">
        <v>3675</v>
      </c>
      <c r="W562" s="20">
        <v>4902</v>
      </c>
      <c r="X562" s="18" t="s">
        <v>37</v>
      </c>
      <c r="Y562" s="19">
        <v>0.23730000000000001</v>
      </c>
      <c r="Z562" s="19">
        <v>0.69199999999999995</v>
      </c>
      <c r="AB562" s="18">
        <v>854</v>
      </c>
      <c r="AC562" s="18">
        <v>1</v>
      </c>
    </row>
    <row r="563" spans="1:29" ht="15.75" customHeight="1" x14ac:dyDescent="0.2">
      <c r="A563" s="36" t="str">
        <f>HYPERLINK("https://www.colin.edu", "Copiah-Lincoln Community College")</f>
        <v>Copiah-Lincoln Community College</v>
      </c>
      <c r="B563" s="18" t="s">
        <v>49</v>
      </c>
      <c r="C563" s="18" t="s">
        <v>59</v>
      </c>
      <c r="D563" s="18" t="s">
        <v>1232</v>
      </c>
      <c r="E563" s="18" t="s">
        <v>36</v>
      </c>
      <c r="F563" s="18" t="s">
        <v>36</v>
      </c>
      <c r="J563" s="19"/>
      <c r="K563" s="19">
        <v>0.45479999999999998</v>
      </c>
      <c r="L563" s="19">
        <v>0.248689139</v>
      </c>
      <c r="M563" s="19">
        <v>0.49070000000000003</v>
      </c>
      <c r="N563" s="19">
        <v>0.4294</v>
      </c>
      <c r="O563" s="19">
        <v>0.30769999999999997</v>
      </c>
      <c r="P563" s="19">
        <v>0.5</v>
      </c>
      <c r="Q563" s="19">
        <v>6.2093435999999988E-2</v>
      </c>
      <c r="R563" s="20">
        <v>13230</v>
      </c>
      <c r="S563" s="21" t="str">
        <f>HYPERLINK("https://www.colin.edu/financial-aid/net-price-calculator", "$6881")</f>
        <v>$6881</v>
      </c>
      <c r="T563" s="20">
        <v>9549</v>
      </c>
      <c r="U563" s="20">
        <v>11150</v>
      </c>
      <c r="V563" s="20">
        <v>4000</v>
      </c>
      <c r="W563" s="20">
        <v>2881.930051813471</v>
      </c>
      <c r="Y563" s="19">
        <v>0.50370000000000004</v>
      </c>
      <c r="Z563" s="19">
        <v>0.4637</v>
      </c>
      <c r="AB563" s="18">
        <v>2385</v>
      </c>
      <c r="AC563" s="18">
        <v>6</v>
      </c>
    </row>
    <row r="564" spans="1:29" ht="15.75" customHeight="1" x14ac:dyDescent="0.2">
      <c r="A564" s="36" t="str">
        <f>HYPERLINK("https://www.cmccd.edu", "Copper Mountain Community College")</f>
        <v>Copper Mountain Community College</v>
      </c>
      <c r="B564" s="18" t="s">
        <v>49</v>
      </c>
      <c r="C564" s="18" t="s">
        <v>68</v>
      </c>
      <c r="D564" s="18" t="s">
        <v>1233</v>
      </c>
      <c r="E564" s="18" t="s">
        <v>36</v>
      </c>
      <c r="F564" s="18" t="s">
        <v>36</v>
      </c>
      <c r="J564" s="19"/>
      <c r="K564" s="19">
        <v>0.1812</v>
      </c>
      <c r="L564" s="19" t="s">
        <v>36</v>
      </c>
      <c r="M564" s="19">
        <v>0.22620000000000001</v>
      </c>
      <c r="N564" s="19">
        <v>0.28570000000000001</v>
      </c>
      <c r="O564" s="19">
        <v>0.1026</v>
      </c>
      <c r="P564" s="19">
        <v>0</v>
      </c>
      <c r="Q564" s="19">
        <v>6.5449011000000001E-2</v>
      </c>
      <c r="R564" s="20">
        <v>28058</v>
      </c>
      <c r="S564" s="21" t="str">
        <f>HYPERLINK("https://misweb.cccco.edu/npc/971/npcalc.htm", "$21552")</f>
        <v>$21552</v>
      </c>
      <c r="T564" s="20">
        <v>23512</v>
      </c>
      <c r="U564" s="20" t="s">
        <v>36</v>
      </c>
      <c r="V564" s="20">
        <v>6093</v>
      </c>
      <c r="W564" s="20">
        <v>15459.205128205131</v>
      </c>
      <c r="Y564" s="19">
        <v>0.53990000000000005</v>
      </c>
      <c r="Z564" s="19">
        <v>0.52710000000000001</v>
      </c>
      <c r="AB564" s="18">
        <v>1622</v>
      </c>
      <c r="AC564" s="18">
        <v>6</v>
      </c>
    </row>
    <row r="565" spans="1:29" ht="15.75" customHeight="1" x14ac:dyDescent="0.2">
      <c r="A565" s="36" t="str">
        <f>HYPERLINK("https://www.coppin.edu", "Coppin State University")</f>
        <v>Coppin State University</v>
      </c>
      <c r="B565" s="18" t="s">
        <v>49</v>
      </c>
      <c r="C565" s="18" t="s">
        <v>124</v>
      </c>
      <c r="D565" s="18" t="s">
        <v>125</v>
      </c>
      <c r="E565" s="18">
        <v>930</v>
      </c>
      <c r="F565" s="18" t="s">
        <v>35</v>
      </c>
      <c r="J565" s="19"/>
      <c r="K565" s="19">
        <v>0.24479999999999999</v>
      </c>
      <c r="L565" s="19">
        <v>0.29963235300000002</v>
      </c>
      <c r="M565" s="19">
        <v>0.45450000000000002</v>
      </c>
      <c r="N565" s="19">
        <v>0.2331</v>
      </c>
      <c r="O565" s="19">
        <v>0.5</v>
      </c>
      <c r="P565" s="19">
        <v>0</v>
      </c>
      <c r="Q565" s="19"/>
      <c r="R565" s="20">
        <v>27560</v>
      </c>
      <c r="S565" s="21" t="str">
        <f>HYPERLINK("https://www.coppin.edu/financialaid/calculator", "$20387")</f>
        <v>$20387</v>
      </c>
      <c r="T565" s="20" t="s">
        <v>36</v>
      </c>
      <c r="U565" s="20" t="s">
        <v>36</v>
      </c>
      <c r="V565" s="20">
        <v>4186</v>
      </c>
      <c r="W565" s="20">
        <v>16201.64919354839</v>
      </c>
      <c r="Y565" s="19">
        <v>0.56720000000000004</v>
      </c>
      <c r="Z565" s="19">
        <v>0.98409999999999997</v>
      </c>
      <c r="AB565" s="18">
        <v>2459</v>
      </c>
      <c r="AC565" s="18">
        <v>4</v>
      </c>
    </row>
    <row r="566" spans="1:29" ht="15.75" customHeight="1" x14ac:dyDescent="0.2">
      <c r="A566" s="36" t="str">
        <f>HYPERLINK("https://www.corban.edu", "Corban University")</f>
        <v>Corban University</v>
      </c>
      <c r="B566" s="18" t="s">
        <v>32</v>
      </c>
      <c r="C566" s="18" t="s">
        <v>143</v>
      </c>
      <c r="D566" s="18" t="s">
        <v>343</v>
      </c>
      <c r="E566" s="18">
        <v>1145</v>
      </c>
      <c r="F566" s="18" t="s">
        <v>35</v>
      </c>
      <c r="J566" s="19"/>
      <c r="K566" s="19">
        <v>0.49819999999999998</v>
      </c>
      <c r="L566" s="19">
        <v>0.56097560999999996</v>
      </c>
      <c r="M566" s="19">
        <v>0.53700000000000003</v>
      </c>
      <c r="N566" s="19">
        <v>0.4</v>
      </c>
      <c r="O566" s="19">
        <v>0.36359999999999998</v>
      </c>
      <c r="P566" s="19">
        <v>0.375</v>
      </c>
      <c r="Q566" s="19"/>
      <c r="R566" s="20">
        <v>44650</v>
      </c>
      <c r="S566" s="21" t="str">
        <f>HYPERLINK("https://npc.collegeboard.org/student/app/corban", "$20738")</f>
        <v>$20738</v>
      </c>
      <c r="T566" s="20">
        <v>22607</v>
      </c>
      <c r="U566" s="20">
        <v>25865</v>
      </c>
      <c r="V566" s="20">
        <v>2950</v>
      </c>
      <c r="W566" s="20">
        <v>17788</v>
      </c>
      <c r="Y566" s="19">
        <v>0.31509999999999999</v>
      </c>
      <c r="Z566" s="19">
        <v>0.24709999999999999</v>
      </c>
      <c r="AB566" s="18">
        <v>963</v>
      </c>
      <c r="AC566" s="18">
        <v>3</v>
      </c>
    </row>
    <row r="567" spans="1:29" ht="15.75" customHeight="1" x14ac:dyDescent="0.2">
      <c r="A567" s="36" t="str">
        <f>HYPERLINK("https://www.cornellcollege.edu", "Cornell College")</f>
        <v>Cornell College</v>
      </c>
      <c r="B567" s="18" t="s">
        <v>32</v>
      </c>
      <c r="C567" s="18" t="s">
        <v>211</v>
      </c>
      <c r="D567" s="18" t="s">
        <v>212</v>
      </c>
      <c r="E567" s="18">
        <v>1245</v>
      </c>
      <c r="F567" s="18" t="s">
        <v>115</v>
      </c>
      <c r="J567" s="19"/>
      <c r="K567" s="19">
        <v>0.71009999999999995</v>
      </c>
      <c r="L567" s="19">
        <v>0.571428571</v>
      </c>
      <c r="M567" s="19">
        <v>0.70179999999999998</v>
      </c>
      <c r="N567" s="19">
        <v>0.72729999999999995</v>
      </c>
      <c r="O567" s="19">
        <v>0.72409999999999997</v>
      </c>
      <c r="P567" s="19">
        <v>0.6</v>
      </c>
      <c r="Q567" s="19"/>
      <c r="R567" s="20">
        <v>55954</v>
      </c>
      <c r="S567" s="21" t="str">
        <f>HYPERLINK("https://www.cornellcollege.edu/financial-assistance/net-price-calculator/index.shtml", "$18857")</f>
        <v>$18857</v>
      </c>
      <c r="T567" s="20">
        <v>23431</v>
      </c>
      <c r="U567" s="20">
        <v>25853</v>
      </c>
      <c r="V567" s="20">
        <v>5964</v>
      </c>
      <c r="W567" s="20">
        <v>12893</v>
      </c>
      <c r="Y567" s="19">
        <v>0.2853</v>
      </c>
      <c r="Z567" s="19">
        <v>0.29680000000000001</v>
      </c>
      <c r="AB567" s="18">
        <v>1004</v>
      </c>
      <c r="AC567" s="18">
        <v>2</v>
      </c>
    </row>
    <row r="568" spans="1:29" ht="15.75" customHeight="1" x14ac:dyDescent="0.2">
      <c r="A568" s="36" t="str">
        <f>HYPERLINK("https://www.cornell.edu", "Cornell University")</f>
        <v>Cornell University</v>
      </c>
      <c r="B568" s="18" t="s">
        <v>32</v>
      </c>
      <c r="C568" s="18" t="s">
        <v>38</v>
      </c>
      <c r="D568" s="18" t="s">
        <v>97</v>
      </c>
      <c r="E568" s="18">
        <v>1477</v>
      </c>
      <c r="F568" s="18" t="s">
        <v>35</v>
      </c>
      <c r="G568" s="18" t="s">
        <v>40</v>
      </c>
      <c r="H568" s="18" t="s">
        <v>98</v>
      </c>
      <c r="I568" s="18" t="s">
        <v>99</v>
      </c>
      <c r="J568" s="19"/>
      <c r="K568" s="19">
        <v>0.93389999999999995</v>
      </c>
      <c r="L568" s="19">
        <v>0.90322580699999999</v>
      </c>
      <c r="M568" s="19">
        <v>0.93900000000000006</v>
      </c>
      <c r="N568" s="19">
        <v>0.90380000000000005</v>
      </c>
      <c r="O568" s="19">
        <v>0.93140000000000001</v>
      </c>
      <c r="P568" s="19">
        <v>0.95489999999999997</v>
      </c>
      <c r="Q568" s="19"/>
      <c r="R568" s="20">
        <v>70321</v>
      </c>
      <c r="S568" s="21" t="str">
        <f>HYPERLINK("https://npc.collegeboard.org/app/cornell", "$11931")</f>
        <v>$11931</v>
      </c>
      <c r="T568" s="20">
        <v>15413</v>
      </c>
      <c r="U568" s="20">
        <v>25404</v>
      </c>
      <c r="V568" s="20">
        <v>3138</v>
      </c>
      <c r="W568" s="20">
        <v>8793</v>
      </c>
      <c r="X568" s="18" t="s">
        <v>37</v>
      </c>
      <c r="Y568" s="19">
        <v>0.1552</v>
      </c>
      <c r="Z568" s="19">
        <v>0.61529999999999996</v>
      </c>
      <c r="AA568" s="18" t="s">
        <v>37</v>
      </c>
      <c r="AB568" s="18">
        <v>14815</v>
      </c>
      <c r="AC568" s="18">
        <v>1</v>
      </c>
    </row>
    <row r="569" spans="1:29" ht="15.75" customHeight="1" x14ac:dyDescent="0.2">
      <c r="A569" s="36" t="str">
        <f>HYPERLINK("https://www.cornerstone.edu", "Cornerstone University")</f>
        <v>Cornerstone University</v>
      </c>
      <c r="B569" s="18" t="s">
        <v>32</v>
      </c>
      <c r="C569" s="18" t="s">
        <v>226</v>
      </c>
      <c r="D569" s="18" t="s">
        <v>321</v>
      </c>
      <c r="E569" s="18">
        <v>1069</v>
      </c>
      <c r="F569" s="18" t="s">
        <v>35</v>
      </c>
      <c r="J569" s="19"/>
      <c r="K569" s="19">
        <v>0.5262</v>
      </c>
      <c r="L569" s="19">
        <v>0.311926606</v>
      </c>
      <c r="M569" s="19">
        <v>0.55179999999999996</v>
      </c>
      <c r="N569" s="19">
        <v>0.16669999999999999</v>
      </c>
      <c r="O569" s="19">
        <v>0.33329999999999999</v>
      </c>
      <c r="P569" s="19">
        <v>0</v>
      </c>
      <c r="Q569" s="19"/>
      <c r="R569" s="20">
        <v>40542</v>
      </c>
      <c r="S569" s="21" t="str">
        <f>HYPERLINK("https://www.cornerstone.edu/tuition-calculator", "$16888")</f>
        <v>$16888</v>
      </c>
      <c r="T569" s="20">
        <v>17847</v>
      </c>
      <c r="U569" s="20">
        <v>20782</v>
      </c>
      <c r="V569" s="20">
        <v>3992</v>
      </c>
      <c r="W569" s="20">
        <v>12896</v>
      </c>
      <c r="Y569" s="19">
        <v>0.37230000000000002</v>
      </c>
      <c r="Z569" s="19">
        <v>0.23499999999999999</v>
      </c>
      <c r="AB569" s="18">
        <v>1681</v>
      </c>
      <c r="AC569" s="18">
        <v>4</v>
      </c>
    </row>
    <row r="570" spans="1:29" ht="15.75" customHeight="1" x14ac:dyDescent="0.2">
      <c r="A570" s="36" t="str">
        <f>HYPERLINK("https://www.corning-cc.edu/", "SUNY Corning Community College")</f>
        <v>SUNY Corning Community College</v>
      </c>
      <c r="B570" s="18" t="s">
        <v>49</v>
      </c>
      <c r="C570" s="18" t="s">
        <v>38</v>
      </c>
      <c r="D570" s="18" t="s">
        <v>1235</v>
      </c>
      <c r="E570" s="18" t="s">
        <v>36</v>
      </c>
      <c r="F570" s="18" t="s">
        <v>36</v>
      </c>
      <c r="J570" s="19"/>
      <c r="K570" s="19">
        <v>0.35199999999999998</v>
      </c>
      <c r="L570" s="19">
        <v>0.211401425</v>
      </c>
      <c r="M570" s="19">
        <v>0.36859999999999998</v>
      </c>
      <c r="N570" s="19">
        <v>0.28570000000000001</v>
      </c>
      <c r="O570" s="19">
        <v>0.18179999999999999</v>
      </c>
      <c r="P570" s="19">
        <v>0.83330000000000004</v>
      </c>
      <c r="Q570" s="19">
        <v>4.8131729000000012E-2</v>
      </c>
      <c r="R570" s="20">
        <v>17260</v>
      </c>
      <c r="S570" s="21" t="str">
        <f>HYPERLINK("https://www.corning-cc.edu/suny-net-price-calculator", "$3957")</f>
        <v>$3957</v>
      </c>
      <c r="T570" s="20">
        <v>8889</v>
      </c>
      <c r="U570" s="20">
        <v>10988</v>
      </c>
      <c r="V570" s="20">
        <v>2800</v>
      </c>
      <c r="W570" s="20">
        <v>1157</v>
      </c>
      <c r="Y570" s="19">
        <v>0.33139999999999997</v>
      </c>
      <c r="Z570" s="19">
        <v>0.1804</v>
      </c>
      <c r="AB570" s="18">
        <v>2367</v>
      </c>
      <c r="AC570" s="18">
        <v>6</v>
      </c>
    </row>
    <row r="571" spans="1:29" ht="15.75" customHeight="1" x14ac:dyDescent="0.2">
      <c r="A571" s="36" t="str">
        <f>HYPERLINK("https://www.crc.losrios.edu/", "Cosumnes River College")</f>
        <v>Cosumnes River College</v>
      </c>
      <c r="B571" s="18" t="s">
        <v>49</v>
      </c>
      <c r="C571" s="18" t="s">
        <v>68</v>
      </c>
      <c r="D571" s="18" t="s">
        <v>609</v>
      </c>
      <c r="E571" s="18" t="s">
        <v>36</v>
      </c>
      <c r="F571" s="18" t="s">
        <v>36</v>
      </c>
      <c r="J571" s="19"/>
      <c r="K571" s="19">
        <v>0.2394</v>
      </c>
      <c r="L571" s="19">
        <v>5.9846547E-2</v>
      </c>
      <c r="M571" s="19">
        <v>0.2989</v>
      </c>
      <c r="N571" s="19">
        <v>0.1648</v>
      </c>
      <c r="O571" s="19">
        <v>0.15959999999999999</v>
      </c>
      <c r="P571" s="19">
        <v>0.30940000000000001</v>
      </c>
      <c r="Q571" s="19">
        <v>0.120905783</v>
      </c>
      <c r="R571" s="20">
        <v>27594</v>
      </c>
      <c r="S571" s="21" t="str">
        <f>HYPERLINK("https://www.crc.losrios.edu/students/netpricecalc", "$20711")</f>
        <v>$20711</v>
      </c>
      <c r="T571" s="20">
        <v>23188</v>
      </c>
      <c r="U571" s="20" t="s">
        <v>36</v>
      </c>
      <c r="V571" s="20">
        <v>6093</v>
      </c>
      <c r="W571" s="20">
        <v>14618.223021582729</v>
      </c>
      <c r="Y571" s="19">
        <v>0.24909999999999999</v>
      </c>
      <c r="Z571" s="19">
        <v>0.76859999999999995</v>
      </c>
      <c r="AB571" s="18">
        <v>13027</v>
      </c>
      <c r="AC571" s="18">
        <v>6</v>
      </c>
    </row>
    <row r="572" spans="1:29" ht="15.75" customHeight="1" x14ac:dyDescent="0.2">
      <c r="A572" s="36" t="str">
        <f>HYPERLINK("https://www.cottey.edu", "Cottey College")</f>
        <v>Cottey College</v>
      </c>
      <c r="B572" s="18" t="s">
        <v>32</v>
      </c>
      <c r="C572" s="18" t="s">
        <v>164</v>
      </c>
      <c r="D572" s="18" t="s">
        <v>1238</v>
      </c>
      <c r="E572" s="18">
        <v>1053</v>
      </c>
      <c r="F572" s="18" t="s">
        <v>35</v>
      </c>
      <c r="J572" s="19"/>
      <c r="K572" s="19">
        <v>0.67859999999999998</v>
      </c>
      <c r="L572" s="19" t="s">
        <v>36</v>
      </c>
      <c r="M572" s="19">
        <v>0.70909999999999995</v>
      </c>
      <c r="N572" s="19">
        <v>0.25</v>
      </c>
      <c r="O572" s="19">
        <v>0.35289999999999999</v>
      </c>
      <c r="P572" s="19">
        <v>0.88890000000000002</v>
      </c>
      <c r="Q572" s="19">
        <v>0.16666666699999999</v>
      </c>
      <c r="R572" s="20">
        <v>31140</v>
      </c>
      <c r="S572" s="21" t="str">
        <f>HYPERLINK("https://npc.collegeboard.org/student/app/cottey", "$14970")</f>
        <v>$14970</v>
      </c>
      <c r="T572" s="20">
        <v>16896</v>
      </c>
      <c r="U572" s="20">
        <v>19818</v>
      </c>
      <c r="V572" s="20">
        <v>3540</v>
      </c>
      <c r="W572" s="20">
        <v>11430</v>
      </c>
      <c r="Y572" s="19">
        <v>0.41670000000000001</v>
      </c>
      <c r="Z572" s="19">
        <v>0.35089999999999999</v>
      </c>
      <c r="AB572" s="18">
        <v>265</v>
      </c>
      <c r="AC572" s="18">
        <v>6</v>
      </c>
    </row>
    <row r="573" spans="1:29" ht="15.75" customHeight="1" x14ac:dyDescent="0.2">
      <c r="A573" s="36" t="str">
        <f>HYPERLINK("https://WWW.CCM.EDU", "County College of Morris")</f>
        <v>County College of Morris</v>
      </c>
      <c r="B573" s="18" t="s">
        <v>49</v>
      </c>
      <c r="C573" s="18" t="s">
        <v>141</v>
      </c>
      <c r="D573" s="18" t="s">
        <v>1240</v>
      </c>
      <c r="E573" s="18" t="s">
        <v>36</v>
      </c>
      <c r="F573" s="18" t="s">
        <v>36</v>
      </c>
      <c r="J573" s="19"/>
      <c r="K573" s="19">
        <v>0.30690000000000001</v>
      </c>
      <c r="L573" s="19">
        <v>0.22442748100000001</v>
      </c>
      <c r="M573" s="19">
        <v>0.32829999999999998</v>
      </c>
      <c r="N573" s="19">
        <v>0.16669999999999999</v>
      </c>
      <c r="O573" s="19">
        <v>0.24</v>
      </c>
      <c r="P573" s="19">
        <v>0.21540000000000001</v>
      </c>
      <c r="Q573" s="19">
        <v>0.13808900499999999</v>
      </c>
      <c r="R573" s="20">
        <v>28760</v>
      </c>
      <c r="S573" s="21" t="str">
        <f>HYPERLINK("https://www.ccm.edu/wp-content/uploads/FinancialAid/npcalc.htm", "$22482")</f>
        <v>$22482</v>
      </c>
      <c r="T573" s="20">
        <v>25919</v>
      </c>
      <c r="U573" s="20">
        <v>28304</v>
      </c>
      <c r="V573" s="20">
        <v>6170</v>
      </c>
      <c r="W573" s="20">
        <v>16312.4406779661</v>
      </c>
      <c r="Y573" s="19">
        <v>0.22539999999999999</v>
      </c>
      <c r="Z573" s="19">
        <v>0.43240000000000001</v>
      </c>
      <c r="AB573" s="18">
        <v>7017</v>
      </c>
      <c r="AC573" s="18">
        <v>6</v>
      </c>
    </row>
    <row r="574" spans="1:29" ht="15.75" customHeight="1" x14ac:dyDescent="0.2">
      <c r="A574" s="36" t="str">
        <f>HYPERLINK("https://www.covenant.edu", "Covenant College")</f>
        <v>Covenant College</v>
      </c>
      <c r="B574" s="18" t="s">
        <v>32</v>
      </c>
      <c r="C574" s="18" t="s">
        <v>107</v>
      </c>
      <c r="D574" s="18" t="s">
        <v>344</v>
      </c>
      <c r="E574" s="18">
        <v>1269</v>
      </c>
      <c r="F574" s="18" t="s">
        <v>35</v>
      </c>
      <c r="J574" s="19"/>
      <c r="K574" s="19">
        <v>0.69469999999999998</v>
      </c>
      <c r="L574" s="19">
        <v>0.35365853700000011</v>
      </c>
      <c r="M574" s="19">
        <v>0.70200000000000007</v>
      </c>
      <c r="N574" s="19">
        <v>0.66669999999999996</v>
      </c>
      <c r="O574" s="19">
        <v>0.83330000000000004</v>
      </c>
      <c r="P574" s="19">
        <v>0.5</v>
      </c>
      <c r="Q574" s="19"/>
      <c r="R574" s="20">
        <v>45920</v>
      </c>
      <c r="S574" s="21" t="str">
        <f>HYPERLINK("https://portal.covenant.edu/forms/index/Net_Price_Calculator", "$17249")</f>
        <v>$17249</v>
      </c>
      <c r="T574" s="20">
        <v>20040</v>
      </c>
      <c r="U574" s="20">
        <v>21912</v>
      </c>
      <c r="V574" s="20">
        <v>2840</v>
      </c>
      <c r="W574" s="20">
        <v>14409</v>
      </c>
      <c r="Y574" s="19">
        <v>0.23880000000000001</v>
      </c>
      <c r="Z574" s="19">
        <v>0.1389</v>
      </c>
      <c r="AB574" s="18">
        <v>986</v>
      </c>
      <c r="AC574" s="18">
        <v>3</v>
      </c>
    </row>
    <row r="575" spans="1:29" ht="15.75" customHeight="1" x14ac:dyDescent="0.2">
      <c r="A575" s="36" t="str">
        <f>HYPERLINK("https://www.cowley.edu", "Cowley County Community College")</f>
        <v>Cowley County Community College</v>
      </c>
      <c r="B575" s="18" t="s">
        <v>49</v>
      </c>
      <c r="C575" s="18" t="s">
        <v>307</v>
      </c>
      <c r="D575" s="18" t="s">
        <v>1242</v>
      </c>
      <c r="E575" s="18" t="s">
        <v>36</v>
      </c>
      <c r="F575" s="18" t="s">
        <v>36</v>
      </c>
      <c r="J575" s="19"/>
      <c r="K575" s="19">
        <v>0.36580000000000001</v>
      </c>
      <c r="L575" s="19">
        <v>0.14763552499999999</v>
      </c>
      <c r="M575" s="19">
        <v>0.3231</v>
      </c>
      <c r="N575" s="19">
        <v>0.52939999999999998</v>
      </c>
      <c r="O575" s="19">
        <v>0.38890000000000002</v>
      </c>
      <c r="P575" s="19">
        <v>0.75</v>
      </c>
      <c r="Q575" s="19">
        <v>7.7545515999999995E-2</v>
      </c>
      <c r="R575" s="20">
        <v>16212</v>
      </c>
      <c r="S575" s="21" t="str">
        <f>HYPERLINK("https://claws.cowley.edu/www/net_price_calculator/npcalc.htm", "$11881")</f>
        <v>$11881</v>
      </c>
      <c r="T575" s="20">
        <v>14484</v>
      </c>
      <c r="U575" s="20">
        <v>15806</v>
      </c>
      <c r="V575" s="20">
        <v>6500</v>
      </c>
      <c r="W575" s="20">
        <v>5381.6825396825407</v>
      </c>
      <c r="Y575" s="19">
        <v>0.4798</v>
      </c>
      <c r="Z575" s="19">
        <v>0.3</v>
      </c>
      <c r="AB575" s="18">
        <v>2697</v>
      </c>
      <c r="AC575" s="18">
        <v>6</v>
      </c>
    </row>
    <row r="576" spans="1:29" ht="15.75" customHeight="1" x14ac:dyDescent="0.2">
      <c r="A576" s="36" t="str">
        <f>HYPERLINK("https://www.craftonhills.edu", "Crafton Hills College")</f>
        <v>Crafton Hills College</v>
      </c>
      <c r="B576" s="18" t="s">
        <v>49</v>
      </c>
      <c r="C576" s="18" t="s">
        <v>68</v>
      </c>
      <c r="D576" s="18" t="s">
        <v>1243</v>
      </c>
      <c r="E576" s="18" t="s">
        <v>36</v>
      </c>
      <c r="F576" s="18" t="s">
        <v>36</v>
      </c>
      <c r="J576" s="19"/>
      <c r="K576" s="19">
        <v>0.29139999999999999</v>
      </c>
      <c r="L576" s="19">
        <v>8.4628670000000003E-2</v>
      </c>
      <c r="M576" s="19">
        <v>0.36099999999999999</v>
      </c>
      <c r="N576" s="19">
        <v>0.375</v>
      </c>
      <c r="O576" s="19">
        <v>0.23549999999999999</v>
      </c>
      <c r="P576" s="19">
        <v>0.33329999999999999</v>
      </c>
      <c r="Q576" s="19">
        <v>0.11832946599999999</v>
      </c>
      <c r="R576" s="20">
        <v>31113</v>
      </c>
      <c r="S576" s="21" t="str">
        <f>HYPERLINK("https://nces.ed.gov/ipeds/netpricecalculator/Npc_2.aspx", "$24765")</f>
        <v>$24765</v>
      </c>
      <c r="T576" s="20">
        <v>27907</v>
      </c>
      <c r="U576" s="20">
        <v>29268</v>
      </c>
      <c r="V576" s="20">
        <v>5862</v>
      </c>
      <c r="W576" s="20">
        <v>18903.69090909091</v>
      </c>
      <c r="Y576" s="19">
        <v>0.16589999999999999</v>
      </c>
      <c r="Z576" s="19">
        <v>0.63819999999999999</v>
      </c>
      <c r="AB576" s="18">
        <v>5373</v>
      </c>
      <c r="AC576" s="18">
        <v>6</v>
      </c>
    </row>
    <row r="577" spans="1:29" ht="15.75" customHeight="1" x14ac:dyDescent="0.2">
      <c r="A577" s="36" t="str">
        <f>HYPERLINK("https://www.cravencc.edu", "Craven Community College")</f>
        <v>Craven Community College</v>
      </c>
      <c r="B577" s="18" t="s">
        <v>49</v>
      </c>
      <c r="C577" s="18" t="s">
        <v>103</v>
      </c>
      <c r="D577" s="18" t="s">
        <v>1244</v>
      </c>
      <c r="E577" s="18" t="s">
        <v>36</v>
      </c>
      <c r="F577" s="18" t="s">
        <v>36</v>
      </c>
      <c r="J577" s="19"/>
      <c r="K577" s="19">
        <v>0.26840000000000003</v>
      </c>
      <c r="L577" s="19" t="s">
        <v>36</v>
      </c>
      <c r="M577" s="19">
        <v>0.26119999999999999</v>
      </c>
      <c r="N577" s="19">
        <v>0.19639999999999999</v>
      </c>
      <c r="O577" s="19">
        <v>0.4</v>
      </c>
      <c r="P577" s="19">
        <v>0.58330000000000004</v>
      </c>
      <c r="Q577" s="19">
        <v>9.0909090999999997E-2</v>
      </c>
      <c r="R577" s="20">
        <v>24896</v>
      </c>
      <c r="S577" s="21" t="str">
        <f>HYPERLINK("https://cravencc.edu/financialaid/net-price-calculator/", "$19839")</f>
        <v>$19839</v>
      </c>
      <c r="T577" s="20">
        <v>20474</v>
      </c>
      <c r="U577" s="20">
        <v>21648</v>
      </c>
      <c r="V577" s="20">
        <v>6724</v>
      </c>
      <c r="W577" s="20">
        <v>13115.677966101701</v>
      </c>
      <c r="Y577" s="19">
        <v>0.38340000000000002</v>
      </c>
      <c r="Z577" s="19">
        <v>0.39539999999999997</v>
      </c>
      <c r="AB577" s="18">
        <v>2625</v>
      </c>
      <c r="AC577" s="18">
        <v>6</v>
      </c>
    </row>
    <row r="578" spans="1:29" ht="15.75" customHeight="1" x14ac:dyDescent="0.2">
      <c r="A578" s="36" t="str">
        <f>HYPERLINK("https://www.creighton.edu", "Creighton University")</f>
        <v>Creighton University</v>
      </c>
      <c r="B578" s="18" t="s">
        <v>32</v>
      </c>
      <c r="C578" s="18" t="s">
        <v>341</v>
      </c>
      <c r="D578" s="18" t="s">
        <v>345</v>
      </c>
      <c r="E578" s="18">
        <v>1283</v>
      </c>
      <c r="F578" s="18" t="s">
        <v>35</v>
      </c>
      <c r="J578" s="19"/>
      <c r="K578" s="19">
        <v>0.80599999999999994</v>
      </c>
      <c r="L578" s="19">
        <v>0.65989847700000004</v>
      </c>
      <c r="M578" s="19">
        <v>0.8296</v>
      </c>
      <c r="N578" s="19">
        <v>0.8</v>
      </c>
      <c r="O578" s="19">
        <v>0.65669999999999995</v>
      </c>
      <c r="P578" s="19">
        <v>0.82110000000000005</v>
      </c>
      <c r="Q578" s="19"/>
      <c r="R578" s="20">
        <v>53452</v>
      </c>
      <c r="S578" s="21" t="str">
        <f>HYPERLINK("https://www.creighton.edu/financialaid/financialaidresources/netpricecalculator/", "$26121")</f>
        <v>$26121</v>
      </c>
      <c r="T578" s="20">
        <v>26739</v>
      </c>
      <c r="U578" s="20">
        <v>30411</v>
      </c>
      <c r="V578" s="20">
        <v>4000</v>
      </c>
      <c r="W578" s="20">
        <v>22121</v>
      </c>
      <c r="Y578" s="19">
        <v>0.14180000000000001</v>
      </c>
      <c r="Z578" s="19">
        <v>0.29249999999999998</v>
      </c>
      <c r="AB578" s="18">
        <v>4212</v>
      </c>
      <c r="AC578" s="18">
        <v>3</v>
      </c>
    </row>
    <row r="579" spans="1:29" ht="15.75" customHeight="1" x14ac:dyDescent="0.2">
      <c r="A579" s="36" t="str">
        <f>HYPERLINK("https://www.crowder.edu", "Crowder College")</f>
        <v>Crowder College</v>
      </c>
      <c r="B579" s="18" t="s">
        <v>49</v>
      </c>
      <c r="C579" s="18" t="s">
        <v>164</v>
      </c>
      <c r="D579" s="18" t="s">
        <v>1246</v>
      </c>
      <c r="E579" s="18" t="s">
        <v>36</v>
      </c>
      <c r="F579" s="18" t="s">
        <v>36</v>
      </c>
      <c r="J579" s="19"/>
      <c r="K579" s="19">
        <v>0.2853</v>
      </c>
      <c r="L579" s="19">
        <v>0.22022684300000001</v>
      </c>
      <c r="M579" s="19">
        <v>0.29959999999999998</v>
      </c>
      <c r="N579" s="19">
        <v>0.3</v>
      </c>
      <c r="O579" s="19">
        <v>0.20430000000000001</v>
      </c>
      <c r="P579" s="19">
        <v>0.31580000000000003</v>
      </c>
      <c r="Q579" s="19">
        <v>5.3119209000000001E-2</v>
      </c>
      <c r="R579" s="20">
        <v>13342</v>
      </c>
      <c r="S579" s="21" t="str">
        <f>HYPERLINK("https://www.crowder.edu/custom-hooks/net-price-calc/npcalc.htm", "$8013")</f>
        <v>$8013</v>
      </c>
      <c r="T579" s="20">
        <v>9648</v>
      </c>
      <c r="U579" s="20">
        <v>11304</v>
      </c>
      <c r="V579" s="20">
        <v>3324</v>
      </c>
      <c r="W579" s="20">
        <v>4689.5555555555557</v>
      </c>
      <c r="Y579" s="19">
        <v>0.3669</v>
      </c>
      <c r="Z579" s="19">
        <v>0.2261</v>
      </c>
      <c r="AB579" s="18">
        <v>3344</v>
      </c>
      <c r="AC579" s="18">
        <v>6</v>
      </c>
    </row>
    <row r="580" spans="1:29" ht="15.75" customHeight="1" x14ac:dyDescent="0.2">
      <c r="A580" s="36" t="str">
        <f>HYPERLINK("https://www.cuesta.edu", "Cuesta College")</f>
        <v>Cuesta College</v>
      </c>
      <c r="B580" s="18" t="s">
        <v>49</v>
      </c>
      <c r="C580" s="18" t="s">
        <v>68</v>
      </c>
      <c r="D580" s="18" t="s">
        <v>204</v>
      </c>
      <c r="E580" s="18" t="s">
        <v>36</v>
      </c>
      <c r="F580" s="18" t="s">
        <v>36</v>
      </c>
      <c r="J580" s="19"/>
      <c r="K580" s="19">
        <v>0.32690000000000002</v>
      </c>
      <c r="L580" s="19">
        <v>6.3131312999999994E-2</v>
      </c>
      <c r="M580" s="19">
        <v>0.3458</v>
      </c>
      <c r="N580" s="19">
        <v>0.22220000000000001</v>
      </c>
      <c r="O580" s="19">
        <v>0.25</v>
      </c>
      <c r="P580" s="19">
        <v>0.66669999999999996</v>
      </c>
      <c r="Q580" s="19">
        <v>0.192105263</v>
      </c>
      <c r="R580" s="20">
        <v>26210</v>
      </c>
      <c r="S580" s="21" t="str">
        <f>HYPERLINK("https://misweb.cccco.edu/npc/641/npcalc.htm", "$19223")</f>
        <v>$19223</v>
      </c>
      <c r="T580" s="20">
        <v>22618</v>
      </c>
      <c r="U580" s="20">
        <v>23982</v>
      </c>
      <c r="V580" s="20">
        <v>6093</v>
      </c>
      <c r="W580" s="20">
        <v>13130.27272727273</v>
      </c>
      <c r="Y580" s="19">
        <v>0.1956</v>
      </c>
      <c r="Z580" s="19">
        <v>0.42620000000000002</v>
      </c>
      <c r="AB580" s="18">
        <v>7858</v>
      </c>
      <c r="AC580" s="18">
        <v>6</v>
      </c>
    </row>
    <row r="581" spans="1:29" ht="15.75" customHeight="1" x14ac:dyDescent="0.2">
      <c r="A581" s="36" t="str">
        <f>HYPERLINK("https://www.culinaryinstitute.edu", "Culinary Institute Inc")</f>
        <v>Culinary Institute Inc</v>
      </c>
      <c r="B581" s="18" t="s">
        <v>368</v>
      </c>
      <c r="C581" s="18" t="s">
        <v>146</v>
      </c>
      <c r="D581" s="18" t="s">
        <v>147</v>
      </c>
      <c r="E581" s="18" t="s">
        <v>36</v>
      </c>
      <c r="F581" s="18" t="s">
        <v>36</v>
      </c>
      <c r="J581" s="19"/>
      <c r="K581" s="19">
        <v>0.75</v>
      </c>
      <c r="L581" s="19">
        <v>0.53333333299999997</v>
      </c>
      <c r="M581" s="19">
        <v>1</v>
      </c>
      <c r="N581" s="19">
        <v>0.5</v>
      </c>
      <c r="O581" s="19">
        <v>0.5</v>
      </c>
      <c r="P581" s="19">
        <v>1</v>
      </c>
      <c r="Q581" s="19" t="s">
        <v>36</v>
      </c>
      <c r="R581" s="20">
        <v>31343</v>
      </c>
      <c r="S581" s="21" t="str">
        <f>HYPERLINK("https://www.culinaryinstitute.edu/npcalc/npcalc.htm", "$25958")</f>
        <v>$25958</v>
      </c>
      <c r="T581" s="20">
        <v>26645</v>
      </c>
      <c r="U581" s="20">
        <v>27915</v>
      </c>
      <c r="V581" s="20">
        <v>9089</v>
      </c>
      <c r="W581" s="20">
        <v>16869</v>
      </c>
      <c r="Y581" s="19">
        <v>0.54479999999999995</v>
      </c>
      <c r="Z581" s="19">
        <v>0.71940000000000004</v>
      </c>
      <c r="AB581" s="18">
        <v>360</v>
      </c>
      <c r="AC581" s="18">
        <v>6</v>
      </c>
    </row>
    <row r="582" spans="1:29" ht="15.75" customHeight="1" x14ac:dyDescent="0.2">
      <c r="A582" s="36" t="str">
        <f>HYPERLINK("https://www.ciachef.edu", "Culinary Institute of America")</f>
        <v>Culinary Institute of America</v>
      </c>
      <c r="B582" s="18" t="s">
        <v>32</v>
      </c>
      <c r="C582" s="18" t="s">
        <v>38</v>
      </c>
      <c r="D582" s="18" t="s">
        <v>1248</v>
      </c>
      <c r="E582" s="18" t="s">
        <v>36</v>
      </c>
      <c r="F582" s="18" t="s">
        <v>90</v>
      </c>
      <c r="J582" s="19"/>
      <c r="K582" s="19">
        <v>0.7288</v>
      </c>
      <c r="L582" s="19">
        <v>0.68275862099999995</v>
      </c>
      <c r="M582" s="19">
        <v>0.72030000000000005</v>
      </c>
      <c r="N582" s="19">
        <v>0.61539999999999995</v>
      </c>
      <c r="O582" s="19">
        <v>0.69740000000000002</v>
      </c>
      <c r="P582" s="19">
        <v>0.84850000000000003</v>
      </c>
      <c r="Q582" s="19">
        <v>2.8309741999999999E-2</v>
      </c>
      <c r="R582" s="20">
        <v>46846</v>
      </c>
      <c r="S582" s="21" t="str">
        <f>HYPERLINK("https://ciachef.studentaidcalculator.com/survey.aspx", "$27730")</f>
        <v>$27730</v>
      </c>
      <c r="T582" s="20">
        <v>30076</v>
      </c>
      <c r="U582" s="20">
        <v>33173</v>
      </c>
      <c r="V582" s="20">
        <v>4360</v>
      </c>
      <c r="W582" s="20">
        <v>23370</v>
      </c>
      <c r="Y582" s="19">
        <v>0.27939999999999998</v>
      </c>
      <c r="Z582" s="19">
        <v>0.50509999999999999</v>
      </c>
      <c r="AB582" s="18">
        <v>3116</v>
      </c>
      <c r="AC582" s="18">
        <v>6</v>
      </c>
    </row>
    <row r="583" spans="1:29" ht="15.75" customHeight="1" x14ac:dyDescent="0.2">
      <c r="A583" s="36" t="str">
        <f>HYPERLINK("https://www.culver.edu", "Culver-Stockton College")</f>
        <v>Culver-Stockton College</v>
      </c>
      <c r="B583" s="18" t="s">
        <v>32</v>
      </c>
      <c r="C583" s="18" t="s">
        <v>164</v>
      </c>
      <c r="D583" s="18" t="s">
        <v>249</v>
      </c>
      <c r="E583" s="18">
        <v>1040</v>
      </c>
      <c r="F583" s="18" t="s">
        <v>35</v>
      </c>
      <c r="J583" s="19"/>
      <c r="K583" s="19">
        <v>0.47720000000000001</v>
      </c>
      <c r="L583" s="19">
        <v>0.45454545499999999</v>
      </c>
      <c r="M583" s="19">
        <v>0.51829999999999998</v>
      </c>
      <c r="N583" s="19">
        <v>0.26090000000000002</v>
      </c>
      <c r="O583" s="19">
        <v>0</v>
      </c>
      <c r="P583" s="19">
        <v>0</v>
      </c>
      <c r="Q583" s="19"/>
      <c r="R583" s="20">
        <v>38850</v>
      </c>
      <c r="S583" s="21" t="str">
        <f>HYPERLINK("https://www.culver.edu/value/", "$15957")</f>
        <v>$15957</v>
      </c>
      <c r="T583" s="20">
        <v>20295</v>
      </c>
      <c r="U583" s="20">
        <v>21457</v>
      </c>
      <c r="V583" s="20">
        <v>4500</v>
      </c>
      <c r="W583" s="20">
        <v>11457</v>
      </c>
      <c r="Y583" s="19">
        <v>0.38</v>
      </c>
      <c r="Z583" s="19">
        <v>0.29149999999999998</v>
      </c>
      <c r="AB583" s="18">
        <v>1029</v>
      </c>
      <c r="AC583" s="18">
        <v>4</v>
      </c>
    </row>
    <row r="584" spans="1:29" ht="15.75" customHeight="1" x14ac:dyDescent="0.2">
      <c r="A584" s="36" t="str">
        <f>HYPERLINK("https://www.cccnj.edu", "Cumberland County College")</f>
        <v>Cumberland County College</v>
      </c>
      <c r="B584" s="18" t="s">
        <v>49</v>
      </c>
      <c r="C584" s="18" t="s">
        <v>141</v>
      </c>
      <c r="D584" s="18" t="s">
        <v>1249</v>
      </c>
      <c r="E584" s="18" t="s">
        <v>36</v>
      </c>
      <c r="F584" s="18" t="s">
        <v>36</v>
      </c>
      <c r="J584" s="19"/>
      <c r="K584" s="19">
        <v>0.26329999999999998</v>
      </c>
      <c r="L584" s="19">
        <v>6.3559322000000001E-2</v>
      </c>
      <c r="M584" s="19">
        <v>0.37130000000000002</v>
      </c>
      <c r="N584" s="19">
        <v>0.1046</v>
      </c>
      <c r="O584" s="19">
        <v>0.22869999999999999</v>
      </c>
      <c r="P584" s="19">
        <v>0.25</v>
      </c>
      <c r="Q584" s="19">
        <v>0.115646259</v>
      </c>
      <c r="R584" s="20">
        <v>24598</v>
      </c>
      <c r="S584" s="21" t="str">
        <f>HYPERLINK("https://cec.cccnj.edu/netprice/", "$18672")</f>
        <v>$18672</v>
      </c>
      <c r="T584" s="20">
        <v>21642</v>
      </c>
      <c r="U584" s="20">
        <v>23675</v>
      </c>
      <c r="V584" s="20">
        <v>7454</v>
      </c>
      <c r="W584" s="20">
        <v>11218.827893175079</v>
      </c>
      <c r="Y584" s="19">
        <v>0.54320000000000002</v>
      </c>
      <c r="Z584" s="19">
        <v>0.6089</v>
      </c>
      <c r="AB584" s="18">
        <v>3045</v>
      </c>
      <c r="AC584" s="18">
        <v>6</v>
      </c>
    </row>
    <row r="585" spans="1:29" ht="15.75" customHeight="1" x14ac:dyDescent="0.2">
      <c r="A585" s="36" t="str">
        <f>HYPERLINK("https://www.cumberland.edu", "Cumberland University")</f>
        <v>Cumberland University</v>
      </c>
      <c r="B585" s="18" t="s">
        <v>32</v>
      </c>
      <c r="C585" s="18" t="s">
        <v>174</v>
      </c>
      <c r="D585" s="18" t="s">
        <v>687</v>
      </c>
      <c r="E585" s="18">
        <v>1066</v>
      </c>
      <c r="F585" s="18" t="s">
        <v>35</v>
      </c>
      <c r="J585" s="19"/>
      <c r="K585" s="19">
        <v>0.49740000000000001</v>
      </c>
      <c r="L585" s="19">
        <v>0.41290322600000001</v>
      </c>
      <c r="M585" s="19">
        <v>0.4965</v>
      </c>
      <c r="N585" s="19">
        <v>0.5</v>
      </c>
      <c r="O585" s="19">
        <v>0.33329999999999999</v>
      </c>
      <c r="P585" s="19">
        <v>0</v>
      </c>
      <c r="Q585" s="19"/>
      <c r="R585" s="20">
        <v>36240</v>
      </c>
      <c r="S585" s="21" t="str">
        <f>HYPERLINK("https://www.cumberland.edu/communications/NetPriceCalculator/npcalc.htm", "$18435")</f>
        <v>$18435</v>
      </c>
      <c r="T585" s="20">
        <v>23498</v>
      </c>
      <c r="U585" s="20">
        <v>24774</v>
      </c>
      <c r="V585" s="20">
        <v>7140</v>
      </c>
      <c r="W585" s="20">
        <v>11295</v>
      </c>
      <c r="Y585" s="19">
        <v>0.32869999999999999</v>
      </c>
      <c r="Z585" s="19">
        <v>0.42459999999999998</v>
      </c>
      <c r="AB585" s="18">
        <v>1658</v>
      </c>
      <c r="AC585" s="18">
        <v>4</v>
      </c>
    </row>
    <row r="586" spans="1:29" ht="15.75" customHeight="1" x14ac:dyDescent="0.2">
      <c r="A586" s="36" t="str">
        <f>HYPERLINK("https://www.curry.edu", "Curry College")</f>
        <v>Curry College</v>
      </c>
      <c r="B586" s="18" t="s">
        <v>32</v>
      </c>
      <c r="C586" s="18" t="s">
        <v>33</v>
      </c>
      <c r="D586" s="18" t="s">
        <v>689</v>
      </c>
      <c r="E586" s="18">
        <v>1018</v>
      </c>
      <c r="F586" s="18" t="s">
        <v>35</v>
      </c>
      <c r="J586" s="19"/>
      <c r="K586" s="19">
        <v>0.52480000000000004</v>
      </c>
      <c r="L586" s="19">
        <v>0.47906976699999998</v>
      </c>
      <c r="M586" s="19">
        <v>0.55600000000000005</v>
      </c>
      <c r="N586" s="19">
        <v>0.30299999999999999</v>
      </c>
      <c r="O586" s="19">
        <v>0.4194</v>
      </c>
      <c r="P586" s="19">
        <v>0.5</v>
      </c>
      <c r="Q586" s="19"/>
      <c r="R586" s="20">
        <v>56966</v>
      </c>
      <c r="S586" s="21" t="str">
        <f>HYPERLINK("https://www.curry.edu/npc", "$25636")</f>
        <v>$25636</v>
      </c>
      <c r="T586" s="20">
        <v>28182</v>
      </c>
      <c r="U586" s="20">
        <v>29615</v>
      </c>
      <c r="V586" s="20">
        <v>3295</v>
      </c>
      <c r="W586" s="20">
        <v>22341</v>
      </c>
      <c r="Y586" s="19">
        <v>0.25519999999999998</v>
      </c>
      <c r="Z586" s="19">
        <v>0.33489999999999998</v>
      </c>
      <c r="AB586" s="18">
        <v>2535</v>
      </c>
      <c r="AC586" s="18">
        <v>4</v>
      </c>
    </row>
    <row r="587" spans="1:29" ht="15.75" customHeight="1" x14ac:dyDescent="0.2">
      <c r="A587" s="36" t="str">
        <f>HYPERLINK("https://www.tri-c.edu", "Cuyahoga Community College District")</f>
        <v>Cuyahoga Community College District</v>
      </c>
      <c r="B587" s="18" t="s">
        <v>49</v>
      </c>
      <c r="C587" s="18" t="s">
        <v>75</v>
      </c>
      <c r="D587" s="18" t="s">
        <v>76</v>
      </c>
      <c r="E587" s="18" t="s">
        <v>36</v>
      </c>
      <c r="F587" s="18" t="s">
        <v>36</v>
      </c>
      <c r="J587" s="19"/>
      <c r="K587" s="19">
        <v>0.15190000000000001</v>
      </c>
      <c r="L587" s="19">
        <v>9.2277394999999998E-2</v>
      </c>
      <c r="M587" s="19">
        <v>0.21199999999999999</v>
      </c>
      <c r="N587" s="19">
        <v>6.7699999999999996E-2</v>
      </c>
      <c r="O587" s="19">
        <v>0.1017</v>
      </c>
      <c r="P587" s="19">
        <v>0.1842</v>
      </c>
      <c r="Q587" s="19">
        <v>7.5835341000000001E-2</v>
      </c>
      <c r="R587" s="20">
        <v>17188</v>
      </c>
      <c r="S587" s="21" t="str">
        <f>HYPERLINK("https://www.tri-c.edu/payingforcollege/Pages/TuitionPaymentSchedule.aspx", "$12021")</f>
        <v>$12021</v>
      </c>
      <c r="T587" s="20">
        <v>14452</v>
      </c>
      <c r="U587" s="20">
        <v>16221</v>
      </c>
      <c r="V587" s="20">
        <v>3540</v>
      </c>
      <c r="W587" s="20">
        <v>8481.7880184331807</v>
      </c>
      <c r="Y587" s="19">
        <v>0.38059999999999999</v>
      </c>
      <c r="Z587" s="19">
        <v>0.45739999999999997</v>
      </c>
      <c r="AB587" s="18">
        <v>18942</v>
      </c>
      <c r="AC587" s="18">
        <v>6</v>
      </c>
    </row>
    <row r="588" spans="1:29" ht="15.75" customHeight="1" x14ac:dyDescent="0.2">
      <c r="A588" s="36" t="str">
        <f>HYPERLINK("https://www.cuyamaca.edu", "Cuyamaca College")</f>
        <v>Cuyamaca College</v>
      </c>
      <c r="B588" s="18" t="s">
        <v>49</v>
      </c>
      <c r="C588" s="18" t="s">
        <v>68</v>
      </c>
      <c r="D588" s="18" t="s">
        <v>1251</v>
      </c>
      <c r="E588" s="18" t="s">
        <v>36</v>
      </c>
      <c r="F588" s="18" t="s">
        <v>36</v>
      </c>
      <c r="J588" s="19"/>
      <c r="K588" s="19">
        <v>0.26069999999999999</v>
      </c>
      <c r="L588" s="19" t="s">
        <v>36</v>
      </c>
      <c r="M588" s="19">
        <v>0.28870000000000001</v>
      </c>
      <c r="N588" s="19">
        <v>0.1923</v>
      </c>
      <c r="O588" s="19">
        <v>0.2432</v>
      </c>
      <c r="P588" s="19">
        <v>0.29409999999999997</v>
      </c>
      <c r="Q588" s="19">
        <v>0.11054172800000001</v>
      </c>
      <c r="R588" s="20">
        <v>24196</v>
      </c>
      <c r="S588" s="21" t="str">
        <f>HYPERLINK("https://misweb.cccco.edu/npc/021/npcalc.htm", "$16885")</f>
        <v>$16885</v>
      </c>
      <c r="T588" s="20">
        <v>20019</v>
      </c>
      <c r="U588" s="20">
        <v>21257</v>
      </c>
      <c r="V588" s="20">
        <v>5700</v>
      </c>
      <c r="W588" s="20">
        <v>11185.554216867469</v>
      </c>
      <c r="Y588" s="19">
        <v>0.27760000000000001</v>
      </c>
      <c r="Z588" s="19">
        <v>0.52390000000000003</v>
      </c>
      <c r="AB588" s="18">
        <v>7922</v>
      </c>
      <c r="AC588" s="18">
        <v>6</v>
      </c>
    </row>
    <row r="589" spans="1:29" ht="15.75" customHeight="1" x14ac:dyDescent="0.2">
      <c r="A589" s="36" t="str">
        <f>HYPERLINK("https://www.cypresscollege.edu", "Cypress College")</f>
        <v>Cypress College</v>
      </c>
      <c r="B589" s="18" t="s">
        <v>49</v>
      </c>
      <c r="C589" s="18" t="s">
        <v>68</v>
      </c>
      <c r="D589" s="18" t="s">
        <v>1253</v>
      </c>
      <c r="E589" s="18" t="s">
        <v>36</v>
      </c>
      <c r="F589" s="18" t="s">
        <v>36</v>
      </c>
      <c r="J589" s="19"/>
      <c r="K589" s="19">
        <v>0.36099999999999999</v>
      </c>
      <c r="L589" s="19">
        <v>8.5127691999999991E-2</v>
      </c>
      <c r="M589" s="19">
        <v>0.31690000000000002</v>
      </c>
      <c r="N589" s="19">
        <v>0.47620000000000001</v>
      </c>
      <c r="O589" s="19">
        <v>0.28449999999999998</v>
      </c>
      <c r="P589" s="19">
        <v>0.51270000000000004</v>
      </c>
      <c r="Q589" s="19">
        <v>0.114002933</v>
      </c>
      <c r="R589" s="20">
        <v>25432</v>
      </c>
      <c r="S589" s="21" t="str">
        <f>HYPERLINK("https://www.cypresscollege.edu/NetPriceCalculator/npcalc.htm", "$18310")</f>
        <v>$18310</v>
      </c>
      <c r="T589" s="20">
        <v>21231</v>
      </c>
      <c r="U589" s="20">
        <v>22866</v>
      </c>
      <c r="V589" s="20">
        <v>5985</v>
      </c>
      <c r="W589" s="20">
        <v>12325.3660130719</v>
      </c>
      <c r="Y589" s="19">
        <v>0.2782</v>
      </c>
      <c r="Z589" s="19">
        <v>0.83610000000000007</v>
      </c>
      <c r="AB589" s="18">
        <v>14434</v>
      </c>
      <c r="AC589" s="18">
        <v>6</v>
      </c>
    </row>
    <row r="590" spans="1:29" ht="15.75" customHeight="1" x14ac:dyDescent="0.2">
      <c r="A590" s="36" t="str">
        <f>HYPERLINK("https://www.dyc.edu", "D'Youville College")</f>
        <v>D'Youville College</v>
      </c>
      <c r="B590" s="18" t="s">
        <v>32</v>
      </c>
      <c r="C590" s="18" t="s">
        <v>38</v>
      </c>
      <c r="D590" s="18" t="s">
        <v>322</v>
      </c>
      <c r="E590" s="18">
        <v>938</v>
      </c>
      <c r="F590" s="18" t="s">
        <v>35</v>
      </c>
      <c r="G590" s="18" t="s">
        <v>40</v>
      </c>
      <c r="H590" s="18" t="s">
        <v>690</v>
      </c>
      <c r="I590" s="18" t="s">
        <v>691</v>
      </c>
      <c r="J590" s="19"/>
      <c r="K590" s="19">
        <v>0.54479999999999995</v>
      </c>
      <c r="L590" s="19">
        <v>0.62695924800000002</v>
      </c>
      <c r="M590" s="19">
        <v>0.59219999999999995</v>
      </c>
      <c r="N590" s="19">
        <v>0.37930000000000003</v>
      </c>
      <c r="O590" s="19">
        <v>0.35289999999999999</v>
      </c>
      <c r="P590" s="19">
        <v>0.66669999999999996</v>
      </c>
      <c r="Q590" s="19"/>
      <c r="R590" s="20">
        <v>41878</v>
      </c>
      <c r="S590" s="21" t="str">
        <f>HYPERLINK("https://dyouville.info/npc", "$12004")</f>
        <v>$12004</v>
      </c>
      <c r="T590" s="20">
        <v>19326</v>
      </c>
      <c r="U590" s="20">
        <v>21646</v>
      </c>
      <c r="V590" s="20">
        <v>4200</v>
      </c>
      <c r="W590" s="20">
        <v>7804</v>
      </c>
      <c r="Y590" s="19">
        <v>0.3508</v>
      </c>
      <c r="Z590" s="19">
        <v>0.26740000000000003</v>
      </c>
      <c r="AB590" s="18">
        <v>1664</v>
      </c>
      <c r="AC590" s="18">
        <v>4</v>
      </c>
    </row>
    <row r="591" spans="1:29" ht="15.75" customHeight="1" x14ac:dyDescent="0.2">
      <c r="A591" s="36" t="str">
        <f>HYPERLINK("https://www.daemen.edu", "Daemen College")</f>
        <v>Daemen College</v>
      </c>
      <c r="B591" s="18" t="s">
        <v>32</v>
      </c>
      <c r="C591" s="18" t="s">
        <v>38</v>
      </c>
      <c r="D591" s="18" t="s">
        <v>34</v>
      </c>
      <c r="E591" s="18" t="s">
        <v>36</v>
      </c>
      <c r="F591" s="18" t="s">
        <v>90</v>
      </c>
      <c r="G591" s="18" t="s">
        <v>40</v>
      </c>
      <c r="H591" s="18" t="s">
        <v>693</v>
      </c>
      <c r="I591" s="18" t="s">
        <v>694</v>
      </c>
      <c r="J591" s="19"/>
      <c r="K591" s="19">
        <v>0.55169999999999997</v>
      </c>
      <c r="L591" s="19">
        <v>0.38500000000000001</v>
      </c>
      <c r="M591" s="19">
        <v>0.58330000000000004</v>
      </c>
      <c r="N591" s="19">
        <v>0.5111</v>
      </c>
      <c r="O591" s="19">
        <v>0.37930000000000003</v>
      </c>
      <c r="P591" s="19">
        <v>0.54549999999999998</v>
      </c>
      <c r="Q591" s="19"/>
      <c r="R591" s="20">
        <v>43186</v>
      </c>
      <c r="S591" s="21" t="str">
        <f>HYPERLINK("https://www.daemen.edu/admissions/financing-your-education/tuition-fees", "$10965")</f>
        <v>$10965</v>
      </c>
      <c r="T591" s="20">
        <v>15223</v>
      </c>
      <c r="U591" s="20">
        <v>20170</v>
      </c>
      <c r="V591" s="20">
        <v>2500</v>
      </c>
      <c r="W591" s="20">
        <v>8465</v>
      </c>
      <c r="Y591" s="19">
        <v>0.34489999999999998</v>
      </c>
      <c r="Z591" s="19">
        <v>0.25169999999999998</v>
      </c>
      <c r="AB591" s="18">
        <v>1768</v>
      </c>
      <c r="AC591" s="18">
        <v>4</v>
      </c>
    </row>
    <row r="592" spans="1:29" ht="15.75" customHeight="1" x14ac:dyDescent="0.2">
      <c r="A592" s="36" t="str">
        <f>HYPERLINK("https://www.dakotacollege.edu", "Dakota College at Bottineau")</f>
        <v>Dakota College at Bottineau</v>
      </c>
      <c r="B592" s="18" t="s">
        <v>49</v>
      </c>
      <c r="C592" s="18" t="s">
        <v>730</v>
      </c>
      <c r="D592" s="18" t="s">
        <v>1254</v>
      </c>
      <c r="E592" s="18" t="s">
        <v>36</v>
      </c>
      <c r="F592" s="18" t="s">
        <v>36</v>
      </c>
      <c r="J592" s="19"/>
      <c r="K592" s="19">
        <v>0.19539999999999999</v>
      </c>
      <c r="L592" s="19">
        <v>0.30232558100000001</v>
      </c>
      <c r="M592" s="19">
        <v>0.35289999999999999</v>
      </c>
      <c r="N592" s="19">
        <v>7.2499999999999995E-2</v>
      </c>
      <c r="O592" s="19">
        <v>8.3299999999999999E-2</v>
      </c>
      <c r="P592" s="19">
        <v>0</v>
      </c>
      <c r="Q592" s="19">
        <v>8.3650189999999999E-2</v>
      </c>
      <c r="R592" s="20">
        <v>17953</v>
      </c>
      <c r="S592" s="21" t="str">
        <f>HYPERLINK("https://www.dakotacollege.edu/npcalc.php", "$10869")</f>
        <v>$10869</v>
      </c>
      <c r="T592" s="20">
        <v>13299</v>
      </c>
      <c r="U592" s="20">
        <v>16119</v>
      </c>
      <c r="V592" s="20">
        <v>4520</v>
      </c>
      <c r="W592" s="20">
        <v>6349.625</v>
      </c>
      <c r="Y592" s="19">
        <v>0.25890000000000002</v>
      </c>
      <c r="Z592" s="19">
        <v>0.47139999999999999</v>
      </c>
      <c r="AB592" s="18">
        <v>454</v>
      </c>
      <c r="AC592" s="18">
        <v>6</v>
      </c>
    </row>
    <row r="593" spans="1:29" ht="15.75" customHeight="1" x14ac:dyDescent="0.2">
      <c r="A593" s="36" t="str">
        <f>HYPERLINK("https://dsu.edu", "Dakota State University")</f>
        <v>Dakota State University</v>
      </c>
      <c r="B593" s="18" t="s">
        <v>49</v>
      </c>
      <c r="C593" s="18" t="s">
        <v>302</v>
      </c>
      <c r="D593" s="18" t="s">
        <v>295</v>
      </c>
      <c r="E593" s="18">
        <v>1123</v>
      </c>
      <c r="F593" s="18" t="s">
        <v>35</v>
      </c>
      <c r="J593" s="19"/>
      <c r="K593" s="19">
        <v>0.36049999999999999</v>
      </c>
      <c r="L593" s="19">
        <v>0.28571428599999998</v>
      </c>
      <c r="M593" s="19">
        <v>0.3765</v>
      </c>
      <c r="N593" s="19">
        <v>0.3</v>
      </c>
      <c r="O593" s="19">
        <v>0.1</v>
      </c>
      <c r="P593" s="19">
        <v>0.5</v>
      </c>
      <c r="Q593" s="19"/>
      <c r="R593" s="20">
        <v>24337</v>
      </c>
      <c r="S593" s="21" t="str">
        <f>HYPERLINK("https://dsu.edu/admissions/financial-aid-tuition/net-price-calculator", "$18111")</f>
        <v>$18111</v>
      </c>
      <c r="T593" s="20">
        <v>20916</v>
      </c>
      <c r="U593" s="20">
        <v>22736</v>
      </c>
      <c r="V593" s="20">
        <v>5540</v>
      </c>
      <c r="W593" s="20">
        <v>12571.76666666667</v>
      </c>
      <c r="Y593" s="19">
        <v>0.24579999999999999</v>
      </c>
      <c r="Z593" s="19">
        <v>0.16250000000000001</v>
      </c>
      <c r="AB593" s="18">
        <v>2024</v>
      </c>
      <c r="AC593" s="18">
        <v>4</v>
      </c>
    </row>
    <row r="594" spans="1:29" ht="15.75" customHeight="1" x14ac:dyDescent="0.2">
      <c r="A594" s="36" t="str">
        <f>HYPERLINK("https://www.dwu.edu", "Dakota Wesleyan University")</f>
        <v>Dakota Wesleyan University</v>
      </c>
      <c r="B594" s="18" t="s">
        <v>32</v>
      </c>
      <c r="C594" s="18" t="s">
        <v>302</v>
      </c>
      <c r="D594" s="18" t="s">
        <v>698</v>
      </c>
      <c r="E594" s="18">
        <v>1096</v>
      </c>
      <c r="F594" s="18" t="s">
        <v>35</v>
      </c>
      <c r="J594" s="19"/>
      <c r="K594" s="19">
        <v>0.51549999999999996</v>
      </c>
      <c r="L594" s="19">
        <v>0.37755102000000001</v>
      </c>
      <c r="M594" s="19">
        <v>0.56120000000000003</v>
      </c>
      <c r="N594" s="19">
        <v>0.16669999999999999</v>
      </c>
      <c r="O594" s="19">
        <v>0.25</v>
      </c>
      <c r="P594" s="19" t="s">
        <v>36</v>
      </c>
      <c r="Q594" s="19"/>
      <c r="R594" s="20">
        <v>37060</v>
      </c>
      <c r="S594" s="21" t="str">
        <f>HYPERLINK("https://www.dwu.edu/financialaid/netpricecalculator/", "$17061")</f>
        <v>$17061</v>
      </c>
      <c r="T594" s="20">
        <v>20743</v>
      </c>
      <c r="U594" s="20">
        <v>21387</v>
      </c>
      <c r="V594" s="20">
        <v>2880</v>
      </c>
      <c r="W594" s="20">
        <v>14181</v>
      </c>
      <c r="Y594" s="19">
        <v>0.29809999999999998</v>
      </c>
      <c r="Z594" s="19">
        <v>0.1072</v>
      </c>
      <c r="AB594" s="18">
        <v>774</v>
      </c>
      <c r="AC594" s="18">
        <v>4</v>
      </c>
    </row>
    <row r="595" spans="1:29" ht="15.75" customHeight="1" x14ac:dyDescent="0.2">
      <c r="A595" s="36" t="str">
        <f>HYPERLINK("https://www.dbu.edu", "Dallas Baptist University")</f>
        <v>Dallas Baptist University</v>
      </c>
      <c r="B595" s="18" t="s">
        <v>32</v>
      </c>
      <c r="C595" s="18" t="s">
        <v>146</v>
      </c>
      <c r="D595" s="18" t="s">
        <v>152</v>
      </c>
      <c r="E595" s="18">
        <v>1122</v>
      </c>
      <c r="F595" s="18" t="s">
        <v>35</v>
      </c>
      <c r="J595" s="19"/>
      <c r="K595" s="19">
        <v>0.5786</v>
      </c>
      <c r="L595" s="19">
        <v>0.49390243900000003</v>
      </c>
      <c r="M595" s="19">
        <v>0.61019999999999996</v>
      </c>
      <c r="N595" s="19">
        <v>0.35</v>
      </c>
      <c r="O595" s="19">
        <v>0.52</v>
      </c>
      <c r="P595" s="19">
        <v>0.44440000000000002</v>
      </c>
      <c r="Q595" s="19"/>
      <c r="R595" s="20">
        <v>39453</v>
      </c>
      <c r="S595" s="21" t="str">
        <f>HYPERLINK("https://dbu.studentaidcalculator.com/survey.aspx", "$21634")</f>
        <v>$21634</v>
      </c>
      <c r="T595" s="20">
        <v>25903</v>
      </c>
      <c r="U595" s="20">
        <v>26216</v>
      </c>
      <c r="V595" s="20">
        <v>4233</v>
      </c>
      <c r="W595" s="20">
        <v>17401</v>
      </c>
      <c r="Y595" s="19">
        <v>0.27460000000000001</v>
      </c>
      <c r="Z595" s="19">
        <v>0.39369999999999999</v>
      </c>
      <c r="AB595" s="18">
        <v>3053</v>
      </c>
      <c r="AC595" s="18">
        <v>4</v>
      </c>
    </row>
    <row r="596" spans="1:29" ht="15.75" customHeight="1" x14ac:dyDescent="0.2">
      <c r="A596" s="36" t="str">
        <f>HYPERLINK("https://www.dallasinstitute.edu", "Dallas Institute of Funeral Service")</f>
        <v>Dallas Institute of Funeral Service</v>
      </c>
      <c r="B596" s="18" t="s">
        <v>32</v>
      </c>
      <c r="C596" s="18" t="s">
        <v>146</v>
      </c>
      <c r="D596" s="18" t="s">
        <v>152</v>
      </c>
      <c r="E596" s="18" t="s">
        <v>36</v>
      </c>
      <c r="F596" s="18" t="s">
        <v>36</v>
      </c>
      <c r="J596" s="19"/>
      <c r="K596" s="19">
        <v>0.47060000000000002</v>
      </c>
      <c r="L596" s="19">
        <v>0.546875</v>
      </c>
      <c r="M596" s="19">
        <v>0.5</v>
      </c>
      <c r="N596" s="19">
        <v>0.5</v>
      </c>
      <c r="O596" s="19">
        <v>0.41670000000000001</v>
      </c>
      <c r="P596" s="19" t="s">
        <v>36</v>
      </c>
      <c r="Q596" s="19" t="s">
        <v>36</v>
      </c>
      <c r="R596" s="20">
        <v>22520</v>
      </c>
      <c r="S596" s="21" t="str">
        <f>HYPERLINK("https://www.dallasinstitute.edu/admissions/net-price-calculator", "$11961")</f>
        <v>$11961</v>
      </c>
      <c r="T596" s="20">
        <v>17583</v>
      </c>
      <c r="U596" s="20" t="s">
        <v>36</v>
      </c>
      <c r="V596" s="20" t="s">
        <v>36</v>
      </c>
      <c r="W596" s="20" t="s">
        <v>36</v>
      </c>
      <c r="Y596" s="19">
        <v>0.38950000000000001</v>
      </c>
      <c r="Z596" s="19">
        <v>0.59460000000000002</v>
      </c>
      <c r="AB596" s="18">
        <v>111</v>
      </c>
      <c r="AC596" s="18">
        <v>6</v>
      </c>
    </row>
    <row r="597" spans="1:29" ht="15.75" customHeight="1" x14ac:dyDescent="0.2">
      <c r="A597" s="36" t="str">
        <f>HYPERLINK("https://www.dacc.edu", "Danville Area Community College")</f>
        <v>Danville Area Community College</v>
      </c>
      <c r="B597" s="18" t="s">
        <v>49</v>
      </c>
      <c r="C597" s="18" t="s">
        <v>137</v>
      </c>
      <c r="D597" s="18" t="s">
        <v>206</v>
      </c>
      <c r="E597" s="18" t="s">
        <v>36</v>
      </c>
      <c r="F597" s="18" t="s">
        <v>36</v>
      </c>
      <c r="J597" s="19"/>
      <c r="K597" s="19">
        <v>0.33779999999999999</v>
      </c>
      <c r="L597" s="19">
        <v>0.125937032</v>
      </c>
      <c r="M597" s="19">
        <v>0.37269999999999998</v>
      </c>
      <c r="N597" s="19">
        <v>0.1923</v>
      </c>
      <c r="O597" s="19">
        <v>0.31580000000000003</v>
      </c>
      <c r="P597" s="19">
        <v>0.5</v>
      </c>
      <c r="Q597" s="19">
        <v>5.5727554000000012E-2</v>
      </c>
      <c r="R597" s="20">
        <v>14878</v>
      </c>
      <c r="S597" s="21" t="str">
        <f>HYPERLINK("https://dacc.edu/tuition/", "$9617")</f>
        <v>$9617</v>
      </c>
      <c r="T597" s="20">
        <v>12755</v>
      </c>
      <c r="U597" s="20">
        <v>14456</v>
      </c>
      <c r="V597" s="20">
        <v>3503</v>
      </c>
      <c r="W597" s="20">
        <v>6114.2867647058811</v>
      </c>
      <c r="Y597" s="19">
        <v>0.308</v>
      </c>
      <c r="Z597" s="19">
        <v>0.33029999999999998</v>
      </c>
      <c r="AB597" s="18">
        <v>1732</v>
      </c>
      <c r="AC597" s="18">
        <v>6</v>
      </c>
    </row>
    <row r="598" spans="1:29" ht="15.75" customHeight="1" x14ac:dyDescent="0.2">
      <c r="A598" s="36" t="str">
        <f>HYPERLINK("https://www.dartmouth.edu", "Dartmouth College")</f>
        <v>Dartmouth College</v>
      </c>
      <c r="B598" s="18" t="s">
        <v>32</v>
      </c>
      <c r="C598" s="18" t="s">
        <v>101</v>
      </c>
      <c r="D598" s="18" t="s">
        <v>102</v>
      </c>
      <c r="E598" s="18">
        <v>1483</v>
      </c>
      <c r="F598" s="18" t="s">
        <v>35</v>
      </c>
      <c r="J598" s="19"/>
      <c r="K598" s="19">
        <v>0.95950000000000002</v>
      </c>
      <c r="L598" s="19">
        <v>0.87741935500000001</v>
      </c>
      <c r="M598" s="19">
        <v>0.96919999999999995</v>
      </c>
      <c r="N598" s="19">
        <v>0.91669999999999996</v>
      </c>
      <c r="O598" s="19">
        <v>0.95509999999999995</v>
      </c>
      <c r="P598" s="19">
        <v>0.97950000000000004</v>
      </c>
      <c r="Q598" s="19"/>
      <c r="R598" s="20">
        <v>71827</v>
      </c>
      <c r="S598" s="21" t="str">
        <f>HYPERLINK("https://financialaid.dartmouth.edu/cost-attendance/net-price-calculator", "$10989")</f>
        <v>$10989</v>
      </c>
      <c r="T598" s="20">
        <v>6199</v>
      </c>
      <c r="U598" s="20">
        <v>18324</v>
      </c>
      <c r="V598" s="20">
        <v>3300</v>
      </c>
      <c r="W598" s="20">
        <v>7689</v>
      </c>
      <c r="X598" s="18" t="s">
        <v>37</v>
      </c>
      <c r="Y598" s="19">
        <v>0.14899999999999999</v>
      </c>
      <c r="Z598" s="19">
        <v>0.49780000000000002</v>
      </c>
      <c r="AA598" s="18" t="s">
        <v>37</v>
      </c>
      <c r="AB598" s="18">
        <v>4315</v>
      </c>
      <c r="AC598" s="18">
        <v>1</v>
      </c>
    </row>
    <row r="599" spans="1:29" ht="15.75" customHeight="1" x14ac:dyDescent="0.2">
      <c r="A599" s="36" t="str">
        <f>HYPERLINK("https://www.davenport.edu", "Davenport University")</f>
        <v>Davenport University</v>
      </c>
      <c r="B599" s="18" t="s">
        <v>32</v>
      </c>
      <c r="C599" s="18" t="s">
        <v>226</v>
      </c>
      <c r="D599" s="18" t="s">
        <v>321</v>
      </c>
      <c r="E599" s="18" t="s">
        <v>36</v>
      </c>
      <c r="F599" s="18" t="s">
        <v>90</v>
      </c>
      <c r="J599" s="19"/>
      <c r="K599" s="19">
        <v>0.44369999999999998</v>
      </c>
      <c r="L599" s="19">
        <v>0.17059748399999999</v>
      </c>
      <c r="M599" s="19">
        <v>0.49830000000000002</v>
      </c>
      <c r="N599" s="19">
        <v>0.13639999999999999</v>
      </c>
      <c r="O599" s="19">
        <v>0.5</v>
      </c>
      <c r="P599" s="19">
        <v>0.42859999999999998</v>
      </c>
      <c r="Q599" s="19"/>
      <c r="R599" s="20">
        <v>30682</v>
      </c>
      <c r="S599" s="21" t="str">
        <f>HYPERLINK("https://davenport.studentaidcalculator.com/survey.aspx", "$16837")</f>
        <v>$16837</v>
      </c>
      <c r="T599" s="20">
        <v>22142</v>
      </c>
      <c r="U599" s="20">
        <v>22036</v>
      </c>
      <c r="V599" s="20">
        <v>3222</v>
      </c>
      <c r="W599" s="20">
        <v>13615</v>
      </c>
      <c r="Y599" s="19">
        <v>0.40329999999999999</v>
      </c>
      <c r="Z599" s="19">
        <v>0.30830000000000002</v>
      </c>
      <c r="AB599" s="18">
        <v>5030</v>
      </c>
      <c r="AC599" s="18">
        <v>5</v>
      </c>
    </row>
    <row r="600" spans="1:29" ht="15.75" customHeight="1" x14ac:dyDescent="0.2">
      <c r="A600" s="36" t="str">
        <f>HYPERLINK("Not reported", "Davenport University - Treasury Site Dimondale")</f>
        <v>Davenport University - Treasury Site Dimondale</v>
      </c>
      <c r="B600" s="18" t="s">
        <v>32</v>
      </c>
      <c r="C600" s="18" t="s">
        <v>226</v>
      </c>
      <c r="D600" s="18" t="s">
        <v>703</v>
      </c>
      <c r="E600" s="18" t="s">
        <v>36</v>
      </c>
      <c r="F600" s="18" t="s">
        <v>36</v>
      </c>
      <c r="J600" s="19"/>
      <c r="K600" s="19" t="s">
        <v>36</v>
      </c>
      <c r="L600" s="19">
        <v>0.17059748399999999</v>
      </c>
      <c r="M600" s="19" t="s">
        <v>36</v>
      </c>
      <c r="N600" s="19" t="s">
        <v>36</v>
      </c>
      <c r="O600" s="19" t="s">
        <v>36</v>
      </c>
      <c r="P600" s="19" t="s">
        <v>36</v>
      </c>
      <c r="Q600" s="19"/>
      <c r="R600" s="20" t="s">
        <v>36</v>
      </c>
      <c r="S600" s="35" t="s">
        <v>36</v>
      </c>
      <c r="T600" s="20" t="s">
        <v>36</v>
      </c>
      <c r="U600" s="20" t="s">
        <v>36</v>
      </c>
      <c r="V600" s="20" t="s">
        <v>36</v>
      </c>
      <c r="W600" s="20" t="s">
        <v>36</v>
      </c>
      <c r="Y600" s="19" t="s">
        <v>36</v>
      </c>
      <c r="Z600" s="19" t="s">
        <v>36</v>
      </c>
      <c r="AB600" s="18" t="s">
        <v>36</v>
      </c>
      <c r="AC600" s="18">
        <v>5</v>
      </c>
    </row>
    <row r="601" spans="1:29" ht="15.75" customHeight="1" x14ac:dyDescent="0.2">
      <c r="A601" s="36" t="str">
        <f>HYPERLINK("https://www.davenport.edu", "Davenport University-Flint Location")</f>
        <v>Davenport University-Flint Location</v>
      </c>
      <c r="B601" s="18" t="s">
        <v>32</v>
      </c>
      <c r="C601" s="18" t="s">
        <v>226</v>
      </c>
      <c r="D601" s="18" t="s">
        <v>704</v>
      </c>
      <c r="E601" s="18" t="s">
        <v>36</v>
      </c>
      <c r="F601" s="18" t="s">
        <v>36</v>
      </c>
      <c r="J601" s="19"/>
      <c r="K601" s="19" t="s">
        <v>36</v>
      </c>
      <c r="L601" s="19">
        <v>0.17059748399999999</v>
      </c>
      <c r="M601" s="19" t="s">
        <v>36</v>
      </c>
      <c r="N601" s="19" t="s">
        <v>36</v>
      </c>
      <c r="O601" s="19" t="s">
        <v>36</v>
      </c>
      <c r="P601" s="19" t="s">
        <v>36</v>
      </c>
      <c r="Q601" s="19"/>
      <c r="R601" s="20" t="s">
        <v>36</v>
      </c>
      <c r="S601" s="35" t="s">
        <v>36</v>
      </c>
      <c r="T601" s="20" t="s">
        <v>36</v>
      </c>
      <c r="U601" s="20" t="s">
        <v>36</v>
      </c>
      <c r="V601" s="20" t="s">
        <v>36</v>
      </c>
      <c r="W601" s="20" t="s">
        <v>36</v>
      </c>
      <c r="Y601" s="19" t="s">
        <v>36</v>
      </c>
      <c r="Z601" s="19" t="s">
        <v>36</v>
      </c>
      <c r="AB601" s="18" t="s">
        <v>36</v>
      </c>
      <c r="AC601" s="18">
        <v>5</v>
      </c>
    </row>
    <row r="602" spans="1:29" ht="15.75" customHeight="1" x14ac:dyDescent="0.2">
      <c r="A602" s="36" t="str">
        <f>HYPERLINK("https://davenport.edu", "Davenport University-Grand Rapids Downtown")</f>
        <v>Davenport University-Grand Rapids Downtown</v>
      </c>
      <c r="B602" s="18" t="s">
        <v>32</v>
      </c>
      <c r="C602" s="18" t="s">
        <v>226</v>
      </c>
      <c r="D602" s="18" t="s">
        <v>321</v>
      </c>
      <c r="E602" s="18" t="s">
        <v>36</v>
      </c>
      <c r="F602" s="18" t="s">
        <v>36</v>
      </c>
      <c r="J602" s="19"/>
      <c r="K602" s="19" t="s">
        <v>36</v>
      </c>
      <c r="L602" s="19">
        <v>0.17059748399999999</v>
      </c>
      <c r="M602" s="19" t="s">
        <v>36</v>
      </c>
      <c r="N602" s="19" t="s">
        <v>36</v>
      </c>
      <c r="O602" s="19" t="s">
        <v>36</v>
      </c>
      <c r="P602" s="19" t="s">
        <v>36</v>
      </c>
      <c r="Q602" s="19"/>
      <c r="R602" s="20" t="s">
        <v>36</v>
      </c>
      <c r="S602" s="35" t="s">
        <v>36</v>
      </c>
      <c r="T602" s="20" t="s">
        <v>36</v>
      </c>
      <c r="U602" s="20" t="s">
        <v>36</v>
      </c>
      <c r="V602" s="20" t="s">
        <v>36</v>
      </c>
      <c r="W602" s="20" t="s">
        <v>36</v>
      </c>
      <c r="Y602" s="19" t="s">
        <v>36</v>
      </c>
      <c r="Z602" s="19" t="s">
        <v>36</v>
      </c>
      <c r="AB602" s="18" t="s">
        <v>36</v>
      </c>
      <c r="AC602" s="18">
        <v>5</v>
      </c>
    </row>
    <row r="603" spans="1:29" ht="15.75" customHeight="1" x14ac:dyDescent="0.2">
      <c r="A603" s="36" t="str">
        <f>HYPERLINK("https://www.davenport.edu", "Davenport University-Holland Location")</f>
        <v>Davenport University-Holland Location</v>
      </c>
      <c r="B603" s="18" t="s">
        <v>32</v>
      </c>
      <c r="C603" s="18" t="s">
        <v>226</v>
      </c>
      <c r="D603" s="18" t="s">
        <v>380</v>
      </c>
      <c r="E603" s="18" t="s">
        <v>36</v>
      </c>
      <c r="F603" s="18" t="s">
        <v>36</v>
      </c>
      <c r="J603" s="19"/>
      <c r="K603" s="19" t="s">
        <v>36</v>
      </c>
      <c r="L603" s="19">
        <v>0.17059748399999999</v>
      </c>
      <c r="M603" s="19" t="s">
        <v>36</v>
      </c>
      <c r="N603" s="19" t="s">
        <v>36</v>
      </c>
      <c r="O603" s="19" t="s">
        <v>36</v>
      </c>
      <c r="P603" s="19" t="s">
        <v>36</v>
      </c>
      <c r="Q603" s="19"/>
      <c r="R603" s="20" t="s">
        <v>36</v>
      </c>
      <c r="S603" s="35" t="s">
        <v>36</v>
      </c>
      <c r="T603" s="20" t="s">
        <v>36</v>
      </c>
      <c r="U603" s="20" t="s">
        <v>36</v>
      </c>
      <c r="V603" s="20" t="s">
        <v>36</v>
      </c>
      <c r="W603" s="20" t="s">
        <v>36</v>
      </c>
      <c r="Y603" s="19" t="s">
        <v>36</v>
      </c>
      <c r="Z603" s="19" t="s">
        <v>36</v>
      </c>
      <c r="AB603" s="18" t="s">
        <v>36</v>
      </c>
      <c r="AC603" s="18">
        <v>5</v>
      </c>
    </row>
    <row r="604" spans="1:29" ht="15.75" customHeight="1" x14ac:dyDescent="0.2">
      <c r="A604" s="36" t="str">
        <f>HYPERLINK("https://www.davenport.edu", "Davenport University-Kalamazoo Location")</f>
        <v>Davenport University-Kalamazoo Location</v>
      </c>
      <c r="B604" s="18" t="s">
        <v>32</v>
      </c>
      <c r="C604" s="18" t="s">
        <v>226</v>
      </c>
      <c r="D604" s="18" t="s">
        <v>227</v>
      </c>
      <c r="E604" s="18" t="s">
        <v>36</v>
      </c>
      <c r="F604" s="18" t="s">
        <v>36</v>
      </c>
      <c r="J604" s="19"/>
      <c r="K604" s="19" t="s">
        <v>36</v>
      </c>
      <c r="L604" s="19">
        <v>0.17059748399999999</v>
      </c>
      <c r="M604" s="19" t="s">
        <v>36</v>
      </c>
      <c r="N604" s="19" t="s">
        <v>36</v>
      </c>
      <c r="O604" s="19" t="s">
        <v>36</v>
      </c>
      <c r="P604" s="19" t="s">
        <v>36</v>
      </c>
      <c r="Q604" s="19"/>
      <c r="R604" s="20" t="s">
        <v>36</v>
      </c>
      <c r="S604" s="35" t="s">
        <v>36</v>
      </c>
      <c r="T604" s="20" t="s">
        <v>36</v>
      </c>
      <c r="U604" s="20" t="s">
        <v>36</v>
      </c>
      <c r="V604" s="20" t="s">
        <v>36</v>
      </c>
      <c r="W604" s="20" t="s">
        <v>36</v>
      </c>
      <c r="Y604" s="19" t="s">
        <v>36</v>
      </c>
      <c r="Z604" s="19" t="s">
        <v>36</v>
      </c>
      <c r="AB604" s="18" t="s">
        <v>36</v>
      </c>
      <c r="AC604" s="18">
        <v>5</v>
      </c>
    </row>
    <row r="605" spans="1:29" ht="15.75" customHeight="1" x14ac:dyDescent="0.2">
      <c r="A605" s="36" t="str">
        <f>HYPERLINK("https://www.davenport.edu", "Davenport University-Lansing Location")</f>
        <v>Davenport University-Lansing Location</v>
      </c>
      <c r="B605" s="18" t="s">
        <v>32</v>
      </c>
      <c r="C605" s="18" t="s">
        <v>226</v>
      </c>
      <c r="D605" s="18" t="s">
        <v>708</v>
      </c>
      <c r="E605" s="18" t="s">
        <v>36</v>
      </c>
      <c r="F605" s="18" t="s">
        <v>36</v>
      </c>
      <c r="J605" s="19"/>
      <c r="K605" s="19" t="s">
        <v>36</v>
      </c>
      <c r="L605" s="19">
        <v>0.17059748399999999</v>
      </c>
      <c r="M605" s="19" t="s">
        <v>36</v>
      </c>
      <c r="N605" s="19" t="s">
        <v>36</v>
      </c>
      <c r="O605" s="19" t="s">
        <v>36</v>
      </c>
      <c r="P605" s="19" t="s">
        <v>36</v>
      </c>
      <c r="Q605" s="19"/>
      <c r="R605" s="20" t="s">
        <v>36</v>
      </c>
      <c r="S605" s="35" t="s">
        <v>36</v>
      </c>
      <c r="T605" s="20" t="s">
        <v>36</v>
      </c>
      <c r="U605" s="20" t="s">
        <v>36</v>
      </c>
      <c r="V605" s="20" t="s">
        <v>36</v>
      </c>
      <c r="W605" s="20" t="s">
        <v>36</v>
      </c>
      <c r="Y605" s="19" t="s">
        <v>36</v>
      </c>
      <c r="Z605" s="19" t="s">
        <v>36</v>
      </c>
      <c r="AB605" s="18" t="s">
        <v>36</v>
      </c>
      <c r="AC605" s="18">
        <v>5</v>
      </c>
    </row>
    <row r="606" spans="1:29" ht="15.75" customHeight="1" x14ac:dyDescent="0.2">
      <c r="A606" s="36" t="str">
        <f>HYPERLINK("https://www.davenport.edu", "Davenport University-Livonia Location")</f>
        <v>Davenport University-Livonia Location</v>
      </c>
      <c r="B606" s="18" t="s">
        <v>32</v>
      </c>
      <c r="C606" s="18" t="s">
        <v>226</v>
      </c>
      <c r="D606" s="18" t="s">
        <v>401</v>
      </c>
      <c r="E606" s="18" t="s">
        <v>36</v>
      </c>
      <c r="F606" s="18" t="s">
        <v>36</v>
      </c>
      <c r="J606" s="19"/>
      <c r="K606" s="19" t="s">
        <v>36</v>
      </c>
      <c r="L606" s="19">
        <v>0.17059748399999999</v>
      </c>
      <c r="M606" s="19" t="s">
        <v>36</v>
      </c>
      <c r="N606" s="19" t="s">
        <v>36</v>
      </c>
      <c r="O606" s="19" t="s">
        <v>36</v>
      </c>
      <c r="P606" s="19" t="s">
        <v>36</v>
      </c>
      <c r="Q606" s="19"/>
      <c r="R606" s="20" t="s">
        <v>36</v>
      </c>
      <c r="S606" s="35" t="s">
        <v>36</v>
      </c>
      <c r="T606" s="20" t="s">
        <v>36</v>
      </c>
      <c r="U606" s="20" t="s">
        <v>36</v>
      </c>
      <c r="V606" s="20" t="s">
        <v>36</v>
      </c>
      <c r="W606" s="20" t="s">
        <v>36</v>
      </c>
      <c r="Y606" s="19" t="s">
        <v>36</v>
      </c>
      <c r="Z606" s="19" t="s">
        <v>36</v>
      </c>
      <c r="AB606" s="18" t="s">
        <v>36</v>
      </c>
      <c r="AC606" s="18">
        <v>5</v>
      </c>
    </row>
    <row r="607" spans="1:29" ht="15.75" customHeight="1" x14ac:dyDescent="0.2">
      <c r="A607" s="36" t="str">
        <f>HYPERLINK("https://www.davenport.edu", "Davenport University-Midland Location")</f>
        <v>Davenport University-Midland Location</v>
      </c>
      <c r="B607" s="18" t="s">
        <v>32</v>
      </c>
      <c r="C607" s="18" t="s">
        <v>226</v>
      </c>
      <c r="D607" s="18" t="s">
        <v>710</v>
      </c>
      <c r="E607" s="18" t="s">
        <v>36</v>
      </c>
      <c r="F607" s="18" t="s">
        <v>36</v>
      </c>
      <c r="J607" s="19"/>
      <c r="K607" s="19" t="s">
        <v>36</v>
      </c>
      <c r="L607" s="19">
        <v>0.17059748399999999</v>
      </c>
      <c r="M607" s="19" t="s">
        <v>36</v>
      </c>
      <c r="N607" s="19" t="s">
        <v>36</v>
      </c>
      <c r="O607" s="19" t="s">
        <v>36</v>
      </c>
      <c r="P607" s="19" t="s">
        <v>36</v>
      </c>
      <c r="Q607" s="19"/>
      <c r="R607" s="20" t="s">
        <v>36</v>
      </c>
      <c r="S607" s="35" t="s">
        <v>36</v>
      </c>
      <c r="T607" s="20" t="s">
        <v>36</v>
      </c>
      <c r="U607" s="20" t="s">
        <v>36</v>
      </c>
      <c r="V607" s="20" t="s">
        <v>36</v>
      </c>
      <c r="W607" s="20" t="s">
        <v>36</v>
      </c>
      <c r="Y607" s="19" t="s">
        <v>36</v>
      </c>
      <c r="Z607" s="19" t="s">
        <v>36</v>
      </c>
      <c r="AB607" s="18" t="s">
        <v>36</v>
      </c>
      <c r="AC607" s="18">
        <v>5</v>
      </c>
    </row>
    <row r="608" spans="1:29" ht="15.75" customHeight="1" x14ac:dyDescent="0.2">
      <c r="A608" s="36" t="str">
        <f>HYPERLINK("https://www.davenport.edu", "Davenport University-Traverse City Location")</f>
        <v>Davenport University-Traverse City Location</v>
      </c>
      <c r="B608" s="18" t="s">
        <v>32</v>
      </c>
      <c r="C608" s="18" t="s">
        <v>226</v>
      </c>
      <c r="D608" s="18" t="s">
        <v>711</v>
      </c>
      <c r="E608" s="18" t="s">
        <v>36</v>
      </c>
      <c r="F608" s="18" t="s">
        <v>36</v>
      </c>
      <c r="J608" s="19"/>
      <c r="K608" s="19" t="s">
        <v>36</v>
      </c>
      <c r="L608" s="19">
        <v>0.17059748399999999</v>
      </c>
      <c r="M608" s="19" t="s">
        <v>36</v>
      </c>
      <c r="N608" s="19" t="s">
        <v>36</v>
      </c>
      <c r="O608" s="19" t="s">
        <v>36</v>
      </c>
      <c r="P608" s="19" t="s">
        <v>36</v>
      </c>
      <c r="Q608" s="19"/>
      <c r="R608" s="20" t="s">
        <v>36</v>
      </c>
      <c r="S608" s="35" t="s">
        <v>36</v>
      </c>
      <c r="T608" s="20" t="s">
        <v>36</v>
      </c>
      <c r="U608" s="20" t="s">
        <v>36</v>
      </c>
      <c r="V608" s="20" t="s">
        <v>36</v>
      </c>
      <c r="W608" s="20" t="s">
        <v>36</v>
      </c>
      <c r="Y608" s="19" t="s">
        <v>36</v>
      </c>
      <c r="Z608" s="19" t="s">
        <v>36</v>
      </c>
      <c r="AB608" s="18" t="s">
        <v>36</v>
      </c>
      <c r="AC608" s="18">
        <v>5</v>
      </c>
    </row>
    <row r="609" spans="1:29" ht="15.75" customHeight="1" x14ac:dyDescent="0.2">
      <c r="A609" s="36" t="str">
        <f>HYPERLINK("https://www.davenport.edu", "Davenport University-Warren Location")</f>
        <v>Davenport University-Warren Location</v>
      </c>
      <c r="B609" s="18" t="s">
        <v>32</v>
      </c>
      <c r="C609" s="18" t="s">
        <v>226</v>
      </c>
      <c r="D609" s="18" t="s">
        <v>713</v>
      </c>
      <c r="E609" s="18" t="s">
        <v>36</v>
      </c>
      <c r="F609" s="18" t="s">
        <v>36</v>
      </c>
      <c r="J609" s="19"/>
      <c r="K609" s="19" t="s">
        <v>36</v>
      </c>
      <c r="L609" s="19">
        <v>0.17059748399999999</v>
      </c>
      <c r="M609" s="19" t="s">
        <v>36</v>
      </c>
      <c r="N609" s="19" t="s">
        <v>36</v>
      </c>
      <c r="O609" s="19" t="s">
        <v>36</v>
      </c>
      <c r="P609" s="19" t="s">
        <v>36</v>
      </c>
      <c r="Q609" s="19"/>
      <c r="R609" s="20" t="s">
        <v>36</v>
      </c>
      <c r="S609" s="35" t="s">
        <v>36</v>
      </c>
      <c r="T609" s="20" t="s">
        <v>36</v>
      </c>
      <c r="U609" s="20" t="s">
        <v>36</v>
      </c>
      <c r="V609" s="20" t="s">
        <v>36</v>
      </c>
      <c r="W609" s="20" t="s">
        <v>36</v>
      </c>
      <c r="Y609" s="19" t="s">
        <v>36</v>
      </c>
      <c r="Z609" s="19" t="s">
        <v>36</v>
      </c>
      <c r="AB609" s="18" t="s">
        <v>36</v>
      </c>
      <c r="AC609" s="18">
        <v>5</v>
      </c>
    </row>
    <row r="610" spans="1:29" ht="15.75" customHeight="1" x14ac:dyDescent="0.2">
      <c r="A610" s="36" t="str">
        <f>HYPERLINK("https://www.davidson.edu/", "Davidson College")</f>
        <v>Davidson College</v>
      </c>
      <c r="B610" s="18" t="s">
        <v>32</v>
      </c>
      <c r="C610" s="18" t="s">
        <v>103</v>
      </c>
      <c r="D610" s="18" t="s">
        <v>104</v>
      </c>
      <c r="E610" s="18">
        <v>1423</v>
      </c>
      <c r="F610" s="18" t="s">
        <v>35</v>
      </c>
      <c r="J610" s="19"/>
      <c r="K610" s="19">
        <v>0.90780000000000005</v>
      </c>
      <c r="L610" s="19" t="s">
        <v>36</v>
      </c>
      <c r="M610" s="19">
        <v>0.92090000000000005</v>
      </c>
      <c r="N610" s="19">
        <v>0.78569999999999995</v>
      </c>
      <c r="O610" s="19">
        <v>0.92859999999999998</v>
      </c>
      <c r="P610" s="19">
        <v>0.9</v>
      </c>
      <c r="Q610" s="19"/>
      <c r="R610" s="20">
        <v>66678</v>
      </c>
      <c r="S610" s="21" t="str">
        <f>HYPERLINK("https://www.davidson.edu/admission-and-financial-aid/financial-aid/net-price-calculator", "$7483")</f>
        <v>$7483</v>
      </c>
      <c r="T610" s="20">
        <v>13225</v>
      </c>
      <c r="U610" s="20">
        <v>17187</v>
      </c>
      <c r="V610" s="20">
        <v>2775</v>
      </c>
      <c r="W610" s="20">
        <v>4708</v>
      </c>
      <c r="X610" s="18" t="s">
        <v>37</v>
      </c>
      <c r="Y610" s="19">
        <v>0.15310000000000001</v>
      </c>
      <c r="Z610" s="19">
        <v>0.3256</v>
      </c>
      <c r="AB610" s="18">
        <v>1800</v>
      </c>
      <c r="AC610" s="18">
        <v>1</v>
      </c>
    </row>
    <row r="611" spans="1:29" ht="15.75" customHeight="1" x14ac:dyDescent="0.2">
      <c r="A611" s="36" t="str">
        <f>HYPERLINK("https://www.dewv.edu", "Davis &amp; Elkins College")</f>
        <v>Davis &amp; Elkins College</v>
      </c>
      <c r="B611" s="18" t="s">
        <v>32</v>
      </c>
      <c r="C611" s="18" t="s">
        <v>574</v>
      </c>
      <c r="D611" s="18" t="s">
        <v>699</v>
      </c>
      <c r="E611" s="18">
        <v>1007</v>
      </c>
      <c r="F611" s="18" t="s">
        <v>35</v>
      </c>
      <c r="J611" s="19"/>
      <c r="K611" s="19">
        <v>0.42170000000000002</v>
      </c>
      <c r="L611" s="19">
        <v>0.4</v>
      </c>
      <c r="M611" s="19">
        <v>0.43140000000000001</v>
      </c>
      <c r="N611" s="19">
        <v>0.21429999999999999</v>
      </c>
      <c r="O611" s="19">
        <v>0</v>
      </c>
      <c r="P611" s="19">
        <v>0.66669999999999996</v>
      </c>
      <c r="Q611" s="19"/>
      <c r="R611" s="20">
        <v>42396</v>
      </c>
      <c r="S611" s="21" t="str">
        <f>HYPERLINK("https://www.dewv.edu/calculator", "$14168")</f>
        <v>$14168</v>
      </c>
      <c r="T611" s="20">
        <v>15715</v>
      </c>
      <c r="U611" s="20">
        <v>20247</v>
      </c>
      <c r="V611" s="20">
        <v>4154</v>
      </c>
      <c r="W611" s="20">
        <v>10014</v>
      </c>
      <c r="Y611" s="19">
        <v>0.40989999999999999</v>
      </c>
      <c r="Z611" s="19">
        <v>0.45889999999999997</v>
      </c>
      <c r="AB611" s="18">
        <v>791</v>
      </c>
      <c r="AC611" s="18">
        <v>4</v>
      </c>
    </row>
    <row r="612" spans="1:29" ht="15.75" customHeight="1" x14ac:dyDescent="0.2">
      <c r="A612" s="36" t="str">
        <f>HYPERLINK("https://www.daviscollege.edu", "Davis College")</f>
        <v>Davis College</v>
      </c>
      <c r="B612" s="18" t="s">
        <v>368</v>
      </c>
      <c r="C612" s="18" t="s">
        <v>75</v>
      </c>
      <c r="D612" s="18" t="s">
        <v>1256</v>
      </c>
      <c r="E612" s="18" t="s">
        <v>36</v>
      </c>
      <c r="F612" s="18" t="s">
        <v>36</v>
      </c>
      <c r="J612" s="19"/>
      <c r="K612" s="19">
        <v>0.25</v>
      </c>
      <c r="L612" s="19">
        <v>0.184397163</v>
      </c>
      <c r="M612" s="19">
        <v>0</v>
      </c>
      <c r="N612" s="19">
        <v>0.5</v>
      </c>
      <c r="O612" s="19" t="s">
        <v>36</v>
      </c>
      <c r="P612" s="19" t="s">
        <v>36</v>
      </c>
      <c r="Q612" s="19" t="s">
        <v>36</v>
      </c>
      <c r="R612" s="20">
        <v>29838</v>
      </c>
      <c r="S612" s="21" t="str">
        <f>HYPERLINK("https://www.daviscollege.edu/npcalc.html", "$23581")</f>
        <v>$23581</v>
      </c>
      <c r="T612" s="20" t="s">
        <v>36</v>
      </c>
      <c r="U612" s="20" t="s">
        <v>36</v>
      </c>
      <c r="V612" s="20">
        <v>7584</v>
      </c>
      <c r="W612" s="20">
        <v>15997</v>
      </c>
      <c r="Y612" s="19">
        <v>0.78949999999999998</v>
      </c>
      <c r="Z612" s="19">
        <v>0.46150000000000002</v>
      </c>
      <c r="AB612" s="18">
        <v>91</v>
      </c>
      <c r="AC612" s="18">
        <v>6</v>
      </c>
    </row>
    <row r="613" spans="1:29" ht="15.75" customHeight="1" x14ac:dyDescent="0.2">
      <c r="A613" s="36" t="str">
        <f>HYPERLINK("https://www.dawson.edu", "Dawson Community College")</f>
        <v>Dawson Community College</v>
      </c>
      <c r="B613" s="18" t="s">
        <v>49</v>
      </c>
      <c r="C613" s="18" t="s">
        <v>421</v>
      </c>
      <c r="D613" s="18" t="s">
        <v>1257</v>
      </c>
      <c r="E613" s="18" t="s">
        <v>36</v>
      </c>
      <c r="F613" s="18" t="s">
        <v>36</v>
      </c>
      <c r="J613" s="19"/>
      <c r="K613" s="19">
        <v>0.3735</v>
      </c>
      <c r="L613" s="19">
        <v>0.19444444399999999</v>
      </c>
      <c r="M613" s="19">
        <v>0.43330000000000002</v>
      </c>
      <c r="N613" s="19">
        <v>0.2</v>
      </c>
      <c r="O613" s="19">
        <v>0.6</v>
      </c>
      <c r="P613" s="19">
        <v>0.5</v>
      </c>
      <c r="Q613" s="19">
        <v>6.2111800999999987E-2</v>
      </c>
      <c r="R613" s="20">
        <v>19245</v>
      </c>
      <c r="S613" s="21" t="str">
        <f>HYPERLINK("https://www.dawson.edu/future/financial-aid/net-price-calculator/", "$14044")</f>
        <v>$14044</v>
      </c>
      <c r="T613" s="20">
        <v>18337</v>
      </c>
      <c r="U613" s="20">
        <v>17102</v>
      </c>
      <c r="V613" s="20">
        <v>5400</v>
      </c>
      <c r="W613" s="20">
        <v>8644.5</v>
      </c>
      <c r="Y613" s="19">
        <v>0.30299999999999999</v>
      </c>
      <c r="Z613" s="19">
        <v>0.27979999999999999</v>
      </c>
      <c r="AB613" s="18">
        <v>243</v>
      </c>
      <c r="AC613" s="18">
        <v>6</v>
      </c>
    </row>
    <row r="614" spans="1:29" ht="15.75" customHeight="1" x14ac:dyDescent="0.2">
      <c r="A614" s="36" t="str">
        <f>HYPERLINK("https://www.daymarcollege.edu", "Daymar College-Owensboro")</f>
        <v>Daymar College-Owensboro</v>
      </c>
      <c r="B614" s="18" t="s">
        <v>368</v>
      </c>
      <c r="C614" s="18" t="s">
        <v>205</v>
      </c>
      <c r="D614" s="18" t="s">
        <v>586</v>
      </c>
      <c r="E614" s="18" t="s">
        <v>36</v>
      </c>
      <c r="F614" s="18" t="s">
        <v>36</v>
      </c>
      <c r="J614" s="19"/>
      <c r="K614" s="19">
        <v>0.33329999999999999</v>
      </c>
      <c r="L614" s="19">
        <v>0.249429224</v>
      </c>
      <c r="M614" s="19">
        <v>0.3846</v>
      </c>
      <c r="N614" s="19">
        <v>0</v>
      </c>
      <c r="O614" s="19" t="s">
        <v>36</v>
      </c>
      <c r="P614" s="19" t="s">
        <v>36</v>
      </c>
      <c r="Q614" s="19">
        <v>3.2258065000000002E-2</v>
      </c>
      <c r="R614" s="20">
        <v>26988</v>
      </c>
      <c r="S614" s="21" t="str">
        <f>HYPERLINK("https://www.daymarcollege.edu/admissions/net-price-calculator/", "$20551")</f>
        <v>$20551</v>
      </c>
      <c r="T614" s="20" t="s">
        <v>36</v>
      </c>
      <c r="U614" s="20" t="s">
        <v>36</v>
      </c>
      <c r="V614" s="20" t="s">
        <v>36</v>
      </c>
      <c r="W614" s="20" t="s">
        <v>36</v>
      </c>
      <c r="Y614" s="19">
        <v>0.91549999999999998</v>
      </c>
      <c r="Z614" s="19">
        <v>0.1429</v>
      </c>
      <c r="AB614" s="18">
        <v>14</v>
      </c>
      <c r="AC614" s="18">
        <v>6</v>
      </c>
    </row>
    <row r="615" spans="1:29" ht="15.75" customHeight="1" x14ac:dyDescent="0.2">
      <c r="A615" s="36" t="str">
        <f>HYPERLINK("https://www.DaytonaState.edu", "Daytona State College")</f>
        <v>Daytona State College</v>
      </c>
      <c r="B615" s="18" t="s">
        <v>49</v>
      </c>
      <c r="C615" s="18" t="s">
        <v>162</v>
      </c>
      <c r="D615" s="18" t="s">
        <v>578</v>
      </c>
      <c r="E615" s="18" t="s">
        <v>36</v>
      </c>
      <c r="F615" s="18" t="s">
        <v>36</v>
      </c>
      <c r="J615" s="19"/>
      <c r="K615" s="19">
        <v>0.35759999999999997</v>
      </c>
      <c r="L615" s="19">
        <v>0.29061284100000001</v>
      </c>
      <c r="M615" s="19">
        <v>0.40799999999999997</v>
      </c>
      <c r="N615" s="19">
        <v>0.15840000000000001</v>
      </c>
      <c r="O615" s="19">
        <v>0.3095</v>
      </c>
      <c r="P615" s="19">
        <v>0.4</v>
      </c>
      <c r="Q615" s="19">
        <v>6.1041293000000003E-2</v>
      </c>
      <c r="R615" s="20">
        <v>22298</v>
      </c>
      <c r="S615" s="21" t="str">
        <f>HYPERLINK("https://www.daytonastate.edu/finaid/calculator.html", "$17705")</f>
        <v>$17705</v>
      </c>
      <c r="T615" s="20">
        <v>20143</v>
      </c>
      <c r="U615" s="20">
        <v>21974</v>
      </c>
      <c r="V615" s="20">
        <v>4300</v>
      </c>
      <c r="W615" s="20">
        <v>13405.469613259669</v>
      </c>
      <c r="Y615" s="19">
        <v>0.40760000000000002</v>
      </c>
      <c r="Z615" s="19">
        <v>0.375</v>
      </c>
      <c r="AB615" s="18">
        <v>10892</v>
      </c>
      <c r="AC615" s="18">
        <v>6</v>
      </c>
    </row>
    <row r="616" spans="1:29" ht="15.75" customHeight="1" x14ac:dyDescent="0.2">
      <c r="A616" s="36" t="str">
        <f>HYPERLINK("https://www.deanza.edu/", "De Anza College")</f>
        <v>De Anza College</v>
      </c>
      <c r="B616" s="18" t="s">
        <v>49</v>
      </c>
      <c r="C616" s="18" t="s">
        <v>68</v>
      </c>
      <c r="D616" s="18" t="s">
        <v>1260</v>
      </c>
      <c r="E616" s="18" t="s">
        <v>36</v>
      </c>
      <c r="F616" s="18" t="s">
        <v>36</v>
      </c>
      <c r="J616" s="19"/>
      <c r="K616" s="19">
        <v>0.62380000000000002</v>
      </c>
      <c r="L616" s="19" t="s">
        <v>36</v>
      </c>
      <c r="M616" s="19">
        <v>0.59060000000000001</v>
      </c>
      <c r="N616" s="19">
        <v>0.48649999999999999</v>
      </c>
      <c r="O616" s="19">
        <v>0.43930000000000002</v>
      </c>
      <c r="P616" s="19">
        <v>0.73560000000000003</v>
      </c>
      <c r="Q616" s="19">
        <v>0.25537634399999998</v>
      </c>
      <c r="R616" s="20">
        <v>28408</v>
      </c>
      <c r="S616" s="21" t="str">
        <f>HYPERLINK("https://misweb.cccco.edu/npc/421/npcalc.htm", "$21690")</f>
        <v>$21690</v>
      </c>
      <c r="T616" s="20">
        <v>24932</v>
      </c>
      <c r="U616" s="20">
        <v>26306</v>
      </c>
      <c r="V616" s="20">
        <v>6363</v>
      </c>
      <c r="W616" s="20">
        <v>15327.841423948221</v>
      </c>
      <c r="Y616" s="19">
        <v>0.17949999999999999</v>
      </c>
      <c r="Z616" s="19">
        <v>0.81469999999999998</v>
      </c>
      <c r="AB616" s="18">
        <v>18183</v>
      </c>
      <c r="AC616" s="18">
        <v>6</v>
      </c>
    </row>
    <row r="617" spans="1:29" ht="15.75" customHeight="1" x14ac:dyDescent="0.2">
      <c r="A617" s="36" t="str">
        <f>HYPERLINK("https://www.depaul.edu", "DePaul University")</f>
        <v>DePaul University</v>
      </c>
      <c r="B617" s="18" t="s">
        <v>32</v>
      </c>
      <c r="C617" s="18" t="s">
        <v>137</v>
      </c>
      <c r="D617" s="18" t="s">
        <v>161</v>
      </c>
      <c r="E617" s="18" t="s">
        <v>36</v>
      </c>
      <c r="F617" s="18" t="s">
        <v>90</v>
      </c>
      <c r="J617" s="19"/>
      <c r="K617" s="19">
        <v>0.70820000000000005</v>
      </c>
      <c r="L617" s="19">
        <v>0.58027981399999995</v>
      </c>
      <c r="M617" s="19">
        <v>0.73770000000000002</v>
      </c>
      <c r="N617" s="19">
        <v>0.56330000000000002</v>
      </c>
      <c r="O617" s="19">
        <v>0.63380000000000003</v>
      </c>
      <c r="P617" s="19">
        <v>0.74619999999999997</v>
      </c>
      <c r="Q617" s="19"/>
      <c r="R617" s="20">
        <v>56275</v>
      </c>
      <c r="S617" s="21" t="str">
        <f>HYPERLINK("https://depaul.studentaidcalculator.com/survey.aspx", "$26301")</f>
        <v>$26301</v>
      </c>
      <c r="T617" s="20">
        <v>28589</v>
      </c>
      <c r="U617" s="20">
        <v>31047</v>
      </c>
      <c r="V617" s="20">
        <v>3468</v>
      </c>
      <c r="W617" s="20">
        <v>22833</v>
      </c>
      <c r="Y617" s="19">
        <v>0.32119999999999999</v>
      </c>
      <c r="Z617" s="19">
        <v>0.47299999999999998</v>
      </c>
      <c r="AB617" s="18">
        <v>14591</v>
      </c>
      <c r="AC617" s="18">
        <v>3</v>
      </c>
    </row>
    <row r="618" spans="1:29" ht="15.75" customHeight="1" x14ac:dyDescent="0.2">
      <c r="A618" s="36" t="str">
        <f>HYPERLINK("https://www.depauw.edu", "DePauw University")</f>
        <v>DePauw University</v>
      </c>
      <c r="B618" s="18" t="s">
        <v>32</v>
      </c>
      <c r="C618" s="18" t="s">
        <v>148</v>
      </c>
      <c r="D618" s="18" t="s">
        <v>346</v>
      </c>
      <c r="E618" s="18">
        <v>1248</v>
      </c>
      <c r="F618" s="18" t="s">
        <v>35</v>
      </c>
      <c r="J618" s="19"/>
      <c r="K618" s="19">
        <v>0.81159999999999999</v>
      </c>
      <c r="L618" s="19">
        <v>0.76623376599999993</v>
      </c>
      <c r="M618" s="19">
        <v>0.82250000000000001</v>
      </c>
      <c r="N618" s="19">
        <v>0.68569999999999998</v>
      </c>
      <c r="O618" s="19">
        <v>0.8</v>
      </c>
      <c r="P618" s="19">
        <v>0.75</v>
      </c>
      <c r="Q618" s="19"/>
      <c r="R618" s="20">
        <v>62567</v>
      </c>
      <c r="S618" s="21" t="str">
        <f>HYPERLINK("https://www.depauw.edu/admission/financial-aid/tuition-fees/net-price-calculator/", "$16098")</f>
        <v>$16098</v>
      </c>
      <c r="T618" s="20">
        <v>18056</v>
      </c>
      <c r="U618" s="20">
        <v>24110</v>
      </c>
      <c r="V618" s="20">
        <v>2200</v>
      </c>
      <c r="W618" s="20">
        <v>13898</v>
      </c>
      <c r="Y618" s="19">
        <v>0.18859999999999999</v>
      </c>
      <c r="Z618" s="19">
        <v>0.32150000000000001</v>
      </c>
      <c r="AB618" s="18">
        <v>2137</v>
      </c>
      <c r="AC618" s="18">
        <v>3</v>
      </c>
    </row>
    <row r="619" spans="1:29" ht="15.75" customHeight="1" x14ac:dyDescent="0.2">
      <c r="A619" s="36" t="str">
        <f>HYPERLINK("https://www.desales.edu", "DeSales University")</f>
        <v>DeSales University</v>
      </c>
      <c r="B619" s="18" t="s">
        <v>32</v>
      </c>
      <c r="C619" s="18" t="s">
        <v>65</v>
      </c>
      <c r="D619" s="18" t="s">
        <v>700</v>
      </c>
      <c r="E619" s="18">
        <v>1137</v>
      </c>
      <c r="F619" s="18" t="s">
        <v>35</v>
      </c>
      <c r="J619" s="19"/>
      <c r="K619" s="19">
        <v>0.70109999999999995</v>
      </c>
      <c r="L619" s="19">
        <v>0.169934641</v>
      </c>
      <c r="M619" s="19">
        <v>0.69689999999999996</v>
      </c>
      <c r="N619" s="19">
        <v>0.8</v>
      </c>
      <c r="O619" s="19">
        <v>0.6774</v>
      </c>
      <c r="P619" s="19">
        <v>0.63639999999999997</v>
      </c>
      <c r="Q619" s="19"/>
      <c r="R619" s="20">
        <v>52340</v>
      </c>
      <c r="S619" s="21" t="str">
        <f>HYPERLINK("https://cvweb02.desales.edu/costestimator/", "$22619")</f>
        <v>$22619</v>
      </c>
      <c r="T619" s="20">
        <v>25690</v>
      </c>
      <c r="U619" s="20">
        <v>28589</v>
      </c>
      <c r="V619" s="20">
        <v>3640</v>
      </c>
      <c r="W619" s="20">
        <v>18979</v>
      </c>
      <c r="Y619" s="19">
        <v>0.25130000000000002</v>
      </c>
      <c r="Z619" s="19">
        <v>0.28720000000000001</v>
      </c>
      <c r="AB619" s="18">
        <v>2291</v>
      </c>
      <c r="AC619" s="18">
        <v>4</v>
      </c>
    </row>
    <row r="620" spans="1:29" ht="15.75" customHeight="1" x14ac:dyDescent="0.2">
      <c r="A620" s="36" t="str">
        <f>HYPERLINK("https://www.devry.edu", "DeVry College of New York")</f>
        <v>DeVry College of New York</v>
      </c>
      <c r="B620" s="18" t="s">
        <v>368</v>
      </c>
      <c r="C620" s="18" t="s">
        <v>38</v>
      </c>
      <c r="D620" s="18" t="s">
        <v>39</v>
      </c>
      <c r="E620" s="18" t="s">
        <v>36</v>
      </c>
      <c r="F620" s="18" t="s">
        <v>90</v>
      </c>
      <c r="J620" s="19"/>
      <c r="K620" s="19">
        <v>0.25640000000000002</v>
      </c>
      <c r="L620" s="19">
        <v>0.13060224100000001</v>
      </c>
      <c r="M620" s="19">
        <v>0.71430000000000005</v>
      </c>
      <c r="N620" s="19">
        <v>0.27779999999999999</v>
      </c>
      <c r="O620" s="19">
        <v>0.2727</v>
      </c>
      <c r="P620" s="19">
        <v>0.4</v>
      </c>
      <c r="Q620" s="19"/>
      <c r="R620" s="20">
        <v>24940</v>
      </c>
      <c r="S620" s="21" t="str">
        <f>HYPERLINK("https://my.devry.edu/npc", "$29970")</f>
        <v>$29970</v>
      </c>
      <c r="T620" s="20" t="s">
        <v>36</v>
      </c>
      <c r="U620" s="20">
        <v>35979</v>
      </c>
      <c r="V620" s="20">
        <v>6920</v>
      </c>
      <c r="W620" s="20">
        <v>23050</v>
      </c>
      <c r="Y620" s="19">
        <v>0.60629999999999995</v>
      </c>
      <c r="Z620" s="19">
        <v>0.81169999999999998</v>
      </c>
      <c r="AB620" s="18">
        <v>940</v>
      </c>
      <c r="AC620" s="18">
        <v>5</v>
      </c>
    </row>
    <row r="621" spans="1:29" ht="15.75" customHeight="1" x14ac:dyDescent="0.2">
      <c r="A621" s="36" t="str">
        <f>HYPERLINK("https://www.devry.edu", "DeVry University-Arizona")</f>
        <v>DeVry University-Arizona</v>
      </c>
      <c r="B621" s="18" t="s">
        <v>368</v>
      </c>
      <c r="C621" s="18" t="s">
        <v>354</v>
      </c>
      <c r="D621" s="18" t="s">
        <v>369</v>
      </c>
      <c r="E621" s="18" t="s">
        <v>36</v>
      </c>
      <c r="F621" s="18" t="s">
        <v>90</v>
      </c>
      <c r="J621" s="19"/>
      <c r="K621" s="19">
        <v>0.25209999999999999</v>
      </c>
      <c r="L621" s="19">
        <v>0.13060224100000001</v>
      </c>
      <c r="M621" s="19">
        <v>0.28210000000000002</v>
      </c>
      <c r="N621" s="19">
        <v>0.25</v>
      </c>
      <c r="O621" s="19">
        <v>0.25419999999999998</v>
      </c>
      <c r="P621" s="19" t="s">
        <v>36</v>
      </c>
      <c r="Q621" s="19"/>
      <c r="R621" s="20">
        <v>37048</v>
      </c>
      <c r="S621" s="21" t="str">
        <f>HYPERLINK("https://my.devry.edu/npc", "$26980")</f>
        <v>$26980</v>
      </c>
      <c r="T621" s="20">
        <v>30900</v>
      </c>
      <c r="U621" s="20">
        <v>30639</v>
      </c>
      <c r="V621" s="20">
        <v>6920</v>
      </c>
      <c r="W621" s="20">
        <v>20060</v>
      </c>
      <c r="Y621" s="19">
        <v>0.53180000000000005</v>
      </c>
      <c r="Z621" s="19">
        <v>0.56509999999999994</v>
      </c>
      <c r="AB621" s="18">
        <v>499</v>
      </c>
      <c r="AC621" s="18">
        <v>5</v>
      </c>
    </row>
    <row r="622" spans="1:29" ht="15.75" customHeight="1" x14ac:dyDescent="0.2">
      <c r="A622" s="36" t="str">
        <f>HYPERLINK("https://www.devry.edu", "DeVry University-California")</f>
        <v>DeVry University-California</v>
      </c>
      <c r="B622" s="18" t="s">
        <v>368</v>
      </c>
      <c r="C622" s="18" t="s">
        <v>68</v>
      </c>
      <c r="D622" s="18" t="s">
        <v>602</v>
      </c>
      <c r="E622" s="18" t="s">
        <v>36</v>
      </c>
      <c r="F622" s="18" t="s">
        <v>90</v>
      </c>
      <c r="J622" s="19"/>
      <c r="K622" s="19">
        <v>0.32029999999999997</v>
      </c>
      <c r="L622" s="19">
        <v>0.13060224100000001</v>
      </c>
      <c r="M622" s="19">
        <v>0.42270000000000002</v>
      </c>
      <c r="N622" s="19">
        <v>0.38100000000000001</v>
      </c>
      <c r="O622" s="19">
        <v>0.31</v>
      </c>
      <c r="P622" s="19">
        <v>0.46150000000000002</v>
      </c>
      <c r="Q622" s="19"/>
      <c r="R622" s="20">
        <v>37560</v>
      </c>
      <c r="S622" s="21" t="str">
        <f>HYPERLINK("https://my.devry.edu/npc", "$25767")</f>
        <v>$25767</v>
      </c>
      <c r="T622" s="20">
        <v>26458</v>
      </c>
      <c r="U622" s="20">
        <v>28635</v>
      </c>
      <c r="V622" s="20">
        <v>6920</v>
      </c>
      <c r="W622" s="20">
        <v>18847</v>
      </c>
      <c r="Y622" s="19">
        <v>0.58650000000000002</v>
      </c>
      <c r="Z622" s="19">
        <v>0.75009999999999999</v>
      </c>
      <c r="AB622" s="18">
        <v>2301</v>
      </c>
      <c r="AC622" s="18">
        <v>5</v>
      </c>
    </row>
    <row r="623" spans="1:29" ht="15.75" customHeight="1" x14ac:dyDescent="0.2">
      <c r="A623" s="36" t="str">
        <f>HYPERLINK("https://www.devry.edu", "DeVry University-Colorado")</f>
        <v>DeVry University-Colorado</v>
      </c>
      <c r="B623" s="18" t="s">
        <v>368</v>
      </c>
      <c r="C623" s="18" t="s">
        <v>87</v>
      </c>
      <c r="D623" s="18" t="s">
        <v>414</v>
      </c>
      <c r="E623" s="18" t="s">
        <v>36</v>
      </c>
      <c r="F623" s="18" t="s">
        <v>90</v>
      </c>
      <c r="J623" s="19"/>
      <c r="K623" s="19">
        <v>0.42309999999999998</v>
      </c>
      <c r="L623" s="19">
        <v>0.13060224100000001</v>
      </c>
      <c r="M623" s="19">
        <v>0.35709999999999997</v>
      </c>
      <c r="N623" s="19">
        <v>0.66669999999999996</v>
      </c>
      <c r="O623" s="19">
        <v>0.33329999999999999</v>
      </c>
      <c r="P623" s="19">
        <v>0.33329999999999999</v>
      </c>
      <c r="Q623" s="19"/>
      <c r="R623" s="20">
        <v>37240</v>
      </c>
      <c r="S623" s="21" t="str">
        <f>HYPERLINK("https://my.devry.edu/npc", "$30165")</f>
        <v>$30165</v>
      </c>
      <c r="T623" s="20">
        <v>28685</v>
      </c>
      <c r="U623" s="20" t="s">
        <v>36</v>
      </c>
      <c r="V623" s="20">
        <v>6920</v>
      </c>
      <c r="W623" s="20">
        <v>23245</v>
      </c>
      <c r="Y623" s="19">
        <v>0.51900000000000002</v>
      </c>
      <c r="Z623" s="19">
        <v>0.32469999999999999</v>
      </c>
      <c r="AB623" s="18">
        <v>194</v>
      </c>
      <c r="AC623" s="18">
        <v>5</v>
      </c>
    </row>
    <row r="624" spans="1:29" ht="15.75" customHeight="1" x14ac:dyDescent="0.2">
      <c r="A624" s="36" t="str">
        <f>HYPERLINK("https://www.devry.edu", "DeVry University-Florida")</f>
        <v>DeVry University-Florida</v>
      </c>
      <c r="B624" s="18" t="s">
        <v>368</v>
      </c>
      <c r="C624" s="18" t="s">
        <v>162</v>
      </c>
      <c r="D624" s="18" t="s">
        <v>715</v>
      </c>
      <c r="E624" s="18" t="s">
        <v>36</v>
      </c>
      <c r="F624" s="18" t="s">
        <v>90</v>
      </c>
      <c r="J624" s="19"/>
      <c r="K624" s="19">
        <v>0.33329999999999999</v>
      </c>
      <c r="L624" s="19">
        <v>0.13060224100000001</v>
      </c>
      <c r="M624" s="19">
        <v>0.37930000000000003</v>
      </c>
      <c r="N624" s="19">
        <v>0.44440000000000002</v>
      </c>
      <c r="O624" s="19">
        <v>0.37840000000000001</v>
      </c>
      <c r="P624" s="19">
        <v>0</v>
      </c>
      <c r="Q624" s="19"/>
      <c r="R624" s="20">
        <v>35884</v>
      </c>
      <c r="S624" s="21" t="str">
        <f>HYPERLINK("https://my.devry.edu/npc", "$25131")</f>
        <v>$25131</v>
      </c>
      <c r="T624" s="20">
        <v>27733</v>
      </c>
      <c r="U624" s="20" t="s">
        <v>36</v>
      </c>
      <c r="V624" s="20">
        <v>6920</v>
      </c>
      <c r="W624" s="20">
        <v>18211</v>
      </c>
      <c r="Y624" s="19">
        <v>0.56220000000000003</v>
      </c>
      <c r="Z624" s="19">
        <v>0.67320000000000002</v>
      </c>
      <c r="AB624" s="18">
        <v>661</v>
      </c>
      <c r="AC624" s="18">
        <v>5</v>
      </c>
    </row>
    <row r="625" spans="1:29" ht="15.75" customHeight="1" x14ac:dyDescent="0.2">
      <c r="A625" s="36" t="str">
        <f>HYPERLINK("https://www.devry.edu", "DeVry University-Georgia")</f>
        <v>DeVry University-Georgia</v>
      </c>
      <c r="B625" s="18" t="s">
        <v>368</v>
      </c>
      <c r="C625" s="18" t="s">
        <v>107</v>
      </c>
      <c r="D625" s="18" t="s">
        <v>189</v>
      </c>
      <c r="E625" s="18" t="s">
        <v>36</v>
      </c>
      <c r="F625" s="18" t="s">
        <v>90</v>
      </c>
      <c r="J625" s="19"/>
      <c r="K625" s="19">
        <v>0.2331</v>
      </c>
      <c r="L625" s="19">
        <v>0.13060224100000001</v>
      </c>
      <c r="M625" s="19">
        <v>0.36359999999999998</v>
      </c>
      <c r="N625" s="19">
        <v>0.2195</v>
      </c>
      <c r="O625" s="19">
        <v>0.22220000000000001</v>
      </c>
      <c r="P625" s="19">
        <v>0.33329999999999999</v>
      </c>
      <c r="Q625" s="19"/>
      <c r="R625" s="20">
        <v>35788</v>
      </c>
      <c r="S625" s="21" t="str">
        <f>HYPERLINK("https://my.devry.edu/npc", "$26311")</f>
        <v>$26311</v>
      </c>
      <c r="T625" s="20">
        <v>31071</v>
      </c>
      <c r="U625" s="20" t="s">
        <v>36</v>
      </c>
      <c r="V625" s="20">
        <v>6920</v>
      </c>
      <c r="W625" s="20">
        <v>19391</v>
      </c>
      <c r="Y625" s="19">
        <v>0.61639999999999995</v>
      </c>
      <c r="Z625" s="19">
        <v>0.77949999999999997</v>
      </c>
      <c r="AB625" s="18">
        <v>889</v>
      </c>
      <c r="AC625" s="18">
        <v>5</v>
      </c>
    </row>
    <row r="626" spans="1:29" ht="15.75" customHeight="1" x14ac:dyDescent="0.2">
      <c r="A626" s="36" t="str">
        <f>HYPERLINK("https://www.devry.edu", "DeVry University-Illinois")</f>
        <v>DeVry University-Illinois</v>
      </c>
      <c r="B626" s="18" t="s">
        <v>368</v>
      </c>
      <c r="C626" s="18" t="s">
        <v>137</v>
      </c>
      <c r="D626" s="18" t="s">
        <v>161</v>
      </c>
      <c r="E626" s="18" t="s">
        <v>36</v>
      </c>
      <c r="F626" s="18" t="s">
        <v>90</v>
      </c>
      <c r="J626" s="19"/>
      <c r="K626" s="19">
        <v>0.20619999999999999</v>
      </c>
      <c r="L626" s="19">
        <v>0.13060224100000001</v>
      </c>
      <c r="M626" s="19">
        <v>0.2097</v>
      </c>
      <c r="N626" s="19">
        <v>0.21429999999999999</v>
      </c>
      <c r="O626" s="19">
        <v>0.24299999999999999</v>
      </c>
      <c r="P626" s="19">
        <v>0.66669999999999996</v>
      </c>
      <c r="Q626" s="19"/>
      <c r="R626" s="20">
        <v>35468</v>
      </c>
      <c r="S626" s="21" t="str">
        <f>HYPERLINK("https://my.devry.edu/npc", "$30010")</f>
        <v>$30010</v>
      </c>
      <c r="T626" s="20">
        <v>31139</v>
      </c>
      <c r="U626" s="20">
        <v>33869</v>
      </c>
      <c r="V626" s="20">
        <v>6920</v>
      </c>
      <c r="W626" s="20">
        <v>23090</v>
      </c>
      <c r="Y626" s="19">
        <v>0.59240000000000004</v>
      </c>
      <c r="Z626" s="19">
        <v>0.5333</v>
      </c>
      <c r="AB626" s="18">
        <v>12146</v>
      </c>
      <c r="AC626" s="18">
        <v>5</v>
      </c>
    </row>
    <row r="627" spans="1:29" ht="15.75" customHeight="1" x14ac:dyDescent="0.2">
      <c r="A627" s="36" t="str">
        <f>HYPERLINK("https://www.devry.edu", "DeVry University-Missouri")</f>
        <v>DeVry University-Missouri</v>
      </c>
      <c r="B627" s="18" t="s">
        <v>368</v>
      </c>
      <c r="C627" s="18" t="s">
        <v>164</v>
      </c>
      <c r="D627" s="18" t="s">
        <v>515</v>
      </c>
      <c r="E627" s="18" t="s">
        <v>36</v>
      </c>
      <c r="F627" s="18" t="s">
        <v>90</v>
      </c>
      <c r="J627" s="19"/>
      <c r="K627" s="19">
        <v>0.26390000000000002</v>
      </c>
      <c r="L627" s="19">
        <v>0.13060224100000001</v>
      </c>
      <c r="M627" s="19">
        <v>0.31369999999999998</v>
      </c>
      <c r="N627" s="19">
        <v>0.125</v>
      </c>
      <c r="O627" s="19">
        <v>0</v>
      </c>
      <c r="P627" s="19">
        <v>0</v>
      </c>
      <c r="Q627" s="19"/>
      <c r="R627" s="20">
        <v>35404</v>
      </c>
      <c r="S627" s="21" t="str">
        <f>HYPERLINK("https://my.devry.edu/npc", "$26484")</f>
        <v>$26484</v>
      </c>
      <c r="T627" s="20">
        <v>28290</v>
      </c>
      <c r="U627" s="20" t="s">
        <v>36</v>
      </c>
      <c r="V627" s="20">
        <v>6920</v>
      </c>
      <c r="W627" s="20">
        <v>19564</v>
      </c>
      <c r="Y627" s="19">
        <v>0.54110000000000003</v>
      </c>
      <c r="Z627" s="19">
        <v>0.35659999999999997</v>
      </c>
      <c r="AB627" s="18">
        <v>143</v>
      </c>
      <c r="AC627" s="18">
        <v>5</v>
      </c>
    </row>
    <row r="628" spans="1:29" ht="15.75" customHeight="1" x14ac:dyDescent="0.2">
      <c r="A628" s="36" t="str">
        <f>HYPERLINK("https://www.devry.edu", "DeVry University-Nevada")</f>
        <v>DeVry University-Nevada</v>
      </c>
      <c r="B628" s="18" t="s">
        <v>368</v>
      </c>
      <c r="C628" s="18" t="s">
        <v>476</v>
      </c>
      <c r="D628" s="18" t="s">
        <v>363</v>
      </c>
      <c r="E628" s="18" t="s">
        <v>36</v>
      </c>
      <c r="F628" s="18" t="s">
        <v>90</v>
      </c>
      <c r="J628" s="19"/>
      <c r="K628" s="19">
        <v>0.21429999999999999</v>
      </c>
      <c r="L628" s="19">
        <v>0.13060224100000001</v>
      </c>
      <c r="M628" s="19">
        <v>0.3</v>
      </c>
      <c r="N628" s="19">
        <v>0</v>
      </c>
      <c r="O628" s="19">
        <v>0.25</v>
      </c>
      <c r="P628" s="19">
        <v>0</v>
      </c>
      <c r="Q628" s="19"/>
      <c r="R628" s="20">
        <v>37432</v>
      </c>
      <c r="S628" s="21" t="str">
        <f>HYPERLINK("https://my.devry.edu/npc", "$31241")</f>
        <v>$31241</v>
      </c>
      <c r="T628" s="20" t="s">
        <v>36</v>
      </c>
      <c r="U628" s="20" t="s">
        <v>36</v>
      </c>
      <c r="V628" s="20">
        <v>6920</v>
      </c>
      <c r="W628" s="20">
        <v>24321</v>
      </c>
      <c r="Y628" s="19">
        <v>0.56169999999999998</v>
      </c>
      <c r="Z628" s="19">
        <v>0.64040000000000008</v>
      </c>
      <c r="AB628" s="18">
        <v>114</v>
      </c>
      <c r="AC628" s="18">
        <v>5</v>
      </c>
    </row>
    <row r="629" spans="1:29" ht="15.75" customHeight="1" x14ac:dyDescent="0.2">
      <c r="A629" s="36" t="str">
        <f>HYPERLINK("https://www.devry.edu", "DeVry University-New Jersey")</f>
        <v>DeVry University-New Jersey</v>
      </c>
      <c r="B629" s="18" t="s">
        <v>368</v>
      </c>
      <c r="C629" s="18" t="s">
        <v>141</v>
      </c>
      <c r="D629" s="18" t="s">
        <v>721</v>
      </c>
      <c r="E629" s="18" t="s">
        <v>36</v>
      </c>
      <c r="F629" s="18" t="s">
        <v>90</v>
      </c>
      <c r="J629" s="19"/>
      <c r="K629" s="19">
        <v>0.38</v>
      </c>
      <c r="L629" s="19">
        <v>0.13060224100000001</v>
      </c>
      <c r="M629" s="19">
        <v>0.53490000000000004</v>
      </c>
      <c r="N629" s="19">
        <v>0.36</v>
      </c>
      <c r="O629" s="19">
        <v>0.36359999999999998</v>
      </c>
      <c r="P629" s="19">
        <v>0.8</v>
      </c>
      <c r="Q629" s="19"/>
      <c r="R629" s="20">
        <v>37208</v>
      </c>
      <c r="S629" s="21" t="str">
        <f>HYPERLINK("https://my.devry.edu/npc", "$19345")</f>
        <v>$19345</v>
      </c>
      <c r="T629" s="20">
        <v>25724</v>
      </c>
      <c r="U629" s="20">
        <v>27736</v>
      </c>
      <c r="V629" s="20">
        <v>6920</v>
      </c>
      <c r="W629" s="20">
        <v>12425</v>
      </c>
      <c r="Y629" s="19">
        <v>0.45600000000000002</v>
      </c>
      <c r="Z629" s="19">
        <v>0.63619999999999999</v>
      </c>
      <c r="AB629" s="18">
        <v>492</v>
      </c>
      <c r="AC629" s="18">
        <v>5</v>
      </c>
    </row>
    <row r="630" spans="1:29" ht="15.75" customHeight="1" x14ac:dyDescent="0.2">
      <c r="A630" s="36" t="str">
        <f>HYPERLINK("https://www.devry.edu", "DeVry University-North Carolina")</f>
        <v>DeVry University-North Carolina</v>
      </c>
      <c r="B630" s="18" t="s">
        <v>368</v>
      </c>
      <c r="C630" s="18" t="s">
        <v>103</v>
      </c>
      <c r="D630" s="18" t="s">
        <v>447</v>
      </c>
      <c r="E630" s="18" t="s">
        <v>36</v>
      </c>
      <c r="F630" s="18" t="s">
        <v>90</v>
      </c>
      <c r="J630" s="19"/>
      <c r="K630" s="19">
        <v>0.16669999999999999</v>
      </c>
      <c r="L630" s="19">
        <v>0.13060224100000001</v>
      </c>
      <c r="M630" s="19">
        <v>0.41670000000000001</v>
      </c>
      <c r="N630" s="19">
        <v>0.05</v>
      </c>
      <c r="O630" s="19">
        <v>0.5</v>
      </c>
      <c r="P630" s="19">
        <v>0</v>
      </c>
      <c r="Q630" s="19"/>
      <c r="R630" s="20">
        <v>36204</v>
      </c>
      <c r="S630" s="21" t="str">
        <f>HYPERLINK("https://my.devry.edu/npc", "$25813")</f>
        <v>$25813</v>
      </c>
      <c r="T630" s="20" t="s">
        <v>36</v>
      </c>
      <c r="U630" s="20" t="s">
        <v>36</v>
      </c>
      <c r="V630" s="20">
        <v>6920</v>
      </c>
      <c r="W630" s="20">
        <v>18893</v>
      </c>
      <c r="Y630" s="19">
        <v>0.59609999999999996</v>
      </c>
      <c r="Z630" s="19">
        <v>0.73730000000000007</v>
      </c>
      <c r="AB630" s="18">
        <v>118</v>
      </c>
      <c r="AC630" s="18">
        <v>5</v>
      </c>
    </row>
    <row r="631" spans="1:29" ht="15.75" customHeight="1" x14ac:dyDescent="0.2">
      <c r="A631" s="36" t="str">
        <f>HYPERLINK("https://www.devry.edu", "DeVry University-Ohio")</f>
        <v>DeVry University-Ohio</v>
      </c>
      <c r="B631" s="18" t="s">
        <v>368</v>
      </c>
      <c r="C631" s="18" t="s">
        <v>75</v>
      </c>
      <c r="D631" s="18" t="s">
        <v>237</v>
      </c>
      <c r="E631" s="18" t="s">
        <v>36</v>
      </c>
      <c r="F631" s="18" t="s">
        <v>90</v>
      </c>
      <c r="J631" s="19"/>
      <c r="K631" s="19">
        <v>0.27079999999999999</v>
      </c>
      <c r="L631" s="19">
        <v>0.13060224100000001</v>
      </c>
      <c r="M631" s="19">
        <v>0.34039999999999998</v>
      </c>
      <c r="N631" s="19">
        <v>0.15</v>
      </c>
      <c r="O631" s="19">
        <v>0.1429</v>
      </c>
      <c r="P631" s="19">
        <v>0</v>
      </c>
      <c r="Q631" s="19"/>
      <c r="R631" s="20">
        <v>35628</v>
      </c>
      <c r="S631" s="21" t="str">
        <f>HYPERLINK("https://my.devry.edu/npc", "$27419")</f>
        <v>$27419</v>
      </c>
      <c r="T631" s="20">
        <v>26347</v>
      </c>
      <c r="U631" s="20">
        <v>28506</v>
      </c>
      <c r="V631" s="20">
        <v>6920</v>
      </c>
      <c r="W631" s="20">
        <v>20499</v>
      </c>
      <c r="Y631" s="19">
        <v>0.53600000000000003</v>
      </c>
      <c r="Z631" s="19">
        <v>0.32410000000000011</v>
      </c>
      <c r="AB631" s="18">
        <v>870</v>
      </c>
      <c r="AC631" s="18">
        <v>5</v>
      </c>
    </row>
    <row r="632" spans="1:29" ht="15.75" customHeight="1" x14ac:dyDescent="0.2">
      <c r="A632" s="36" t="str">
        <f>HYPERLINK("https://www.devry.edu", "DeVry University-Oklahoma")</f>
        <v>DeVry University-Oklahoma</v>
      </c>
      <c r="B632" s="18" t="s">
        <v>368</v>
      </c>
      <c r="C632" s="18" t="s">
        <v>290</v>
      </c>
      <c r="D632" s="18" t="s">
        <v>438</v>
      </c>
      <c r="E632" s="18" t="s">
        <v>36</v>
      </c>
      <c r="F632" s="18" t="s">
        <v>90</v>
      </c>
      <c r="J632" s="19"/>
      <c r="K632" s="19">
        <v>0.25</v>
      </c>
      <c r="L632" s="19">
        <v>0.13060224100000001</v>
      </c>
      <c r="M632" s="19">
        <v>0.1429</v>
      </c>
      <c r="N632" s="19">
        <v>1</v>
      </c>
      <c r="O632" s="19" t="s">
        <v>36</v>
      </c>
      <c r="P632" s="19" t="s">
        <v>36</v>
      </c>
      <c r="Q632" s="19"/>
      <c r="R632" s="20">
        <v>35884</v>
      </c>
      <c r="S632" s="21" t="str">
        <f>HYPERLINK("https://www.devry.edu/financial-aid/net-price-calculator.html", "Not reported")</f>
        <v>Not reported</v>
      </c>
      <c r="T632" s="20" t="s">
        <v>36</v>
      </c>
      <c r="U632" s="20" t="s">
        <v>36</v>
      </c>
      <c r="V632" s="20">
        <v>6920</v>
      </c>
      <c r="W632" s="20" t="s">
        <v>36</v>
      </c>
      <c r="Y632" s="19">
        <v>0.64200000000000002</v>
      </c>
      <c r="Z632" s="19">
        <v>0.5</v>
      </c>
      <c r="AB632" s="18">
        <v>4</v>
      </c>
      <c r="AC632" s="18">
        <v>5</v>
      </c>
    </row>
    <row r="633" spans="1:29" ht="15.75" customHeight="1" x14ac:dyDescent="0.2">
      <c r="A633" s="36" t="str">
        <f>HYPERLINK("https://www.devry.edu", "DeVry University-Pennsylvania")</f>
        <v>DeVry University-Pennsylvania</v>
      </c>
      <c r="B633" s="18" t="s">
        <v>368</v>
      </c>
      <c r="C633" s="18" t="s">
        <v>65</v>
      </c>
      <c r="D633" s="18" t="s">
        <v>724</v>
      </c>
      <c r="E633" s="18" t="s">
        <v>36</v>
      </c>
      <c r="F633" s="18" t="s">
        <v>90</v>
      </c>
      <c r="J633" s="19"/>
      <c r="K633" s="19">
        <v>0.1111</v>
      </c>
      <c r="L633" s="19">
        <v>0.13060224100000001</v>
      </c>
      <c r="M633" s="19">
        <v>0.2903</v>
      </c>
      <c r="N633" s="19">
        <v>0</v>
      </c>
      <c r="O633" s="19">
        <v>0</v>
      </c>
      <c r="P633" s="19">
        <v>1</v>
      </c>
      <c r="Q633" s="19"/>
      <c r="R633" s="20">
        <v>37432</v>
      </c>
      <c r="S633" s="21" t="str">
        <f>HYPERLINK("https://my.devry.edu/npc", "$28321")</f>
        <v>$28321</v>
      </c>
      <c r="T633" s="20">
        <v>27799</v>
      </c>
      <c r="U633" s="20" t="s">
        <v>36</v>
      </c>
      <c r="V633" s="20">
        <v>6920</v>
      </c>
      <c r="W633" s="20">
        <v>21401</v>
      </c>
      <c r="Y633" s="19">
        <v>0.55220000000000002</v>
      </c>
      <c r="Z633" s="19">
        <v>0.72189999999999999</v>
      </c>
      <c r="AB633" s="18">
        <v>338</v>
      </c>
      <c r="AC633" s="18">
        <v>5</v>
      </c>
    </row>
    <row r="634" spans="1:29" ht="15.75" customHeight="1" x14ac:dyDescent="0.2">
      <c r="A634" s="36" t="str">
        <f>HYPERLINK("https://www.devry.edu", "DeVry University-Texas")</f>
        <v>DeVry University-Texas</v>
      </c>
      <c r="B634" s="18" t="s">
        <v>368</v>
      </c>
      <c r="C634" s="18" t="s">
        <v>146</v>
      </c>
      <c r="D634" s="18" t="s">
        <v>505</v>
      </c>
      <c r="E634" s="18" t="s">
        <v>36</v>
      </c>
      <c r="F634" s="18" t="s">
        <v>90</v>
      </c>
      <c r="J634" s="19"/>
      <c r="K634" s="19">
        <v>0.22770000000000001</v>
      </c>
      <c r="L634" s="19">
        <v>0.13060224100000001</v>
      </c>
      <c r="M634" s="19">
        <v>0.2051</v>
      </c>
      <c r="N634" s="19">
        <v>8.5699999999999998E-2</v>
      </c>
      <c r="O634" s="19">
        <v>0.30230000000000001</v>
      </c>
      <c r="P634" s="19">
        <v>0</v>
      </c>
      <c r="Q634" s="19"/>
      <c r="R634" s="20">
        <v>35692</v>
      </c>
      <c r="S634" s="21" t="str">
        <f>HYPERLINK("https://my.devry.edu/npc", "$31439")</f>
        <v>$31439</v>
      </c>
      <c r="T634" s="20">
        <v>32836</v>
      </c>
      <c r="U634" s="20" t="s">
        <v>36</v>
      </c>
      <c r="V634" s="20">
        <v>6920</v>
      </c>
      <c r="W634" s="20">
        <v>24519</v>
      </c>
      <c r="Y634" s="19">
        <v>0.52110000000000001</v>
      </c>
      <c r="Z634" s="19">
        <v>0.63829999999999998</v>
      </c>
      <c r="AB634" s="18">
        <v>564</v>
      </c>
      <c r="AC634" s="18">
        <v>5</v>
      </c>
    </row>
    <row r="635" spans="1:29" ht="15.75" customHeight="1" x14ac:dyDescent="0.2">
      <c r="A635" s="36" t="str">
        <f>HYPERLINK("https://www.devry.edu", "DeVry University-Virginia")</f>
        <v>DeVry University-Virginia</v>
      </c>
      <c r="B635" s="18" t="s">
        <v>368</v>
      </c>
      <c r="C635" s="18" t="s">
        <v>83</v>
      </c>
      <c r="D635" s="18" t="s">
        <v>727</v>
      </c>
      <c r="E635" s="18" t="s">
        <v>36</v>
      </c>
      <c r="F635" s="18" t="s">
        <v>90</v>
      </c>
      <c r="J635" s="19"/>
      <c r="K635" s="19">
        <v>0.40910000000000002</v>
      </c>
      <c r="L635" s="19">
        <v>0.13060224100000001</v>
      </c>
      <c r="M635" s="19">
        <v>0.75</v>
      </c>
      <c r="N635" s="19">
        <v>0.35</v>
      </c>
      <c r="O635" s="19">
        <v>0.3</v>
      </c>
      <c r="P635" s="19">
        <v>0.5</v>
      </c>
      <c r="Q635" s="19"/>
      <c r="R635" s="20">
        <v>37432</v>
      </c>
      <c r="S635" s="21" t="str">
        <f>HYPERLINK("https://my.devry.edu/npc", "$33227")</f>
        <v>$33227</v>
      </c>
      <c r="T635" s="20" t="s">
        <v>36</v>
      </c>
      <c r="U635" s="20" t="s">
        <v>36</v>
      </c>
      <c r="V635" s="20">
        <v>6920</v>
      </c>
      <c r="W635" s="20">
        <v>26307</v>
      </c>
      <c r="Y635" s="19">
        <v>0.45950000000000002</v>
      </c>
      <c r="Z635" s="19">
        <v>0.74890000000000001</v>
      </c>
      <c r="AB635" s="18">
        <v>227</v>
      </c>
      <c r="AC635" s="18">
        <v>5</v>
      </c>
    </row>
    <row r="636" spans="1:29" ht="15.75" customHeight="1" x14ac:dyDescent="0.2">
      <c r="A636" s="36" t="str">
        <f>HYPERLINK("https://www.dean.edu", "Dean College")</f>
        <v>Dean College</v>
      </c>
      <c r="B636" s="18" t="s">
        <v>32</v>
      </c>
      <c r="C636" s="18" t="s">
        <v>33</v>
      </c>
      <c r="D636" s="18" t="s">
        <v>774</v>
      </c>
      <c r="E636" s="18">
        <v>1002</v>
      </c>
      <c r="F636" s="18" t="s">
        <v>115</v>
      </c>
      <c r="J636" s="19"/>
      <c r="K636" s="19">
        <v>0.41789999999999999</v>
      </c>
      <c r="L636" s="19">
        <v>0.30645161300000001</v>
      </c>
      <c r="M636" s="19">
        <v>0.43319999999999997</v>
      </c>
      <c r="N636" s="19">
        <v>0.3</v>
      </c>
      <c r="O636" s="19">
        <v>0.32350000000000001</v>
      </c>
      <c r="P636" s="19">
        <v>0.25</v>
      </c>
      <c r="Q636" s="19">
        <v>0.12857142899999999</v>
      </c>
      <c r="R636" s="20">
        <v>56936</v>
      </c>
      <c r="S636" s="21" t="str">
        <f>HYPERLINK("https://www.dean.edu/net-price-calculator.aspx", "$26189")</f>
        <v>$26189</v>
      </c>
      <c r="T636" s="20">
        <v>29492</v>
      </c>
      <c r="U636" s="20">
        <v>31269</v>
      </c>
      <c r="V636" s="20">
        <v>2500</v>
      </c>
      <c r="W636" s="20">
        <v>23689</v>
      </c>
      <c r="Y636" s="19">
        <v>0.34810000000000002</v>
      </c>
      <c r="Z636" s="19">
        <v>0.4556</v>
      </c>
      <c r="AB636" s="18">
        <v>1260</v>
      </c>
      <c r="AC636" s="18">
        <v>6</v>
      </c>
    </row>
    <row r="637" spans="1:29" ht="15.75" customHeight="1" x14ac:dyDescent="0.2">
      <c r="A637" s="36" t="str">
        <f>HYPERLINK("https://www.deantech.edu", "Dean Institute of Technology")</f>
        <v>Dean Institute of Technology</v>
      </c>
      <c r="B637" s="18" t="s">
        <v>368</v>
      </c>
      <c r="C637" s="18" t="s">
        <v>65</v>
      </c>
      <c r="D637" s="18" t="s">
        <v>74</v>
      </c>
      <c r="E637" s="18" t="s">
        <v>36</v>
      </c>
      <c r="F637" s="18" t="s">
        <v>36</v>
      </c>
      <c r="J637" s="19"/>
      <c r="K637" s="19">
        <v>0.86270000000000002</v>
      </c>
      <c r="L637" s="19">
        <v>0.67741935499999995</v>
      </c>
      <c r="M637" s="19">
        <v>0.83330000000000004</v>
      </c>
      <c r="N637" s="19">
        <v>0.90480000000000005</v>
      </c>
      <c r="O637" s="19" t="s">
        <v>36</v>
      </c>
      <c r="P637" s="19" t="s">
        <v>36</v>
      </c>
      <c r="Q637" s="19" t="s">
        <v>36</v>
      </c>
      <c r="R637" s="20">
        <v>29950</v>
      </c>
      <c r="S637" s="21" t="str">
        <f>HYPERLINK("https://www.deantech.edu", "$21166")</f>
        <v>$21166</v>
      </c>
      <c r="T637" s="20">
        <v>24545</v>
      </c>
      <c r="U637" s="20" t="s">
        <v>36</v>
      </c>
      <c r="V637" s="20">
        <v>6825</v>
      </c>
      <c r="W637" s="20">
        <v>14341</v>
      </c>
      <c r="Y637" s="19">
        <v>0.74</v>
      </c>
      <c r="Z637" s="19">
        <v>0.36420000000000002</v>
      </c>
      <c r="AB637" s="18">
        <v>151</v>
      </c>
      <c r="AC637" s="18">
        <v>6</v>
      </c>
    </row>
    <row r="638" spans="1:29" ht="15.75" customHeight="1" x14ac:dyDescent="0.2">
      <c r="A638" s="36" t="str">
        <f>HYPERLINK("https://www.defiance.edu", "Defiance College")</f>
        <v>Defiance College</v>
      </c>
      <c r="B638" s="18" t="s">
        <v>32</v>
      </c>
      <c r="C638" s="18" t="s">
        <v>75</v>
      </c>
      <c r="D638" s="18" t="s">
        <v>701</v>
      </c>
      <c r="E638" s="18">
        <v>1003</v>
      </c>
      <c r="F638" s="18" t="s">
        <v>35</v>
      </c>
      <c r="J638" s="19"/>
      <c r="K638" s="19">
        <v>0.39250000000000002</v>
      </c>
      <c r="L638" s="19">
        <v>0.30088495599999998</v>
      </c>
      <c r="M638" s="19">
        <v>0.45019999999999999</v>
      </c>
      <c r="N638" s="19">
        <v>0.16950000000000001</v>
      </c>
      <c r="O638" s="19">
        <v>0.4</v>
      </c>
      <c r="P638" s="19" t="s">
        <v>36</v>
      </c>
      <c r="Q638" s="19"/>
      <c r="R638" s="20">
        <v>46040</v>
      </c>
      <c r="S638" s="21" t="str">
        <f>HYPERLINK("https://defiance.studentaidcalculator.com/survey.aspx", "$23287")</f>
        <v>$23287</v>
      </c>
      <c r="T638" s="20">
        <v>23079</v>
      </c>
      <c r="U638" s="20">
        <v>25852</v>
      </c>
      <c r="V638" s="20">
        <v>3800</v>
      </c>
      <c r="W638" s="20">
        <v>19487</v>
      </c>
      <c r="Y638" s="19">
        <v>0.42270000000000002</v>
      </c>
      <c r="Z638" s="19">
        <v>0.26329999999999998</v>
      </c>
      <c r="AB638" s="18">
        <v>581</v>
      </c>
      <c r="AC638" s="18">
        <v>4</v>
      </c>
    </row>
    <row r="639" spans="1:29" ht="15.75" customHeight="1" x14ac:dyDescent="0.2">
      <c r="A639" s="36" t="str">
        <f>HYPERLINK("https://www.delmar.edu", "Del Mar College")</f>
        <v>Del Mar College</v>
      </c>
      <c r="B639" s="18" t="s">
        <v>49</v>
      </c>
      <c r="C639" s="18" t="s">
        <v>146</v>
      </c>
      <c r="D639" s="18" t="s">
        <v>860</v>
      </c>
      <c r="E639" s="18" t="s">
        <v>36</v>
      </c>
      <c r="F639" s="18" t="s">
        <v>36</v>
      </c>
      <c r="J639" s="19"/>
      <c r="K639" s="19">
        <v>0.16039999999999999</v>
      </c>
      <c r="L639" s="19">
        <v>0.13636363600000001</v>
      </c>
      <c r="M639" s="19">
        <v>0.17730000000000001</v>
      </c>
      <c r="N639" s="19">
        <v>0</v>
      </c>
      <c r="O639" s="19">
        <v>0.16389999999999999</v>
      </c>
      <c r="P639" s="19">
        <v>0.2</v>
      </c>
      <c r="Q639" s="19">
        <v>6.1306533000000003E-2</v>
      </c>
      <c r="R639" s="20">
        <v>16646</v>
      </c>
      <c r="S639" s="21" t="str">
        <f>HYPERLINK("https://www.delmar.edu/becoming-a-viking/afford/index.html", "$10979")</f>
        <v>$10979</v>
      </c>
      <c r="T639" s="20">
        <v>13492</v>
      </c>
      <c r="U639" s="20">
        <v>16197</v>
      </c>
      <c r="V639" s="20">
        <v>4653</v>
      </c>
      <c r="W639" s="20">
        <v>6326.3425605536322</v>
      </c>
      <c r="Y639" s="19">
        <v>0.32650000000000001</v>
      </c>
      <c r="Z639" s="19">
        <v>0.75239999999999996</v>
      </c>
      <c r="AB639" s="18">
        <v>11476</v>
      </c>
      <c r="AC639" s="18">
        <v>6</v>
      </c>
    </row>
    <row r="640" spans="1:29" ht="15.75" customHeight="1" x14ac:dyDescent="0.2">
      <c r="A640" s="36" t="str">
        <f>HYPERLINK("https://www.dcad.edu", "Delaware College of Art and Design")</f>
        <v>Delaware College of Art and Design</v>
      </c>
      <c r="B640" s="18" t="s">
        <v>32</v>
      </c>
      <c r="C640" s="18" t="s">
        <v>507</v>
      </c>
      <c r="D640" s="18" t="s">
        <v>517</v>
      </c>
      <c r="E640" s="18" t="s">
        <v>36</v>
      </c>
      <c r="F640" s="18" t="s">
        <v>90</v>
      </c>
      <c r="J640" s="19"/>
      <c r="K640" s="19">
        <v>0.59040000000000004</v>
      </c>
      <c r="L640" s="19">
        <v>0.56756756799999997</v>
      </c>
      <c r="M640" s="19">
        <v>0.65629999999999999</v>
      </c>
      <c r="N640" s="19">
        <v>0.54549999999999998</v>
      </c>
      <c r="O640" s="19">
        <v>0.66669999999999996</v>
      </c>
      <c r="P640" s="19" t="s">
        <v>36</v>
      </c>
      <c r="Q640" s="19" t="s">
        <v>36</v>
      </c>
      <c r="R640" s="20">
        <v>45460</v>
      </c>
      <c r="S640" s="21" t="str">
        <f>HYPERLINK("https://www.dcad.edu/netprice2017/index.html", "$25392")</f>
        <v>$25392</v>
      </c>
      <c r="T640" s="20">
        <v>29322</v>
      </c>
      <c r="U640" s="20">
        <v>32080</v>
      </c>
      <c r="V640" s="20">
        <v>7300</v>
      </c>
      <c r="W640" s="20">
        <v>18092</v>
      </c>
      <c r="Y640" s="19">
        <v>0.50890000000000002</v>
      </c>
      <c r="Z640" s="19">
        <v>0.48949999999999999</v>
      </c>
      <c r="AB640" s="18">
        <v>143</v>
      </c>
      <c r="AC640" s="18">
        <v>6</v>
      </c>
    </row>
    <row r="641" spans="1:29" ht="15.75" customHeight="1" x14ac:dyDescent="0.2">
      <c r="A641" s="36" t="str">
        <f>HYPERLINK("https://www.dccc.edu", "Delaware County Community College")</f>
        <v>Delaware County Community College</v>
      </c>
      <c r="B641" s="18" t="s">
        <v>49</v>
      </c>
      <c r="C641" s="18" t="s">
        <v>65</v>
      </c>
      <c r="D641" s="18" t="s">
        <v>1054</v>
      </c>
      <c r="E641" s="18" t="s">
        <v>36</v>
      </c>
      <c r="F641" s="18" t="s">
        <v>36</v>
      </c>
      <c r="J641" s="19"/>
      <c r="K641" s="19">
        <v>0.1651</v>
      </c>
      <c r="L641" s="19">
        <v>0.16180048699999999</v>
      </c>
      <c r="M641" s="19">
        <v>0.20610000000000001</v>
      </c>
      <c r="N641" s="19">
        <v>9.1700000000000004E-2</v>
      </c>
      <c r="O641" s="19">
        <v>9.0899999999999995E-2</v>
      </c>
      <c r="P641" s="19">
        <v>0.13789999999999999</v>
      </c>
      <c r="Q641" s="19">
        <v>0.12304749800000001</v>
      </c>
      <c r="R641" s="20">
        <v>27810</v>
      </c>
      <c r="S641" s="21" t="str">
        <f>HYPERLINK("https://extranet.dccc.edu/net-price-calculator/npcalc.htm", "$22315")</f>
        <v>$22315</v>
      </c>
      <c r="T641" s="20">
        <v>24898</v>
      </c>
      <c r="U641" s="20">
        <v>27364</v>
      </c>
      <c r="V641" s="20">
        <v>8390</v>
      </c>
      <c r="W641" s="20">
        <v>13925.65091863517</v>
      </c>
      <c r="Y641" s="19">
        <v>0.35389999999999999</v>
      </c>
      <c r="Z641" s="19">
        <v>0.44400000000000001</v>
      </c>
      <c r="AB641" s="18">
        <v>11030</v>
      </c>
      <c r="AC641" s="18">
        <v>6</v>
      </c>
    </row>
    <row r="642" spans="1:29" ht="15.75" customHeight="1" x14ac:dyDescent="0.2">
      <c r="A642" s="36" t="str">
        <f>HYPERLINK("https://www.desu.edu", "Delaware State University")</f>
        <v>Delaware State University</v>
      </c>
      <c r="B642" s="18" t="s">
        <v>49</v>
      </c>
      <c r="C642" s="18" t="s">
        <v>507</v>
      </c>
      <c r="D642" s="18" t="s">
        <v>728</v>
      </c>
      <c r="E642" s="18">
        <v>918</v>
      </c>
      <c r="F642" s="18" t="s">
        <v>35</v>
      </c>
      <c r="J642" s="19"/>
      <c r="K642" s="19">
        <v>0.36720000000000003</v>
      </c>
      <c r="L642" s="19">
        <v>0.32425742600000002</v>
      </c>
      <c r="M642" s="19">
        <v>0.40539999999999998</v>
      </c>
      <c r="N642" s="19">
        <v>0.36520000000000002</v>
      </c>
      <c r="O642" s="19">
        <v>0.28570000000000001</v>
      </c>
      <c r="P642" s="19">
        <v>0.63639999999999997</v>
      </c>
      <c r="Q642" s="19"/>
      <c r="R642" s="20">
        <v>32456</v>
      </c>
      <c r="S642" s="21" t="str">
        <f>HYPERLINK("https://www.desu.edu/npc", "$22359")</f>
        <v>$22359</v>
      </c>
      <c r="T642" s="20">
        <v>25702</v>
      </c>
      <c r="U642" s="20">
        <v>26784</v>
      </c>
      <c r="V642" s="20">
        <v>4119</v>
      </c>
      <c r="W642" s="20">
        <v>18240.77245508982</v>
      </c>
      <c r="Y642" s="19">
        <v>0.49309999999999998</v>
      </c>
      <c r="Z642" s="19">
        <v>0.90920000000000001</v>
      </c>
      <c r="AB642" s="18">
        <v>3678</v>
      </c>
      <c r="AC642" s="18">
        <v>5</v>
      </c>
    </row>
    <row r="643" spans="1:29" ht="15.75" customHeight="1" x14ac:dyDescent="0.2">
      <c r="A643" s="36" t="str">
        <f>HYPERLINK("https://www.dtcc.edu", "Delaware Technical Community College-Terry")</f>
        <v>Delaware Technical Community College-Terry</v>
      </c>
      <c r="B643" s="18" t="s">
        <v>49</v>
      </c>
      <c r="C643" s="18" t="s">
        <v>507</v>
      </c>
      <c r="D643" s="18" t="s">
        <v>728</v>
      </c>
      <c r="E643" s="18" t="s">
        <v>36</v>
      </c>
      <c r="F643" s="18" t="s">
        <v>36</v>
      </c>
      <c r="J643" s="19"/>
      <c r="K643" s="19">
        <v>0.1321</v>
      </c>
      <c r="L643" s="19">
        <v>8.7387386999999997E-2</v>
      </c>
      <c r="M643" s="19">
        <v>0.15809999999999999</v>
      </c>
      <c r="N643" s="19">
        <v>4.8300000000000003E-2</v>
      </c>
      <c r="O643" s="19">
        <v>0.12230000000000001</v>
      </c>
      <c r="P643" s="19">
        <v>0.33329999999999999</v>
      </c>
      <c r="Q643" s="19">
        <v>9.8888239000000003E-2</v>
      </c>
      <c r="R643" s="20">
        <v>24417</v>
      </c>
      <c r="S643" s="21" t="str">
        <f>HYPERLINK("https://www.dtcc.edu/admissions-financial-aid/tuition-fees/net-price-calculator", "$20082")</f>
        <v>$20082</v>
      </c>
      <c r="T643" s="20">
        <v>21057</v>
      </c>
      <c r="U643" s="20">
        <v>22013</v>
      </c>
      <c r="V643" s="20">
        <v>5170</v>
      </c>
      <c r="W643" s="20">
        <v>14912.69580419581</v>
      </c>
      <c r="Y643" s="19">
        <v>0.39050000000000001</v>
      </c>
      <c r="Z643" s="19">
        <v>0.48039999999999999</v>
      </c>
      <c r="AB643" s="18">
        <v>12408</v>
      </c>
      <c r="AC643" s="18">
        <v>6</v>
      </c>
    </row>
    <row r="644" spans="1:29" ht="15.75" customHeight="1" x14ac:dyDescent="0.2">
      <c r="A644" s="36" t="str">
        <f>HYPERLINK("https://www.delval.edu", "Delaware Valley University")</f>
        <v>Delaware Valley University</v>
      </c>
      <c r="B644" s="18" t="s">
        <v>32</v>
      </c>
      <c r="C644" s="18" t="s">
        <v>65</v>
      </c>
      <c r="D644" s="18" t="s">
        <v>702</v>
      </c>
      <c r="E644" s="18">
        <v>1070</v>
      </c>
      <c r="F644" s="18" t="s">
        <v>35</v>
      </c>
      <c r="J644" s="19"/>
      <c r="K644" s="19">
        <v>0.55899999999999994</v>
      </c>
      <c r="L644" s="19">
        <v>0.361538462</v>
      </c>
      <c r="M644" s="19">
        <v>0.57700000000000007</v>
      </c>
      <c r="N644" s="19">
        <v>0.5</v>
      </c>
      <c r="O644" s="19">
        <v>0.5</v>
      </c>
      <c r="P644" s="19">
        <v>1</v>
      </c>
      <c r="Q644" s="19"/>
      <c r="R644" s="20">
        <v>54750</v>
      </c>
      <c r="S644" s="21" t="str">
        <f>HYPERLINK("https://www.delval.edu/admission/undergraduate-admission/affording-delval", "$24912")</f>
        <v>$24912</v>
      </c>
      <c r="T644" s="20">
        <v>27079</v>
      </c>
      <c r="U644" s="20">
        <v>30584</v>
      </c>
      <c r="V644" s="20">
        <v>2800</v>
      </c>
      <c r="W644" s="20">
        <v>22112</v>
      </c>
      <c r="Y644" s="19">
        <v>0.2944</v>
      </c>
      <c r="Z644" s="19">
        <v>0.30869999999999997</v>
      </c>
      <c r="AB644" s="18">
        <v>1908</v>
      </c>
      <c r="AC644" s="18">
        <v>4</v>
      </c>
    </row>
    <row r="645" spans="1:29" ht="15.75" customHeight="1" x14ac:dyDescent="0.2">
      <c r="A645" s="36" t="str">
        <f>HYPERLINK("https://www.delta.edu", "Delta College")</f>
        <v>Delta College</v>
      </c>
      <c r="B645" s="18" t="s">
        <v>49</v>
      </c>
      <c r="C645" s="18" t="s">
        <v>226</v>
      </c>
      <c r="D645" s="18" t="s">
        <v>1126</v>
      </c>
      <c r="E645" s="18" t="s">
        <v>36</v>
      </c>
      <c r="F645" s="18" t="s">
        <v>36</v>
      </c>
      <c r="J645" s="19"/>
      <c r="K645" s="19">
        <v>0.1401</v>
      </c>
      <c r="L645" s="19">
        <v>0.16193302300000001</v>
      </c>
      <c r="M645" s="19">
        <v>0.15260000000000001</v>
      </c>
      <c r="N645" s="19">
        <v>5.4100000000000002E-2</v>
      </c>
      <c r="O645" s="19">
        <v>0.125</v>
      </c>
      <c r="P645" s="19">
        <v>0</v>
      </c>
      <c r="Q645" s="19">
        <v>7.2330654000000008E-2</v>
      </c>
      <c r="R645" s="20">
        <v>19142</v>
      </c>
      <c r="S645" s="21" t="str">
        <f>HYPERLINK("https://apps.delta.edu/NetPriceCalc/npcalc.htm", "$12637")</f>
        <v>$12637</v>
      </c>
      <c r="T645" s="20">
        <v>15905</v>
      </c>
      <c r="U645" s="20">
        <v>18349</v>
      </c>
      <c r="V645" s="20">
        <v>4800</v>
      </c>
      <c r="W645" s="20">
        <v>7837.9396135265706</v>
      </c>
      <c r="Y645" s="19">
        <v>0.38030000000000003</v>
      </c>
      <c r="Z645" s="19">
        <v>0.21229999999999999</v>
      </c>
      <c r="AB645" s="18">
        <v>7291</v>
      </c>
      <c r="AC645" s="18">
        <v>6</v>
      </c>
    </row>
    <row r="646" spans="1:29" ht="15.75" customHeight="1" x14ac:dyDescent="0.2">
      <c r="A646" s="36" t="str">
        <f>HYPERLINK("https://www.deltatech.edu", "Delta School of Business and Technology")</f>
        <v>Delta School of Business and Technology</v>
      </c>
      <c r="B646" s="18" t="s">
        <v>368</v>
      </c>
      <c r="C646" s="18" t="s">
        <v>158</v>
      </c>
      <c r="D646" s="18" t="s">
        <v>954</v>
      </c>
      <c r="E646" s="18" t="s">
        <v>36</v>
      </c>
      <c r="F646" s="18" t="s">
        <v>36</v>
      </c>
      <c r="J646" s="19"/>
      <c r="K646" s="19">
        <v>0.69840000000000002</v>
      </c>
      <c r="L646" s="19">
        <v>0.44059405899999998</v>
      </c>
      <c r="M646" s="19">
        <v>0.52270000000000005</v>
      </c>
      <c r="N646" s="19">
        <v>0.77270000000000005</v>
      </c>
      <c r="O646" s="19">
        <v>1</v>
      </c>
      <c r="P646" s="19" t="s">
        <v>36</v>
      </c>
      <c r="Q646" s="19" t="s">
        <v>36</v>
      </c>
      <c r="R646" s="20">
        <v>25406</v>
      </c>
      <c r="S646" s="21" t="str">
        <f>HYPERLINK("https://www.deltatech.edu", "$16199")</f>
        <v>$16199</v>
      </c>
      <c r="T646" s="20">
        <v>19384</v>
      </c>
      <c r="U646" s="20">
        <v>22331</v>
      </c>
      <c r="V646" s="20">
        <v>6007</v>
      </c>
      <c r="W646" s="20">
        <v>10192</v>
      </c>
      <c r="Y646" s="19">
        <v>0.79449999999999998</v>
      </c>
      <c r="Z646" s="19">
        <v>0.46810000000000002</v>
      </c>
      <c r="AB646" s="18">
        <v>47</v>
      </c>
      <c r="AC646" s="18">
        <v>6</v>
      </c>
    </row>
    <row r="647" spans="1:29" ht="15.75" customHeight="1" x14ac:dyDescent="0.2">
      <c r="A647" s="36" t="str">
        <f>HYPERLINK("https://www.deltastate.edu", "Delta State University")</f>
        <v>Delta State University</v>
      </c>
      <c r="B647" s="18" t="s">
        <v>49</v>
      </c>
      <c r="C647" s="18" t="s">
        <v>59</v>
      </c>
      <c r="D647" s="18" t="s">
        <v>76</v>
      </c>
      <c r="E647" s="18">
        <v>1047</v>
      </c>
      <c r="F647" s="18" t="s">
        <v>35</v>
      </c>
      <c r="J647" s="19"/>
      <c r="K647" s="19">
        <v>0.39629999999999999</v>
      </c>
      <c r="L647" s="19">
        <v>0.23674911700000001</v>
      </c>
      <c r="M647" s="19">
        <v>0.4869</v>
      </c>
      <c r="N647" s="19">
        <v>0.21190000000000001</v>
      </c>
      <c r="O647" s="19">
        <v>0.5</v>
      </c>
      <c r="P647" s="19">
        <v>1</v>
      </c>
      <c r="Q647" s="19"/>
      <c r="R647" s="20">
        <v>19543</v>
      </c>
      <c r="S647" s="21" t="str">
        <f>HYPERLINK("https://npcalc.deltastate.edu/", "$11785")</f>
        <v>$11785</v>
      </c>
      <c r="T647" s="20">
        <v>15418</v>
      </c>
      <c r="U647" s="20">
        <v>15801</v>
      </c>
      <c r="V647" s="20">
        <v>5100</v>
      </c>
      <c r="W647" s="20">
        <v>6685.1736111111113</v>
      </c>
      <c r="Y647" s="19">
        <v>0.4249</v>
      </c>
      <c r="Z647" s="19">
        <v>0.42199999999999999</v>
      </c>
      <c r="AB647" s="18">
        <v>2360</v>
      </c>
      <c r="AC647" s="18">
        <v>4</v>
      </c>
    </row>
    <row r="648" spans="1:29" ht="15.75" customHeight="1" x14ac:dyDescent="0.2">
      <c r="A648" s="36" t="str">
        <f>HYPERLINK("https://www.denison.edu", "Denison University")</f>
        <v>Denison University</v>
      </c>
      <c r="B648" s="18" t="s">
        <v>32</v>
      </c>
      <c r="C648" s="18" t="s">
        <v>75</v>
      </c>
      <c r="D648" s="18" t="s">
        <v>213</v>
      </c>
      <c r="E648" s="18">
        <v>1335</v>
      </c>
      <c r="F648" s="18" t="s">
        <v>115</v>
      </c>
      <c r="J648" s="19"/>
      <c r="K648" s="19">
        <v>0.86470000000000002</v>
      </c>
      <c r="L648" s="19">
        <v>0.712121212</v>
      </c>
      <c r="M648" s="19">
        <v>0.87109999999999999</v>
      </c>
      <c r="N648" s="19">
        <v>0.89190000000000003</v>
      </c>
      <c r="O648" s="19">
        <v>0.8478</v>
      </c>
      <c r="P648" s="19">
        <v>0.75</v>
      </c>
      <c r="Q648" s="19"/>
      <c r="R648" s="20">
        <v>64970</v>
      </c>
      <c r="S648" s="21" t="str">
        <f>HYPERLINK("https://www.denison.edu/forms/net-price-calculator", "$13307")</f>
        <v>$13307</v>
      </c>
      <c r="T648" s="20">
        <v>21164</v>
      </c>
      <c r="U648" s="20">
        <v>25237</v>
      </c>
      <c r="V648" s="20">
        <v>2200</v>
      </c>
      <c r="W648" s="20">
        <v>11107</v>
      </c>
      <c r="Y648" s="19">
        <v>0.19500000000000001</v>
      </c>
      <c r="Z648" s="19">
        <v>0.35460000000000003</v>
      </c>
      <c r="AA648" s="18" t="s">
        <v>37</v>
      </c>
      <c r="AB648" s="18">
        <v>2321</v>
      </c>
      <c r="AC648" s="18">
        <v>2</v>
      </c>
    </row>
    <row r="649" spans="1:29" ht="15.75" customHeight="1" x14ac:dyDescent="0.2">
      <c r="A649" s="36" t="str">
        <f>HYPERLINK("https://www.dmacc.edu", "Des Moines Area Community College")</f>
        <v>Des Moines Area Community College</v>
      </c>
      <c r="B649" s="18" t="s">
        <v>49</v>
      </c>
      <c r="C649" s="18" t="s">
        <v>211</v>
      </c>
      <c r="D649" s="18" t="s">
        <v>1266</v>
      </c>
      <c r="E649" s="18" t="s">
        <v>36</v>
      </c>
      <c r="F649" s="18" t="s">
        <v>36</v>
      </c>
      <c r="J649" s="19"/>
      <c r="K649" s="19">
        <v>0.28739999999999999</v>
      </c>
      <c r="L649" s="19">
        <v>0.168056279</v>
      </c>
      <c r="M649" s="19">
        <v>0.3145</v>
      </c>
      <c r="N649" s="19">
        <v>0.125</v>
      </c>
      <c r="O649" s="19">
        <v>0.21579999999999999</v>
      </c>
      <c r="P649" s="19">
        <v>0.26</v>
      </c>
      <c r="Q649" s="19">
        <v>7.6021635000000004E-2</v>
      </c>
      <c r="R649" s="20">
        <v>19388</v>
      </c>
      <c r="S649" s="21" t="str">
        <f>HYPERLINK("https://www.dmacc.edu/fin_aid/Pages/welcome.aspx", "$14601")</f>
        <v>$14601</v>
      </c>
      <c r="T649" s="20">
        <v>16531</v>
      </c>
      <c r="U649" s="20">
        <v>18425</v>
      </c>
      <c r="V649" s="20">
        <v>3042</v>
      </c>
      <c r="W649" s="20">
        <v>11559.03606557377</v>
      </c>
      <c r="Y649" s="19">
        <v>0.2046</v>
      </c>
      <c r="Z649" s="19">
        <v>0.29690000000000011</v>
      </c>
      <c r="AB649" s="18">
        <v>12521</v>
      </c>
      <c r="AC649" s="18">
        <v>6</v>
      </c>
    </row>
    <row r="650" spans="1:29" ht="15.75" customHeight="1" x14ac:dyDescent="0.2">
      <c r="A650" s="36" t="str">
        <f>HYPERLINK("https://dewey.edu", "Dewey University-Manati")</f>
        <v>Dewey University-Manati</v>
      </c>
      <c r="B650" s="18" t="s">
        <v>32</v>
      </c>
      <c r="C650" s="18" t="s">
        <v>284</v>
      </c>
      <c r="D650" s="18" t="s">
        <v>925</v>
      </c>
      <c r="E650" s="18" t="s">
        <v>36</v>
      </c>
      <c r="F650" s="18" t="s">
        <v>36</v>
      </c>
      <c r="J650" s="19"/>
      <c r="K650" s="19">
        <v>0.69740000000000002</v>
      </c>
      <c r="L650" s="19">
        <v>5.8823529000000013E-2</v>
      </c>
      <c r="M650" s="19" t="s">
        <v>36</v>
      </c>
      <c r="N650" s="19" t="s">
        <v>36</v>
      </c>
      <c r="O650" s="19">
        <v>0.69740000000000002</v>
      </c>
      <c r="P650" s="19" t="s">
        <v>36</v>
      </c>
      <c r="Q650" s="19">
        <v>2.2205009000000001E-2</v>
      </c>
      <c r="R650" s="20">
        <v>14127</v>
      </c>
      <c r="S650" s="21" t="str">
        <f>HYPERLINK("https://dewey.edu/jdc/matricula2012/NetPriceCalculator/npcalc.htm", "$4623")</f>
        <v>$4623</v>
      </c>
      <c r="T650" s="20">
        <v>5714</v>
      </c>
      <c r="U650" s="20" t="s">
        <v>36</v>
      </c>
      <c r="V650" s="20">
        <v>1900</v>
      </c>
      <c r="W650" s="20">
        <v>2723</v>
      </c>
      <c r="Y650" s="19">
        <v>0.95879999999999999</v>
      </c>
      <c r="Z650" s="19">
        <v>1</v>
      </c>
      <c r="AB650" s="18">
        <v>302</v>
      </c>
      <c r="AC650" s="18">
        <v>6</v>
      </c>
    </row>
    <row r="651" spans="1:29" ht="15.75" customHeight="1" x14ac:dyDescent="0.2">
      <c r="A651" s="36" t="str">
        <f>HYPERLINK("https://dewey.edu", "Dewey University-Mayaguez")</f>
        <v>Dewey University-Mayaguez</v>
      </c>
      <c r="B651" s="18" t="s">
        <v>32</v>
      </c>
      <c r="C651" s="18" t="s">
        <v>284</v>
      </c>
      <c r="D651" s="18" t="s">
        <v>1052</v>
      </c>
      <c r="E651" s="18" t="s">
        <v>36</v>
      </c>
      <c r="F651" s="18" t="s">
        <v>36</v>
      </c>
      <c r="J651" s="19"/>
      <c r="K651" s="19">
        <v>0.27779999999999999</v>
      </c>
      <c r="L651" s="19">
        <v>5.8823529000000013E-2</v>
      </c>
      <c r="M651" s="19" t="s">
        <v>36</v>
      </c>
      <c r="N651" s="19" t="s">
        <v>36</v>
      </c>
      <c r="O651" s="19">
        <v>0.27779999999999999</v>
      </c>
      <c r="P651" s="19" t="s">
        <v>36</v>
      </c>
      <c r="Q651" s="19">
        <v>2.2205009000000001E-2</v>
      </c>
      <c r="R651" s="20">
        <v>12467</v>
      </c>
      <c r="S651" s="21" t="str">
        <f>HYPERLINK("https://dewey.edu/jdc/matricula2012/NetPriceCalculator/npcalc.htm", "$3593")</f>
        <v>$3593</v>
      </c>
      <c r="T651" s="20">
        <v>4970</v>
      </c>
      <c r="U651" s="20" t="s">
        <v>36</v>
      </c>
      <c r="V651" s="20">
        <v>1900</v>
      </c>
      <c r="W651" s="20">
        <v>1693</v>
      </c>
      <c r="Y651" s="19">
        <v>0.78759999999999997</v>
      </c>
      <c r="Z651" s="19">
        <v>1</v>
      </c>
      <c r="AB651" s="18">
        <v>27</v>
      </c>
      <c r="AC651" s="18">
        <v>6</v>
      </c>
    </row>
    <row r="652" spans="1:29" ht="15.75" customHeight="1" x14ac:dyDescent="0.2">
      <c r="A652" s="36" t="str">
        <f>HYPERLINK("https://www.dvc.edu", "Diablo Valley College")</f>
        <v>Diablo Valley College</v>
      </c>
      <c r="B652" s="18" t="s">
        <v>49</v>
      </c>
      <c r="C652" s="18" t="s">
        <v>68</v>
      </c>
      <c r="D652" s="18" t="s">
        <v>1268</v>
      </c>
      <c r="E652" s="18" t="s">
        <v>36</v>
      </c>
      <c r="F652" s="18" t="s">
        <v>36</v>
      </c>
      <c r="J652" s="19"/>
      <c r="K652" s="19">
        <v>0.4476</v>
      </c>
      <c r="L652" s="19" t="s">
        <v>36</v>
      </c>
      <c r="M652" s="19">
        <v>0.40479999999999999</v>
      </c>
      <c r="N652" s="19">
        <v>0.12</v>
      </c>
      <c r="O652" s="19">
        <v>0.28920000000000001</v>
      </c>
      <c r="P652" s="19">
        <v>0.45889999999999997</v>
      </c>
      <c r="Q652" s="19">
        <v>0.208677686</v>
      </c>
      <c r="R652" s="20">
        <v>27812</v>
      </c>
      <c r="S652" s="21" t="str">
        <f>HYPERLINK("https://misweb.cccco.edu/npc/312/npcalc.htm", "$20691")</f>
        <v>$20691</v>
      </c>
      <c r="T652" s="20">
        <v>23875</v>
      </c>
      <c r="U652" s="20">
        <v>25505</v>
      </c>
      <c r="V652" s="20">
        <v>6094</v>
      </c>
      <c r="W652" s="20">
        <v>14597.19553072626</v>
      </c>
      <c r="Y652" s="19">
        <v>0.16450000000000001</v>
      </c>
      <c r="Z652" s="19">
        <v>0.6391</v>
      </c>
      <c r="AB652" s="18">
        <v>17926</v>
      </c>
      <c r="AC652" s="18">
        <v>6</v>
      </c>
    </row>
    <row r="653" spans="1:29" ht="15.75" customHeight="1" x14ac:dyDescent="0.2">
      <c r="A653" s="36" t="str">
        <f>HYPERLINK("https://www.dickinson.edu", "Dickinson College")</f>
        <v>Dickinson College</v>
      </c>
      <c r="B653" s="18" t="s">
        <v>32</v>
      </c>
      <c r="C653" s="18" t="s">
        <v>65</v>
      </c>
      <c r="D653" s="18" t="s">
        <v>214</v>
      </c>
      <c r="E653" s="18" t="s">
        <v>36</v>
      </c>
      <c r="F653" s="18" t="s">
        <v>90</v>
      </c>
      <c r="J653" s="19"/>
      <c r="K653" s="19">
        <v>0.82979999999999998</v>
      </c>
      <c r="L653" s="19" t="s">
        <v>36</v>
      </c>
      <c r="M653" s="19">
        <v>0.83960000000000001</v>
      </c>
      <c r="N653" s="19">
        <v>0.8095</v>
      </c>
      <c r="O653" s="19">
        <v>0.84089999999999998</v>
      </c>
      <c r="P653" s="19">
        <v>0.8</v>
      </c>
      <c r="Q653" s="19"/>
      <c r="R653" s="20">
        <v>69071</v>
      </c>
      <c r="S653" s="21" t="str">
        <f>HYPERLINK("https://npc.collegeboard.org/student/app/dickinson", "$10854")</f>
        <v>$10854</v>
      </c>
      <c r="T653" s="20">
        <v>16403</v>
      </c>
      <c r="U653" s="20">
        <v>24241</v>
      </c>
      <c r="V653" s="20">
        <v>2880</v>
      </c>
      <c r="W653" s="20">
        <v>7974</v>
      </c>
      <c r="Y653" s="19">
        <v>0.1207</v>
      </c>
      <c r="Z653" s="19">
        <v>0.3407</v>
      </c>
      <c r="AB653" s="18">
        <v>2339</v>
      </c>
      <c r="AC653" s="18">
        <v>2</v>
      </c>
    </row>
    <row r="654" spans="1:29" ht="15.75" customHeight="1" x14ac:dyDescent="0.2">
      <c r="A654" s="36" t="str">
        <f>HYPERLINK("https://www.dickinsonstate.edu", "Dickinson State University")</f>
        <v>Dickinson State University</v>
      </c>
      <c r="B654" s="18" t="s">
        <v>49</v>
      </c>
      <c r="C654" s="18" t="s">
        <v>730</v>
      </c>
      <c r="D654" s="18" t="s">
        <v>731</v>
      </c>
      <c r="E654" s="18">
        <v>1042</v>
      </c>
      <c r="F654" s="18" t="s">
        <v>35</v>
      </c>
      <c r="J654" s="19"/>
      <c r="K654" s="19">
        <v>0.31559999999999999</v>
      </c>
      <c r="L654" s="19">
        <v>0.30645161300000001</v>
      </c>
      <c r="M654" s="19">
        <v>0.37709999999999999</v>
      </c>
      <c r="N654" s="19">
        <v>0.1429</v>
      </c>
      <c r="O654" s="19">
        <v>0.125</v>
      </c>
      <c r="P654" s="19">
        <v>0</v>
      </c>
      <c r="Q654" s="19"/>
      <c r="R654" s="20">
        <v>20650</v>
      </c>
      <c r="S654" s="21" t="str">
        <f>HYPERLINK("https://www.dickinsonstate.edu/Assets/uploads/files/financial-aid/netpricecalculator/npcalc.htm", "$13973")</f>
        <v>$13973</v>
      </c>
      <c r="T654" s="20">
        <v>16818</v>
      </c>
      <c r="U654" s="20">
        <v>17875</v>
      </c>
      <c r="V654" s="20">
        <v>4700</v>
      </c>
      <c r="W654" s="20">
        <v>9273</v>
      </c>
      <c r="Y654" s="19">
        <v>0.223</v>
      </c>
      <c r="Z654" s="19">
        <v>0.23330000000000001</v>
      </c>
      <c r="AB654" s="18">
        <v>1153</v>
      </c>
      <c r="AC654" s="18">
        <v>5</v>
      </c>
    </row>
    <row r="655" spans="1:29" ht="15.75" customHeight="1" x14ac:dyDescent="0.2">
      <c r="A655" s="36" t="str">
        <f>HYPERLINK("https://www.dillard.edu", "Dillard University")</f>
        <v>Dillard University</v>
      </c>
      <c r="B655" s="18" t="s">
        <v>32</v>
      </c>
      <c r="C655" s="18" t="s">
        <v>158</v>
      </c>
      <c r="D655" s="18" t="s">
        <v>159</v>
      </c>
      <c r="E655" s="18">
        <v>1009</v>
      </c>
      <c r="F655" s="18" t="s">
        <v>35</v>
      </c>
      <c r="J655" s="19"/>
      <c r="K655" s="19">
        <v>0.39889999999999998</v>
      </c>
      <c r="L655" s="19">
        <v>0.33834586500000002</v>
      </c>
      <c r="M655" s="19">
        <v>0</v>
      </c>
      <c r="N655" s="19">
        <v>0.3977</v>
      </c>
      <c r="O655" s="19">
        <v>1</v>
      </c>
      <c r="P655" s="19" t="s">
        <v>36</v>
      </c>
      <c r="Q655" s="19"/>
      <c r="R655" s="20">
        <v>33875</v>
      </c>
      <c r="S655" s="21" t="str">
        <f>HYPERLINK("https://www.dillard.edu/index.php?option=com_content&amp;view=article&amp;id=268&amp;Itemid=202.", "$16075")</f>
        <v>$16075</v>
      </c>
      <c r="T655" s="20">
        <v>17940</v>
      </c>
      <c r="U655" s="20">
        <v>19908</v>
      </c>
      <c r="V655" s="20">
        <v>5973</v>
      </c>
      <c r="W655" s="20">
        <v>10102</v>
      </c>
      <c r="Y655" s="19">
        <v>0.74229999999999996</v>
      </c>
      <c r="Z655" s="19">
        <v>0.99529999999999996</v>
      </c>
      <c r="AB655" s="18">
        <v>1290</v>
      </c>
      <c r="AC655" s="18">
        <v>3</v>
      </c>
    </row>
    <row r="656" spans="1:29" ht="15.75" customHeight="1" x14ac:dyDescent="0.2">
      <c r="A656" s="36" t="str">
        <f>HYPERLINK("https://www.dinecollege.edu", "Dine College")</f>
        <v>Dine College</v>
      </c>
      <c r="B656" s="18" t="s">
        <v>49</v>
      </c>
      <c r="C656" s="18" t="s">
        <v>354</v>
      </c>
      <c r="D656" s="18" t="s">
        <v>1269</v>
      </c>
      <c r="E656" s="18" t="s">
        <v>36</v>
      </c>
      <c r="F656" s="18" t="s">
        <v>36</v>
      </c>
      <c r="J656" s="19"/>
      <c r="K656" s="19">
        <v>0.13270000000000001</v>
      </c>
      <c r="L656" s="19">
        <v>7.6106195000000001E-2</v>
      </c>
      <c r="M656" s="19">
        <v>0</v>
      </c>
      <c r="N656" s="19" t="s">
        <v>36</v>
      </c>
      <c r="O656" s="19">
        <v>0</v>
      </c>
      <c r="P656" s="19" t="s">
        <v>36</v>
      </c>
      <c r="Q656" s="19">
        <v>5.1034482999999999E-2</v>
      </c>
      <c r="R656" s="20">
        <v>12000</v>
      </c>
      <c r="S656" s="21" t="str">
        <f>HYPERLINK("https://www.dinecollege.edu/admissions/net-price-calculator/", "$8320")</f>
        <v>$8320</v>
      </c>
      <c r="T656" s="20">
        <v>9076</v>
      </c>
      <c r="U656" s="20" t="s">
        <v>36</v>
      </c>
      <c r="V656" s="20">
        <v>6350</v>
      </c>
      <c r="W656" s="20">
        <v>1970.1839080459779</v>
      </c>
      <c r="Y656" s="19">
        <v>0.57450000000000001</v>
      </c>
      <c r="Z656" s="19">
        <v>0.99709999999999999</v>
      </c>
      <c r="AB656" s="18">
        <v>1363</v>
      </c>
      <c r="AC656" s="18">
        <v>6</v>
      </c>
    </row>
    <row r="657" spans="1:29" ht="15.75" customHeight="1" x14ac:dyDescent="0.2">
      <c r="A657" s="36" t="str">
        <f>HYPERLINK("https://dixie.edu/", "Dixie State University")</f>
        <v>Dixie State University</v>
      </c>
      <c r="B657" s="18" t="s">
        <v>49</v>
      </c>
      <c r="C657" s="18" t="s">
        <v>199</v>
      </c>
      <c r="D657" s="18" t="s">
        <v>1271</v>
      </c>
      <c r="E657" s="18" t="s">
        <v>36</v>
      </c>
      <c r="F657" s="18" t="s">
        <v>36</v>
      </c>
      <c r="J657" s="19"/>
      <c r="K657" s="19">
        <v>0.34200000000000003</v>
      </c>
      <c r="L657" s="19">
        <v>0.107958478</v>
      </c>
      <c r="M657" s="19">
        <v>0.37930000000000003</v>
      </c>
      <c r="N657" s="19">
        <v>0.1346</v>
      </c>
      <c r="O657" s="19">
        <v>0.1774</v>
      </c>
      <c r="P657" s="19">
        <v>0.33329999999999999</v>
      </c>
      <c r="Q657" s="19">
        <v>8.9569160999999994E-2</v>
      </c>
      <c r="R657" s="20">
        <v>30204</v>
      </c>
      <c r="S657" s="21" t="str">
        <f>HYPERLINK("https://financialaid.dixie.edu/net-price-calculator/", "$23888")</f>
        <v>$23888</v>
      </c>
      <c r="T657" s="20">
        <v>25798</v>
      </c>
      <c r="U657" s="20">
        <v>25984</v>
      </c>
      <c r="V657" s="20">
        <v>9328</v>
      </c>
      <c r="W657" s="20">
        <v>14560.168246445501</v>
      </c>
      <c r="Y657" s="19">
        <v>0.37430000000000002</v>
      </c>
      <c r="Z657" s="19">
        <v>0.25149999999999989</v>
      </c>
      <c r="AB657" s="18">
        <v>7687</v>
      </c>
      <c r="AC657" s="18">
        <v>6</v>
      </c>
    </row>
    <row r="658" spans="1:29" ht="15.75" customHeight="1" x14ac:dyDescent="0.2">
      <c r="A658" s="36" t="str">
        <f>HYPERLINK("https://www.doane.edu", "Doane University-Arts &amp; Sciences")</f>
        <v>Doane University-Arts &amp; Sciences</v>
      </c>
      <c r="B658" s="18" t="s">
        <v>32</v>
      </c>
      <c r="C658" s="18" t="s">
        <v>341</v>
      </c>
      <c r="D658" s="18" t="s">
        <v>347</v>
      </c>
      <c r="E658" s="18">
        <v>1125</v>
      </c>
      <c r="F658" s="18" t="s">
        <v>35</v>
      </c>
      <c r="J658" s="19"/>
      <c r="K658" s="19">
        <v>0.62760000000000005</v>
      </c>
      <c r="L658" s="19">
        <v>0.50253807100000003</v>
      </c>
      <c r="M658" s="19">
        <v>0.64139999999999997</v>
      </c>
      <c r="N658" s="19">
        <v>0.66669999999999996</v>
      </c>
      <c r="O658" s="19">
        <v>0.5333</v>
      </c>
      <c r="P658" s="19">
        <v>0.33329999999999999</v>
      </c>
      <c r="Q658" s="19"/>
      <c r="R658" s="20">
        <v>46710</v>
      </c>
      <c r="S658" s="21" t="str">
        <f>HYPERLINK("https://forms.doane.edu/netpricecalc/npcalc.htm", "$20122")</f>
        <v>$20122</v>
      </c>
      <c r="T658" s="20">
        <v>23301</v>
      </c>
      <c r="U658" s="20">
        <v>25672</v>
      </c>
      <c r="V658" s="20">
        <v>5370</v>
      </c>
      <c r="W658" s="20">
        <v>14752</v>
      </c>
      <c r="Y658" s="19">
        <v>0.28560000000000002</v>
      </c>
      <c r="Z658" s="19">
        <v>0.17599999999999991</v>
      </c>
      <c r="AB658" s="18">
        <v>1068</v>
      </c>
      <c r="AC658" s="18">
        <v>3</v>
      </c>
    </row>
    <row r="659" spans="1:29" ht="15.75" customHeight="1" x14ac:dyDescent="0.2">
      <c r="A659" s="36" t="str">
        <f>HYPERLINK("https://www.dc3.edu", "Dodge City Community College")</f>
        <v>Dodge City Community College</v>
      </c>
      <c r="B659" s="18" t="s">
        <v>49</v>
      </c>
      <c r="C659" s="18" t="s">
        <v>307</v>
      </c>
      <c r="D659" s="18" t="s">
        <v>1272</v>
      </c>
      <c r="E659" s="18" t="s">
        <v>36</v>
      </c>
      <c r="F659" s="18" t="s">
        <v>36</v>
      </c>
      <c r="J659" s="19"/>
      <c r="K659" s="19">
        <v>0.42409999999999998</v>
      </c>
      <c r="L659" s="19">
        <v>0.13445378199999999</v>
      </c>
      <c r="M659" s="19">
        <v>0.50680000000000003</v>
      </c>
      <c r="N659" s="19">
        <v>0.14080000000000001</v>
      </c>
      <c r="O659" s="19">
        <v>0.48370000000000002</v>
      </c>
      <c r="P659" s="19">
        <v>0.5</v>
      </c>
      <c r="Q659" s="19">
        <v>0.11682243</v>
      </c>
      <c r="R659" s="20">
        <v>14628</v>
      </c>
      <c r="S659" s="21" t="str">
        <f>HYPERLINK("https://www.dc3.edu/financial-aid/net-price-calculator", "$8651")</f>
        <v>$8651</v>
      </c>
      <c r="T659" s="20">
        <v>11071</v>
      </c>
      <c r="U659" s="20">
        <v>12542</v>
      </c>
      <c r="V659" s="20">
        <v>4528</v>
      </c>
      <c r="W659" s="20">
        <v>4123.6220472440946</v>
      </c>
      <c r="Y659" s="19">
        <v>0.2777</v>
      </c>
      <c r="Z659" s="19">
        <v>0.60289999999999999</v>
      </c>
      <c r="AB659" s="18">
        <v>1103</v>
      </c>
      <c r="AC659" s="18">
        <v>6</v>
      </c>
    </row>
    <row r="660" spans="1:29" ht="15.75" customHeight="1" x14ac:dyDescent="0.2">
      <c r="A660" s="36" t="str">
        <f>HYPERLINK("https://www.dc.edu", "Dominican College of Blauvelt")</f>
        <v>Dominican College of Blauvelt</v>
      </c>
      <c r="B660" s="18" t="s">
        <v>32</v>
      </c>
      <c r="C660" s="18" t="s">
        <v>38</v>
      </c>
      <c r="D660" s="18" t="s">
        <v>647</v>
      </c>
      <c r="E660" s="18">
        <v>986</v>
      </c>
      <c r="F660" s="18" t="s">
        <v>115</v>
      </c>
      <c r="J660" s="19"/>
      <c r="K660" s="19">
        <v>0.43180000000000002</v>
      </c>
      <c r="L660" s="19">
        <v>0.45833333300000001</v>
      </c>
      <c r="M660" s="19">
        <v>0.47660000000000002</v>
      </c>
      <c r="N660" s="19">
        <v>0.35210000000000002</v>
      </c>
      <c r="O660" s="19">
        <v>0.40710000000000002</v>
      </c>
      <c r="P660" s="19">
        <v>0.66669999999999996</v>
      </c>
      <c r="Q660" s="19"/>
      <c r="R660" s="20">
        <v>45568</v>
      </c>
      <c r="S660" s="21" t="str">
        <f>HYPERLINK("https://www.dc.edu/admissions/financial-aid-2/net-price-calculator/", "$14981")</f>
        <v>$14981</v>
      </c>
      <c r="T660" s="20">
        <v>21424</v>
      </c>
      <c r="U660" s="20">
        <v>22604</v>
      </c>
      <c r="V660" s="20">
        <v>4450</v>
      </c>
      <c r="W660" s="20">
        <v>10531</v>
      </c>
      <c r="Y660" s="19">
        <v>0.42349999999999999</v>
      </c>
      <c r="Z660" s="19">
        <v>0.64539999999999997</v>
      </c>
      <c r="AB660" s="18">
        <v>1413</v>
      </c>
      <c r="AC660" s="18">
        <v>4</v>
      </c>
    </row>
    <row r="661" spans="1:29" ht="15.75" customHeight="1" x14ac:dyDescent="0.2">
      <c r="A661" s="36" t="str">
        <f>HYPERLINK("https://www.dom.edu/", "Dominican University")</f>
        <v>Dominican University</v>
      </c>
      <c r="B661" s="18" t="s">
        <v>32</v>
      </c>
      <c r="C661" s="18" t="s">
        <v>137</v>
      </c>
      <c r="D661" s="18" t="s">
        <v>681</v>
      </c>
      <c r="E661" s="18">
        <v>1124</v>
      </c>
      <c r="F661" s="18" t="s">
        <v>35</v>
      </c>
      <c r="J661" s="19"/>
      <c r="K661" s="19">
        <v>0.62080000000000002</v>
      </c>
      <c r="L661" s="19">
        <v>0.57070707100000007</v>
      </c>
      <c r="M661" s="19">
        <v>0.71260000000000001</v>
      </c>
      <c r="N661" s="19">
        <v>0.36670000000000003</v>
      </c>
      <c r="O661" s="19">
        <v>0.5897</v>
      </c>
      <c r="P661" s="19">
        <v>0.5</v>
      </c>
      <c r="Q661" s="19"/>
      <c r="R661" s="20">
        <v>44972</v>
      </c>
      <c r="S661" s="21" t="str">
        <f>HYPERLINK("https://dom.studentaidcalculator.com/survey.aspx", "$15126")</f>
        <v>$15126</v>
      </c>
      <c r="T661" s="20">
        <v>17843</v>
      </c>
      <c r="U661" s="20">
        <v>20591</v>
      </c>
      <c r="V661" s="20">
        <v>2500</v>
      </c>
      <c r="W661" s="20">
        <v>12626</v>
      </c>
      <c r="Y661" s="19">
        <v>0.48480000000000001</v>
      </c>
      <c r="Z661" s="19">
        <v>0.66639999999999999</v>
      </c>
      <c r="AB661" s="18">
        <v>2155</v>
      </c>
      <c r="AC661" s="18">
        <v>4</v>
      </c>
    </row>
    <row r="662" spans="1:29" ht="15.75" customHeight="1" x14ac:dyDescent="0.2">
      <c r="A662" s="36" t="str">
        <f>HYPERLINK("https://www.dominican.edu", "Dominican University of California")</f>
        <v>Dominican University of California</v>
      </c>
      <c r="B662" s="18" t="s">
        <v>32</v>
      </c>
      <c r="C662" s="18" t="s">
        <v>68</v>
      </c>
      <c r="D662" s="18" t="s">
        <v>705</v>
      </c>
      <c r="E662" s="18">
        <v>1127</v>
      </c>
      <c r="F662" s="18" t="s">
        <v>35</v>
      </c>
      <c r="J662" s="19"/>
      <c r="K662" s="19">
        <v>0.72040000000000004</v>
      </c>
      <c r="L662" s="19">
        <v>0.582677165</v>
      </c>
      <c r="M662" s="19">
        <v>0.70889999999999997</v>
      </c>
      <c r="N662" s="19">
        <v>0.71430000000000005</v>
      </c>
      <c r="O662" s="19">
        <v>0.69510000000000005</v>
      </c>
      <c r="P662" s="19">
        <v>0.90480000000000005</v>
      </c>
      <c r="Q662" s="19"/>
      <c r="R662" s="20">
        <v>64436</v>
      </c>
      <c r="S662" s="21" t="str">
        <f>HYPERLINK("https://www.dominican.edu/admissions/aid/net-price-calculator-npc", "$28916")</f>
        <v>$28916</v>
      </c>
      <c r="T662" s="20">
        <v>29420</v>
      </c>
      <c r="U662" s="20">
        <v>33186</v>
      </c>
      <c r="V662" s="20">
        <v>5096</v>
      </c>
      <c r="W662" s="20">
        <v>23820</v>
      </c>
      <c r="Y662" s="19">
        <v>0.3004</v>
      </c>
      <c r="Z662" s="19">
        <v>0.68459999999999999</v>
      </c>
      <c r="AB662" s="18">
        <v>1284</v>
      </c>
      <c r="AC662" s="18">
        <v>4</v>
      </c>
    </row>
    <row r="663" spans="1:29" ht="15.75" customHeight="1" x14ac:dyDescent="0.2">
      <c r="A663" s="36" t="str">
        <f>HYPERLINK("https://www.drake.edu", "Drake University")</f>
        <v>Drake University</v>
      </c>
      <c r="B663" s="18" t="s">
        <v>32</v>
      </c>
      <c r="C663" s="18" t="s">
        <v>211</v>
      </c>
      <c r="D663" s="18" t="s">
        <v>348</v>
      </c>
      <c r="E663" s="18">
        <v>1285</v>
      </c>
      <c r="F663" s="18" t="s">
        <v>35</v>
      </c>
      <c r="J663" s="19"/>
      <c r="K663" s="19">
        <v>0.79059999999999997</v>
      </c>
      <c r="L663" s="19">
        <v>0.53146853199999999</v>
      </c>
      <c r="M663" s="19">
        <v>0.80959999999999999</v>
      </c>
      <c r="N663" s="19">
        <v>0.54169999999999996</v>
      </c>
      <c r="O663" s="19">
        <v>0.57579999999999998</v>
      </c>
      <c r="P663" s="19">
        <v>0.80489999999999995</v>
      </c>
      <c r="Q663" s="19"/>
      <c r="R663" s="20">
        <v>54020</v>
      </c>
      <c r="S663" s="21" t="str">
        <f>HYPERLINK("https://www.drake.edu/admission/first-yearstudents/costsfinancialaid/drakepricecalculator/", "$22137")</f>
        <v>$22137</v>
      </c>
      <c r="T663" s="20">
        <v>23925</v>
      </c>
      <c r="U663" s="20">
        <v>27107</v>
      </c>
      <c r="V663" s="20">
        <v>4800</v>
      </c>
      <c r="W663" s="20">
        <v>17337</v>
      </c>
      <c r="Y663" s="19">
        <v>0.15640000000000001</v>
      </c>
      <c r="Z663" s="19">
        <v>0.21890000000000001</v>
      </c>
      <c r="AB663" s="18">
        <v>3038</v>
      </c>
      <c r="AC663" s="18">
        <v>3</v>
      </c>
    </row>
    <row r="664" spans="1:29" ht="15.75" customHeight="1" x14ac:dyDescent="0.2">
      <c r="A664" s="36" t="str">
        <f>HYPERLINK("https://www.drew.edu", "Drew University")</f>
        <v>Drew University</v>
      </c>
      <c r="B664" s="18" t="s">
        <v>32</v>
      </c>
      <c r="C664" s="18" t="s">
        <v>141</v>
      </c>
      <c r="D664" s="18" t="s">
        <v>295</v>
      </c>
      <c r="E664" s="18" t="s">
        <v>36</v>
      </c>
      <c r="F664" s="18" t="s">
        <v>90</v>
      </c>
      <c r="J664" s="19"/>
      <c r="K664" s="19">
        <v>0.61890000000000001</v>
      </c>
      <c r="L664" s="19">
        <v>0.58928571399999996</v>
      </c>
      <c r="M664" s="19">
        <v>0.65459999999999996</v>
      </c>
      <c r="N664" s="19">
        <v>0.46429999999999999</v>
      </c>
      <c r="O664" s="19">
        <v>0.63770000000000004</v>
      </c>
      <c r="P664" s="19">
        <v>0.66669999999999996</v>
      </c>
      <c r="Q664" s="19"/>
      <c r="R664" s="20">
        <v>66486</v>
      </c>
      <c r="S664" s="21" t="str">
        <f>HYPERLINK("https://www.drew.edu/financial-aid/cost-calculator/", "$16257")</f>
        <v>$16257</v>
      </c>
      <c r="T664" s="20">
        <v>22545</v>
      </c>
      <c r="U664" s="20">
        <v>26872</v>
      </c>
      <c r="V664" s="20">
        <v>3322</v>
      </c>
      <c r="W664" s="20">
        <v>12935</v>
      </c>
      <c r="Y664" s="19">
        <v>0.29320000000000002</v>
      </c>
      <c r="Z664" s="19">
        <v>0.44940000000000002</v>
      </c>
      <c r="AB664" s="18">
        <v>1404</v>
      </c>
      <c r="AC664" s="18">
        <v>3</v>
      </c>
    </row>
    <row r="665" spans="1:29" ht="15.75" customHeight="1" x14ac:dyDescent="0.2">
      <c r="A665" s="36" t="str">
        <f>HYPERLINK("https://www.drexel.edu", "Drexel University")</f>
        <v>Drexel University</v>
      </c>
      <c r="B665" s="18" t="s">
        <v>32</v>
      </c>
      <c r="C665" s="18" t="s">
        <v>65</v>
      </c>
      <c r="D665" s="18" t="s">
        <v>168</v>
      </c>
      <c r="E665" s="18">
        <v>1269</v>
      </c>
      <c r="F665" s="18" t="s">
        <v>35</v>
      </c>
      <c r="J665" s="19"/>
      <c r="K665" s="19">
        <v>0.70900000000000007</v>
      </c>
      <c r="L665" s="19">
        <v>0.375</v>
      </c>
      <c r="M665" s="19">
        <v>0.71060000000000001</v>
      </c>
      <c r="N665" s="19">
        <v>0.52110000000000001</v>
      </c>
      <c r="O665" s="19">
        <v>0.6159</v>
      </c>
      <c r="P665" s="19">
        <v>0.76290000000000002</v>
      </c>
      <c r="Q665" s="19"/>
      <c r="R665" s="20">
        <v>68792</v>
      </c>
      <c r="S665" s="21" t="str">
        <f>HYPERLINK("https://drexel.edu/drexelcentral/finaid/prospective-students/net-price-calculator/", "$28362")</f>
        <v>$28362</v>
      </c>
      <c r="T665" s="20">
        <v>34372</v>
      </c>
      <c r="U665" s="20">
        <v>38582</v>
      </c>
      <c r="V665" s="20">
        <v>2900</v>
      </c>
      <c r="W665" s="20">
        <v>25462</v>
      </c>
      <c r="Y665" s="19">
        <v>0.2208</v>
      </c>
      <c r="Z665" s="19">
        <v>0.47789999999999999</v>
      </c>
      <c r="AB665" s="18">
        <v>15335</v>
      </c>
      <c r="AC665" s="18">
        <v>2</v>
      </c>
    </row>
    <row r="666" spans="1:29" ht="15.75" customHeight="1" x14ac:dyDescent="0.2">
      <c r="A666" s="36" t="str">
        <f>HYPERLINK("https://www.drury.edu", "Drury University")</f>
        <v>Drury University</v>
      </c>
      <c r="B666" s="18" t="s">
        <v>32</v>
      </c>
      <c r="C666" s="18" t="s">
        <v>164</v>
      </c>
      <c r="D666" s="18" t="s">
        <v>349</v>
      </c>
      <c r="E666" s="18">
        <v>1226</v>
      </c>
      <c r="F666" s="18" t="s">
        <v>35</v>
      </c>
      <c r="J666" s="19"/>
      <c r="K666" s="19">
        <v>0.54510000000000003</v>
      </c>
      <c r="L666" s="19">
        <v>0.34167709600000001</v>
      </c>
      <c r="M666" s="19">
        <v>0.53639999999999999</v>
      </c>
      <c r="N666" s="19">
        <v>0.64710000000000001</v>
      </c>
      <c r="O666" s="19">
        <v>0.61539999999999995</v>
      </c>
      <c r="P666" s="19">
        <v>0.42859999999999998</v>
      </c>
      <c r="Q666" s="19"/>
      <c r="R666" s="20">
        <v>39451</v>
      </c>
      <c r="S666" s="21" t="str">
        <f>HYPERLINK("https://drury.studentaidcalculator.com/survey.aspx", "$19259")</f>
        <v>$19259</v>
      </c>
      <c r="T666" s="20">
        <v>17931</v>
      </c>
      <c r="U666" s="20">
        <v>19180</v>
      </c>
      <c r="V666" s="20">
        <v>4400</v>
      </c>
      <c r="W666" s="20">
        <v>14859</v>
      </c>
      <c r="Y666" s="19">
        <v>0.49009999999999998</v>
      </c>
      <c r="Z666" s="19">
        <v>0.17369999999999999</v>
      </c>
      <c r="AB666" s="18">
        <v>2971</v>
      </c>
      <c r="AC666" s="18">
        <v>3</v>
      </c>
    </row>
    <row r="667" spans="1:29" ht="15.75" customHeight="1" x14ac:dyDescent="0.2">
      <c r="A667" s="36" t="str">
        <f>HYPERLINK("https://WWW.DUKE.EDU", "Duke University")</f>
        <v>Duke University</v>
      </c>
      <c r="B667" s="18" t="s">
        <v>32</v>
      </c>
      <c r="C667" s="18" t="s">
        <v>103</v>
      </c>
      <c r="D667" s="18" t="s">
        <v>106</v>
      </c>
      <c r="E667" s="18">
        <v>1488</v>
      </c>
      <c r="F667" s="18" t="s">
        <v>35</v>
      </c>
      <c r="J667" s="19"/>
      <c r="K667" s="19">
        <v>0.95350000000000001</v>
      </c>
      <c r="L667" s="19">
        <v>0.9341637009999999</v>
      </c>
      <c r="M667" s="19">
        <v>0.9627</v>
      </c>
      <c r="N667" s="19">
        <v>0.90339999999999998</v>
      </c>
      <c r="O667" s="19">
        <v>0.90290000000000004</v>
      </c>
      <c r="P667" s="19">
        <v>0.97709999999999997</v>
      </c>
      <c r="Q667" s="19"/>
      <c r="R667" s="20">
        <v>71764</v>
      </c>
      <c r="S667" s="21" t="str">
        <f>HYPERLINK("https://npc.collegeboard.org/student/app/duke", "$-638")</f>
        <v>$-638</v>
      </c>
      <c r="T667" s="20">
        <v>7127</v>
      </c>
      <c r="U667" s="20">
        <v>21201</v>
      </c>
      <c r="V667" s="20">
        <v>3466</v>
      </c>
      <c r="W667" s="20">
        <v>-4104</v>
      </c>
      <c r="X667" s="18" t="s">
        <v>37</v>
      </c>
      <c r="Y667" s="19">
        <v>0.1235</v>
      </c>
      <c r="Z667" s="19">
        <v>0.56440000000000001</v>
      </c>
      <c r="AA667" s="18" t="s">
        <v>37</v>
      </c>
      <c r="AB667" s="18">
        <v>6552</v>
      </c>
      <c r="AC667" s="18">
        <v>1</v>
      </c>
    </row>
    <row r="668" spans="1:29" ht="15.75" customHeight="1" x14ac:dyDescent="0.2">
      <c r="A668" s="36" t="str">
        <f>HYPERLINK("https://www.dbumn.edu", "Duluth Business University")</f>
        <v>Duluth Business University</v>
      </c>
      <c r="B668" s="18" t="s">
        <v>368</v>
      </c>
      <c r="C668" s="18" t="s">
        <v>72</v>
      </c>
      <c r="D668" s="18" t="s">
        <v>1222</v>
      </c>
      <c r="E668" s="18" t="s">
        <v>36</v>
      </c>
      <c r="F668" s="18" t="s">
        <v>36</v>
      </c>
      <c r="J668" s="19"/>
      <c r="K668" s="19">
        <v>0.17649999999999999</v>
      </c>
      <c r="L668" s="19">
        <v>0.21559633</v>
      </c>
      <c r="M668" s="19">
        <v>0.21429999999999999</v>
      </c>
      <c r="N668" s="19">
        <v>0</v>
      </c>
      <c r="O668" s="19" t="s">
        <v>36</v>
      </c>
      <c r="P668" s="19" t="s">
        <v>36</v>
      </c>
      <c r="Q668" s="19" t="s">
        <v>36</v>
      </c>
      <c r="R668" s="20">
        <v>37020</v>
      </c>
      <c r="S668" s="21" t="str">
        <f>HYPERLINK("https://www.dbumn.edu/financial-aid/npcalc.htm", "$25119")</f>
        <v>$25119</v>
      </c>
      <c r="T668" s="20" t="s">
        <v>36</v>
      </c>
      <c r="U668" s="20" t="s">
        <v>36</v>
      </c>
      <c r="V668" s="20">
        <v>8239</v>
      </c>
      <c r="W668" s="20">
        <v>16880</v>
      </c>
      <c r="Y668" s="19">
        <v>0.6129</v>
      </c>
      <c r="Z668" s="19">
        <v>4.3499999999999983E-2</v>
      </c>
      <c r="AB668" s="18">
        <v>46</v>
      </c>
      <c r="AC668" s="18">
        <v>6</v>
      </c>
    </row>
    <row r="669" spans="1:29" ht="15.75" customHeight="1" x14ac:dyDescent="0.2">
      <c r="A669" s="36" t="str">
        <f>HYPERLINK("https://www.dunwoody.edu", "Dunwoody College of Technology")</f>
        <v>Dunwoody College of Technology</v>
      </c>
      <c r="B669" s="18" t="s">
        <v>32</v>
      </c>
      <c r="C669" s="18" t="s">
        <v>72</v>
      </c>
      <c r="D669" s="18" t="s">
        <v>283</v>
      </c>
      <c r="E669" s="18" t="s">
        <v>36</v>
      </c>
      <c r="F669" s="18" t="s">
        <v>90</v>
      </c>
      <c r="J669" s="19"/>
      <c r="K669" s="19">
        <v>0.63500000000000001</v>
      </c>
      <c r="L669" s="19">
        <v>0.40289855099999999</v>
      </c>
      <c r="M669" s="19">
        <v>0.73909999999999998</v>
      </c>
      <c r="N669" s="19">
        <v>1</v>
      </c>
      <c r="O669" s="19">
        <v>0.25</v>
      </c>
      <c r="P669" s="19">
        <v>0.5</v>
      </c>
      <c r="Q669" s="19">
        <v>2.3738872000000001E-2</v>
      </c>
      <c r="R669" s="20">
        <v>32508</v>
      </c>
      <c r="S669" s="21" t="str">
        <f>HYPERLINK("https://dunwoody.studentaidcalculator.com/survey.aspx", "$18375")</f>
        <v>$18375</v>
      </c>
      <c r="T669" s="20">
        <v>18987</v>
      </c>
      <c r="U669" s="20">
        <v>23574</v>
      </c>
      <c r="V669" s="20">
        <v>3448</v>
      </c>
      <c r="W669" s="20">
        <v>14927</v>
      </c>
      <c r="Y669" s="19">
        <v>0.39950000000000002</v>
      </c>
      <c r="Z669" s="19">
        <v>0.26090000000000002</v>
      </c>
      <c r="AB669" s="18">
        <v>1288</v>
      </c>
      <c r="AC669" s="18">
        <v>6</v>
      </c>
    </row>
    <row r="670" spans="1:29" ht="15.75" customHeight="1" x14ac:dyDescent="0.2">
      <c r="A670" s="36" t="str">
        <f>HYPERLINK("https://www.duq.edu", "Duquesne University")</f>
        <v>Duquesne University</v>
      </c>
      <c r="B670" s="18" t="s">
        <v>32</v>
      </c>
      <c r="C670" s="18" t="s">
        <v>65</v>
      </c>
      <c r="D670" s="18" t="s">
        <v>74</v>
      </c>
      <c r="E670" s="18">
        <v>1221</v>
      </c>
      <c r="F670" s="18" t="s">
        <v>35</v>
      </c>
      <c r="J670" s="19"/>
      <c r="K670" s="19">
        <v>0.80320000000000003</v>
      </c>
      <c r="L670" s="19">
        <v>0.68137254900000011</v>
      </c>
      <c r="M670" s="19">
        <v>0.81059999999999999</v>
      </c>
      <c r="N670" s="19">
        <v>0.62960000000000005</v>
      </c>
      <c r="O670" s="19">
        <v>0.75</v>
      </c>
      <c r="P670" s="19">
        <v>0.90910000000000002</v>
      </c>
      <c r="Q670" s="19"/>
      <c r="R670" s="20">
        <v>52108</v>
      </c>
      <c r="S670" s="21" t="str">
        <f>HYPERLINK("https://www.duq.edu/admissions-and-aid/tuition/net-price-calculator", "$22703")</f>
        <v>$22703</v>
      </c>
      <c r="T670" s="20">
        <v>26218</v>
      </c>
      <c r="U670" s="20">
        <v>29437</v>
      </c>
      <c r="V670" s="20">
        <v>3600</v>
      </c>
      <c r="W670" s="20">
        <v>19103</v>
      </c>
      <c r="Y670" s="19">
        <v>0.19289999999999999</v>
      </c>
      <c r="Z670" s="19">
        <v>0.1966</v>
      </c>
      <c r="AB670" s="18">
        <v>5930</v>
      </c>
      <c r="AC670" s="18">
        <v>3</v>
      </c>
    </row>
    <row r="671" spans="1:29" ht="15.75" customHeight="1" x14ac:dyDescent="0.2">
      <c r="A671" s="36" t="str">
        <f>HYPERLINK("https://www.sunydutchess.edu", "SUNY Dutchess Community College")</f>
        <v>SUNY Dutchess Community College</v>
      </c>
      <c r="B671" s="18" t="s">
        <v>49</v>
      </c>
      <c r="C671" s="18" t="s">
        <v>38</v>
      </c>
      <c r="D671" s="18" t="s">
        <v>176</v>
      </c>
      <c r="E671" s="18" t="s">
        <v>36</v>
      </c>
      <c r="F671" s="18" t="s">
        <v>36</v>
      </c>
      <c r="G671" s="18" t="s">
        <v>51</v>
      </c>
      <c r="I671" s="18" t="s">
        <v>1275</v>
      </c>
      <c r="J671" s="19"/>
      <c r="K671" s="19">
        <v>0.27789999999999998</v>
      </c>
      <c r="L671" s="19">
        <v>0.20357497499999999</v>
      </c>
      <c r="M671" s="19">
        <v>0.31380000000000002</v>
      </c>
      <c r="N671" s="19">
        <v>0.1993</v>
      </c>
      <c r="O671" s="19">
        <v>0.25580000000000003</v>
      </c>
      <c r="P671" s="19">
        <v>0.25</v>
      </c>
      <c r="Q671" s="19">
        <v>9.1229839000000007E-2</v>
      </c>
      <c r="R671" s="20">
        <v>19586</v>
      </c>
      <c r="S671" s="21" t="str">
        <f>HYPERLINK("https://www.sunydutchess.edu/aboutdcc/consumerinformation/", "$6068")</f>
        <v>$6068</v>
      </c>
      <c r="T671" s="20">
        <v>10590</v>
      </c>
      <c r="U671" s="20">
        <v>12537</v>
      </c>
      <c r="V671" s="20">
        <v>4600</v>
      </c>
      <c r="W671" s="20">
        <v>1468</v>
      </c>
      <c r="Y671" s="19">
        <v>0.2374</v>
      </c>
      <c r="Z671" s="19">
        <v>0.44700000000000012</v>
      </c>
      <c r="AB671" s="18">
        <v>5655</v>
      </c>
      <c r="AC671" s="18">
        <v>6</v>
      </c>
    </row>
    <row r="672" spans="1:29" ht="15.75" customHeight="1" x14ac:dyDescent="0.2">
      <c r="A672" s="36" t="str">
        <f>HYPERLINK("https://www.dscc.edu", "Dyersburg State Community College")</f>
        <v>Dyersburg State Community College</v>
      </c>
      <c r="B672" s="18" t="s">
        <v>49</v>
      </c>
      <c r="C672" s="18" t="s">
        <v>174</v>
      </c>
      <c r="D672" s="18" t="s">
        <v>1277</v>
      </c>
      <c r="E672" s="18" t="s">
        <v>36</v>
      </c>
      <c r="F672" s="18" t="s">
        <v>36</v>
      </c>
      <c r="J672" s="19"/>
      <c r="K672" s="19">
        <v>0.1744</v>
      </c>
      <c r="L672" s="19">
        <v>0.133744856</v>
      </c>
      <c r="M672" s="19">
        <v>0.18179999999999999</v>
      </c>
      <c r="N672" s="19">
        <v>0.1139</v>
      </c>
      <c r="O672" s="19">
        <v>0.22220000000000001</v>
      </c>
      <c r="P672" s="19" t="s">
        <v>36</v>
      </c>
      <c r="Q672" s="19">
        <v>4.9754729999999997E-2</v>
      </c>
      <c r="R672" s="20">
        <v>29732</v>
      </c>
      <c r="S672" s="21" t="str">
        <f>HYPERLINK("https://www.dscc.edu/paying%20for%20college/what%20it%20costs/net%20price%20calculator", "$22484")</f>
        <v>$22484</v>
      </c>
      <c r="T672" s="20">
        <v>24960</v>
      </c>
      <c r="U672" s="20">
        <v>26740</v>
      </c>
      <c r="V672" s="20">
        <v>3780</v>
      </c>
      <c r="W672" s="20">
        <v>18704.056537102471</v>
      </c>
      <c r="Y672" s="19">
        <v>0.39129999999999998</v>
      </c>
      <c r="Z672" s="19">
        <v>0.27929999999999999</v>
      </c>
      <c r="AB672" s="18">
        <v>1826</v>
      </c>
      <c r="AC672" s="18">
        <v>6</v>
      </c>
    </row>
    <row r="673" spans="1:29" ht="15.75" customHeight="1" x14ac:dyDescent="0.2">
      <c r="A673" s="36" t="str">
        <f>HYPERLINK("https://www.ecpi.edu", "ECPI University")</f>
        <v>ECPI University</v>
      </c>
      <c r="B673" s="18" t="s">
        <v>368</v>
      </c>
      <c r="C673" s="18" t="s">
        <v>83</v>
      </c>
      <c r="D673" s="18" t="s">
        <v>921</v>
      </c>
      <c r="E673" s="18" t="s">
        <v>36</v>
      </c>
      <c r="F673" s="18" t="s">
        <v>45</v>
      </c>
      <c r="J673" s="19"/>
      <c r="K673" s="19">
        <v>0.47410000000000002</v>
      </c>
      <c r="L673" s="19">
        <v>0.45603547999999999</v>
      </c>
      <c r="M673" s="19">
        <v>0.54210000000000003</v>
      </c>
      <c r="N673" s="19">
        <v>0.40870000000000001</v>
      </c>
      <c r="O673" s="19">
        <v>0.39679999999999999</v>
      </c>
      <c r="P673" s="19">
        <v>0.6</v>
      </c>
      <c r="Q673" s="19">
        <v>3.0196717000000001E-2</v>
      </c>
      <c r="R673" s="20">
        <v>27717</v>
      </c>
      <c r="S673" s="21" t="str">
        <f>HYPERLINK("https://www.npc.ecpi.edu", "$19878")</f>
        <v>$19878</v>
      </c>
      <c r="T673" s="20">
        <v>21605</v>
      </c>
      <c r="U673" s="20">
        <v>22128</v>
      </c>
      <c r="V673" s="20">
        <v>3996</v>
      </c>
      <c r="W673" s="20">
        <v>15882</v>
      </c>
      <c r="Y673" s="19">
        <v>0.44209999999999999</v>
      </c>
      <c r="Z673" s="19">
        <v>0.59139999999999993</v>
      </c>
      <c r="AB673" s="18">
        <v>11512</v>
      </c>
      <c r="AC673" s="18">
        <v>6</v>
      </c>
    </row>
    <row r="674" spans="1:29" ht="15.75" customHeight="1" x14ac:dyDescent="0.2">
      <c r="A674" s="36" t="str">
        <f>HYPERLINK("https://www.edpuniversity.edu", "EDP Univeristy of Puerto Rico Inc-San Juan")</f>
        <v>EDP Univeristy of Puerto Rico Inc-San Juan</v>
      </c>
      <c r="B674" s="18" t="s">
        <v>32</v>
      </c>
      <c r="C674" s="18" t="s">
        <v>284</v>
      </c>
      <c r="D674" s="18" t="s">
        <v>285</v>
      </c>
      <c r="E674" s="18" t="s">
        <v>36</v>
      </c>
      <c r="F674" s="18" t="s">
        <v>45</v>
      </c>
      <c r="J674" s="19"/>
      <c r="K674" s="19">
        <v>0.36259999999999998</v>
      </c>
      <c r="L674" s="19">
        <v>0.22280471800000001</v>
      </c>
      <c r="M674" s="19" t="s">
        <v>36</v>
      </c>
      <c r="N674" s="19" t="s">
        <v>36</v>
      </c>
      <c r="O674" s="19">
        <v>0.36259999999999998</v>
      </c>
      <c r="P674" s="19" t="s">
        <v>36</v>
      </c>
      <c r="Q674" s="19">
        <v>4.2857143E-2</v>
      </c>
      <c r="R674" s="20">
        <v>22202</v>
      </c>
      <c r="S674" s="21" t="str">
        <f>HYPERLINK("https://edpuniversity.edu/coa_net_calculator/", "$7278")</f>
        <v>$7278</v>
      </c>
      <c r="T674" s="20">
        <v>6682</v>
      </c>
      <c r="U674" s="20">
        <v>6682</v>
      </c>
      <c r="V674" s="20">
        <v>5250</v>
      </c>
      <c r="W674" s="20">
        <v>2028</v>
      </c>
      <c r="Y674" s="19">
        <v>0.72299999999999998</v>
      </c>
      <c r="Z674" s="19">
        <v>1</v>
      </c>
      <c r="AB674" s="18">
        <v>1958</v>
      </c>
      <c r="AC674" s="18">
        <v>6</v>
      </c>
    </row>
    <row r="675" spans="1:29" ht="15.75" customHeight="1" x14ac:dyDescent="0.2">
      <c r="A675" s="36" t="str">
        <f>HYPERLINK("https://www.edpuniversity.edu/", "EDP University of Puerto Rico Inc-San Sebastian")</f>
        <v>EDP University of Puerto Rico Inc-San Sebastian</v>
      </c>
      <c r="B675" s="18" t="s">
        <v>32</v>
      </c>
      <c r="C675" s="18" t="s">
        <v>284</v>
      </c>
      <c r="D675" s="18" t="s">
        <v>1280</v>
      </c>
      <c r="E675" s="18" t="s">
        <v>36</v>
      </c>
      <c r="F675" s="18" t="s">
        <v>36</v>
      </c>
      <c r="J675" s="19"/>
      <c r="K675" s="19">
        <v>0.03</v>
      </c>
      <c r="L675" s="19">
        <v>0.22280471800000001</v>
      </c>
      <c r="M675" s="19" t="s">
        <v>36</v>
      </c>
      <c r="N675" s="19" t="s">
        <v>36</v>
      </c>
      <c r="O675" s="19">
        <v>0.03</v>
      </c>
      <c r="P675" s="19" t="s">
        <v>36</v>
      </c>
      <c r="Q675" s="19">
        <v>4.2857143E-2</v>
      </c>
      <c r="R675" s="20">
        <v>22202</v>
      </c>
      <c r="S675" s="21" t="str">
        <f>HYPERLINK("https://edpuniversity.edu/coa-net-calculator/", "$7921")</f>
        <v>$7921</v>
      </c>
      <c r="T675" s="20">
        <v>11473</v>
      </c>
      <c r="U675" s="20" t="s">
        <v>36</v>
      </c>
      <c r="V675" s="20">
        <v>5250</v>
      </c>
      <c r="W675" s="20">
        <v>2671</v>
      </c>
      <c r="Y675" s="19">
        <v>0.82269999999999999</v>
      </c>
      <c r="Z675" s="19">
        <v>1</v>
      </c>
      <c r="AB675" s="18">
        <v>1048</v>
      </c>
      <c r="AC675" s="18">
        <v>6</v>
      </c>
    </row>
    <row r="676" spans="1:29" ht="15.75" customHeight="1" x14ac:dyDescent="0.2">
      <c r="A676" s="36" t="str">
        <f>HYPERLINK("https://www.earlham.edu", "Earlham College")</f>
        <v>Earlham College</v>
      </c>
      <c r="B676" s="18" t="s">
        <v>32</v>
      </c>
      <c r="C676" s="18" t="s">
        <v>148</v>
      </c>
      <c r="D676" s="18" t="s">
        <v>350</v>
      </c>
      <c r="E676" s="18">
        <v>1303</v>
      </c>
      <c r="F676" s="18" t="s">
        <v>115</v>
      </c>
      <c r="J676" s="19"/>
      <c r="K676" s="19">
        <v>0.68240000000000001</v>
      </c>
      <c r="L676" s="19">
        <v>0.62745097999999999</v>
      </c>
      <c r="M676" s="19">
        <v>0.69769999999999999</v>
      </c>
      <c r="N676" s="19">
        <v>0.52170000000000005</v>
      </c>
      <c r="O676" s="19">
        <v>0.52629999999999999</v>
      </c>
      <c r="P676" s="19">
        <v>0.76919999999999999</v>
      </c>
      <c r="Q676" s="19"/>
      <c r="R676" s="20">
        <v>58670</v>
      </c>
      <c r="S676" s="21" t="str">
        <f>HYPERLINK("https://npc.collegeboard.org/student/app/earlham", "$13683")</f>
        <v>$13683</v>
      </c>
      <c r="T676" s="20">
        <v>17076</v>
      </c>
      <c r="U676" s="20">
        <v>22442</v>
      </c>
      <c r="V676" s="20">
        <v>3000</v>
      </c>
      <c r="W676" s="20">
        <v>10683</v>
      </c>
      <c r="Y676" s="19">
        <v>0.26090000000000002</v>
      </c>
      <c r="Z676" s="19">
        <v>0.48199999999999998</v>
      </c>
      <c r="AB676" s="18">
        <v>1027</v>
      </c>
      <c r="AC676" s="18">
        <v>3</v>
      </c>
    </row>
    <row r="677" spans="1:29" ht="15.75" customHeight="1" x14ac:dyDescent="0.2">
      <c r="A677" s="36" t="str">
        <f>HYPERLINK("https://www.ecu.edu", "East Carolina University")</f>
        <v>East Carolina University</v>
      </c>
      <c r="B677" s="18" t="s">
        <v>49</v>
      </c>
      <c r="C677" s="18" t="s">
        <v>103</v>
      </c>
      <c r="D677" s="18" t="s">
        <v>220</v>
      </c>
      <c r="E677" s="18">
        <v>1105</v>
      </c>
      <c r="F677" s="18" t="s">
        <v>35</v>
      </c>
      <c r="J677" s="19"/>
      <c r="K677" s="19">
        <v>0.62139999999999995</v>
      </c>
      <c r="L677" s="19">
        <v>0.56570512799999995</v>
      </c>
      <c r="M677" s="19">
        <v>0.62519999999999998</v>
      </c>
      <c r="N677" s="19">
        <v>0.60350000000000004</v>
      </c>
      <c r="O677" s="19">
        <v>0.63490000000000002</v>
      </c>
      <c r="P677" s="19">
        <v>0.62829999999999997</v>
      </c>
      <c r="Q677" s="19"/>
      <c r="R677" s="20">
        <v>38277</v>
      </c>
      <c r="S677" s="21" t="str">
        <f>HYPERLINK("https://www.ecu.edu/cs-acad/financial/netprice-calculator.cfm", "$28355")</f>
        <v>$28355</v>
      </c>
      <c r="T677" s="20">
        <v>32817</v>
      </c>
      <c r="U677" s="20">
        <v>36539</v>
      </c>
      <c r="V677" s="20">
        <v>5022</v>
      </c>
      <c r="W677" s="20">
        <v>23333.1247689464</v>
      </c>
      <c r="Y677" s="19">
        <v>0.33529999999999999</v>
      </c>
      <c r="Z677" s="19">
        <v>0.33079999999999998</v>
      </c>
      <c r="AB677" s="18">
        <v>22598</v>
      </c>
      <c r="AC677" s="18">
        <v>4</v>
      </c>
    </row>
    <row r="678" spans="1:29" ht="15.75" customHeight="1" x14ac:dyDescent="0.2">
      <c r="A678" s="36" t="str">
        <f>HYPERLINK("https://www.eastcentral.edu", "East Central College")</f>
        <v>East Central College</v>
      </c>
      <c r="B678" s="18" t="s">
        <v>49</v>
      </c>
      <c r="C678" s="18" t="s">
        <v>164</v>
      </c>
      <c r="D678" s="18" t="s">
        <v>870</v>
      </c>
      <c r="E678" s="18" t="s">
        <v>36</v>
      </c>
      <c r="F678" s="18" t="s">
        <v>36</v>
      </c>
      <c r="J678" s="19"/>
      <c r="K678" s="19">
        <v>0.2114</v>
      </c>
      <c r="L678" s="19">
        <v>0.15783783800000001</v>
      </c>
      <c r="M678" s="19">
        <v>0.21740000000000001</v>
      </c>
      <c r="N678" s="19">
        <v>0</v>
      </c>
      <c r="O678" s="19">
        <v>0.1</v>
      </c>
      <c r="P678" s="19" t="s">
        <v>36</v>
      </c>
      <c r="Q678" s="19">
        <v>7.9221682000000002E-2</v>
      </c>
      <c r="R678" s="20">
        <v>23668</v>
      </c>
      <c r="S678" s="21" t="str">
        <f>HYPERLINK("https://www.eastcentral.edu/finaid/net-price-calculator/", "$18128")</f>
        <v>$18128</v>
      </c>
      <c r="T678" s="20">
        <v>20429</v>
      </c>
      <c r="U678" s="20">
        <v>22301</v>
      </c>
      <c r="V678" s="20">
        <v>5424</v>
      </c>
      <c r="W678" s="20">
        <v>12704.67487684729</v>
      </c>
      <c r="Y678" s="19">
        <v>0.4204</v>
      </c>
      <c r="Z678" s="19">
        <v>6.700000000000006E-2</v>
      </c>
      <c r="AB678" s="18">
        <v>2163</v>
      </c>
      <c r="AC678" s="18">
        <v>6</v>
      </c>
    </row>
    <row r="679" spans="1:29" ht="15.75" customHeight="1" x14ac:dyDescent="0.2">
      <c r="A679" s="36" t="str">
        <f>HYPERLINK("https://www.eccc.edu", "East Central Community College")</f>
        <v>East Central Community College</v>
      </c>
      <c r="B679" s="18" t="s">
        <v>49</v>
      </c>
      <c r="C679" s="18" t="s">
        <v>59</v>
      </c>
      <c r="D679" s="18" t="s">
        <v>189</v>
      </c>
      <c r="E679" s="18" t="s">
        <v>36</v>
      </c>
      <c r="F679" s="18" t="s">
        <v>36</v>
      </c>
      <c r="J679" s="19"/>
      <c r="K679" s="19">
        <v>0.40329999999999999</v>
      </c>
      <c r="L679" s="19">
        <v>0.153598281</v>
      </c>
      <c r="M679" s="19">
        <v>0.49519999999999997</v>
      </c>
      <c r="N679" s="19">
        <v>0.2923</v>
      </c>
      <c r="O679" s="19">
        <v>0.61109999999999998</v>
      </c>
      <c r="P679" s="19">
        <v>0.5</v>
      </c>
      <c r="Q679" s="19">
        <v>5.3017944999999997E-2</v>
      </c>
      <c r="R679" s="20">
        <v>13320</v>
      </c>
      <c r="S679" s="21" t="str">
        <f>HYPERLINK("https://my.eccc.edu/ics/clientconfig/NetPrice/npcalc.htm", "$7225")</f>
        <v>$7225</v>
      </c>
      <c r="T679" s="20">
        <v>9673</v>
      </c>
      <c r="U679" s="20">
        <v>11666</v>
      </c>
      <c r="V679" s="20">
        <v>4800</v>
      </c>
      <c r="W679" s="20">
        <v>2425.980821917808</v>
      </c>
      <c r="Y679" s="19">
        <v>0.51929999999999998</v>
      </c>
      <c r="Z679" s="19">
        <v>0.49249999999999999</v>
      </c>
      <c r="AB679" s="18">
        <v>2077</v>
      </c>
      <c r="AC679" s="18">
        <v>6</v>
      </c>
    </row>
    <row r="680" spans="1:29" ht="15.75" customHeight="1" x14ac:dyDescent="0.2">
      <c r="A680" s="36" t="str">
        <f>HYPERLINK("https://www.ecok.edu", "East Central University")</f>
        <v>East Central University</v>
      </c>
      <c r="B680" s="18" t="s">
        <v>49</v>
      </c>
      <c r="C680" s="18" t="s">
        <v>290</v>
      </c>
      <c r="D680" s="18" t="s">
        <v>435</v>
      </c>
      <c r="E680" s="18">
        <v>1045</v>
      </c>
      <c r="F680" s="18" t="s">
        <v>35</v>
      </c>
      <c r="J680" s="19"/>
      <c r="K680" s="19">
        <v>0.32579999999999998</v>
      </c>
      <c r="L680" s="19">
        <v>0.38612368000000002</v>
      </c>
      <c r="M680" s="19">
        <v>0.3427</v>
      </c>
      <c r="N680" s="19">
        <v>0.1429</v>
      </c>
      <c r="O680" s="19">
        <v>0.3</v>
      </c>
      <c r="P680" s="19">
        <v>1</v>
      </c>
      <c r="Q680" s="19"/>
      <c r="R680" s="20">
        <v>26974</v>
      </c>
      <c r="S680" s="21" t="str">
        <f>HYPERLINK("https://www.ecok.edu/current-students/paying-college/net-price-calculator", "$18873")</f>
        <v>$18873</v>
      </c>
      <c r="T680" s="20">
        <v>22565</v>
      </c>
      <c r="U680" s="20">
        <v>24987</v>
      </c>
      <c r="V680" s="20">
        <v>4524</v>
      </c>
      <c r="W680" s="20">
        <v>14349.69230769231</v>
      </c>
      <c r="Y680" s="19">
        <v>0.42080000000000001</v>
      </c>
      <c r="Z680" s="19">
        <v>0.42870000000000003</v>
      </c>
      <c r="AB680" s="18">
        <v>2860</v>
      </c>
      <c r="AC680" s="18">
        <v>4</v>
      </c>
    </row>
    <row r="681" spans="1:29" ht="15.75" customHeight="1" x14ac:dyDescent="0.2">
      <c r="A681" s="36" t="str">
        <f>HYPERLINK("https://www.ega.edu", "East Georgia State College")</f>
        <v>East Georgia State College</v>
      </c>
      <c r="B681" s="18" t="s">
        <v>49</v>
      </c>
      <c r="C681" s="18" t="s">
        <v>107</v>
      </c>
      <c r="D681" s="18" t="s">
        <v>1283</v>
      </c>
      <c r="E681" s="18" t="s">
        <v>36</v>
      </c>
      <c r="F681" s="18" t="s">
        <v>36</v>
      </c>
      <c r="J681" s="19"/>
      <c r="K681" s="19">
        <v>6.2300000000000001E-2</v>
      </c>
      <c r="L681" s="19">
        <v>6.1833688999999997E-2</v>
      </c>
      <c r="M681" s="19">
        <v>8.9800000000000005E-2</v>
      </c>
      <c r="N681" s="19">
        <v>3.8800000000000001E-2</v>
      </c>
      <c r="O681" s="19">
        <v>6.9800000000000001E-2</v>
      </c>
      <c r="P681" s="19">
        <v>0.1429</v>
      </c>
      <c r="Q681" s="19">
        <v>0.15610406900000001</v>
      </c>
      <c r="R681" s="20">
        <v>22112</v>
      </c>
      <c r="S681" s="21" t="str">
        <f>HYPERLINK("https://www.ega.edu/npcalc/", "$16921")</f>
        <v>$16921</v>
      </c>
      <c r="T681" s="20">
        <v>19079</v>
      </c>
      <c r="U681" s="20">
        <v>20572</v>
      </c>
      <c r="V681" s="20">
        <v>4200</v>
      </c>
      <c r="W681" s="20">
        <v>12721.41812865497</v>
      </c>
      <c r="Y681" s="19">
        <v>0.57579999999999998</v>
      </c>
      <c r="Z681" s="19">
        <v>0.60020000000000007</v>
      </c>
      <c r="AB681" s="18">
        <v>2596</v>
      </c>
      <c r="AC681" s="18">
        <v>6</v>
      </c>
    </row>
    <row r="682" spans="1:29" ht="15.75" customHeight="1" x14ac:dyDescent="0.2">
      <c r="A682" s="36" t="str">
        <f>HYPERLINK("https://www.eastms.edu/", "East Mississippi Community College")</f>
        <v>East Mississippi Community College</v>
      </c>
      <c r="B682" s="18" t="s">
        <v>49</v>
      </c>
      <c r="C682" s="18" t="s">
        <v>59</v>
      </c>
      <c r="D682" s="18" t="s">
        <v>1285</v>
      </c>
      <c r="E682" s="18" t="s">
        <v>36</v>
      </c>
      <c r="F682" s="18" t="s">
        <v>36</v>
      </c>
      <c r="J682" s="19"/>
      <c r="K682" s="19">
        <v>0.41039999999999999</v>
      </c>
      <c r="L682" s="19">
        <v>0.157923799</v>
      </c>
      <c r="M682" s="19">
        <v>0.49370000000000003</v>
      </c>
      <c r="N682" s="19">
        <v>0.3211</v>
      </c>
      <c r="O682" s="19">
        <v>0.29409999999999997</v>
      </c>
      <c r="P682" s="19">
        <v>0.66669999999999996</v>
      </c>
      <c r="Q682" s="19">
        <v>7.5841499999999992E-2</v>
      </c>
      <c r="R682" s="20">
        <v>15555</v>
      </c>
      <c r="S682" s="21" t="str">
        <f>HYPERLINK("https://www.eastms.edu/admissions/financial-aid/tuition-calculator.html", "$8809")</f>
        <v>$8809</v>
      </c>
      <c r="T682" s="20">
        <v>10803</v>
      </c>
      <c r="U682" s="20">
        <v>13508</v>
      </c>
      <c r="V682" s="20">
        <v>4665</v>
      </c>
      <c r="W682" s="20">
        <v>4144.6851851851861</v>
      </c>
      <c r="Y682" s="19">
        <v>0.52739999999999998</v>
      </c>
      <c r="Z682" s="19">
        <v>0.51140000000000008</v>
      </c>
      <c r="AB682" s="18">
        <v>3422</v>
      </c>
      <c r="AC682" s="18">
        <v>6</v>
      </c>
    </row>
    <row r="683" spans="1:29" ht="15.75" customHeight="1" x14ac:dyDescent="0.2">
      <c r="A683" s="36" t="str">
        <f>HYPERLINK("https://www4.esu.edu/", "East Stroudsburg University of Pennsylvania")</f>
        <v>East Stroudsburg University of Pennsylvania</v>
      </c>
      <c r="B683" s="18" t="s">
        <v>49</v>
      </c>
      <c r="C683" s="18" t="s">
        <v>65</v>
      </c>
      <c r="D683" s="18" t="s">
        <v>706</v>
      </c>
      <c r="E683" s="18">
        <v>1018</v>
      </c>
      <c r="F683" s="18" t="s">
        <v>115</v>
      </c>
      <c r="J683" s="19"/>
      <c r="K683" s="19">
        <v>0.48139999999999999</v>
      </c>
      <c r="L683" s="19">
        <v>0.41304347800000002</v>
      </c>
      <c r="M683" s="19">
        <v>0.54930000000000001</v>
      </c>
      <c r="N683" s="19">
        <v>0.36840000000000001</v>
      </c>
      <c r="O683" s="19">
        <v>0.35659999999999997</v>
      </c>
      <c r="P683" s="19">
        <v>0.3</v>
      </c>
      <c r="Q683" s="19"/>
      <c r="R683" s="20">
        <v>34640</v>
      </c>
      <c r="S683" s="21" t="str">
        <f>HYPERLINK("https://www.passhe.edu/answers/Calculator/EA/npcalc-212115.htm", "$26258")</f>
        <v>$26258</v>
      </c>
      <c r="T683" s="20">
        <v>30742</v>
      </c>
      <c r="U683" s="20">
        <v>32867</v>
      </c>
      <c r="V683" s="20">
        <v>4070</v>
      </c>
      <c r="W683" s="20">
        <v>22188.39473684211</v>
      </c>
      <c r="Y683" s="19">
        <v>0.36599999999999999</v>
      </c>
      <c r="Z683" s="19">
        <v>0.38650000000000001</v>
      </c>
      <c r="AB683" s="18">
        <v>5972</v>
      </c>
      <c r="AC683" s="18">
        <v>4</v>
      </c>
    </row>
    <row r="684" spans="1:29" ht="15.75" customHeight="1" x14ac:dyDescent="0.2">
      <c r="A684" s="36" t="str">
        <f>HYPERLINK("https://www.etsu.edu", "East Tennessee State University")</f>
        <v>East Tennessee State University</v>
      </c>
      <c r="B684" s="18" t="s">
        <v>49</v>
      </c>
      <c r="C684" s="18" t="s">
        <v>174</v>
      </c>
      <c r="D684" s="18" t="s">
        <v>707</v>
      </c>
      <c r="E684" s="18">
        <v>1122</v>
      </c>
      <c r="F684" s="18" t="s">
        <v>35</v>
      </c>
      <c r="J684" s="19"/>
      <c r="K684" s="19">
        <v>0.41160000000000002</v>
      </c>
      <c r="L684" s="19">
        <v>0.38602220799999998</v>
      </c>
      <c r="M684" s="19">
        <v>0.42720000000000002</v>
      </c>
      <c r="N684" s="19">
        <v>0.2606</v>
      </c>
      <c r="O684" s="19">
        <v>0.5</v>
      </c>
      <c r="P684" s="19">
        <v>0.52629999999999999</v>
      </c>
      <c r="Q684" s="19"/>
      <c r="R684" s="20">
        <v>39090</v>
      </c>
      <c r="S684" s="21" t="str">
        <f>HYPERLINK("https://www.etsu.edu/finaid/cost/costcalc.php#tab-4-1", "$28867")</f>
        <v>$28867</v>
      </c>
      <c r="T684" s="20">
        <v>33472</v>
      </c>
      <c r="U684" s="20">
        <v>35943</v>
      </c>
      <c r="V684" s="20">
        <v>4675</v>
      </c>
      <c r="W684" s="20">
        <v>24192.473282442748</v>
      </c>
      <c r="Y684" s="19">
        <v>0.40799999999999997</v>
      </c>
      <c r="Z684" s="19">
        <v>0.1857</v>
      </c>
      <c r="AB684" s="18">
        <v>10881</v>
      </c>
      <c r="AC684" s="18">
        <v>4</v>
      </c>
    </row>
    <row r="685" spans="1:29" ht="15.75" customHeight="1" x14ac:dyDescent="0.2">
      <c r="A685" s="36" t="str">
        <f>HYPERLINK("https://www.etbu.edu", "East Texas Baptist University")</f>
        <v>East Texas Baptist University</v>
      </c>
      <c r="B685" s="18" t="s">
        <v>32</v>
      </c>
      <c r="C685" s="18" t="s">
        <v>146</v>
      </c>
      <c r="D685" s="18" t="s">
        <v>709</v>
      </c>
      <c r="E685" s="18">
        <v>1045</v>
      </c>
      <c r="F685" s="18" t="s">
        <v>35</v>
      </c>
      <c r="J685" s="19"/>
      <c r="K685" s="19">
        <v>0.31</v>
      </c>
      <c r="L685" s="19">
        <v>0.33333333300000001</v>
      </c>
      <c r="M685" s="19">
        <v>0.36870000000000003</v>
      </c>
      <c r="N685" s="19">
        <v>0.20269999999999999</v>
      </c>
      <c r="O685" s="19">
        <v>0.33329999999999999</v>
      </c>
      <c r="P685" s="19" t="s">
        <v>36</v>
      </c>
      <c r="Q685" s="19"/>
      <c r="R685" s="20">
        <v>38076</v>
      </c>
      <c r="S685" s="21" t="str">
        <f>HYPERLINK("https://www.etbu.edu/php/npc/npcalc.htm", "$17287")</f>
        <v>$17287</v>
      </c>
      <c r="T685" s="20">
        <v>17930</v>
      </c>
      <c r="U685" s="20">
        <v>21755</v>
      </c>
      <c r="V685" s="20">
        <v>3258</v>
      </c>
      <c r="W685" s="20">
        <v>14029</v>
      </c>
      <c r="Y685" s="19">
        <v>0.42199999999999999</v>
      </c>
      <c r="Z685" s="19">
        <v>0.33050000000000002</v>
      </c>
      <c r="AB685" s="18">
        <v>1298</v>
      </c>
      <c r="AC685" s="18">
        <v>4</v>
      </c>
    </row>
    <row r="686" spans="1:29" ht="15.75" customHeight="1" x14ac:dyDescent="0.2">
      <c r="A686" s="36" t="str">
        <f>HYPERLINK("https://www.eastwest.edu", "East-West University")</f>
        <v>East-West University</v>
      </c>
      <c r="B686" s="18" t="s">
        <v>32</v>
      </c>
      <c r="C686" s="18" t="s">
        <v>137</v>
      </c>
      <c r="D686" s="18" t="s">
        <v>161</v>
      </c>
      <c r="E686" s="18">
        <v>910</v>
      </c>
      <c r="F686" s="18" t="s">
        <v>115</v>
      </c>
      <c r="J686" s="19"/>
      <c r="K686" s="19">
        <v>0.10929999999999999</v>
      </c>
      <c r="L686" s="19">
        <v>8.9974293000000011E-2</v>
      </c>
      <c r="M686" s="19">
        <v>0.3</v>
      </c>
      <c r="N686" s="19">
        <v>6.5100000000000005E-2</v>
      </c>
      <c r="O686" s="19">
        <v>0.1714</v>
      </c>
      <c r="P686" s="19">
        <v>5.8799999999999998E-2</v>
      </c>
      <c r="Q686" s="19"/>
      <c r="R686" s="20">
        <v>40100</v>
      </c>
      <c r="S686" s="21" t="str">
        <f>HYPERLINK("https://www.eastwest.edu/NetPriceCalculator/npcalc.htm", "$25646")</f>
        <v>$25646</v>
      </c>
      <c r="T686" s="20">
        <v>24645</v>
      </c>
      <c r="U686" s="20">
        <v>23376</v>
      </c>
      <c r="V686" s="20">
        <v>5600</v>
      </c>
      <c r="W686" s="20">
        <v>20046</v>
      </c>
      <c r="Y686" s="19">
        <v>0.71209999999999996</v>
      </c>
      <c r="Z686" s="19">
        <v>0.97670000000000001</v>
      </c>
      <c r="AB686" s="18">
        <v>430</v>
      </c>
      <c r="AC686" s="18">
        <v>4</v>
      </c>
    </row>
    <row r="687" spans="1:29" ht="15.75" customHeight="1" x14ac:dyDescent="0.2">
      <c r="A687" s="36" t="str">
        <f>HYPERLINK("https://www.easternct.edu/", "Eastern Connecticut State University")</f>
        <v>Eastern Connecticut State University</v>
      </c>
      <c r="B687" s="18" t="s">
        <v>49</v>
      </c>
      <c r="C687" s="18" t="s">
        <v>94</v>
      </c>
      <c r="D687" s="18" t="s">
        <v>712</v>
      </c>
      <c r="E687" s="18" t="s">
        <v>36</v>
      </c>
      <c r="F687" s="18" t="s">
        <v>90</v>
      </c>
      <c r="J687" s="19"/>
      <c r="K687" s="19">
        <v>0.54459999999999997</v>
      </c>
      <c r="L687" s="19">
        <v>0.43571428600000001</v>
      </c>
      <c r="M687" s="19">
        <v>0.57220000000000004</v>
      </c>
      <c r="N687" s="19">
        <v>0.3947</v>
      </c>
      <c r="O687" s="19">
        <v>0.45240000000000002</v>
      </c>
      <c r="P687" s="19">
        <v>0.66669999999999996</v>
      </c>
      <c r="Q687" s="19"/>
      <c r="R687" s="20">
        <v>39709</v>
      </c>
      <c r="S687" s="21" t="str">
        <f>HYPERLINK("https://easternct.studentaidcalculator.com/survey.aspx", "$30427")</f>
        <v>$30427</v>
      </c>
      <c r="T687" s="20">
        <v>31808</v>
      </c>
      <c r="U687" s="20">
        <v>34833</v>
      </c>
      <c r="V687" s="20">
        <v>3051</v>
      </c>
      <c r="W687" s="20">
        <v>27376.179611650481</v>
      </c>
      <c r="Y687" s="19">
        <v>0.31709999999999999</v>
      </c>
      <c r="Z687" s="19">
        <v>0.33129999999999998</v>
      </c>
      <c r="AB687" s="18">
        <v>4669</v>
      </c>
      <c r="AC687" s="18">
        <v>4</v>
      </c>
    </row>
    <row r="688" spans="1:29" ht="15.75" customHeight="1" x14ac:dyDescent="0.2">
      <c r="A688" s="36" t="str">
        <f>HYPERLINK("https://www.easternflorida.edu", "Eastern Florida State College")</f>
        <v>Eastern Florida State College</v>
      </c>
      <c r="B688" s="18" t="s">
        <v>49</v>
      </c>
      <c r="C688" s="18" t="s">
        <v>162</v>
      </c>
      <c r="D688" s="18" t="s">
        <v>1287</v>
      </c>
      <c r="E688" s="18" t="s">
        <v>36</v>
      </c>
      <c r="F688" s="18" t="s">
        <v>36</v>
      </c>
      <c r="J688" s="19"/>
      <c r="K688" s="19">
        <v>0.41720000000000002</v>
      </c>
      <c r="L688" s="19">
        <v>0.29304286699999998</v>
      </c>
      <c r="M688" s="19">
        <v>0.4582</v>
      </c>
      <c r="N688" s="19">
        <v>0.22800000000000001</v>
      </c>
      <c r="O688" s="19">
        <v>0.38390000000000002</v>
      </c>
      <c r="P688" s="19">
        <v>0.60529999999999995</v>
      </c>
      <c r="Q688" s="19">
        <v>6.7323875999999991E-2</v>
      </c>
      <c r="R688" s="20">
        <v>21659</v>
      </c>
      <c r="S688" s="21" t="str">
        <f>HYPERLINK("https://www.easternflorida.edu/admissions/financial-aid-scholarships/financial-aid-information/npcalc-iframe.cfm", "$17265")</f>
        <v>$17265</v>
      </c>
      <c r="T688" s="20">
        <v>19286</v>
      </c>
      <c r="U688" s="20">
        <v>21444</v>
      </c>
      <c r="V688" s="20">
        <v>5690</v>
      </c>
      <c r="W688" s="20">
        <v>11575.32871012483</v>
      </c>
      <c r="Y688" s="19">
        <v>0.37830000000000003</v>
      </c>
      <c r="Z688" s="19">
        <v>0.35370000000000001</v>
      </c>
      <c r="AB688" s="18">
        <v>12306</v>
      </c>
      <c r="AC688" s="18">
        <v>6</v>
      </c>
    </row>
    <row r="689" spans="1:29" ht="15.75" customHeight="1" x14ac:dyDescent="0.2">
      <c r="A689" s="36" t="str">
        <f>HYPERLINK("https://www.egcc.edu", "Eastern Gateway Community College")</f>
        <v>Eastern Gateway Community College</v>
      </c>
      <c r="B689" s="18" t="s">
        <v>49</v>
      </c>
      <c r="C689" s="18" t="s">
        <v>75</v>
      </c>
      <c r="D689" s="18" t="s">
        <v>362</v>
      </c>
      <c r="E689" s="18" t="s">
        <v>36</v>
      </c>
      <c r="F689" s="18" t="s">
        <v>36</v>
      </c>
      <c r="J689" s="19"/>
      <c r="K689" s="19">
        <v>8.1199999999999994E-2</v>
      </c>
      <c r="L689" s="19">
        <v>0.14423076900000001</v>
      </c>
      <c r="M689" s="19">
        <v>0.1205</v>
      </c>
      <c r="N689" s="19">
        <v>1.8599999999999998E-2</v>
      </c>
      <c r="O689" s="19">
        <v>0</v>
      </c>
      <c r="P689" s="19" t="s">
        <v>36</v>
      </c>
      <c r="Q689" s="19">
        <v>5.4719561999999999E-2</v>
      </c>
      <c r="R689" s="20">
        <v>11985</v>
      </c>
      <c r="S689" s="21" t="str">
        <f>HYPERLINK("https://egcc.edu/disclosures/", "$7051")</f>
        <v>$7051</v>
      </c>
      <c r="T689" s="20">
        <v>8201</v>
      </c>
      <c r="U689" s="20">
        <v>11330</v>
      </c>
      <c r="V689" s="20">
        <v>1500</v>
      </c>
      <c r="W689" s="20">
        <v>5551.8079470198672</v>
      </c>
      <c r="Y689" s="19">
        <v>0.3649</v>
      </c>
      <c r="Z689" s="19">
        <v>0.37969999999999998</v>
      </c>
      <c r="AB689" s="18">
        <v>7446</v>
      </c>
      <c r="AC689" s="18">
        <v>6</v>
      </c>
    </row>
    <row r="690" spans="1:29" ht="15.75" customHeight="1" x14ac:dyDescent="0.2">
      <c r="A690" s="36" t="str">
        <f>HYPERLINK("https://www.eiu.edu/", "Eastern Illinois University")</f>
        <v>Eastern Illinois University</v>
      </c>
      <c r="B690" s="18" t="s">
        <v>49</v>
      </c>
      <c r="C690" s="18" t="s">
        <v>137</v>
      </c>
      <c r="D690" s="18" t="s">
        <v>334</v>
      </c>
      <c r="E690" s="18">
        <v>1045</v>
      </c>
      <c r="F690" s="18" t="s">
        <v>35</v>
      </c>
      <c r="J690" s="19"/>
      <c r="K690" s="19">
        <v>0.56320000000000003</v>
      </c>
      <c r="L690" s="19">
        <v>0.45641025600000001</v>
      </c>
      <c r="M690" s="19">
        <v>0.62080000000000002</v>
      </c>
      <c r="N690" s="19">
        <v>0.4592</v>
      </c>
      <c r="O690" s="19">
        <v>0.44929999999999998</v>
      </c>
      <c r="P690" s="19">
        <v>0.25</v>
      </c>
      <c r="Q690" s="19"/>
      <c r="R690" s="20">
        <v>25821</v>
      </c>
      <c r="S690" s="21" t="str">
        <f>HYPERLINK("https://www.eiu.edu/finaid/calculator.php", "$14410")</f>
        <v>$14410</v>
      </c>
      <c r="T690" s="20">
        <v>16359</v>
      </c>
      <c r="U690" s="20">
        <v>22126</v>
      </c>
      <c r="V690" s="20">
        <v>2217</v>
      </c>
      <c r="W690" s="20">
        <v>12193.34782608696</v>
      </c>
      <c r="Y690" s="19">
        <v>0.40439999999999998</v>
      </c>
      <c r="Z690" s="19">
        <v>0.36990000000000001</v>
      </c>
      <c r="AB690" s="18">
        <v>4877</v>
      </c>
      <c r="AC690" s="18">
        <v>4</v>
      </c>
    </row>
    <row r="691" spans="1:29" ht="15.75" customHeight="1" x14ac:dyDescent="0.2">
      <c r="A691" s="36" t="str">
        <f>HYPERLINK("https://www.eicollege.edu", "Eastern International College-Belleville")</f>
        <v>Eastern International College-Belleville</v>
      </c>
      <c r="B691" s="18" t="s">
        <v>368</v>
      </c>
      <c r="C691" s="18" t="s">
        <v>141</v>
      </c>
      <c r="D691" s="18" t="s">
        <v>919</v>
      </c>
      <c r="E691" s="18" t="s">
        <v>36</v>
      </c>
      <c r="F691" s="18" t="s">
        <v>36</v>
      </c>
      <c r="J691" s="19"/>
      <c r="K691" s="19">
        <v>0.80559999999999998</v>
      </c>
      <c r="L691" s="19">
        <v>0.52549019600000002</v>
      </c>
      <c r="M691" s="19">
        <v>0.83330000000000004</v>
      </c>
      <c r="N691" s="19">
        <v>0.8</v>
      </c>
      <c r="O691" s="19">
        <v>0.8125</v>
      </c>
      <c r="P691" s="19">
        <v>0.75</v>
      </c>
      <c r="Q691" s="19" t="s">
        <v>36</v>
      </c>
      <c r="R691" s="20">
        <v>33376</v>
      </c>
      <c r="S691" s="21" t="str">
        <f>HYPERLINK("https://www.eicollege.edu/financial-aid/net-price-calculator.aspx", "$19713")</f>
        <v>$19713</v>
      </c>
      <c r="T691" s="20">
        <v>23819</v>
      </c>
      <c r="U691" s="20">
        <v>24903</v>
      </c>
      <c r="V691" s="20">
        <v>5043</v>
      </c>
      <c r="W691" s="20">
        <v>14670</v>
      </c>
      <c r="Y691" s="19">
        <v>0.89190000000000003</v>
      </c>
      <c r="Z691" s="19">
        <v>0.78279999999999994</v>
      </c>
      <c r="AB691" s="18">
        <v>244</v>
      </c>
      <c r="AC691" s="18">
        <v>6</v>
      </c>
    </row>
    <row r="692" spans="1:29" ht="15.75" customHeight="1" x14ac:dyDescent="0.2">
      <c r="A692" s="36" t="str">
        <f>HYPERLINK("https://www.eicollege.edu", "Eastern International College-Jersey City")</f>
        <v>Eastern International College-Jersey City</v>
      </c>
      <c r="B692" s="18" t="s">
        <v>368</v>
      </c>
      <c r="C692" s="18" t="s">
        <v>141</v>
      </c>
      <c r="D692" s="18" t="s">
        <v>1004</v>
      </c>
      <c r="E692" s="18" t="s">
        <v>36</v>
      </c>
      <c r="F692" s="18" t="s">
        <v>36</v>
      </c>
      <c r="J692" s="19"/>
      <c r="K692" s="19">
        <v>0.79659999999999997</v>
      </c>
      <c r="L692" s="19">
        <v>0.52549019600000002</v>
      </c>
      <c r="M692" s="19">
        <v>0.85709999999999997</v>
      </c>
      <c r="N692" s="19">
        <v>0.72219999999999995</v>
      </c>
      <c r="O692" s="19">
        <v>0.86960000000000004</v>
      </c>
      <c r="P692" s="19">
        <v>0.83330000000000004</v>
      </c>
      <c r="Q692" s="19" t="s">
        <v>36</v>
      </c>
      <c r="R692" s="20">
        <v>33376</v>
      </c>
      <c r="S692" s="21" t="str">
        <f>HYPERLINK("https://www.eicollege.edu/financial-aid/net-price-calculator.aspx", "$19683")</f>
        <v>$19683</v>
      </c>
      <c r="T692" s="20">
        <v>24725</v>
      </c>
      <c r="U692" s="20">
        <v>24725</v>
      </c>
      <c r="V692" s="20">
        <v>5043</v>
      </c>
      <c r="W692" s="20">
        <v>14640</v>
      </c>
      <c r="Y692" s="19">
        <v>0.83860000000000001</v>
      </c>
      <c r="Z692" s="19">
        <v>0.83479999999999999</v>
      </c>
      <c r="AB692" s="18">
        <v>230</v>
      </c>
      <c r="AC692" s="18">
        <v>6</v>
      </c>
    </row>
    <row r="693" spans="1:29" ht="15.75" customHeight="1" x14ac:dyDescent="0.2">
      <c r="A693" s="36" t="str">
        <f>HYPERLINK("https://www.eicc.edu", "Eastern Iowa Community College District")</f>
        <v>Eastern Iowa Community College District</v>
      </c>
      <c r="B693" s="18" t="s">
        <v>49</v>
      </c>
      <c r="C693" s="18" t="s">
        <v>211</v>
      </c>
      <c r="D693" s="18" t="s">
        <v>818</v>
      </c>
      <c r="E693" s="18" t="s">
        <v>36</v>
      </c>
      <c r="F693" s="18" t="s">
        <v>36</v>
      </c>
      <c r="J693" s="19"/>
      <c r="K693" s="19">
        <v>0.38400000000000001</v>
      </c>
      <c r="L693" s="19">
        <v>0.17184643499999999</v>
      </c>
      <c r="M693" s="19">
        <v>0.4178</v>
      </c>
      <c r="N693" s="19">
        <v>0.27500000000000002</v>
      </c>
      <c r="O693" s="19">
        <v>0.35</v>
      </c>
      <c r="P693" s="19">
        <v>0.25</v>
      </c>
      <c r="Q693" s="19">
        <v>9.5256311999999996E-2</v>
      </c>
      <c r="R693" s="20">
        <v>18692</v>
      </c>
      <c r="S693" s="21" t="str">
        <f>HYPERLINK("https://www.eicc.edu/future-students/financial-aid/net-price-calculator.aspx", "$13257")</f>
        <v>$13257</v>
      </c>
      <c r="T693" s="20">
        <v>16329</v>
      </c>
      <c r="U693" s="20">
        <v>18292</v>
      </c>
      <c r="V693" s="20">
        <v>4840</v>
      </c>
      <c r="W693" s="20">
        <v>8417.3058823529409</v>
      </c>
      <c r="Y693" s="19">
        <v>0.3468</v>
      </c>
      <c r="Z693" s="19">
        <v>0.30020000000000002</v>
      </c>
      <c r="AB693" s="18">
        <v>3185</v>
      </c>
      <c r="AC693" s="18">
        <v>6</v>
      </c>
    </row>
    <row r="694" spans="1:29" ht="15.75" customHeight="1" x14ac:dyDescent="0.2">
      <c r="A694" s="36" t="str">
        <f>HYPERLINK("https://www.eku.edu", "Eastern Kentucky University")</f>
        <v>Eastern Kentucky University</v>
      </c>
      <c r="B694" s="18" t="s">
        <v>49</v>
      </c>
      <c r="C694" s="18" t="s">
        <v>205</v>
      </c>
      <c r="D694" s="18" t="s">
        <v>350</v>
      </c>
      <c r="E694" s="18">
        <v>1123</v>
      </c>
      <c r="F694" s="18" t="s">
        <v>35</v>
      </c>
      <c r="J694" s="19"/>
      <c r="K694" s="19">
        <v>0.43830000000000002</v>
      </c>
      <c r="L694" s="19">
        <v>0.36390186899999999</v>
      </c>
      <c r="M694" s="19">
        <v>0.46650000000000003</v>
      </c>
      <c r="N694" s="19">
        <v>0.20349999999999999</v>
      </c>
      <c r="O694" s="19">
        <v>0.3871</v>
      </c>
      <c r="P694" s="19">
        <v>0.32</v>
      </c>
      <c r="Q694" s="19"/>
      <c r="R694" s="20">
        <v>31978</v>
      </c>
      <c r="S694" s="21" t="str">
        <f>HYPERLINK("https://finaid.eku.edu", "$20828")</f>
        <v>$20828</v>
      </c>
      <c r="T694" s="20">
        <v>23546</v>
      </c>
      <c r="U694" s="20">
        <v>25805</v>
      </c>
      <c r="V694" s="20">
        <v>4000</v>
      </c>
      <c r="W694" s="20">
        <v>16828.166287015949</v>
      </c>
      <c r="Y694" s="19">
        <v>0.38840000000000002</v>
      </c>
      <c r="Z694" s="19">
        <v>0.15429999999999999</v>
      </c>
      <c r="AB694" s="18">
        <v>12750</v>
      </c>
      <c r="AC694" s="18">
        <v>4</v>
      </c>
    </row>
    <row r="695" spans="1:29" ht="15.75" customHeight="1" x14ac:dyDescent="0.2">
      <c r="A695" s="36" t="str">
        <f>HYPERLINK("https://www.emcc.edu", "Eastern Maine Community College")</f>
        <v>Eastern Maine Community College</v>
      </c>
      <c r="B695" s="18" t="s">
        <v>49</v>
      </c>
      <c r="C695" s="18" t="s">
        <v>43</v>
      </c>
      <c r="D695" s="18" t="s">
        <v>750</v>
      </c>
      <c r="E695" s="18" t="s">
        <v>36</v>
      </c>
      <c r="F695" s="18" t="s">
        <v>36</v>
      </c>
      <c r="J695" s="19"/>
      <c r="K695" s="19">
        <v>0.25619999999999998</v>
      </c>
      <c r="L695" s="19">
        <v>0.243128964</v>
      </c>
      <c r="M695" s="19">
        <v>0.26190000000000002</v>
      </c>
      <c r="N695" s="19">
        <v>5.5599999999999997E-2</v>
      </c>
      <c r="O695" s="19">
        <v>0.22220000000000001</v>
      </c>
      <c r="P695" s="19">
        <v>0.4</v>
      </c>
      <c r="Q695" s="19">
        <v>7.3053891999999995E-2</v>
      </c>
      <c r="R695" s="20">
        <v>20849</v>
      </c>
      <c r="S695" s="21" t="str">
        <f>HYPERLINK("https://www.emcc.edu/wp-content/uploads/2017/11/npcalc.htm", "$14547")</f>
        <v>$14547</v>
      </c>
      <c r="T695" s="20">
        <v>17377</v>
      </c>
      <c r="U695" s="20">
        <v>19893</v>
      </c>
      <c r="V695" s="20">
        <v>6212</v>
      </c>
      <c r="W695" s="20">
        <v>8335.8888888888887</v>
      </c>
      <c r="Y695" s="19">
        <v>0.41599999999999998</v>
      </c>
      <c r="Z695" s="19">
        <v>0.10589999999999999</v>
      </c>
      <c r="AB695" s="18">
        <v>1870</v>
      </c>
      <c r="AC695" s="18">
        <v>6</v>
      </c>
    </row>
    <row r="696" spans="1:29" ht="15.75" customHeight="1" x14ac:dyDescent="0.2">
      <c r="A696" s="36" t="str">
        <f>HYPERLINK("https://emu.edu", "Eastern Mennonite University")</f>
        <v>Eastern Mennonite University</v>
      </c>
      <c r="B696" s="18" t="s">
        <v>32</v>
      </c>
      <c r="C696" s="18" t="s">
        <v>83</v>
      </c>
      <c r="D696" s="18" t="s">
        <v>351</v>
      </c>
      <c r="E696" s="18">
        <v>1102</v>
      </c>
      <c r="F696" s="18" t="s">
        <v>35</v>
      </c>
      <c r="J696" s="19"/>
      <c r="K696" s="19">
        <v>0.63249999999999995</v>
      </c>
      <c r="L696" s="19">
        <v>0.428571429</v>
      </c>
      <c r="M696" s="19">
        <v>0.68789999999999996</v>
      </c>
      <c r="N696" s="19">
        <v>0.4667</v>
      </c>
      <c r="O696" s="19">
        <v>0.4</v>
      </c>
      <c r="P696" s="19">
        <v>0.5</v>
      </c>
      <c r="Q696" s="19"/>
      <c r="R696" s="20">
        <v>49600</v>
      </c>
      <c r="S696" s="21" t="str">
        <f>HYPERLINK("https://emu.edu/financial-aid/estimator", "$20546")</f>
        <v>$20546</v>
      </c>
      <c r="T696" s="20">
        <v>21398</v>
      </c>
      <c r="U696" s="20">
        <v>24335</v>
      </c>
      <c r="V696" s="20">
        <v>2800</v>
      </c>
      <c r="W696" s="20">
        <v>17746</v>
      </c>
      <c r="Y696" s="19">
        <v>0.2621</v>
      </c>
      <c r="Z696" s="19">
        <v>0.3085</v>
      </c>
      <c r="AB696" s="18">
        <v>1089</v>
      </c>
      <c r="AC696" s="18">
        <v>3</v>
      </c>
    </row>
    <row r="697" spans="1:29" ht="15.75" customHeight="1" x14ac:dyDescent="0.2">
      <c r="A697" s="36" t="str">
        <f>HYPERLINK("https://www.emich.edu", "Eastern Michigan University")</f>
        <v>Eastern Michigan University</v>
      </c>
      <c r="B697" s="18" t="s">
        <v>49</v>
      </c>
      <c r="C697" s="18" t="s">
        <v>226</v>
      </c>
      <c r="D697" s="18" t="s">
        <v>714</v>
      </c>
      <c r="E697" s="18">
        <v>1046</v>
      </c>
      <c r="F697" s="18" t="s">
        <v>35</v>
      </c>
      <c r="J697" s="19"/>
      <c r="K697" s="19">
        <v>0.40400000000000003</v>
      </c>
      <c r="L697" s="19">
        <v>0.39120262099999997</v>
      </c>
      <c r="M697" s="19">
        <v>0.49909999999999999</v>
      </c>
      <c r="N697" s="19">
        <v>0.21909999999999999</v>
      </c>
      <c r="O697" s="19">
        <v>0.37330000000000002</v>
      </c>
      <c r="P697" s="19">
        <v>0.55000000000000004</v>
      </c>
      <c r="Q697" s="19"/>
      <c r="R697" s="20">
        <v>42488</v>
      </c>
      <c r="S697" s="21" t="str">
        <f>HYPERLINK("https://www.emich.edu/finaid/calculator/", "$32807")</f>
        <v>$32807</v>
      </c>
      <c r="T697" s="20">
        <v>34679</v>
      </c>
      <c r="U697" s="20">
        <v>37229</v>
      </c>
      <c r="V697" s="20">
        <v>3434</v>
      </c>
      <c r="W697" s="20">
        <v>29373.744186046511</v>
      </c>
      <c r="Y697" s="19">
        <v>0.40610000000000002</v>
      </c>
      <c r="Z697" s="19">
        <v>0.35809999999999997</v>
      </c>
      <c r="AB697" s="18">
        <v>16536</v>
      </c>
      <c r="AC697" s="18">
        <v>4</v>
      </c>
    </row>
    <row r="698" spans="1:29" ht="15.75" customHeight="1" x14ac:dyDescent="0.2">
      <c r="A698" s="36" t="str">
        <f>HYPERLINK("https://www.enc.edu", "Eastern Nazarene College")</f>
        <v>Eastern Nazarene College</v>
      </c>
      <c r="B698" s="18" t="s">
        <v>32</v>
      </c>
      <c r="C698" s="18" t="s">
        <v>33</v>
      </c>
      <c r="D698" s="18" t="s">
        <v>716</v>
      </c>
      <c r="E698" s="18">
        <v>1049</v>
      </c>
      <c r="F698" s="18" t="s">
        <v>35</v>
      </c>
      <c r="J698" s="19"/>
      <c r="K698" s="19">
        <v>0.49380000000000002</v>
      </c>
      <c r="L698" s="19">
        <v>0.34210526299999999</v>
      </c>
      <c r="M698" s="19">
        <v>0.57579999999999998</v>
      </c>
      <c r="N698" s="19">
        <v>0.30430000000000001</v>
      </c>
      <c r="O698" s="19">
        <v>0.33329999999999999</v>
      </c>
      <c r="P698" s="19">
        <v>0.25</v>
      </c>
      <c r="Q698" s="19"/>
      <c r="R698" s="20">
        <v>44574</v>
      </c>
      <c r="S698" s="21" t="str">
        <f>HYPERLINK("https://enc.edu/undergraduate/financial-aid/net-price-calculator/", "$14151")</f>
        <v>$14151</v>
      </c>
      <c r="T698" s="20">
        <v>15619</v>
      </c>
      <c r="U698" s="20">
        <v>17289</v>
      </c>
      <c r="V698" s="20">
        <v>3460</v>
      </c>
      <c r="W698" s="20">
        <v>10691</v>
      </c>
      <c r="Y698" s="19">
        <v>0.42599999999999999</v>
      </c>
      <c r="Z698" s="19">
        <v>0.46460000000000001</v>
      </c>
      <c r="AB698" s="18">
        <v>693</v>
      </c>
      <c r="AC698" s="18">
        <v>4</v>
      </c>
    </row>
    <row r="699" spans="1:29" ht="15.75" customHeight="1" x14ac:dyDescent="0.2">
      <c r="A699" s="36" t="str">
        <f>HYPERLINK("https://www.ruidoso.enmu.edu/", "Eastern New Mexico University-Ruidoso Campus")</f>
        <v>Eastern New Mexico University-Ruidoso Campus</v>
      </c>
      <c r="B699" s="18" t="s">
        <v>49</v>
      </c>
      <c r="C699" s="18" t="s">
        <v>234</v>
      </c>
      <c r="D699" s="18" t="s">
        <v>717</v>
      </c>
      <c r="E699" s="18" t="s">
        <v>36</v>
      </c>
      <c r="F699" s="18" t="s">
        <v>36</v>
      </c>
      <c r="J699" s="19"/>
      <c r="K699" s="19">
        <v>0.1923</v>
      </c>
      <c r="L699" s="19">
        <v>0.20684039100000001</v>
      </c>
      <c r="M699" s="19">
        <v>0.23080000000000001</v>
      </c>
      <c r="N699" s="19">
        <v>0</v>
      </c>
      <c r="O699" s="19">
        <v>0.15379999999999999</v>
      </c>
      <c r="P699" s="19" t="s">
        <v>36</v>
      </c>
      <c r="Q699" s="19"/>
      <c r="R699" s="20">
        <v>17078</v>
      </c>
      <c r="S699" s="21" t="str">
        <f>HYPERLINK("https://www.enmu.edu/financial-aid/net-price-calculator", "$11650")</f>
        <v>$11650</v>
      </c>
      <c r="T699" s="20">
        <v>13746</v>
      </c>
      <c r="U699" s="20" t="s">
        <v>36</v>
      </c>
      <c r="V699" s="20">
        <v>5448</v>
      </c>
      <c r="W699" s="20">
        <v>6202.5</v>
      </c>
      <c r="Y699" s="19">
        <v>0.21099999999999999</v>
      </c>
      <c r="Z699" s="19">
        <v>0.64070000000000005</v>
      </c>
      <c r="AB699" s="18">
        <v>398</v>
      </c>
      <c r="AC699" s="18">
        <v>4</v>
      </c>
    </row>
    <row r="700" spans="1:29" ht="15.75" customHeight="1" x14ac:dyDescent="0.2">
      <c r="A700" s="36" t="str">
        <f>HYPERLINK("https://www.enmu.edu", "Eastern New Mexico University-Main Campus")</f>
        <v>Eastern New Mexico University-Main Campus</v>
      </c>
      <c r="B700" s="18" t="s">
        <v>49</v>
      </c>
      <c r="C700" s="18" t="s">
        <v>234</v>
      </c>
      <c r="D700" s="18" t="s">
        <v>718</v>
      </c>
      <c r="E700" s="18">
        <v>984</v>
      </c>
      <c r="F700" s="18" t="s">
        <v>35</v>
      </c>
      <c r="J700" s="19"/>
      <c r="K700" s="19">
        <v>0.33429999999999999</v>
      </c>
      <c r="L700" s="19">
        <v>0.20684039100000001</v>
      </c>
      <c r="M700" s="19">
        <v>0.36930000000000002</v>
      </c>
      <c r="N700" s="19">
        <v>0.1842</v>
      </c>
      <c r="O700" s="19">
        <v>0.33710000000000001</v>
      </c>
      <c r="P700" s="19">
        <v>0</v>
      </c>
      <c r="Q700" s="19"/>
      <c r="R700" s="20">
        <v>24194</v>
      </c>
      <c r="S700" s="21" t="str">
        <f>HYPERLINK("https://www.enmu.edu/financial-aid/net-price-calculator", "$14654")</f>
        <v>$14654</v>
      </c>
      <c r="T700" s="20">
        <v>18446</v>
      </c>
      <c r="U700" s="20">
        <v>20434</v>
      </c>
      <c r="V700" s="20">
        <v>5448</v>
      </c>
      <c r="W700" s="20">
        <v>9206.3736263736264</v>
      </c>
      <c r="Y700" s="19">
        <v>0.3322</v>
      </c>
      <c r="Z700" s="19">
        <v>0.58230000000000004</v>
      </c>
      <c r="AB700" s="18">
        <v>3431</v>
      </c>
      <c r="AC700" s="18">
        <v>4</v>
      </c>
    </row>
    <row r="701" spans="1:29" ht="15.75" customHeight="1" x14ac:dyDescent="0.2">
      <c r="A701" s="36" t="str">
        <f>HYPERLINK("https://www.roswell.enmu.edu", "Eastern New Mexico University-Roswell Campus")</f>
        <v>Eastern New Mexico University-Roswell Campus</v>
      </c>
      <c r="B701" s="18" t="s">
        <v>49</v>
      </c>
      <c r="C701" s="18" t="s">
        <v>234</v>
      </c>
      <c r="D701" s="18" t="s">
        <v>719</v>
      </c>
      <c r="E701" s="18" t="s">
        <v>36</v>
      </c>
      <c r="F701" s="18" t="s">
        <v>36</v>
      </c>
      <c r="J701" s="19"/>
      <c r="K701" s="19">
        <v>0.40610000000000002</v>
      </c>
      <c r="L701" s="19">
        <v>0.20684039100000001</v>
      </c>
      <c r="M701" s="19">
        <v>0.44940000000000002</v>
      </c>
      <c r="N701" s="19">
        <v>0.36359999999999998</v>
      </c>
      <c r="O701" s="19">
        <v>0.39710000000000001</v>
      </c>
      <c r="P701" s="19">
        <v>0</v>
      </c>
      <c r="Q701" s="19"/>
      <c r="R701" s="20">
        <v>18084</v>
      </c>
      <c r="S701" s="21" t="str">
        <f>HYPERLINK("https://www.roswell.enmu.edu/financial-aid/?tabsid=finaidimportanttabs&amp;tab=4&amp;scrollto=netprice", "$12093")</f>
        <v>$12093</v>
      </c>
      <c r="T701" s="20">
        <v>14267</v>
      </c>
      <c r="U701" s="20">
        <v>14996</v>
      </c>
      <c r="V701" s="20">
        <v>5926</v>
      </c>
      <c r="W701" s="20">
        <v>6167</v>
      </c>
      <c r="Y701" s="19">
        <v>0.21440000000000001</v>
      </c>
      <c r="Z701" s="19">
        <v>0.63819999999999999</v>
      </c>
      <c r="AB701" s="18">
        <v>1462</v>
      </c>
      <c r="AC701" s="18">
        <v>4</v>
      </c>
    </row>
    <row r="702" spans="1:29" ht="15.75" customHeight="1" x14ac:dyDescent="0.2">
      <c r="A702" s="36" t="str">
        <f>HYPERLINK("https://www.eosc.edu", "Eastern Oklahoma State College")</f>
        <v>Eastern Oklahoma State College</v>
      </c>
      <c r="B702" s="18" t="s">
        <v>49</v>
      </c>
      <c r="C702" s="18" t="s">
        <v>290</v>
      </c>
      <c r="D702" s="18" t="s">
        <v>1292</v>
      </c>
      <c r="E702" s="18" t="s">
        <v>36</v>
      </c>
      <c r="F702" s="18" t="s">
        <v>36</v>
      </c>
      <c r="J702" s="19"/>
      <c r="K702" s="19">
        <v>0.23880000000000001</v>
      </c>
      <c r="L702" s="19">
        <v>0.13693693700000001</v>
      </c>
      <c r="M702" s="19">
        <v>0.25</v>
      </c>
      <c r="N702" s="19">
        <v>9.3799999999999994E-2</v>
      </c>
      <c r="O702" s="19">
        <v>0.40739999999999998</v>
      </c>
      <c r="P702" s="19">
        <v>0</v>
      </c>
      <c r="Q702" s="19">
        <v>6.5491184000000008E-2</v>
      </c>
      <c r="R702" s="20">
        <v>17906</v>
      </c>
      <c r="S702" s="21" t="str">
        <f>HYPERLINK("https://www.eosc.edu/financial_aid_scholarships/tuition_fees/tuition_calculator.aspx", "Not reported")</f>
        <v>Not reported</v>
      </c>
      <c r="T702" s="20" t="s">
        <v>36</v>
      </c>
      <c r="U702" s="20" t="s">
        <v>36</v>
      </c>
      <c r="V702" s="20">
        <v>3912</v>
      </c>
      <c r="W702" s="20" t="s">
        <v>36</v>
      </c>
      <c r="Y702" s="19">
        <v>0.52729999999999999</v>
      </c>
      <c r="Z702" s="19">
        <v>0.4728</v>
      </c>
      <c r="AB702" s="18">
        <v>1049</v>
      </c>
      <c r="AC702" s="18">
        <v>6</v>
      </c>
    </row>
    <row r="703" spans="1:29" ht="15.75" customHeight="1" x14ac:dyDescent="0.2">
      <c r="A703" s="36" t="str">
        <f>HYPERLINK("https://www.eou.edu", "Eastern Oregon University")</f>
        <v>Eastern Oregon University</v>
      </c>
      <c r="B703" s="18" t="s">
        <v>49</v>
      </c>
      <c r="C703" s="18" t="s">
        <v>143</v>
      </c>
      <c r="D703" s="18" t="s">
        <v>720</v>
      </c>
      <c r="E703" s="18">
        <v>1043</v>
      </c>
      <c r="F703" s="18" t="s">
        <v>35</v>
      </c>
      <c r="J703" s="19"/>
      <c r="K703" s="19">
        <v>0.30719999999999997</v>
      </c>
      <c r="L703" s="19">
        <v>0.24920634899999999</v>
      </c>
      <c r="M703" s="19">
        <v>0.30740000000000001</v>
      </c>
      <c r="N703" s="19">
        <v>0.1111</v>
      </c>
      <c r="O703" s="19">
        <v>0.31030000000000002</v>
      </c>
      <c r="P703" s="19">
        <v>0.3</v>
      </c>
      <c r="Q703" s="19"/>
      <c r="R703" s="20">
        <v>33753</v>
      </c>
      <c r="S703" s="21" t="str">
        <f>HYPERLINK("https://static.eou.edu/net-price-calc/", "$24877")</f>
        <v>$24877</v>
      </c>
      <c r="T703" s="20">
        <v>28899</v>
      </c>
      <c r="U703" s="20">
        <v>30793</v>
      </c>
      <c r="V703" s="20">
        <v>4371</v>
      </c>
      <c r="W703" s="20">
        <v>20506.09</v>
      </c>
      <c r="Y703" s="19">
        <v>0.45319999999999999</v>
      </c>
      <c r="Z703" s="19">
        <v>0.27510000000000001</v>
      </c>
      <c r="AB703" s="18">
        <v>2526</v>
      </c>
      <c r="AC703" s="18">
        <v>4</v>
      </c>
    </row>
    <row r="704" spans="1:29" ht="15.75" customHeight="1" x14ac:dyDescent="0.2">
      <c r="A704" s="36" t="str">
        <f>HYPERLINK("https://www.eastern.edu/about/student-consumer-information", "Eastern University")</f>
        <v>Eastern University</v>
      </c>
      <c r="B704" s="18" t="s">
        <v>32</v>
      </c>
      <c r="C704" s="18" t="s">
        <v>65</v>
      </c>
      <c r="D704" s="18" t="s">
        <v>722</v>
      </c>
      <c r="E704" s="18">
        <v>1106</v>
      </c>
      <c r="F704" s="18" t="s">
        <v>115</v>
      </c>
      <c r="J704" s="19"/>
      <c r="K704" s="19">
        <v>0.63490000000000002</v>
      </c>
      <c r="L704" s="19">
        <v>0.43843843799999999</v>
      </c>
      <c r="M704" s="19">
        <v>0.70169999999999999</v>
      </c>
      <c r="N704" s="19">
        <v>0.49299999999999999</v>
      </c>
      <c r="O704" s="19">
        <v>0.6</v>
      </c>
      <c r="P704" s="19">
        <v>0.54549999999999998</v>
      </c>
      <c r="Q704" s="19"/>
      <c r="R704" s="20">
        <v>48250</v>
      </c>
      <c r="S704" s="21" t="str">
        <f>HYPERLINK("https://www.eastern.edu/admissions/undergraduate/undergraduate-net-price-calculator", "$19686")</f>
        <v>$19686</v>
      </c>
      <c r="T704" s="20">
        <v>20579</v>
      </c>
      <c r="U704" s="20">
        <v>22388</v>
      </c>
      <c r="V704" s="20">
        <v>5125</v>
      </c>
      <c r="W704" s="20">
        <v>14561</v>
      </c>
      <c r="Y704" s="19">
        <v>0.44519999999999998</v>
      </c>
      <c r="Z704" s="19">
        <v>0.50140000000000007</v>
      </c>
      <c r="AB704" s="18">
        <v>1837</v>
      </c>
      <c r="AC704" s="18">
        <v>4</v>
      </c>
    </row>
    <row r="705" spans="1:29" ht="15.75" customHeight="1" x14ac:dyDescent="0.2">
      <c r="A705" s="36" t="str">
        <f>HYPERLINK("https://www.ewu.edu", "Eastern Washington University")</f>
        <v>Eastern Washington University</v>
      </c>
      <c r="B705" s="18" t="s">
        <v>49</v>
      </c>
      <c r="C705" s="18" t="s">
        <v>184</v>
      </c>
      <c r="D705" s="18" t="s">
        <v>723</v>
      </c>
      <c r="E705" s="18">
        <v>995</v>
      </c>
      <c r="F705" s="18" t="s">
        <v>35</v>
      </c>
      <c r="J705" s="19"/>
      <c r="K705" s="19">
        <v>0.52449999999999997</v>
      </c>
      <c r="L705" s="19">
        <v>0.47339449500000003</v>
      </c>
      <c r="M705" s="19">
        <v>0.5675</v>
      </c>
      <c r="N705" s="19">
        <v>0.21820000000000001</v>
      </c>
      <c r="O705" s="19">
        <v>0.45450000000000002</v>
      </c>
      <c r="P705" s="19">
        <v>0.4103</v>
      </c>
      <c r="Q705" s="19"/>
      <c r="R705" s="20">
        <v>38895</v>
      </c>
      <c r="S705" s="21" t="str">
        <f>HYPERLINK("https://www.ewu.edu/netpricecalculator", "$27628")</f>
        <v>$27628</v>
      </c>
      <c r="T705" s="20">
        <v>32442</v>
      </c>
      <c r="U705" s="20">
        <v>36630</v>
      </c>
      <c r="V705" s="20">
        <v>3540</v>
      </c>
      <c r="W705" s="20">
        <v>24088.080971659921</v>
      </c>
      <c r="Y705" s="19">
        <v>0.37669999999999998</v>
      </c>
      <c r="Z705" s="19">
        <v>0.37390000000000001</v>
      </c>
      <c r="AB705" s="18">
        <v>10500</v>
      </c>
      <c r="AC705" s="18">
        <v>4</v>
      </c>
    </row>
    <row r="706" spans="1:29" ht="15.75" customHeight="1" x14ac:dyDescent="0.2">
      <c r="A706" s="36" t="str">
        <f>HYPERLINK("https://www.Easternwv.edu", "Eastern West Virginia Community and Technical College")</f>
        <v>Eastern West Virginia Community and Technical College</v>
      </c>
      <c r="B706" s="18" t="s">
        <v>49</v>
      </c>
      <c r="C706" s="18" t="s">
        <v>574</v>
      </c>
      <c r="D706" s="18" t="s">
        <v>1294</v>
      </c>
      <c r="E706" s="18" t="s">
        <v>36</v>
      </c>
      <c r="F706" s="18" t="s">
        <v>36</v>
      </c>
      <c r="J706" s="19"/>
      <c r="K706" s="19">
        <v>0.31669999999999998</v>
      </c>
      <c r="L706" s="19">
        <v>0.16942148800000001</v>
      </c>
      <c r="M706" s="19">
        <v>0.3276</v>
      </c>
      <c r="N706" s="19">
        <v>0</v>
      </c>
      <c r="O706" s="19">
        <v>0</v>
      </c>
      <c r="P706" s="19" t="s">
        <v>36</v>
      </c>
      <c r="Q706" s="19">
        <v>4.9132948000000003E-2</v>
      </c>
      <c r="R706" s="20">
        <v>17997</v>
      </c>
      <c r="S706" s="21" t="str">
        <f>HYPERLINK("https://easternwv.edu/financial-aid/net-price-calculator", "$11624")</f>
        <v>$11624</v>
      </c>
      <c r="T706" s="20">
        <v>13199</v>
      </c>
      <c r="U706" s="20">
        <v>17997</v>
      </c>
      <c r="V706" s="20">
        <v>4733</v>
      </c>
      <c r="W706" s="20">
        <v>6891.608695652174</v>
      </c>
      <c r="Y706" s="19">
        <v>0.33610000000000001</v>
      </c>
      <c r="Z706" s="19">
        <v>4.3300000000000012E-2</v>
      </c>
      <c r="AB706" s="18">
        <v>300</v>
      </c>
      <c r="AC706" s="18">
        <v>6</v>
      </c>
    </row>
    <row r="707" spans="1:29" ht="15.75" customHeight="1" x14ac:dyDescent="0.2">
      <c r="A707" s="36" t="str">
        <f>HYPERLINK("https://ewc.wy.edu", "Eastern Wyoming College")</f>
        <v>Eastern Wyoming College</v>
      </c>
      <c r="B707" s="18" t="s">
        <v>49</v>
      </c>
      <c r="C707" s="18" t="s">
        <v>1086</v>
      </c>
      <c r="D707" s="18" t="s">
        <v>1295</v>
      </c>
      <c r="E707" s="18" t="s">
        <v>36</v>
      </c>
      <c r="F707" s="18" t="s">
        <v>36</v>
      </c>
      <c r="J707" s="19"/>
      <c r="K707" s="19">
        <v>0.45860000000000001</v>
      </c>
      <c r="L707" s="19">
        <v>0.24113475200000001</v>
      </c>
      <c r="M707" s="19">
        <v>0.48849999999999999</v>
      </c>
      <c r="N707" s="19">
        <v>0</v>
      </c>
      <c r="O707" s="19">
        <v>0.3846</v>
      </c>
      <c r="P707" s="19">
        <v>1</v>
      </c>
      <c r="Q707" s="19">
        <v>4.1825095E-2</v>
      </c>
      <c r="R707" s="20">
        <v>18522</v>
      </c>
      <c r="S707" s="21" t="str">
        <f>HYPERLINK("https://ewc.wy.edu/future-students/financial-aid/net-price-calculator/", "$11556")</f>
        <v>$11556</v>
      </c>
      <c r="T707" s="20">
        <v>11571</v>
      </c>
      <c r="U707" s="20">
        <v>12967</v>
      </c>
      <c r="V707" s="20">
        <v>4180</v>
      </c>
      <c r="W707" s="20">
        <v>7376.8461538461543</v>
      </c>
      <c r="Y707" s="19">
        <v>0.1303</v>
      </c>
      <c r="Z707" s="19">
        <v>0.1726</v>
      </c>
      <c r="AB707" s="18">
        <v>620</v>
      </c>
      <c r="AC707" s="18">
        <v>6</v>
      </c>
    </row>
    <row r="708" spans="1:29" ht="15.75" customHeight="1" x14ac:dyDescent="0.2">
      <c r="A708" s="36" t="str">
        <f>HYPERLINK("https://www.eastfieldcollege.edu/", "Eastfield College")</f>
        <v>Eastfield College</v>
      </c>
      <c r="B708" s="18" t="s">
        <v>49</v>
      </c>
      <c r="C708" s="18" t="s">
        <v>146</v>
      </c>
      <c r="D708" s="18" t="s">
        <v>1297</v>
      </c>
      <c r="E708" s="18" t="s">
        <v>36</v>
      </c>
      <c r="F708" s="18" t="s">
        <v>36</v>
      </c>
      <c r="J708" s="19"/>
      <c r="K708" s="19">
        <v>0.16420000000000001</v>
      </c>
      <c r="L708" s="19" t="s">
        <v>36</v>
      </c>
      <c r="M708" s="19">
        <v>0.15</v>
      </c>
      <c r="N708" s="19">
        <v>0.1313</v>
      </c>
      <c r="O708" s="19">
        <v>0.2011</v>
      </c>
      <c r="P708" s="19">
        <v>0.13639999999999999</v>
      </c>
      <c r="Q708" s="19">
        <v>0.11352656999999999</v>
      </c>
      <c r="R708" s="20">
        <v>20621</v>
      </c>
      <c r="S708" s="21" t="str">
        <f>HYPERLINK("https://www.dcccd.edu/pc/cost/pages/coa.aspx", "$15448")</f>
        <v>$15448</v>
      </c>
      <c r="T708" s="20">
        <v>17873</v>
      </c>
      <c r="U708" s="20">
        <v>20201</v>
      </c>
      <c r="V708" s="20">
        <v>5456</v>
      </c>
      <c r="W708" s="20">
        <v>9992.4679802955652</v>
      </c>
      <c r="Y708" s="19">
        <v>0.28439999999999999</v>
      </c>
      <c r="Z708" s="19">
        <v>0.81390000000000007</v>
      </c>
      <c r="AB708" s="18">
        <v>10460</v>
      </c>
      <c r="AC708" s="18">
        <v>6</v>
      </c>
    </row>
    <row r="709" spans="1:29" ht="15.75" customHeight="1" x14ac:dyDescent="0.2">
      <c r="A709" s="36" t="str">
        <f>HYPERLINK("https://www.eastwickcollege.edu", "Eastwick College-Nutley")</f>
        <v>Eastwick College-Nutley</v>
      </c>
      <c r="B709" s="18" t="s">
        <v>368</v>
      </c>
      <c r="C709" s="18" t="s">
        <v>141</v>
      </c>
      <c r="D709" s="18" t="s">
        <v>1298</v>
      </c>
      <c r="E709" s="18" t="s">
        <v>36</v>
      </c>
      <c r="F709" s="18" t="s">
        <v>45</v>
      </c>
      <c r="J709" s="19"/>
      <c r="K709" s="19">
        <v>0.55069999999999997</v>
      </c>
      <c r="L709" s="19">
        <v>0.642441861</v>
      </c>
      <c r="M709" s="19">
        <v>0.8</v>
      </c>
      <c r="N709" s="19">
        <v>0.44440000000000002</v>
      </c>
      <c r="O709" s="19">
        <v>0.46879999999999999</v>
      </c>
      <c r="P709" s="19">
        <v>0.66669999999999996</v>
      </c>
      <c r="Q709" s="19" t="s">
        <v>36</v>
      </c>
      <c r="R709" s="20">
        <v>28824</v>
      </c>
      <c r="S709" s="21" t="str">
        <f>HYPERLINK("https://www.eastwickcollege.edu/Net_Price.php", "$16455")</f>
        <v>$16455</v>
      </c>
      <c r="T709" s="20">
        <v>16084</v>
      </c>
      <c r="U709" s="20">
        <v>24294</v>
      </c>
      <c r="V709" s="20">
        <v>5671</v>
      </c>
      <c r="W709" s="20">
        <v>10784</v>
      </c>
      <c r="Y709" s="19">
        <v>0.65839999999999999</v>
      </c>
      <c r="Z709" s="19">
        <v>0.73049999999999993</v>
      </c>
      <c r="AB709" s="18">
        <v>486</v>
      </c>
      <c r="AC709" s="18">
        <v>6</v>
      </c>
    </row>
    <row r="710" spans="1:29" ht="15.75" customHeight="1" x14ac:dyDescent="0.2">
      <c r="A710" s="36" t="str">
        <f>HYPERLINK("https://www.eastwickcollege.edu", "Eastwick College-Ramsey")</f>
        <v>Eastwick College-Ramsey</v>
      </c>
      <c r="B710" s="18" t="s">
        <v>368</v>
      </c>
      <c r="C710" s="18" t="s">
        <v>141</v>
      </c>
      <c r="D710" s="18" t="s">
        <v>1299</v>
      </c>
      <c r="E710" s="18" t="s">
        <v>36</v>
      </c>
      <c r="F710" s="18" t="s">
        <v>45</v>
      </c>
      <c r="J710" s="19"/>
      <c r="K710" s="19">
        <v>0.76</v>
      </c>
      <c r="L710" s="19">
        <v>0.59271523199999998</v>
      </c>
      <c r="M710" s="19">
        <v>0.8649</v>
      </c>
      <c r="N710" s="19">
        <v>0.88239999999999996</v>
      </c>
      <c r="O710" s="19">
        <v>0.52939999999999998</v>
      </c>
      <c r="P710" s="19">
        <v>0</v>
      </c>
      <c r="Q710" s="19" t="s">
        <v>36</v>
      </c>
      <c r="R710" s="20">
        <v>39951</v>
      </c>
      <c r="S710" s="21" t="str">
        <f>HYPERLINK("https://www.eastwickcollege.edu/Net_Price.php", "$25649")</f>
        <v>$25649</v>
      </c>
      <c r="T710" s="20">
        <v>29020</v>
      </c>
      <c r="U710" s="20">
        <v>30054</v>
      </c>
      <c r="V710" s="20">
        <v>8255</v>
      </c>
      <c r="W710" s="20">
        <v>17394</v>
      </c>
      <c r="Y710" s="19">
        <v>0.47689999999999999</v>
      </c>
      <c r="Z710" s="19">
        <v>0.56119999999999992</v>
      </c>
      <c r="AB710" s="18">
        <v>768</v>
      </c>
      <c r="AC710" s="18">
        <v>6</v>
      </c>
    </row>
    <row r="711" spans="1:29" ht="15.75" customHeight="1" x14ac:dyDescent="0.2">
      <c r="A711" s="36" t="str">
        <f>HYPERLINK("https://www.eckerd.edu", "Eckerd College")</f>
        <v>Eckerd College</v>
      </c>
      <c r="B711" s="18" t="s">
        <v>32</v>
      </c>
      <c r="C711" s="18" t="s">
        <v>162</v>
      </c>
      <c r="D711" s="18" t="s">
        <v>352</v>
      </c>
      <c r="E711" s="18">
        <v>1207</v>
      </c>
      <c r="F711" s="18" t="s">
        <v>35</v>
      </c>
      <c r="J711" s="19"/>
      <c r="K711" s="19">
        <v>0.69520000000000004</v>
      </c>
      <c r="L711" s="19">
        <v>0.18965517200000001</v>
      </c>
      <c r="M711" s="19">
        <v>0.7268</v>
      </c>
      <c r="N711" s="19">
        <v>0.3846</v>
      </c>
      <c r="O711" s="19">
        <v>0.58330000000000004</v>
      </c>
      <c r="P711" s="19">
        <v>0.71430000000000005</v>
      </c>
      <c r="Q711" s="19"/>
      <c r="R711" s="20">
        <v>59200</v>
      </c>
      <c r="S711" s="21" t="str">
        <f>HYPERLINK("https://www.eckerd.edu/admissions/net-price-calculator/", "$28095")</f>
        <v>$28095</v>
      </c>
      <c r="T711" s="20">
        <v>26942</v>
      </c>
      <c r="U711" s="20">
        <v>31227</v>
      </c>
      <c r="V711" s="20">
        <v>4450</v>
      </c>
      <c r="W711" s="20">
        <v>23645</v>
      </c>
      <c r="Y711" s="19">
        <v>0.219</v>
      </c>
      <c r="Z711" s="19">
        <v>0.22989999999999999</v>
      </c>
      <c r="AB711" s="18">
        <v>2018</v>
      </c>
      <c r="AC711" s="18">
        <v>3</v>
      </c>
    </row>
    <row r="712" spans="1:29" ht="15.75" customHeight="1" x14ac:dyDescent="0.2">
      <c r="A712" s="36" t="str">
        <f>HYPERLINK("https://www.ecotechinstitute.com", "Ecotech Institute")</f>
        <v>Ecotech Institute</v>
      </c>
      <c r="B712" s="18" t="s">
        <v>368</v>
      </c>
      <c r="C712" s="18" t="s">
        <v>87</v>
      </c>
      <c r="D712" s="18" t="s">
        <v>537</v>
      </c>
      <c r="E712" s="18" t="s">
        <v>36</v>
      </c>
      <c r="F712" s="18" t="s">
        <v>36</v>
      </c>
      <c r="J712" s="19"/>
      <c r="K712" s="19">
        <v>0.44919999999999999</v>
      </c>
      <c r="L712" s="19">
        <v>0.30252664499999998</v>
      </c>
      <c r="M712" s="19">
        <v>0.4194</v>
      </c>
      <c r="N712" s="19">
        <v>0.125</v>
      </c>
      <c r="O712" s="19">
        <v>0.47370000000000001</v>
      </c>
      <c r="P712" s="19" t="s">
        <v>36</v>
      </c>
      <c r="Q712" s="19">
        <v>2.3974295999999999E-2</v>
      </c>
      <c r="R712" s="20" t="s">
        <v>36</v>
      </c>
      <c r="S712" s="21" t="str">
        <f>HYPERLINK("https://enroll.ecotechinstitute.com/npc", "$20439")</f>
        <v>$20439</v>
      </c>
      <c r="T712" s="20">
        <v>23316</v>
      </c>
      <c r="U712" s="20">
        <v>21795</v>
      </c>
      <c r="V712" s="20" t="s">
        <v>36</v>
      </c>
      <c r="W712" s="20" t="s">
        <v>36</v>
      </c>
      <c r="Y712" s="19">
        <v>0.42359999999999998</v>
      </c>
      <c r="Z712" s="19">
        <v>0.62860000000000005</v>
      </c>
      <c r="AB712" s="18">
        <v>280</v>
      </c>
      <c r="AC712" s="18">
        <v>6</v>
      </c>
    </row>
    <row r="713" spans="1:29" ht="15.75" customHeight="1" x14ac:dyDescent="0.2">
      <c r="A713" s="36" t="str">
        <f>HYPERLINK("https://www.edgecombe.edu", "Edgecombe Community College")</f>
        <v>Edgecombe Community College</v>
      </c>
      <c r="B713" s="18" t="s">
        <v>49</v>
      </c>
      <c r="C713" s="18" t="s">
        <v>103</v>
      </c>
      <c r="D713" s="18" t="s">
        <v>1301</v>
      </c>
      <c r="E713" s="18" t="s">
        <v>36</v>
      </c>
      <c r="F713" s="18" t="s">
        <v>36</v>
      </c>
      <c r="J713" s="19"/>
      <c r="K713" s="19">
        <v>0.13059999999999999</v>
      </c>
      <c r="L713" s="19">
        <v>0.14031971600000001</v>
      </c>
      <c r="M713" s="19">
        <v>0.26669999999999999</v>
      </c>
      <c r="N713" s="19">
        <v>6.2100000000000002E-2</v>
      </c>
      <c r="O713" s="19">
        <v>0.36359999999999998</v>
      </c>
      <c r="P713" s="19" t="s">
        <v>36</v>
      </c>
      <c r="Q713" s="19">
        <v>3.7091987999999999E-2</v>
      </c>
      <c r="R713" s="20">
        <v>19101</v>
      </c>
      <c r="S713" s="21" t="str">
        <f>HYPERLINK("https://www.edgecombe.edu/current-students/financial-aid/net-price-calculator/", "$13942")</f>
        <v>$13942</v>
      </c>
      <c r="T713" s="20">
        <v>15935</v>
      </c>
      <c r="U713" s="20">
        <v>17107</v>
      </c>
      <c r="V713" s="20">
        <v>4815</v>
      </c>
      <c r="W713" s="20">
        <v>9127.9550561797751</v>
      </c>
      <c r="Y713" s="19">
        <v>0.60960000000000003</v>
      </c>
      <c r="Z713" s="19">
        <v>0.68789999999999996</v>
      </c>
      <c r="AB713" s="18">
        <v>1775</v>
      </c>
      <c r="AC713" s="18">
        <v>6</v>
      </c>
    </row>
    <row r="714" spans="1:29" ht="15.75" customHeight="1" x14ac:dyDescent="0.2">
      <c r="A714" s="36" t="str">
        <f>HYPERLINK("https://www.edgewood.edu", "Edgewood College")</f>
        <v>Edgewood College</v>
      </c>
      <c r="B714" s="18" t="s">
        <v>32</v>
      </c>
      <c r="C714" s="18" t="s">
        <v>196</v>
      </c>
      <c r="D714" s="18" t="s">
        <v>295</v>
      </c>
      <c r="E714" s="18">
        <v>1145</v>
      </c>
      <c r="F714" s="18" t="s">
        <v>35</v>
      </c>
      <c r="J714" s="19"/>
      <c r="K714" s="19">
        <v>0.60880000000000001</v>
      </c>
      <c r="L714" s="19">
        <v>0.55333333299999998</v>
      </c>
      <c r="M714" s="19">
        <v>0.64729999999999999</v>
      </c>
      <c r="N714" s="19">
        <v>0.5</v>
      </c>
      <c r="O714" s="19">
        <v>0.4</v>
      </c>
      <c r="P714" s="19">
        <v>0.6</v>
      </c>
      <c r="Q714" s="19"/>
      <c r="R714" s="20">
        <v>42690</v>
      </c>
      <c r="S714" s="21" t="str">
        <f>HYPERLINK("https://www.edgewood.edu/admissions/tuition-and-financial-aid/net-price-calculator-freshman", "$19416")</f>
        <v>$19416</v>
      </c>
      <c r="T714" s="20">
        <v>20422</v>
      </c>
      <c r="U714" s="20">
        <v>24749</v>
      </c>
      <c r="V714" s="20">
        <v>3696</v>
      </c>
      <c r="W714" s="20">
        <v>15720</v>
      </c>
      <c r="Y714" s="19">
        <v>0.3095</v>
      </c>
      <c r="Z714" s="19">
        <v>0.21240000000000001</v>
      </c>
      <c r="AB714" s="18">
        <v>1521</v>
      </c>
      <c r="AC714" s="18">
        <v>4</v>
      </c>
    </row>
    <row r="715" spans="1:29" ht="15.75" customHeight="1" x14ac:dyDescent="0.2">
      <c r="A715" s="36" t="str">
        <f>HYPERLINK("https://www.edinboro.edu/", "Edinboro University of Pennsylvania")</f>
        <v>Edinboro University of Pennsylvania</v>
      </c>
      <c r="B715" s="18" t="s">
        <v>49</v>
      </c>
      <c r="C715" s="18" t="s">
        <v>65</v>
      </c>
      <c r="D715" s="18" t="s">
        <v>732</v>
      </c>
      <c r="E715" s="18">
        <v>1029</v>
      </c>
      <c r="F715" s="18" t="s">
        <v>35</v>
      </c>
      <c r="J715" s="19"/>
      <c r="K715" s="19">
        <v>0.42980000000000002</v>
      </c>
      <c r="L715" s="19">
        <v>0.39528023600000001</v>
      </c>
      <c r="M715" s="19">
        <v>0.4597</v>
      </c>
      <c r="N715" s="19">
        <v>0.25409999999999999</v>
      </c>
      <c r="O715" s="19">
        <v>0.26190000000000002</v>
      </c>
      <c r="P715" s="19">
        <v>0.42859999999999998</v>
      </c>
      <c r="Q715" s="19"/>
      <c r="R715" s="20">
        <v>29737</v>
      </c>
      <c r="S715" s="21" t="str">
        <f>HYPERLINK("https://www.passhe.edu/answers/Calculator/ED/npcalc-212160.htm", "$20619")</f>
        <v>$20619</v>
      </c>
      <c r="T715" s="20">
        <v>24422</v>
      </c>
      <c r="U715" s="20">
        <v>27491</v>
      </c>
      <c r="V715" s="20">
        <v>3850</v>
      </c>
      <c r="W715" s="20">
        <v>16769.488524590161</v>
      </c>
      <c r="Y715" s="19">
        <v>0.44069999999999998</v>
      </c>
      <c r="Z715" s="19">
        <v>0.19040000000000001</v>
      </c>
      <c r="AB715" s="18">
        <v>4229</v>
      </c>
      <c r="AC715" s="18">
        <v>5</v>
      </c>
    </row>
    <row r="716" spans="1:29" ht="15.75" customHeight="1" x14ac:dyDescent="0.2">
      <c r="A716" s="36" t="str">
        <f>HYPERLINK("https://www.edisonOHIO.edu", "Edison State Community College")</f>
        <v>Edison State Community College</v>
      </c>
      <c r="B716" s="18" t="s">
        <v>49</v>
      </c>
      <c r="C716" s="18" t="s">
        <v>75</v>
      </c>
      <c r="D716" s="18" t="s">
        <v>1302</v>
      </c>
      <c r="E716" s="18" t="s">
        <v>36</v>
      </c>
      <c r="F716" s="18" t="s">
        <v>36</v>
      </c>
      <c r="J716" s="19"/>
      <c r="K716" s="19">
        <v>0.245</v>
      </c>
      <c r="L716" s="19">
        <v>0.18531468500000001</v>
      </c>
      <c r="M716" s="19">
        <v>0.26889999999999997</v>
      </c>
      <c r="N716" s="19">
        <v>0.05</v>
      </c>
      <c r="O716" s="19">
        <v>0</v>
      </c>
      <c r="P716" s="19">
        <v>0</v>
      </c>
      <c r="Q716" s="19">
        <v>4.7974414000000007E-2</v>
      </c>
      <c r="R716" s="20">
        <v>20238</v>
      </c>
      <c r="S716" s="21" t="str">
        <f>HYPERLINK("https://www.edisonohio.edu/Net-Price-Calculator/", "$15733")</f>
        <v>$15733</v>
      </c>
      <c r="T716" s="20">
        <v>17812</v>
      </c>
      <c r="U716" s="20">
        <v>18310</v>
      </c>
      <c r="V716" s="20">
        <v>4424</v>
      </c>
      <c r="W716" s="20">
        <v>11309.33333333333</v>
      </c>
      <c r="Y716" s="19">
        <v>0.23150000000000001</v>
      </c>
      <c r="Z716" s="19">
        <v>0.12429999999999999</v>
      </c>
      <c r="AB716" s="18">
        <v>1730</v>
      </c>
      <c r="AC716" s="18">
        <v>6</v>
      </c>
    </row>
    <row r="717" spans="1:29" ht="15.75" customHeight="1" x14ac:dyDescent="0.2">
      <c r="A717" s="36" t="str">
        <f>HYPERLINK("https://www.ewc.edu", "Edward Waters College")</f>
        <v>Edward Waters College</v>
      </c>
      <c r="B717" s="18" t="s">
        <v>32</v>
      </c>
      <c r="C717" s="18" t="s">
        <v>162</v>
      </c>
      <c r="D717" s="18" t="s">
        <v>382</v>
      </c>
      <c r="E717" s="18">
        <v>885</v>
      </c>
      <c r="F717" s="18" t="s">
        <v>35</v>
      </c>
      <c r="J717" s="19"/>
      <c r="K717" s="19">
        <v>0.31909999999999999</v>
      </c>
      <c r="L717" s="19">
        <v>0.13899613899999999</v>
      </c>
      <c r="M717" s="19">
        <v>0</v>
      </c>
      <c r="N717" s="19">
        <v>0.32840000000000003</v>
      </c>
      <c r="O717" s="19">
        <v>1</v>
      </c>
      <c r="P717" s="19" t="s">
        <v>36</v>
      </c>
      <c r="Q717" s="19"/>
      <c r="R717" s="20">
        <v>25083</v>
      </c>
      <c r="S717" s="21" t="str">
        <f>HYPERLINK("https://www.ewc.edu/NetPrice/npcalc.htm", "$13326")</f>
        <v>$13326</v>
      </c>
      <c r="T717" s="20">
        <v>15303</v>
      </c>
      <c r="U717" s="20">
        <v>14490</v>
      </c>
      <c r="V717" s="20">
        <v>4276</v>
      </c>
      <c r="W717" s="20">
        <v>9050</v>
      </c>
      <c r="Y717" s="19">
        <v>0.24229999999999999</v>
      </c>
      <c r="Z717" s="19">
        <v>0.9556</v>
      </c>
      <c r="AB717" s="18">
        <v>946</v>
      </c>
      <c r="AC717" s="18">
        <v>5</v>
      </c>
    </row>
    <row r="718" spans="1:29" ht="15.75" customHeight="1" x14ac:dyDescent="0.2">
      <c r="A718" s="36" t="str">
        <f>HYPERLINK("https://www.elcamino.edu", "El Camino Community College District")</f>
        <v>El Camino Community College District</v>
      </c>
      <c r="B718" s="18" t="s">
        <v>49</v>
      </c>
      <c r="C718" s="18" t="s">
        <v>68</v>
      </c>
      <c r="D718" s="18" t="s">
        <v>1303</v>
      </c>
      <c r="E718" s="18" t="s">
        <v>36</v>
      </c>
      <c r="F718" s="18" t="s">
        <v>36</v>
      </c>
      <c r="J718" s="19"/>
      <c r="K718" s="19">
        <v>0.31740000000000002</v>
      </c>
      <c r="L718" s="19">
        <v>0.102667745</v>
      </c>
      <c r="M718" s="19">
        <v>0.46029999999999999</v>
      </c>
      <c r="N718" s="19">
        <v>0.16</v>
      </c>
      <c r="O718" s="19">
        <v>0.24429999999999999</v>
      </c>
      <c r="P718" s="19">
        <v>0.5161</v>
      </c>
      <c r="Q718" s="19">
        <v>0.103280423</v>
      </c>
      <c r="R718" s="20">
        <v>25266</v>
      </c>
      <c r="S718" s="21" t="str">
        <f>HYPERLINK("https://www.finaid.org/calculators/studentbudget.phtml", "$18057")</f>
        <v>$18057</v>
      </c>
      <c r="T718" s="20">
        <v>20977</v>
      </c>
      <c r="U718" s="20">
        <v>21859</v>
      </c>
      <c r="V718" s="20">
        <v>6127</v>
      </c>
      <c r="W718" s="20">
        <v>11930.56451612903</v>
      </c>
      <c r="Y718" s="19">
        <v>0.29499999999999998</v>
      </c>
      <c r="Z718" s="19">
        <v>0.86850000000000005</v>
      </c>
      <c r="AB718" s="18">
        <v>21663</v>
      </c>
      <c r="AC718" s="18">
        <v>6</v>
      </c>
    </row>
    <row r="719" spans="1:29" ht="15.75" customHeight="1" x14ac:dyDescent="0.2">
      <c r="A719" s="36" t="str">
        <f>HYPERLINK("https://www.elcentrocollege.edu", "El Centro College")</f>
        <v>El Centro College</v>
      </c>
      <c r="B719" s="18" t="s">
        <v>49</v>
      </c>
      <c r="C719" s="18" t="s">
        <v>146</v>
      </c>
      <c r="D719" s="18" t="s">
        <v>152</v>
      </c>
      <c r="E719" s="18" t="s">
        <v>36</v>
      </c>
      <c r="F719" s="18" t="s">
        <v>36</v>
      </c>
      <c r="J719" s="19"/>
      <c r="K719" s="19">
        <v>9.74E-2</v>
      </c>
      <c r="L719" s="19" t="s">
        <v>36</v>
      </c>
      <c r="M719" s="19">
        <v>0.1143</v>
      </c>
      <c r="N719" s="19">
        <v>2.1299999999999999E-2</v>
      </c>
      <c r="O719" s="19">
        <v>0.13550000000000001</v>
      </c>
      <c r="P719" s="19">
        <v>0.4</v>
      </c>
      <c r="Q719" s="19">
        <v>0.104696252</v>
      </c>
      <c r="R719" s="20">
        <v>20621</v>
      </c>
      <c r="S719" s="21" t="str">
        <f>HYPERLINK("https://www.elcentrocollege.edu/pc/cost/tuition/pages/tuitioncalc.aspx", "$15140")</f>
        <v>$15140</v>
      </c>
      <c r="T719" s="20">
        <v>18241</v>
      </c>
      <c r="U719" s="20" t="s">
        <v>36</v>
      </c>
      <c r="V719" s="20">
        <v>5456</v>
      </c>
      <c r="W719" s="20">
        <v>9684.652173913044</v>
      </c>
      <c r="Y719" s="19">
        <v>0.3004</v>
      </c>
      <c r="Z719" s="19">
        <v>0.81440000000000001</v>
      </c>
      <c r="AB719" s="18">
        <v>7823</v>
      </c>
      <c r="AC719" s="18">
        <v>6</v>
      </c>
    </row>
    <row r="720" spans="1:29" ht="15.75" customHeight="1" x14ac:dyDescent="0.2">
      <c r="A720" s="36" t="str">
        <f>HYPERLINK("https://www.epcc.edu", "El Paso Community College")</f>
        <v>El Paso Community College</v>
      </c>
      <c r="B720" s="18" t="s">
        <v>49</v>
      </c>
      <c r="C720" s="18" t="s">
        <v>146</v>
      </c>
      <c r="D720" s="18" t="s">
        <v>869</v>
      </c>
      <c r="E720" s="18" t="s">
        <v>36</v>
      </c>
      <c r="F720" s="18" t="s">
        <v>36</v>
      </c>
      <c r="J720" s="19"/>
      <c r="K720" s="19">
        <v>0.18759999999999999</v>
      </c>
      <c r="L720" s="19">
        <v>0.13892733600000001</v>
      </c>
      <c r="M720" s="19">
        <v>0.21160000000000001</v>
      </c>
      <c r="N720" s="19">
        <v>0.129</v>
      </c>
      <c r="O720" s="19">
        <v>0.184</v>
      </c>
      <c r="P720" s="19">
        <v>0.375</v>
      </c>
      <c r="Q720" s="19">
        <v>0.116492865</v>
      </c>
      <c r="R720" s="20">
        <v>18177</v>
      </c>
      <c r="S720" s="21" t="str">
        <f>HYPERLINK("https://www.epcc.edu/FinancialAid/", "$12033")</f>
        <v>$12033</v>
      </c>
      <c r="T720" s="20">
        <v>14704</v>
      </c>
      <c r="U720" s="20">
        <v>17546</v>
      </c>
      <c r="V720" s="20">
        <v>5299</v>
      </c>
      <c r="W720" s="20">
        <v>6734.1090182648404</v>
      </c>
      <c r="Y720" s="19">
        <v>0.43180000000000002</v>
      </c>
      <c r="Z720" s="19">
        <v>0.92620000000000002</v>
      </c>
      <c r="AB720" s="18">
        <v>27172</v>
      </c>
      <c r="AC720" s="18">
        <v>6</v>
      </c>
    </row>
    <row r="721" spans="1:29" ht="15.75" customHeight="1" x14ac:dyDescent="0.2">
      <c r="A721" s="36" t="str">
        <f>HYPERLINK("https://www.elgin.edu", "Elgin Community College")</f>
        <v>Elgin Community College</v>
      </c>
      <c r="B721" s="18" t="s">
        <v>49</v>
      </c>
      <c r="C721" s="18" t="s">
        <v>137</v>
      </c>
      <c r="D721" s="18" t="s">
        <v>863</v>
      </c>
      <c r="E721" s="18" t="s">
        <v>36</v>
      </c>
      <c r="F721" s="18" t="s">
        <v>36</v>
      </c>
      <c r="J721" s="19"/>
      <c r="K721" s="19">
        <v>0.36870000000000003</v>
      </c>
      <c r="L721" s="19">
        <v>0.22953328200000001</v>
      </c>
      <c r="M721" s="19">
        <v>0.3881</v>
      </c>
      <c r="N721" s="19">
        <v>0.1905</v>
      </c>
      <c r="O721" s="19">
        <v>0.37859999999999999</v>
      </c>
      <c r="P721" s="19">
        <v>0.40820000000000001</v>
      </c>
      <c r="Q721" s="19">
        <v>8.2556590999999999E-2</v>
      </c>
      <c r="R721" s="20">
        <v>22614</v>
      </c>
      <c r="S721" s="21" t="str">
        <f>HYPERLINK("https://elgin.edu/collegecostcalculator", "$17906")</f>
        <v>$17906</v>
      </c>
      <c r="T721" s="20">
        <v>21719</v>
      </c>
      <c r="U721" s="20">
        <v>21908</v>
      </c>
      <c r="V721" s="20">
        <v>4650</v>
      </c>
      <c r="W721" s="20">
        <v>13256.12</v>
      </c>
      <c r="Y721" s="19">
        <v>0.24479999999999999</v>
      </c>
      <c r="Z721" s="19">
        <v>0.56220000000000003</v>
      </c>
      <c r="AB721" s="18">
        <v>7648</v>
      </c>
      <c r="AC721" s="18">
        <v>6</v>
      </c>
    </row>
    <row r="722" spans="1:29" ht="15.75" customHeight="1" x14ac:dyDescent="0.2">
      <c r="A722" s="36" t="str">
        <f>HYPERLINK("https://www.ecsu.edu", "Elizabeth City State University")</f>
        <v>Elizabeth City State University</v>
      </c>
      <c r="B722" s="18" t="s">
        <v>49</v>
      </c>
      <c r="C722" s="18" t="s">
        <v>103</v>
      </c>
      <c r="D722" s="18" t="s">
        <v>725</v>
      </c>
      <c r="E722" s="18">
        <v>936</v>
      </c>
      <c r="F722" s="18" t="s">
        <v>35</v>
      </c>
      <c r="J722" s="19"/>
      <c r="K722" s="19">
        <v>0.37980000000000003</v>
      </c>
      <c r="L722" s="19">
        <v>0.36814159299999999</v>
      </c>
      <c r="M722" s="19">
        <v>0.38240000000000002</v>
      </c>
      <c r="N722" s="19">
        <v>0.38890000000000002</v>
      </c>
      <c r="O722" s="19">
        <v>1</v>
      </c>
      <c r="P722" s="19" t="s">
        <v>36</v>
      </c>
      <c r="Q722" s="19"/>
      <c r="R722" s="20">
        <v>27180</v>
      </c>
      <c r="S722" s="21" t="str">
        <f>HYPERLINK("https://www.ecsu.edu/administration/chancellor/enrollment-management-retention/financial-aid/2018-net-price-calculator/npcalc.htm", "$14890")</f>
        <v>$14890</v>
      </c>
      <c r="T722" s="20">
        <v>19196</v>
      </c>
      <c r="U722" s="20">
        <v>21821</v>
      </c>
      <c r="V722" s="20">
        <v>1362</v>
      </c>
      <c r="W722" s="20">
        <v>13528</v>
      </c>
      <c r="Y722" s="19">
        <v>0.70689999999999997</v>
      </c>
      <c r="Z722" s="19">
        <v>0.82940000000000003</v>
      </c>
      <c r="AB722" s="18">
        <v>1301</v>
      </c>
      <c r="AC722" s="18">
        <v>4</v>
      </c>
    </row>
    <row r="723" spans="1:29" ht="15.75" customHeight="1" x14ac:dyDescent="0.2">
      <c r="A723" s="36" t="str">
        <f>HYPERLINK("https://www.etown.edu", "Elizabethtown College School of Continuing and Professional Studies")</f>
        <v>Elizabethtown College School of Continuing and Professional Studies</v>
      </c>
      <c r="B723" s="18" t="s">
        <v>32</v>
      </c>
      <c r="C723" s="18" t="s">
        <v>65</v>
      </c>
      <c r="D723" s="18" t="s">
        <v>353</v>
      </c>
      <c r="E723" s="18">
        <v>1181</v>
      </c>
      <c r="F723" s="18" t="s">
        <v>35</v>
      </c>
      <c r="J723" s="19"/>
      <c r="K723" s="19">
        <v>0.74560000000000004</v>
      </c>
      <c r="L723" s="19">
        <v>0.50980392200000002</v>
      </c>
      <c r="M723" s="19">
        <v>0.75229999999999997</v>
      </c>
      <c r="N723" s="19">
        <v>0.42859999999999998</v>
      </c>
      <c r="O723" s="19">
        <v>0.83330000000000004</v>
      </c>
      <c r="P723" s="19">
        <v>0.72729999999999995</v>
      </c>
      <c r="Q723" s="19"/>
      <c r="R723" s="20">
        <v>58490</v>
      </c>
      <c r="S723" s="21" t="str">
        <f>HYPERLINK("https://npc.collegeboard.org/student/app/etown", "$20156")</f>
        <v>$20156</v>
      </c>
      <c r="T723" s="20">
        <v>25429</v>
      </c>
      <c r="U723" s="20">
        <v>29946</v>
      </c>
      <c r="V723" s="20">
        <v>2150</v>
      </c>
      <c r="W723" s="20">
        <v>18006</v>
      </c>
      <c r="Y723" s="19">
        <v>0.1963</v>
      </c>
      <c r="Z723" s="19">
        <v>0.15</v>
      </c>
      <c r="AB723" s="18">
        <v>1647</v>
      </c>
      <c r="AC723" s="18">
        <v>3</v>
      </c>
    </row>
    <row r="724" spans="1:29" ht="15.75" customHeight="1" x14ac:dyDescent="0.2">
      <c r="A724" s="36" t="str">
        <f>HYPERLINK("https://ecc.iavalley.edu/", "Ellsworth Community College")</f>
        <v>Ellsworth Community College</v>
      </c>
      <c r="B724" s="18" t="s">
        <v>49</v>
      </c>
      <c r="C724" s="18" t="s">
        <v>211</v>
      </c>
      <c r="D724" s="18" t="s">
        <v>1308</v>
      </c>
      <c r="E724" s="18" t="s">
        <v>36</v>
      </c>
      <c r="F724" s="18" t="s">
        <v>36</v>
      </c>
      <c r="J724" s="19"/>
      <c r="K724" s="19">
        <v>0.33879999999999999</v>
      </c>
      <c r="L724" s="19">
        <v>8.4444444000000007E-2</v>
      </c>
      <c r="M724" s="19">
        <v>0.46150000000000002</v>
      </c>
      <c r="N724" s="19">
        <v>0.1474</v>
      </c>
      <c r="O724" s="19">
        <v>0.21049999999999999</v>
      </c>
      <c r="P724" s="19">
        <v>0</v>
      </c>
      <c r="Q724" s="19">
        <v>0.14699331900000001</v>
      </c>
      <c r="R724" s="20">
        <v>18142</v>
      </c>
      <c r="S724" s="21" t="str">
        <f>HYPERLINK("https://ecc.iavalley.edu/admissions/financial-aid/costs/", "$11497")</f>
        <v>$11497</v>
      </c>
      <c r="T724" s="20">
        <v>13908</v>
      </c>
      <c r="U724" s="20">
        <v>16105</v>
      </c>
      <c r="V724" s="20">
        <v>6100</v>
      </c>
      <c r="W724" s="20">
        <v>5397.9166666666679</v>
      </c>
      <c r="Y724" s="19">
        <v>0.3856</v>
      </c>
      <c r="Z724" s="19">
        <v>0.40089999999999998</v>
      </c>
      <c r="AB724" s="18">
        <v>691</v>
      </c>
      <c r="AC724" s="18">
        <v>6</v>
      </c>
    </row>
    <row r="725" spans="1:29" ht="15.75" customHeight="1" x14ac:dyDescent="0.2">
      <c r="A725" s="36" t="str">
        <f>HYPERLINK("https://www.elmhurst.edu", "Elmhurst College")</f>
        <v>Elmhurst College</v>
      </c>
      <c r="B725" s="18" t="s">
        <v>32</v>
      </c>
      <c r="C725" s="18" t="s">
        <v>137</v>
      </c>
      <c r="D725" s="18" t="s">
        <v>726</v>
      </c>
      <c r="E725" s="18">
        <v>1141</v>
      </c>
      <c r="F725" s="18" t="s">
        <v>35</v>
      </c>
      <c r="J725" s="19"/>
      <c r="K725" s="19">
        <v>0.64359999999999995</v>
      </c>
      <c r="L725" s="19">
        <v>0.65284974100000004</v>
      </c>
      <c r="M725" s="19">
        <v>0.70179999999999998</v>
      </c>
      <c r="N725" s="19">
        <v>0.3871</v>
      </c>
      <c r="O725" s="19">
        <v>0.51349999999999996</v>
      </c>
      <c r="P725" s="19">
        <v>0.70830000000000004</v>
      </c>
      <c r="Q725" s="19"/>
      <c r="R725" s="20">
        <v>50000</v>
      </c>
      <c r="S725" s="21" t="str">
        <f>HYPERLINK("https://www.elmhurst.edu/admission/financial-aid/tuition-fees/net-price-calculator/", "$19352")</f>
        <v>$19352</v>
      </c>
      <c r="T725" s="20">
        <v>19659</v>
      </c>
      <c r="U725" s="20">
        <v>21979</v>
      </c>
      <c r="V725" s="20">
        <v>3286</v>
      </c>
      <c r="W725" s="20">
        <v>16066</v>
      </c>
      <c r="Y725" s="19">
        <v>0.35399999999999998</v>
      </c>
      <c r="Z725" s="19">
        <v>0.372</v>
      </c>
      <c r="AB725" s="18">
        <v>2782</v>
      </c>
      <c r="AC725" s="18">
        <v>4</v>
      </c>
    </row>
    <row r="726" spans="1:29" ht="15.75" customHeight="1" x14ac:dyDescent="0.2">
      <c r="A726" s="36" t="str">
        <f>HYPERLINK("https://www.ebi.edu", "Elmira Business Institute")</f>
        <v>Elmira Business Institute</v>
      </c>
      <c r="B726" s="18" t="s">
        <v>368</v>
      </c>
      <c r="C726" s="18" t="s">
        <v>38</v>
      </c>
      <c r="D726" s="18" t="s">
        <v>729</v>
      </c>
      <c r="E726" s="18" t="s">
        <v>36</v>
      </c>
      <c r="F726" s="18" t="s">
        <v>36</v>
      </c>
      <c r="J726" s="19"/>
      <c r="K726" s="19">
        <v>0.26319999999999999</v>
      </c>
      <c r="L726" s="19">
        <v>0.44743935299999998</v>
      </c>
      <c r="M726" s="19">
        <v>0.33329999999999999</v>
      </c>
      <c r="N726" s="19">
        <v>0</v>
      </c>
      <c r="O726" s="19">
        <v>0</v>
      </c>
      <c r="P726" s="19" t="s">
        <v>36</v>
      </c>
      <c r="Q726" s="19" t="s">
        <v>36</v>
      </c>
      <c r="R726" s="20">
        <v>54356</v>
      </c>
      <c r="S726" s="21" t="str">
        <f>HYPERLINK("https://www.ebi.edu/disclosures", "$50184")</f>
        <v>$50184</v>
      </c>
      <c r="T726" s="20" t="s">
        <v>36</v>
      </c>
      <c r="U726" s="20" t="s">
        <v>36</v>
      </c>
      <c r="V726" s="20">
        <v>21928</v>
      </c>
      <c r="W726" s="20">
        <v>28256</v>
      </c>
      <c r="Y726" s="19">
        <v>0.86960000000000004</v>
      </c>
      <c r="Z726" s="19">
        <v>0.17560000000000001</v>
      </c>
      <c r="AB726" s="18">
        <v>205</v>
      </c>
      <c r="AC726" s="18">
        <v>6</v>
      </c>
    </row>
    <row r="727" spans="1:29" ht="15.75" customHeight="1" x14ac:dyDescent="0.2">
      <c r="A727" s="36" t="str">
        <f>HYPERLINK("https://www.elmira.edu", "Elmira College")</f>
        <v>Elmira College</v>
      </c>
      <c r="B727" s="18" t="s">
        <v>32</v>
      </c>
      <c r="C727" s="18" t="s">
        <v>38</v>
      </c>
      <c r="D727" s="18" t="s">
        <v>729</v>
      </c>
      <c r="E727" s="18" t="s">
        <v>36</v>
      </c>
      <c r="F727" s="18" t="s">
        <v>45</v>
      </c>
      <c r="J727" s="19"/>
      <c r="K727" s="19">
        <v>0.60340000000000005</v>
      </c>
      <c r="L727" s="19">
        <v>0.46226415100000001</v>
      </c>
      <c r="M727" s="19">
        <v>0.63380000000000003</v>
      </c>
      <c r="N727" s="19">
        <v>0.5</v>
      </c>
      <c r="O727" s="19">
        <v>0.66669999999999996</v>
      </c>
      <c r="P727" s="19">
        <v>0.42859999999999998</v>
      </c>
      <c r="Q727" s="19"/>
      <c r="R727" s="20">
        <v>55050</v>
      </c>
      <c r="S727" s="21" t="str">
        <f>HYPERLINK("https://elmira.studentaidcalculator.com/survey.aspx", "$22184")</f>
        <v>$22184</v>
      </c>
      <c r="T727" s="20">
        <v>25249</v>
      </c>
      <c r="U727" s="20">
        <v>28163</v>
      </c>
      <c r="V727" s="20">
        <v>1150</v>
      </c>
      <c r="W727" s="20">
        <v>21034</v>
      </c>
      <c r="Y727" s="19">
        <v>0.33329999999999999</v>
      </c>
      <c r="Z727" s="19">
        <v>0.22030000000000011</v>
      </c>
      <c r="AB727" s="18">
        <v>908</v>
      </c>
      <c r="AC727" s="18">
        <v>4</v>
      </c>
    </row>
    <row r="728" spans="1:29" ht="15.75" customHeight="1" x14ac:dyDescent="0.2">
      <c r="A728" s="36" t="str">
        <f>HYPERLINK("https://www.elon.edu", "Elon University")</f>
        <v>Elon University</v>
      </c>
      <c r="B728" s="18" t="s">
        <v>32</v>
      </c>
      <c r="C728" s="18" t="s">
        <v>103</v>
      </c>
      <c r="D728" s="18" t="s">
        <v>215</v>
      </c>
      <c r="E728" s="18">
        <v>1262</v>
      </c>
      <c r="F728" s="18" t="s">
        <v>35</v>
      </c>
      <c r="J728" s="19"/>
      <c r="K728" s="19">
        <v>0.8377</v>
      </c>
      <c r="L728" s="19">
        <v>0.17647058800000001</v>
      </c>
      <c r="M728" s="19">
        <v>0.84640000000000004</v>
      </c>
      <c r="N728" s="19">
        <v>0.84040000000000004</v>
      </c>
      <c r="O728" s="19">
        <v>0.77049999999999996</v>
      </c>
      <c r="P728" s="19">
        <v>0.77139999999999997</v>
      </c>
      <c r="Q728" s="19"/>
      <c r="R728" s="20">
        <v>49642</v>
      </c>
      <c r="S728" s="21" t="str">
        <f>HYPERLINK("https://www.elon.edu/e-web/admissions/FinancialAid/", "$19732")</f>
        <v>$19732</v>
      </c>
      <c r="T728" s="20">
        <v>28649</v>
      </c>
      <c r="U728" s="20">
        <v>31682</v>
      </c>
      <c r="V728" s="20">
        <v>3500</v>
      </c>
      <c r="W728" s="20">
        <v>16232</v>
      </c>
      <c r="Y728" s="19">
        <v>8.4099999999999994E-2</v>
      </c>
      <c r="Z728" s="19">
        <v>0.20309999999999989</v>
      </c>
      <c r="AB728" s="18">
        <v>6045</v>
      </c>
      <c r="AC728" s="18">
        <v>2</v>
      </c>
    </row>
    <row r="729" spans="1:29" ht="15.75" customHeight="1" x14ac:dyDescent="0.2">
      <c r="A729" s="36" t="str">
        <f>HYPERLINK("https://daytonabeach.erau.edu/", "Embry-Riddle Aeronautical University-Worldwide")</f>
        <v>Embry-Riddle Aeronautical University-Worldwide</v>
      </c>
      <c r="B729" s="18" t="s">
        <v>32</v>
      </c>
      <c r="C729" s="18" t="s">
        <v>162</v>
      </c>
      <c r="D729" s="18" t="s">
        <v>578</v>
      </c>
      <c r="E729" s="18">
        <v>1204</v>
      </c>
      <c r="F729" s="18" t="s">
        <v>115</v>
      </c>
      <c r="J729" s="19"/>
      <c r="K729" s="19">
        <v>0.59099999999999997</v>
      </c>
      <c r="L729" s="19">
        <v>0.331812999</v>
      </c>
      <c r="M729" s="19">
        <v>0.58860000000000001</v>
      </c>
      <c r="N729" s="19">
        <v>0.41460000000000002</v>
      </c>
      <c r="O729" s="19">
        <v>0.55449999999999999</v>
      </c>
      <c r="P729" s="19">
        <v>0.70209999999999995</v>
      </c>
      <c r="Q729" s="19"/>
      <c r="R729" s="20">
        <v>51828</v>
      </c>
      <c r="S729" s="21" t="str">
        <f>HYPERLINK("https://erau.studentaidcalculator.com/survey.aspx", "$28591")</f>
        <v>$28591</v>
      </c>
      <c r="T729" s="20">
        <v>32157</v>
      </c>
      <c r="U729" s="20">
        <v>34421</v>
      </c>
      <c r="V729" s="20">
        <v>5906</v>
      </c>
      <c r="W729" s="20">
        <v>22685</v>
      </c>
      <c r="Y729" s="19">
        <v>0.26729999999999998</v>
      </c>
      <c r="Z729" s="19">
        <v>0.44309999999999999</v>
      </c>
      <c r="AB729" s="18">
        <v>5689</v>
      </c>
      <c r="AC729" s="18">
        <v>4</v>
      </c>
    </row>
    <row r="730" spans="1:29" ht="15.75" customHeight="1" x14ac:dyDescent="0.2">
      <c r="A730" s="36" t="str">
        <f>HYPERLINK("https://prescott.erau.edu/", "Embry-Riddle Aeronautical University-Prescott")</f>
        <v>Embry-Riddle Aeronautical University-Prescott</v>
      </c>
      <c r="B730" s="18" t="s">
        <v>32</v>
      </c>
      <c r="C730" s="18" t="s">
        <v>354</v>
      </c>
      <c r="D730" s="18" t="s">
        <v>355</v>
      </c>
      <c r="E730" s="18">
        <v>1245</v>
      </c>
      <c r="F730" s="18" t="s">
        <v>115</v>
      </c>
      <c r="J730" s="19"/>
      <c r="K730" s="19">
        <v>0.59599999999999997</v>
      </c>
      <c r="L730" s="19">
        <v>0.331812999</v>
      </c>
      <c r="M730" s="19">
        <v>0.61750000000000005</v>
      </c>
      <c r="N730" s="19">
        <v>0.33329999999999999</v>
      </c>
      <c r="O730" s="19">
        <v>0.54</v>
      </c>
      <c r="P730" s="19">
        <v>0.55559999999999998</v>
      </c>
      <c r="Q730" s="19"/>
      <c r="R730" s="20">
        <v>51036</v>
      </c>
      <c r="S730" s="21" t="str">
        <f>HYPERLINK("https://prescotterau.studentaidcalculator.com/survey.aspx", "$29020")</f>
        <v>$29020</v>
      </c>
      <c r="T730" s="20">
        <v>31593</v>
      </c>
      <c r="U730" s="20">
        <v>33243</v>
      </c>
      <c r="V730" s="20">
        <v>5906</v>
      </c>
      <c r="W730" s="20">
        <v>23114</v>
      </c>
      <c r="Y730" s="19">
        <v>0.24110000000000001</v>
      </c>
      <c r="Z730" s="19">
        <v>0.37880000000000003</v>
      </c>
      <c r="AB730" s="18">
        <v>2598</v>
      </c>
      <c r="AC730" s="18">
        <v>3</v>
      </c>
    </row>
    <row r="731" spans="1:29" ht="15.75" customHeight="1" x14ac:dyDescent="0.2">
      <c r="A731" s="36" t="str">
        <f>HYPERLINK("https://worldwide.erau.edu/", "Embry-Riddle Aeronautical University-Daytona Beach")</f>
        <v>Embry-Riddle Aeronautical University-Daytona Beach</v>
      </c>
      <c r="B731" s="18" t="s">
        <v>32</v>
      </c>
      <c r="C731" s="18" t="s">
        <v>162</v>
      </c>
      <c r="D731" s="18" t="s">
        <v>578</v>
      </c>
      <c r="E731" s="18" t="s">
        <v>36</v>
      </c>
      <c r="F731" s="18" t="s">
        <v>90</v>
      </c>
      <c r="J731" s="19"/>
      <c r="K731" s="19">
        <v>0.25430000000000003</v>
      </c>
      <c r="L731" s="19">
        <v>0.331812999</v>
      </c>
      <c r="M731" s="19">
        <v>0.28999999999999998</v>
      </c>
      <c r="N731" s="19">
        <v>0.1842</v>
      </c>
      <c r="O731" s="19">
        <v>0.21429999999999999</v>
      </c>
      <c r="P731" s="19">
        <v>0.375</v>
      </c>
      <c r="Q731" s="19"/>
      <c r="R731" s="20">
        <v>22944</v>
      </c>
      <c r="S731" s="21" t="str">
        <f>HYPERLINK("https://worldwideerau.studentaidcalculator.com/survey.aspx", "$19203")</f>
        <v>$19203</v>
      </c>
      <c r="T731" s="20">
        <v>20428</v>
      </c>
      <c r="U731" s="20" t="s">
        <v>36</v>
      </c>
      <c r="V731" s="20">
        <v>5300</v>
      </c>
      <c r="W731" s="20">
        <v>13903</v>
      </c>
      <c r="Y731" s="19">
        <v>0.25259999999999999</v>
      </c>
      <c r="Z731" s="19">
        <v>0.42399999999999988</v>
      </c>
      <c r="AB731" s="18">
        <v>10256</v>
      </c>
      <c r="AC731" s="18">
        <v>4</v>
      </c>
    </row>
    <row r="732" spans="1:29" ht="15.75" customHeight="1" x14ac:dyDescent="0.2">
      <c r="A732" s="36" t="str">
        <f>HYPERLINK("https://www.emerson.edu", "Emerson College")</f>
        <v>Emerson College</v>
      </c>
      <c r="B732" s="18" t="s">
        <v>32</v>
      </c>
      <c r="C732" s="18" t="s">
        <v>33</v>
      </c>
      <c r="D732" s="18" t="s">
        <v>136</v>
      </c>
      <c r="E732" s="18">
        <v>1299</v>
      </c>
      <c r="F732" s="18" t="s">
        <v>115</v>
      </c>
      <c r="J732" s="19"/>
      <c r="K732" s="19">
        <v>0.80789999999999995</v>
      </c>
      <c r="L732" s="19">
        <v>0.87272727299999997</v>
      </c>
      <c r="M732" s="19">
        <v>0.81489999999999996</v>
      </c>
      <c r="N732" s="19">
        <v>0.75860000000000005</v>
      </c>
      <c r="O732" s="19">
        <v>0.71719999999999995</v>
      </c>
      <c r="P732" s="19">
        <v>0.92110000000000003</v>
      </c>
      <c r="Q732" s="19"/>
      <c r="R732" s="20">
        <v>65324</v>
      </c>
      <c r="S732" s="21" t="str">
        <f>HYPERLINK("https://npc.collegeboard.org/student/app/emerson", "$35298")</f>
        <v>$35298</v>
      </c>
      <c r="T732" s="20">
        <v>40127</v>
      </c>
      <c r="U732" s="20">
        <v>42452</v>
      </c>
      <c r="V732" s="20">
        <v>3500</v>
      </c>
      <c r="W732" s="20">
        <v>31798</v>
      </c>
      <c r="Y732" s="19">
        <v>0.1555</v>
      </c>
      <c r="Z732" s="19">
        <v>0.34510000000000002</v>
      </c>
      <c r="AB732" s="18">
        <v>3799</v>
      </c>
      <c r="AC732" s="18">
        <v>2</v>
      </c>
    </row>
    <row r="733" spans="1:29" ht="15.75" customHeight="1" x14ac:dyDescent="0.2">
      <c r="A733" s="36" t="str">
        <f>HYPERLINK("https://www.ec.edu", "Emmanuel College")</f>
        <v>Emmanuel College</v>
      </c>
      <c r="B733" s="18" t="s">
        <v>32</v>
      </c>
      <c r="C733" s="18" t="s">
        <v>107</v>
      </c>
      <c r="D733" s="18" t="s">
        <v>733</v>
      </c>
      <c r="E733" s="18">
        <v>1022</v>
      </c>
      <c r="F733" s="18" t="s">
        <v>35</v>
      </c>
      <c r="J733" s="19"/>
      <c r="K733" s="19">
        <v>0.44679999999999997</v>
      </c>
      <c r="L733" s="19">
        <v>0.33018867899999998</v>
      </c>
      <c r="M733" s="19">
        <v>0.45989999999999998</v>
      </c>
      <c r="N733" s="19">
        <v>0.35289999999999999</v>
      </c>
      <c r="O733" s="19">
        <v>0.5</v>
      </c>
      <c r="P733" s="19">
        <v>0</v>
      </c>
      <c r="Q733" s="19"/>
      <c r="R733" s="20">
        <v>30910</v>
      </c>
      <c r="S733" s="21" t="str">
        <f>HYPERLINK("https://www.ec.edu/admissions/net-price-calculator", "$14475")</f>
        <v>$14475</v>
      </c>
      <c r="T733" s="20">
        <v>21967</v>
      </c>
      <c r="U733" s="20">
        <v>25327</v>
      </c>
      <c r="V733" s="20">
        <v>3800</v>
      </c>
      <c r="W733" s="20">
        <v>10675</v>
      </c>
      <c r="Y733" s="19">
        <v>0.3674</v>
      </c>
      <c r="Z733" s="19">
        <v>0.34250000000000003</v>
      </c>
      <c r="AB733" s="18">
        <v>800</v>
      </c>
      <c r="AC733" s="18">
        <v>4</v>
      </c>
    </row>
    <row r="734" spans="1:29" ht="15.75" customHeight="1" x14ac:dyDescent="0.2">
      <c r="A734" s="36" t="str">
        <f>HYPERLINK("https://www.emmanuel.edu", "Emmanuel College")</f>
        <v>Emmanuel College</v>
      </c>
      <c r="B734" s="18" t="s">
        <v>32</v>
      </c>
      <c r="C734" s="18" t="s">
        <v>33</v>
      </c>
      <c r="D734" s="18" t="s">
        <v>136</v>
      </c>
      <c r="E734" s="18">
        <v>1183</v>
      </c>
      <c r="F734" s="18" t="s">
        <v>115</v>
      </c>
      <c r="J734" s="19"/>
      <c r="K734" s="19">
        <v>0.65820000000000001</v>
      </c>
      <c r="L734" s="19">
        <v>0.52272727299999999</v>
      </c>
      <c r="M734" s="19">
        <v>0.67620000000000002</v>
      </c>
      <c r="N734" s="19">
        <v>0.54549999999999998</v>
      </c>
      <c r="O734" s="19">
        <v>0.37140000000000001</v>
      </c>
      <c r="P734" s="19">
        <v>0.66669999999999996</v>
      </c>
      <c r="Q734" s="19"/>
      <c r="R734" s="20">
        <v>56807</v>
      </c>
      <c r="S734" s="21" t="str">
        <f>HYPERLINK("https://emmanuel.studentaidcalculator.com/welcome.aspx", "$25710")</f>
        <v>$25710</v>
      </c>
      <c r="T734" s="20">
        <v>28532</v>
      </c>
      <c r="U734" s="20">
        <v>31341</v>
      </c>
      <c r="V734" s="20">
        <v>3335</v>
      </c>
      <c r="W734" s="20">
        <v>22375</v>
      </c>
      <c r="Y734" s="19">
        <v>0.24060000000000001</v>
      </c>
      <c r="Z734" s="19">
        <v>0.28949999999999998</v>
      </c>
      <c r="AB734" s="18">
        <v>1848</v>
      </c>
      <c r="AC734" s="18">
        <v>4</v>
      </c>
    </row>
    <row r="735" spans="1:29" ht="15.75" customHeight="1" x14ac:dyDescent="0.2">
      <c r="A735" s="36" t="str">
        <f>HYPERLINK("https://www.ehc.edu", "Emory &amp; Henry College")</f>
        <v>Emory &amp; Henry College</v>
      </c>
      <c r="B735" s="18" t="s">
        <v>32</v>
      </c>
      <c r="C735" s="18" t="s">
        <v>83</v>
      </c>
      <c r="D735" s="18" t="s">
        <v>736</v>
      </c>
      <c r="E735" s="18">
        <v>1089</v>
      </c>
      <c r="F735" s="18" t="s">
        <v>35</v>
      </c>
      <c r="J735" s="19"/>
      <c r="K735" s="19">
        <v>0.51819999999999999</v>
      </c>
      <c r="L735" s="19">
        <v>0.44943820200000001</v>
      </c>
      <c r="M735" s="19">
        <v>0.51829999999999998</v>
      </c>
      <c r="N735" s="19">
        <v>0.55169999999999997</v>
      </c>
      <c r="O735" s="19">
        <v>0.5</v>
      </c>
      <c r="P735" s="19">
        <v>0.5</v>
      </c>
      <c r="Q735" s="19"/>
      <c r="R735" s="20">
        <v>48100</v>
      </c>
      <c r="S735" s="21" t="str">
        <f>HYPERLINK("https://www.ehc.edu/financial-aid/cost-calculator/", "$15266")</f>
        <v>$15266</v>
      </c>
      <c r="T735" s="20">
        <v>18269</v>
      </c>
      <c r="U735" s="20">
        <v>21880</v>
      </c>
      <c r="V735" s="20">
        <v>3200</v>
      </c>
      <c r="W735" s="20">
        <v>12066</v>
      </c>
      <c r="Y735" s="19">
        <v>0.38869999999999999</v>
      </c>
      <c r="Z735" s="19">
        <v>0.21700000000000011</v>
      </c>
      <c r="AB735" s="18">
        <v>977</v>
      </c>
      <c r="AC735" s="18">
        <v>4</v>
      </c>
    </row>
    <row r="736" spans="1:29" ht="15.75" customHeight="1" x14ac:dyDescent="0.2">
      <c r="A736" s="36" t="str">
        <f>HYPERLINK("https://www.emory.edu", "Emory University")</f>
        <v>Emory University</v>
      </c>
      <c r="B736" s="18" t="s">
        <v>32</v>
      </c>
      <c r="C736" s="18" t="s">
        <v>107</v>
      </c>
      <c r="D736" s="18" t="s">
        <v>108</v>
      </c>
      <c r="E736" s="18">
        <v>1443</v>
      </c>
      <c r="F736" s="18" t="s">
        <v>35</v>
      </c>
      <c r="J736" s="19"/>
      <c r="K736" s="19">
        <v>0.90910000000000002</v>
      </c>
      <c r="L736" s="19">
        <v>0.88519637500000004</v>
      </c>
      <c r="M736" s="19">
        <v>0.91249999999999998</v>
      </c>
      <c r="N736" s="19">
        <v>0.83509999999999995</v>
      </c>
      <c r="O736" s="19">
        <v>0.86670000000000003</v>
      </c>
      <c r="P736" s="19">
        <v>0.93769999999999998</v>
      </c>
      <c r="Q736" s="19"/>
      <c r="R736" s="20">
        <v>66950</v>
      </c>
      <c r="S736" s="21" t="str">
        <f>HYPERLINK("https://www.emory.edu/FINANCIAL_AID/", "$13384")</f>
        <v>$13384</v>
      </c>
      <c r="T736" s="20">
        <v>16703</v>
      </c>
      <c r="U736" s="20">
        <v>25053</v>
      </c>
      <c r="V736" s="20">
        <v>3664</v>
      </c>
      <c r="W736" s="20">
        <v>9720</v>
      </c>
      <c r="X736" s="18" t="s">
        <v>37</v>
      </c>
      <c r="Y736" s="19">
        <v>0.1799</v>
      </c>
      <c r="Z736" s="19">
        <v>0.58909999999999996</v>
      </c>
      <c r="AA736" s="18" t="s">
        <v>37</v>
      </c>
      <c r="AB736" s="18">
        <v>6776</v>
      </c>
      <c r="AC736" s="18">
        <v>1</v>
      </c>
    </row>
    <row r="737" spans="1:29" ht="15.75" customHeight="1" x14ac:dyDescent="0.2">
      <c r="A737" s="36" t="str">
        <f>HYPERLINK("https://www.emporia.edu", "Emporia State University")</f>
        <v>Emporia State University</v>
      </c>
      <c r="B737" s="18" t="s">
        <v>49</v>
      </c>
      <c r="C737" s="18" t="s">
        <v>307</v>
      </c>
      <c r="D737" s="18" t="s">
        <v>738</v>
      </c>
      <c r="E737" s="18">
        <v>1105</v>
      </c>
      <c r="F737" s="18" t="s">
        <v>35</v>
      </c>
      <c r="J737" s="19"/>
      <c r="K737" s="19">
        <v>0.44519999999999998</v>
      </c>
      <c r="L737" s="19">
        <v>0.39185750600000002</v>
      </c>
      <c r="M737" s="19">
        <v>0.50590000000000002</v>
      </c>
      <c r="N737" s="19">
        <v>0.23080000000000001</v>
      </c>
      <c r="O737" s="19">
        <v>0.24490000000000001</v>
      </c>
      <c r="P737" s="19">
        <v>0.375</v>
      </c>
      <c r="Q737" s="19"/>
      <c r="R737" s="20">
        <v>33012</v>
      </c>
      <c r="S737" s="21" t="str">
        <f>HYPERLINK("https://www.emporia.edu/finaid/netpricecalculator/index.html", "$26415")</f>
        <v>$26415</v>
      </c>
      <c r="T737" s="20">
        <v>29142</v>
      </c>
      <c r="U737" s="20">
        <v>31264</v>
      </c>
      <c r="V737" s="20">
        <v>4410</v>
      </c>
      <c r="W737" s="20">
        <v>22005.938931297711</v>
      </c>
      <c r="Y737" s="19">
        <v>0.36680000000000001</v>
      </c>
      <c r="Z737" s="19">
        <v>0.28920000000000001</v>
      </c>
      <c r="AB737" s="18">
        <v>3499</v>
      </c>
      <c r="AC737" s="18">
        <v>4</v>
      </c>
    </row>
    <row r="738" spans="1:29" ht="15.75" customHeight="1" x14ac:dyDescent="0.2">
      <c r="A738" s="36" t="str">
        <f>HYPERLINK("https://www.endicott.edu", "Endicott College")</f>
        <v>Endicott College</v>
      </c>
      <c r="B738" s="18" t="s">
        <v>32</v>
      </c>
      <c r="C738" s="18" t="s">
        <v>33</v>
      </c>
      <c r="D738" s="18" t="s">
        <v>739</v>
      </c>
      <c r="E738" s="18" t="s">
        <v>36</v>
      </c>
      <c r="F738" s="18" t="s">
        <v>90</v>
      </c>
      <c r="J738" s="19"/>
      <c r="K738" s="19">
        <v>0.75119999999999998</v>
      </c>
      <c r="L738" s="19">
        <v>0.54054054100000004</v>
      </c>
      <c r="M738" s="19">
        <v>0.76419999999999999</v>
      </c>
      <c r="N738" s="19">
        <v>0.83330000000000004</v>
      </c>
      <c r="O738" s="19">
        <v>0.76470000000000005</v>
      </c>
      <c r="P738" s="19">
        <v>0.57140000000000002</v>
      </c>
      <c r="Q738" s="19"/>
      <c r="R738" s="20">
        <v>50329</v>
      </c>
      <c r="S738" s="21" t="str">
        <f>HYPERLINK("https://www.endicott.edu/calculator/npcalc.htm", "$26239")</f>
        <v>$26239</v>
      </c>
      <c r="T738" s="20">
        <v>30381</v>
      </c>
      <c r="U738" s="20">
        <v>32203</v>
      </c>
      <c r="V738" s="20">
        <v>3275</v>
      </c>
      <c r="W738" s="20">
        <v>22964</v>
      </c>
      <c r="Y738" s="19">
        <v>0.15310000000000001</v>
      </c>
      <c r="Z738" s="19">
        <v>0.1673</v>
      </c>
      <c r="AB738" s="18">
        <v>3197</v>
      </c>
      <c r="AC738" s="18">
        <v>4</v>
      </c>
    </row>
    <row r="739" spans="1:29" ht="15.75" customHeight="1" x14ac:dyDescent="0.2">
      <c r="A739" s="36" t="str">
        <f>HYPERLINK("https://www.escc.edu", "Enterprise State Community College")</f>
        <v>Enterprise State Community College</v>
      </c>
      <c r="B739" s="18" t="s">
        <v>49</v>
      </c>
      <c r="C739" s="18" t="s">
        <v>300</v>
      </c>
      <c r="D739" s="18" t="s">
        <v>1309</v>
      </c>
      <c r="E739" s="18" t="s">
        <v>36</v>
      </c>
      <c r="F739" s="18" t="s">
        <v>36</v>
      </c>
      <c r="J739" s="19"/>
      <c r="K739" s="19">
        <v>0.193</v>
      </c>
      <c r="L739" s="19" t="s">
        <v>36</v>
      </c>
      <c r="M739" s="19">
        <v>0.1651</v>
      </c>
      <c r="N739" s="19">
        <v>0.19400000000000001</v>
      </c>
      <c r="O739" s="19">
        <v>0.25</v>
      </c>
      <c r="P739" s="19">
        <v>0.4</v>
      </c>
      <c r="Q739" s="19">
        <v>6.0798548000000001E-2</v>
      </c>
      <c r="R739" s="20">
        <v>17106</v>
      </c>
      <c r="S739" s="21" t="str">
        <f>HYPERLINK("https://www.escc.edu/netprice/npcalc.htm", "$15201")</f>
        <v>$15201</v>
      </c>
      <c r="T739" s="20">
        <v>16202</v>
      </c>
      <c r="U739" s="20">
        <v>16866</v>
      </c>
      <c r="V739" s="20">
        <v>3696</v>
      </c>
      <c r="W739" s="20">
        <v>11505.43884892086</v>
      </c>
      <c r="Y739" s="19">
        <v>0.41199999999999998</v>
      </c>
      <c r="Z739" s="19">
        <v>0.32819999999999999</v>
      </c>
      <c r="AB739" s="18">
        <v>1365</v>
      </c>
      <c r="AC739" s="18">
        <v>6</v>
      </c>
    </row>
    <row r="740" spans="1:29" ht="15.75" customHeight="1" x14ac:dyDescent="0.2">
      <c r="A740" s="36" t="str">
        <f>HYPERLINK("https://EPIC.edu", "Epic Bible College")</f>
        <v>Epic Bible College</v>
      </c>
      <c r="B740" s="18" t="s">
        <v>32</v>
      </c>
      <c r="C740" s="18" t="s">
        <v>68</v>
      </c>
      <c r="D740" s="18" t="s">
        <v>609</v>
      </c>
      <c r="E740" s="18" t="s">
        <v>36</v>
      </c>
      <c r="F740" s="18" t="s">
        <v>36</v>
      </c>
      <c r="J740" s="19"/>
      <c r="K740" s="19">
        <v>0</v>
      </c>
      <c r="L740" s="19" t="s">
        <v>36</v>
      </c>
      <c r="M740" s="19">
        <v>0</v>
      </c>
      <c r="N740" s="19">
        <v>0</v>
      </c>
      <c r="O740" s="19">
        <v>0</v>
      </c>
      <c r="P740" s="19">
        <v>0</v>
      </c>
      <c r="Q740" s="19" t="s">
        <v>36</v>
      </c>
      <c r="R740" s="20">
        <v>25415</v>
      </c>
      <c r="S740" s="21" t="str">
        <f>HYPERLINK("https://epic.edu/financial/netpricecalculator/", "$7601")</f>
        <v>$7601</v>
      </c>
      <c r="T740" s="20" t="s">
        <v>36</v>
      </c>
      <c r="U740" s="20" t="s">
        <v>36</v>
      </c>
      <c r="V740" s="20">
        <v>3450</v>
      </c>
      <c r="W740" s="20">
        <v>4151</v>
      </c>
      <c r="Y740" s="19">
        <v>0.83630000000000004</v>
      </c>
      <c r="Z740" s="19">
        <v>0.58739999999999992</v>
      </c>
      <c r="AB740" s="18">
        <v>143</v>
      </c>
      <c r="AC740" s="18">
        <v>6</v>
      </c>
    </row>
    <row r="741" spans="1:29" ht="15.75" customHeight="1" x14ac:dyDescent="0.2">
      <c r="A741" s="36" t="str">
        <f>HYPERLINK("https://www.ecc.edu", "SUNY Erie Community College")</f>
        <v>SUNY Erie Community College</v>
      </c>
      <c r="B741" s="18" t="s">
        <v>49</v>
      </c>
      <c r="C741" s="18" t="s">
        <v>38</v>
      </c>
      <c r="D741" s="18" t="s">
        <v>322</v>
      </c>
      <c r="E741" s="18" t="s">
        <v>36</v>
      </c>
      <c r="F741" s="18" t="s">
        <v>36</v>
      </c>
      <c r="G741" s="18" t="s">
        <v>51</v>
      </c>
      <c r="I741" s="18" t="s">
        <v>1312</v>
      </c>
      <c r="J741" s="19"/>
      <c r="K741" s="19">
        <v>0.23</v>
      </c>
      <c r="L741" s="19">
        <v>0.116287879</v>
      </c>
      <c r="M741" s="19">
        <v>0.27379999999999999</v>
      </c>
      <c r="N741" s="19">
        <v>0.1124</v>
      </c>
      <c r="O741" s="19">
        <v>0.17780000000000001</v>
      </c>
      <c r="P741" s="19">
        <v>0.28849999999999998</v>
      </c>
      <c r="Q741" s="19">
        <v>0.107545165</v>
      </c>
      <c r="R741" s="20">
        <v>15186</v>
      </c>
      <c r="S741" s="21" t="str">
        <f>HYPERLINK("https://www.suny.edu/howmuch/", "$3454")</f>
        <v>$3454</v>
      </c>
      <c r="T741" s="20">
        <v>8044</v>
      </c>
      <c r="U741" s="20">
        <v>10371</v>
      </c>
      <c r="V741" s="20">
        <v>3111</v>
      </c>
      <c r="W741" s="20">
        <v>343</v>
      </c>
      <c r="Y741" s="19">
        <v>0.42349999999999999</v>
      </c>
      <c r="Z741" s="19">
        <v>0.38750000000000001</v>
      </c>
      <c r="AB741" s="18">
        <v>9356</v>
      </c>
      <c r="AC741" s="18">
        <v>6</v>
      </c>
    </row>
    <row r="742" spans="1:29" ht="15.75" customHeight="1" x14ac:dyDescent="0.2">
      <c r="A742" s="36" t="str">
        <f>HYPERLINK("https://www.essex.edu", "Essex County College")</f>
        <v>Essex County College</v>
      </c>
      <c r="B742" s="18" t="s">
        <v>49</v>
      </c>
      <c r="C742" s="18" t="s">
        <v>141</v>
      </c>
      <c r="D742" s="18" t="s">
        <v>425</v>
      </c>
      <c r="E742" s="18" t="s">
        <v>36</v>
      </c>
      <c r="F742" s="18" t="s">
        <v>36</v>
      </c>
      <c r="J742" s="19"/>
      <c r="K742" s="19">
        <v>0.1333</v>
      </c>
      <c r="L742" s="19">
        <v>0.16082749399999999</v>
      </c>
      <c r="M742" s="19">
        <v>0.15670000000000001</v>
      </c>
      <c r="N742" s="19">
        <v>0.1148</v>
      </c>
      <c r="O742" s="19">
        <v>0.1396</v>
      </c>
      <c r="P742" s="19">
        <v>0.26190000000000002</v>
      </c>
      <c r="Q742" s="19">
        <v>6.4774194000000007E-2</v>
      </c>
      <c r="R742" s="20">
        <v>24050</v>
      </c>
      <c r="S742" s="21" t="str">
        <f>HYPERLINK("https://www.essex.edu/NetPriceCalculator/npcalc.htm", "$19282")</f>
        <v>$19282</v>
      </c>
      <c r="T742" s="20">
        <v>20929</v>
      </c>
      <c r="U742" s="20">
        <v>21501</v>
      </c>
      <c r="V742" s="20">
        <v>4260</v>
      </c>
      <c r="W742" s="20">
        <v>15022.50496141125</v>
      </c>
      <c r="Y742" s="19">
        <v>0.56140000000000001</v>
      </c>
      <c r="Z742" s="19">
        <v>0.92159999999999997</v>
      </c>
      <c r="AB742" s="18">
        <v>8083</v>
      </c>
      <c r="AC742" s="18">
        <v>6</v>
      </c>
    </row>
    <row r="743" spans="1:29" ht="15.75" customHeight="1" x14ac:dyDescent="0.2">
      <c r="A743" s="36" t="str">
        <f>HYPERLINK("https://www.estrellamountain.edu", "Estrella Mountain Community College")</f>
        <v>Estrella Mountain Community College</v>
      </c>
      <c r="B743" s="18" t="s">
        <v>49</v>
      </c>
      <c r="C743" s="18" t="s">
        <v>354</v>
      </c>
      <c r="D743" s="18" t="s">
        <v>1314</v>
      </c>
      <c r="E743" s="18" t="s">
        <v>36</v>
      </c>
      <c r="F743" s="18" t="s">
        <v>36</v>
      </c>
      <c r="J743" s="19"/>
      <c r="K743" s="19">
        <v>0.20230000000000001</v>
      </c>
      <c r="L743" s="19">
        <v>6.9822485000000004E-2</v>
      </c>
      <c r="M743" s="19">
        <v>0.2346</v>
      </c>
      <c r="N743" s="19">
        <v>0.19400000000000001</v>
      </c>
      <c r="O743" s="19">
        <v>0.19209999999999999</v>
      </c>
      <c r="P743" s="19">
        <v>0.4</v>
      </c>
      <c r="Q743" s="19">
        <v>0.12783002399999999</v>
      </c>
      <c r="R743" s="20">
        <v>21565</v>
      </c>
      <c r="S743" s="21" t="str">
        <f>HYPERLINK("https://www.estrellamountain.edu/disclosures", "$16318")</f>
        <v>$16318</v>
      </c>
      <c r="T743" s="20">
        <v>18597</v>
      </c>
      <c r="U743" s="20">
        <v>20123</v>
      </c>
      <c r="V743" s="20">
        <v>7907</v>
      </c>
      <c r="W743" s="20">
        <v>8411.9705882352937</v>
      </c>
      <c r="Y743" s="19">
        <v>0.38569999999999999</v>
      </c>
      <c r="Z743" s="19">
        <v>0.72489999999999999</v>
      </c>
      <c r="AB743" s="18">
        <v>7709</v>
      </c>
      <c r="AC743" s="18">
        <v>6</v>
      </c>
    </row>
    <row r="744" spans="1:29" ht="15.75" customHeight="1" x14ac:dyDescent="0.2">
      <c r="A744" s="36" t="str">
        <f>HYPERLINK("https://www.eureka.edu", "Eureka College")</f>
        <v>Eureka College</v>
      </c>
      <c r="B744" s="18" t="s">
        <v>32</v>
      </c>
      <c r="C744" s="18" t="s">
        <v>137</v>
      </c>
      <c r="D744" s="18" t="s">
        <v>742</v>
      </c>
      <c r="E744" s="18">
        <v>1084</v>
      </c>
      <c r="F744" s="18" t="s">
        <v>35</v>
      </c>
      <c r="J744" s="19"/>
      <c r="K744" s="19">
        <v>0.44030000000000002</v>
      </c>
      <c r="L744" s="19">
        <v>0.38333333299999989</v>
      </c>
      <c r="M744" s="19">
        <v>0.48120000000000002</v>
      </c>
      <c r="N744" s="19">
        <v>0.2</v>
      </c>
      <c r="O744" s="19">
        <v>0.16669999999999999</v>
      </c>
      <c r="P744" s="19" t="s">
        <v>36</v>
      </c>
      <c r="Q744" s="19"/>
      <c r="R744" s="20">
        <v>36760</v>
      </c>
      <c r="S744" s="21" t="str">
        <f>HYPERLINK("https://www.eureka.edu/NetPriceCalculator1314/", "$16489")</f>
        <v>$16489</v>
      </c>
      <c r="T744" s="20">
        <v>18084</v>
      </c>
      <c r="U744" s="20">
        <v>20533</v>
      </c>
      <c r="V744" s="20">
        <v>2000</v>
      </c>
      <c r="W744" s="20">
        <v>14489</v>
      </c>
      <c r="Y744" s="19">
        <v>0.39429999999999998</v>
      </c>
      <c r="Z744" s="19">
        <v>0.1653</v>
      </c>
      <c r="AB744" s="18">
        <v>605</v>
      </c>
      <c r="AC744" s="18">
        <v>4</v>
      </c>
    </row>
    <row r="745" spans="1:29" ht="15.75" customHeight="1" x14ac:dyDescent="0.2">
      <c r="A745" s="36" t="str">
        <f>HYPERLINK("https://www.evangel.edu", "Evangel University")</f>
        <v>Evangel University</v>
      </c>
      <c r="B745" s="18" t="s">
        <v>32</v>
      </c>
      <c r="C745" s="18" t="s">
        <v>164</v>
      </c>
      <c r="D745" s="18" t="s">
        <v>349</v>
      </c>
      <c r="E745" s="18">
        <v>1102</v>
      </c>
      <c r="F745" s="18" t="s">
        <v>35</v>
      </c>
      <c r="J745" s="19"/>
      <c r="K745" s="19">
        <v>0.48170000000000002</v>
      </c>
      <c r="L745" s="19">
        <v>0.5</v>
      </c>
      <c r="M745" s="19">
        <v>0.50929999999999997</v>
      </c>
      <c r="N745" s="19">
        <v>0.25</v>
      </c>
      <c r="O745" s="19">
        <v>0.31819999999999998</v>
      </c>
      <c r="P745" s="19">
        <v>1</v>
      </c>
      <c r="Q745" s="19"/>
      <c r="R745" s="20">
        <v>35965</v>
      </c>
      <c r="S745" s="21" t="str">
        <f>HYPERLINK("https://www.evangel.edu/financial/more-information/net-price-calculator-tool/", "$18392")</f>
        <v>$18392</v>
      </c>
      <c r="T745" s="20">
        <v>20705</v>
      </c>
      <c r="U745" s="20">
        <v>22292</v>
      </c>
      <c r="V745" s="20">
        <v>5024</v>
      </c>
      <c r="W745" s="20">
        <v>13368</v>
      </c>
      <c r="Y745" s="19">
        <v>0.43759999999999999</v>
      </c>
      <c r="Z745" s="19">
        <v>0.18559999999999999</v>
      </c>
      <c r="AB745" s="18">
        <v>1627</v>
      </c>
      <c r="AC745" s="18">
        <v>4</v>
      </c>
    </row>
    <row r="746" spans="1:29" ht="15.75" customHeight="1" x14ac:dyDescent="0.2">
      <c r="A746" s="36" t="str">
        <f>HYPERLINK("https://www.everest.edu/campus/south_orlando", "Everest University-South Orlando")</f>
        <v>Everest University-South Orlando</v>
      </c>
      <c r="B746" s="18" t="s">
        <v>32</v>
      </c>
      <c r="C746" s="18" t="s">
        <v>162</v>
      </c>
      <c r="D746" s="18" t="s">
        <v>1230</v>
      </c>
      <c r="E746" s="18" t="s">
        <v>36</v>
      </c>
      <c r="F746" s="18" t="s">
        <v>36</v>
      </c>
      <c r="J746" s="19"/>
      <c r="K746" s="19">
        <v>9.7600000000000006E-2</v>
      </c>
      <c r="L746" s="19">
        <v>0.15723533100000001</v>
      </c>
      <c r="M746" s="19">
        <v>0.1239</v>
      </c>
      <c r="N746" s="19">
        <v>6.8199999999999997E-2</v>
      </c>
      <c r="O746" s="19">
        <v>0.2157</v>
      </c>
      <c r="P746" s="19">
        <v>0.125</v>
      </c>
      <c r="Q746" s="19">
        <v>8.4738616999999988E-2</v>
      </c>
      <c r="R746" s="20" t="s">
        <v>36</v>
      </c>
      <c r="S746" s="21" t="str">
        <f>HYPERLINK("https://www.Everest.edu/npc", "Not reported")</f>
        <v>Not reported</v>
      </c>
      <c r="T746" s="20" t="s">
        <v>36</v>
      </c>
      <c r="U746" s="20" t="s">
        <v>36</v>
      </c>
      <c r="V746" s="20" t="s">
        <v>36</v>
      </c>
      <c r="W746" s="20" t="s">
        <v>36</v>
      </c>
      <c r="Y746" s="19">
        <v>0.8276</v>
      </c>
      <c r="Z746" s="19">
        <v>0.67169999999999996</v>
      </c>
      <c r="AB746" s="18">
        <v>725</v>
      </c>
      <c r="AC746" s="18">
        <v>6</v>
      </c>
    </row>
    <row r="747" spans="1:29" ht="15.75" customHeight="1" x14ac:dyDescent="0.2">
      <c r="A747" s="36" t="str">
        <f>HYPERLINK("https://www.everettcc.edu", "Everett Community College")</f>
        <v>Everett Community College</v>
      </c>
      <c r="B747" s="18" t="s">
        <v>49</v>
      </c>
      <c r="C747" s="18" t="s">
        <v>184</v>
      </c>
      <c r="D747" s="18" t="s">
        <v>1315</v>
      </c>
      <c r="E747" s="18" t="s">
        <v>36</v>
      </c>
      <c r="F747" s="18" t="s">
        <v>36</v>
      </c>
      <c r="J747" s="19"/>
      <c r="K747" s="19">
        <v>0.3523</v>
      </c>
      <c r="L747" s="19">
        <v>0.19252640100000001</v>
      </c>
      <c r="M747" s="19">
        <v>0.3826</v>
      </c>
      <c r="N747" s="19">
        <v>0.23080000000000001</v>
      </c>
      <c r="O747" s="19">
        <v>0.1774</v>
      </c>
      <c r="P747" s="19">
        <v>0.23330000000000001</v>
      </c>
      <c r="Q747" s="19">
        <v>6.5754865999999995E-2</v>
      </c>
      <c r="R747" s="20">
        <v>23478</v>
      </c>
      <c r="S747" s="21" t="str">
        <f>HYPERLINK("https://www.everettcc.edu/students/financial/financial-aid/netprice-calculator/", "$16265")</f>
        <v>$16265</v>
      </c>
      <c r="T747" s="20">
        <v>17625</v>
      </c>
      <c r="U747" s="20">
        <v>22302</v>
      </c>
      <c r="V747" s="20">
        <v>4270</v>
      </c>
      <c r="W747" s="20">
        <v>11995.177777777781</v>
      </c>
      <c r="Y747" s="19">
        <v>0.15720000000000001</v>
      </c>
      <c r="Z747" s="19">
        <v>0.40749999999999997</v>
      </c>
      <c r="AB747" s="18">
        <v>5512</v>
      </c>
      <c r="AC747" s="18">
        <v>6</v>
      </c>
    </row>
    <row r="748" spans="1:29" ht="15.75" customHeight="1" x14ac:dyDescent="0.2">
      <c r="A748" s="36" t="str">
        <f>HYPERLINK("https://www.evc.edu", "Evergreen Valley College")</f>
        <v>Evergreen Valley College</v>
      </c>
      <c r="B748" s="18" t="s">
        <v>49</v>
      </c>
      <c r="C748" s="18" t="s">
        <v>68</v>
      </c>
      <c r="D748" s="18" t="s">
        <v>659</v>
      </c>
      <c r="E748" s="18" t="s">
        <v>36</v>
      </c>
      <c r="F748" s="18" t="s">
        <v>36</v>
      </c>
      <c r="J748" s="19"/>
      <c r="K748" s="19">
        <v>0.32369999999999999</v>
      </c>
      <c r="L748" s="19">
        <v>6.7204300999999994E-2</v>
      </c>
      <c r="M748" s="19">
        <v>0.46429999999999999</v>
      </c>
      <c r="N748" s="19">
        <v>0.66669999999999996</v>
      </c>
      <c r="O748" s="19">
        <v>0.27760000000000001</v>
      </c>
      <c r="P748" s="19">
        <v>0.33329999999999999</v>
      </c>
      <c r="Q748" s="19">
        <v>0.123232323</v>
      </c>
      <c r="R748" s="20">
        <v>27445</v>
      </c>
      <c r="S748" s="21" t="str">
        <f>HYPERLINK("https://misweb.cccco.edu/npc/471/npcalc.htm", "$20570")</f>
        <v>$20570</v>
      </c>
      <c r="T748" s="20">
        <v>23223</v>
      </c>
      <c r="U748" s="20">
        <v>23751</v>
      </c>
      <c r="V748" s="20">
        <v>6300</v>
      </c>
      <c r="W748" s="20">
        <v>14270.107142857139</v>
      </c>
      <c r="Y748" s="19">
        <v>0.27679999999999999</v>
      </c>
      <c r="Z748" s="19">
        <v>0.93069999999999997</v>
      </c>
      <c r="AB748" s="18">
        <v>7780</v>
      </c>
      <c r="AC748" s="18">
        <v>6</v>
      </c>
    </row>
    <row r="749" spans="1:29" ht="15.75" customHeight="1" x14ac:dyDescent="0.2">
      <c r="A749" s="36" t="str">
        <f>HYPERLINK("https://www.excelsior.edu", "Excelsior College")</f>
        <v>Excelsior College</v>
      </c>
      <c r="B749" s="18" t="s">
        <v>32</v>
      </c>
      <c r="C749" s="18" t="s">
        <v>38</v>
      </c>
      <c r="D749" s="18" t="s">
        <v>550</v>
      </c>
      <c r="E749" s="18" t="s">
        <v>36</v>
      </c>
      <c r="F749" s="18" t="s">
        <v>36</v>
      </c>
      <c r="J749" s="19"/>
      <c r="K749" s="19" t="s">
        <v>36</v>
      </c>
      <c r="L749" s="19">
        <v>0.22923588</v>
      </c>
      <c r="M749" s="19" t="s">
        <v>36</v>
      </c>
      <c r="N749" s="19" t="s">
        <v>36</v>
      </c>
      <c r="O749" s="19" t="s">
        <v>36</v>
      </c>
      <c r="P749" s="19" t="s">
        <v>36</v>
      </c>
      <c r="Q749" s="19"/>
      <c r="R749" s="20" t="s">
        <v>36</v>
      </c>
      <c r="S749" s="21" t="str">
        <f>HYPERLINK("https://www.excelsior.edu/costs-and-financing", "Not reported")</f>
        <v>Not reported</v>
      </c>
      <c r="T749" s="20" t="s">
        <v>36</v>
      </c>
      <c r="U749" s="20" t="s">
        <v>36</v>
      </c>
      <c r="V749" s="20" t="s">
        <v>36</v>
      </c>
      <c r="W749" s="20" t="s">
        <v>36</v>
      </c>
      <c r="Y749" s="19">
        <v>0.1017</v>
      </c>
      <c r="Z749" s="19">
        <v>0.39739999999999998</v>
      </c>
      <c r="AB749" s="18">
        <v>31039</v>
      </c>
      <c r="AC749" s="18">
        <v>4</v>
      </c>
    </row>
    <row r="750" spans="1:29" ht="15.75" customHeight="1" x14ac:dyDescent="0.2">
      <c r="A750" s="36" t="str">
        <f>HYPERLINK("https://www.fidm.edu", "Fashion Institute of Design &amp; Merchandising-Los Angeles")</f>
        <v>Fashion Institute of Design &amp; Merchandising-Los Angeles</v>
      </c>
      <c r="B750" s="18" t="s">
        <v>368</v>
      </c>
      <c r="C750" s="18" t="s">
        <v>68</v>
      </c>
      <c r="D750" s="18" t="s">
        <v>140</v>
      </c>
      <c r="E750" s="18" t="s">
        <v>36</v>
      </c>
      <c r="F750" s="18" t="s">
        <v>90</v>
      </c>
      <c r="J750" s="19"/>
      <c r="K750" s="19">
        <v>0.74229999999999996</v>
      </c>
      <c r="L750" s="19">
        <v>0.57730811999999998</v>
      </c>
      <c r="M750" s="19">
        <v>0.72119999999999995</v>
      </c>
      <c r="N750" s="19">
        <v>0.77080000000000004</v>
      </c>
      <c r="O750" s="19">
        <v>0.72460000000000002</v>
      </c>
      <c r="P750" s="19">
        <v>0.90159999999999996</v>
      </c>
      <c r="Q750" s="19">
        <v>3.5684647E-2</v>
      </c>
      <c r="R750" s="20">
        <v>53533</v>
      </c>
      <c r="S750" s="21" t="str">
        <f>HYPERLINK("https://npc.collegeboard.org/student/app/fidm", "$38392")</f>
        <v>$38392</v>
      </c>
      <c r="T750" s="20">
        <v>42641</v>
      </c>
      <c r="U750" s="20">
        <v>44075</v>
      </c>
      <c r="V750" s="20">
        <v>7100</v>
      </c>
      <c r="W750" s="20">
        <v>31292</v>
      </c>
      <c r="Y750" s="19">
        <v>0.28689999999999999</v>
      </c>
      <c r="Z750" s="19">
        <v>0.65610000000000002</v>
      </c>
      <c r="AB750" s="18">
        <v>2367</v>
      </c>
      <c r="AC750" s="18">
        <v>6</v>
      </c>
    </row>
    <row r="751" spans="1:29" ht="15.75" customHeight="1" x14ac:dyDescent="0.2">
      <c r="A751" s="36" t="str">
        <f>HYPERLINK("https://www.FIDM.edu", "Fashion Institute of Design &amp; Merchandising-Orange County")</f>
        <v>Fashion Institute of Design &amp; Merchandising-Orange County</v>
      </c>
      <c r="B751" s="18" t="s">
        <v>368</v>
      </c>
      <c r="C751" s="18" t="s">
        <v>68</v>
      </c>
      <c r="D751" s="18" t="s">
        <v>340</v>
      </c>
      <c r="E751" s="18" t="s">
        <v>36</v>
      </c>
      <c r="F751" s="18" t="s">
        <v>90</v>
      </c>
      <c r="J751" s="19"/>
      <c r="K751" s="19">
        <v>0.69410000000000005</v>
      </c>
      <c r="L751" s="19">
        <v>0.57730811999999998</v>
      </c>
      <c r="M751" s="19">
        <v>0.71430000000000005</v>
      </c>
      <c r="N751" s="19">
        <v>0.63639999999999997</v>
      </c>
      <c r="O751" s="19">
        <v>0.71150000000000002</v>
      </c>
      <c r="P751" s="19">
        <v>0.85709999999999997</v>
      </c>
      <c r="Q751" s="19">
        <v>3.5684647E-2</v>
      </c>
      <c r="R751" s="20">
        <v>53541</v>
      </c>
      <c r="S751" s="21" t="str">
        <f>HYPERLINK("https://npc.collegeboard.org/student/app/fidm", "$32039")</f>
        <v>$32039</v>
      </c>
      <c r="T751" s="20">
        <v>34717</v>
      </c>
      <c r="U751" s="20">
        <v>35421</v>
      </c>
      <c r="V751" s="20">
        <v>7100</v>
      </c>
      <c r="W751" s="20">
        <v>24939</v>
      </c>
      <c r="Y751" s="19">
        <v>0.39600000000000002</v>
      </c>
      <c r="Z751" s="19">
        <v>0.67609999999999992</v>
      </c>
      <c r="AB751" s="18">
        <v>71</v>
      </c>
      <c r="AC751" s="18">
        <v>6</v>
      </c>
    </row>
    <row r="752" spans="1:29" ht="15.75" customHeight="1" x14ac:dyDescent="0.2">
      <c r="A752" s="36" t="str">
        <f>HYPERLINK("https://www.FIDM.edu", "Fashion Institute of Design &amp; Merchandising-San Diego")</f>
        <v>Fashion Institute of Design &amp; Merchandising-San Diego</v>
      </c>
      <c r="B752" s="18" t="s">
        <v>368</v>
      </c>
      <c r="C752" s="18" t="s">
        <v>68</v>
      </c>
      <c r="D752" s="18" t="s">
        <v>288</v>
      </c>
      <c r="E752" s="18" t="s">
        <v>36</v>
      </c>
      <c r="F752" s="18" t="s">
        <v>90</v>
      </c>
      <c r="J752" s="19"/>
      <c r="K752" s="19">
        <v>0.7</v>
      </c>
      <c r="L752" s="19">
        <v>0.57730811999999998</v>
      </c>
      <c r="M752" s="19">
        <v>0.7097</v>
      </c>
      <c r="N752" s="19">
        <v>0.8</v>
      </c>
      <c r="O752" s="19">
        <v>0.68969999999999998</v>
      </c>
      <c r="P752" s="19">
        <v>0.85709999999999997</v>
      </c>
      <c r="Q752" s="19">
        <v>3.5684647E-2</v>
      </c>
      <c r="R752" s="20">
        <v>53541</v>
      </c>
      <c r="S752" s="21" t="str">
        <f>HYPERLINK("https://npc.collegeboard.org/student/app/fidm", "$29033")</f>
        <v>$29033</v>
      </c>
      <c r="T752" s="20">
        <v>34386</v>
      </c>
      <c r="U752" s="20">
        <v>38202</v>
      </c>
      <c r="V752" s="20">
        <v>7100</v>
      </c>
      <c r="W752" s="20">
        <v>21933</v>
      </c>
      <c r="Y752" s="19">
        <v>0.41560000000000002</v>
      </c>
      <c r="Z752" s="19">
        <v>0.60610000000000008</v>
      </c>
      <c r="AB752" s="18">
        <v>66</v>
      </c>
      <c r="AC752" s="18">
        <v>6</v>
      </c>
    </row>
    <row r="753" spans="1:29" ht="15.75" customHeight="1" x14ac:dyDescent="0.2">
      <c r="A753" s="36" t="str">
        <f>HYPERLINK("https://WWW.FIDM.EDU", "Fashion Institute of Design &amp; Merchandising-San Francisco")</f>
        <v>Fashion Institute of Design &amp; Merchandising-San Francisco</v>
      </c>
      <c r="B753" s="18" t="s">
        <v>368</v>
      </c>
      <c r="C753" s="18" t="s">
        <v>68</v>
      </c>
      <c r="D753" s="18" t="s">
        <v>522</v>
      </c>
      <c r="E753" s="18" t="s">
        <v>36</v>
      </c>
      <c r="F753" s="18" t="s">
        <v>90</v>
      </c>
      <c r="J753" s="19"/>
      <c r="K753" s="19">
        <v>0.71640000000000004</v>
      </c>
      <c r="L753" s="19">
        <v>0.57730811999999998</v>
      </c>
      <c r="M753" s="19">
        <v>0.71740000000000004</v>
      </c>
      <c r="N753" s="19">
        <v>0.66669999999999996</v>
      </c>
      <c r="O753" s="19">
        <v>0.73170000000000002</v>
      </c>
      <c r="P753" s="19">
        <v>0.90910000000000002</v>
      </c>
      <c r="Q753" s="19">
        <v>3.5684647E-2</v>
      </c>
      <c r="R753" s="20">
        <v>53541</v>
      </c>
      <c r="S753" s="21" t="str">
        <f>HYPERLINK("https://npc.collegeboard.org/student/app/fidm", "$32782")</f>
        <v>$32782</v>
      </c>
      <c r="T753" s="20">
        <v>37927</v>
      </c>
      <c r="U753" s="20">
        <v>41588</v>
      </c>
      <c r="V753" s="20">
        <v>7100</v>
      </c>
      <c r="W753" s="20">
        <v>25682</v>
      </c>
      <c r="Y753" s="19">
        <v>0.30359999999999998</v>
      </c>
      <c r="Z753" s="19">
        <v>0.63440000000000007</v>
      </c>
      <c r="AB753" s="18">
        <v>279</v>
      </c>
      <c r="AC753" s="18">
        <v>6</v>
      </c>
    </row>
    <row r="754" spans="1:29" ht="15.75" customHeight="1" x14ac:dyDescent="0.2">
      <c r="A754" s="36" t="str">
        <f>HYPERLINK("https://www.FMC.EDU", "FINE Mortuary College")</f>
        <v>FINE Mortuary College</v>
      </c>
      <c r="B754" s="18" t="s">
        <v>368</v>
      </c>
      <c r="C754" s="18" t="s">
        <v>33</v>
      </c>
      <c r="D754" s="18" t="s">
        <v>1319</v>
      </c>
      <c r="E754" s="18" t="s">
        <v>36</v>
      </c>
      <c r="F754" s="18" t="s">
        <v>36</v>
      </c>
      <c r="J754" s="19"/>
      <c r="K754" s="19">
        <v>1</v>
      </c>
      <c r="L754" s="19" t="s">
        <v>36</v>
      </c>
      <c r="M754" s="19">
        <v>1</v>
      </c>
      <c r="N754" s="19" t="s">
        <v>36</v>
      </c>
      <c r="O754" s="19" t="s">
        <v>36</v>
      </c>
      <c r="P754" s="19" t="s">
        <v>36</v>
      </c>
      <c r="Q754" s="19" t="s">
        <v>36</v>
      </c>
      <c r="R754" s="20">
        <v>41578</v>
      </c>
      <c r="S754" s="21" t="str">
        <f>HYPERLINK("https://www.fmc.edu", "Not reported")</f>
        <v>Not reported</v>
      </c>
      <c r="T754" s="20">
        <v>36818</v>
      </c>
      <c r="U754" s="20" t="s">
        <v>36</v>
      </c>
      <c r="V754" s="20" t="s">
        <v>36</v>
      </c>
      <c r="W754" s="20" t="s">
        <v>36</v>
      </c>
      <c r="Y754" s="19">
        <v>0.45050000000000001</v>
      </c>
      <c r="Z754" s="19">
        <v>0.1414</v>
      </c>
      <c r="AB754" s="18">
        <v>99</v>
      </c>
      <c r="AC754" s="18">
        <v>6</v>
      </c>
    </row>
    <row r="755" spans="1:29" ht="15.75" customHeight="1" x14ac:dyDescent="0.2">
      <c r="A755" s="36" t="str">
        <f>HYPERLINK("https://fairfield.edu", "Fairfield University")</f>
        <v>Fairfield University</v>
      </c>
      <c r="B755" s="18" t="s">
        <v>32</v>
      </c>
      <c r="C755" s="18" t="s">
        <v>94</v>
      </c>
      <c r="D755" s="18" t="s">
        <v>356</v>
      </c>
      <c r="E755" s="18" t="s">
        <v>36</v>
      </c>
      <c r="F755" s="18" t="s">
        <v>45</v>
      </c>
      <c r="J755" s="19"/>
      <c r="K755" s="19">
        <v>0.8095</v>
      </c>
      <c r="L755" s="19">
        <v>0.73504273499999995</v>
      </c>
      <c r="M755" s="19">
        <v>0.82599999999999996</v>
      </c>
      <c r="N755" s="19">
        <v>0.60709999999999997</v>
      </c>
      <c r="O755" s="19">
        <v>0.75</v>
      </c>
      <c r="P755" s="19">
        <v>0.9</v>
      </c>
      <c r="Q755" s="19"/>
      <c r="R755" s="20">
        <v>64325</v>
      </c>
      <c r="S755" s="21" t="str">
        <f>HYPERLINK("https://fairfield.edu/admissionaid/financialaidtuition/undergraduatefinancialaidtuition/netpricecalculator/", "$22800")</f>
        <v>$22800</v>
      </c>
      <c r="T755" s="20">
        <v>31827</v>
      </c>
      <c r="U755" s="20">
        <v>35864</v>
      </c>
      <c r="V755" s="20">
        <v>2880</v>
      </c>
      <c r="W755" s="20">
        <v>19920</v>
      </c>
      <c r="Y755" s="19">
        <v>0.1173</v>
      </c>
      <c r="Z755" s="19">
        <v>0.21900000000000011</v>
      </c>
      <c r="AB755" s="18">
        <v>4023</v>
      </c>
      <c r="AC755" s="18">
        <v>3</v>
      </c>
    </row>
    <row r="756" spans="1:29" ht="15.75" customHeight="1" x14ac:dyDescent="0.2">
      <c r="A756" s="36" t="str">
        <f>HYPERLINK("https://www.fdu.edu", "Fairleigh Dickinson University-College at Florham")</f>
        <v>Fairleigh Dickinson University-College at Florham</v>
      </c>
      <c r="B756" s="18" t="s">
        <v>32</v>
      </c>
      <c r="C756" s="18" t="s">
        <v>141</v>
      </c>
      <c r="D756" s="18" t="s">
        <v>295</v>
      </c>
      <c r="E756" s="18">
        <v>1140</v>
      </c>
      <c r="F756" s="18" t="s">
        <v>35</v>
      </c>
      <c r="J756" s="19"/>
      <c r="K756" s="19">
        <v>0.54700000000000004</v>
      </c>
      <c r="L756" s="19">
        <v>0.46296296299999989</v>
      </c>
      <c r="M756" s="19">
        <v>0.61219999999999997</v>
      </c>
      <c r="N756" s="19">
        <v>0.4556</v>
      </c>
      <c r="O756" s="19">
        <v>0.50590000000000002</v>
      </c>
      <c r="P756" s="19">
        <v>0.37040000000000001</v>
      </c>
      <c r="Q756" s="19"/>
      <c r="R756" s="20">
        <v>58996</v>
      </c>
      <c r="S756" s="21" t="str">
        <f>HYPERLINK("https://www.fdu.edu/admissions/netpricecalculator.html", "$14148")</f>
        <v>$14148</v>
      </c>
      <c r="T756" s="20">
        <v>19953</v>
      </c>
      <c r="U756" s="20">
        <v>27559</v>
      </c>
      <c r="V756" s="20">
        <v>4086</v>
      </c>
      <c r="W756" s="20">
        <v>10062</v>
      </c>
      <c r="Y756" s="19">
        <v>0.34</v>
      </c>
      <c r="Z756" s="19">
        <v>0.42620000000000002</v>
      </c>
      <c r="AB756" s="18">
        <v>2731</v>
      </c>
      <c r="AC756" s="18">
        <v>4</v>
      </c>
    </row>
    <row r="757" spans="1:29" ht="15.75" customHeight="1" x14ac:dyDescent="0.2">
      <c r="A757" s="36" t="str">
        <f>HYPERLINK("https://www.fdu.edu", "Fairleigh Dickinson University-Metropolitan Campus")</f>
        <v>Fairleigh Dickinson University-Metropolitan Campus</v>
      </c>
      <c r="B757" s="18" t="s">
        <v>32</v>
      </c>
      <c r="C757" s="18" t="s">
        <v>141</v>
      </c>
      <c r="D757" s="18" t="s">
        <v>746</v>
      </c>
      <c r="E757" s="18">
        <v>1104</v>
      </c>
      <c r="F757" s="18" t="s">
        <v>35</v>
      </c>
      <c r="J757" s="19"/>
      <c r="K757" s="19">
        <v>0.3896</v>
      </c>
      <c r="L757" s="19">
        <v>0.46296296299999989</v>
      </c>
      <c r="M757" s="19">
        <v>0.54469999999999996</v>
      </c>
      <c r="N757" s="19">
        <v>0.35339999999999999</v>
      </c>
      <c r="O757" s="19">
        <v>0.2954</v>
      </c>
      <c r="P757" s="19">
        <v>0.5</v>
      </c>
      <c r="Q757" s="19"/>
      <c r="R757" s="20">
        <v>56618</v>
      </c>
      <c r="S757" s="21" t="str">
        <f>HYPERLINK("https://www.fdu.edu", "$13173")</f>
        <v>$13173</v>
      </c>
      <c r="T757" s="20">
        <v>17593</v>
      </c>
      <c r="U757" s="20">
        <v>23251</v>
      </c>
      <c r="V757" s="20">
        <v>4086</v>
      </c>
      <c r="W757" s="20">
        <v>9087</v>
      </c>
      <c r="Y757" s="19">
        <v>0.28420000000000001</v>
      </c>
      <c r="Z757" s="19">
        <v>0.76439999999999997</v>
      </c>
      <c r="AB757" s="18">
        <v>3391</v>
      </c>
      <c r="AC757" s="18">
        <v>4</v>
      </c>
    </row>
    <row r="758" spans="1:29" ht="15.75" customHeight="1" x14ac:dyDescent="0.2">
      <c r="A758" s="36" t="str">
        <f>HYPERLINK("https://www.fairmontstate.edu/", "Fairmont State University")</f>
        <v>Fairmont State University</v>
      </c>
      <c r="B758" s="18" t="s">
        <v>49</v>
      </c>
      <c r="C758" s="18" t="s">
        <v>574</v>
      </c>
      <c r="D758" s="18" t="s">
        <v>734</v>
      </c>
      <c r="E758" s="18">
        <v>1044</v>
      </c>
      <c r="F758" s="18" t="s">
        <v>35</v>
      </c>
      <c r="J758" s="19"/>
      <c r="K758" s="19">
        <v>0.36599999999999999</v>
      </c>
      <c r="L758" s="19">
        <v>0.26760563399999998</v>
      </c>
      <c r="M758" s="19">
        <v>0.3846</v>
      </c>
      <c r="N758" s="19">
        <v>0.2</v>
      </c>
      <c r="O758" s="19">
        <v>0.1905</v>
      </c>
      <c r="P758" s="19">
        <v>1</v>
      </c>
      <c r="Q758" s="19"/>
      <c r="R758" s="20">
        <v>27322</v>
      </c>
      <c r="S758" s="21" t="str">
        <f>HYPERLINK("https://fairmontstate.studentaidcalculator.com/survey.aspx", "$19018")</f>
        <v>$19018</v>
      </c>
      <c r="T758" s="20">
        <v>21791</v>
      </c>
      <c r="U758" s="20">
        <v>25429</v>
      </c>
      <c r="V758" s="20">
        <v>3000</v>
      </c>
      <c r="W758" s="20">
        <v>16018.94160583942</v>
      </c>
      <c r="Y758" s="19">
        <v>0.41930000000000001</v>
      </c>
      <c r="Z758" s="19">
        <v>0.14910000000000001</v>
      </c>
      <c r="AB758" s="18">
        <v>3488</v>
      </c>
      <c r="AC758" s="18">
        <v>5</v>
      </c>
    </row>
    <row r="759" spans="1:29" ht="15.75" customHeight="1" x14ac:dyDescent="0.2">
      <c r="A759" s="36" t="str">
        <f>HYPERLINK("https://www.farmingdale.edu/", "SUNY Farmingdale State College")</f>
        <v>SUNY Farmingdale State College</v>
      </c>
      <c r="B759" s="18" t="s">
        <v>49</v>
      </c>
      <c r="C759" s="18" t="s">
        <v>38</v>
      </c>
      <c r="D759" s="18" t="s">
        <v>747</v>
      </c>
      <c r="E759" s="18">
        <v>1061</v>
      </c>
      <c r="F759" s="18" t="s">
        <v>35</v>
      </c>
      <c r="G759" s="18" t="s">
        <v>51</v>
      </c>
      <c r="H759" s="18" t="s">
        <v>748</v>
      </c>
      <c r="I759" s="18" t="s">
        <v>749</v>
      </c>
      <c r="J759" s="19"/>
      <c r="K759" s="19">
        <v>0.52229999999999999</v>
      </c>
      <c r="L759" s="19">
        <v>0.20321931600000001</v>
      </c>
      <c r="M759" s="19">
        <v>0.56510000000000005</v>
      </c>
      <c r="N759" s="19">
        <v>0.44440000000000002</v>
      </c>
      <c r="O759" s="19">
        <v>0.41599999999999998</v>
      </c>
      <c r="P759" s="19">
        <v>0.49180000000000001</v>
      </c>
      <c r="Q759" s="19"/>
      <c r="R759" s="20">
        <v>24168</v>
      </c>
      <c r="S759" s="21" t="str">
        <f>HYPERLINK("https://www.suny.edu/howmuch/netpricecalculator.xhtml", "$4507")</f>
        <v>$4507</v>
      </c>
      <c r="T759" s="20">
        <v>11452</v>
      </c>
      <c r="U759" s="20">
        <v>14534</v>
      </c>
      <c r="V759" s="20">
        <v>3200</v>
      </c>
      <c r="W759" s="20">
        <v>1307</v>
      </c>
      <c r="Y759" s="19">
        <v>0.30559999999999998</v>
      </c>
      <c r="Z759" s="19">
        <v>0.43080000000000002</v>
      </c>
      <c r="AB759" s="18">
        <v>9005</v>
      </c>
      <c r="AC759" s="18">
        <v>4</v>
      </c>
    </row>
    <row r="760" spans="1:29" ht="15.75" customHeight="1" x14ac:dyDescent="0.2">
      <c r="A760" s="36" t="str">
        <f>HYPERLINK("https://www.fitnyc.edu", "SUNY Fashion Institute of Technology")</f>
        <v>SUNY Fashion Institute of Technology</v>
      </c>
      <c r="B760" s="18" t="s">
        <v>49</v>
      </c>
      <c r="C760" s="18" t="s">
        <v>38</v>
      </c>
      <c r="D760" s="18" t="s">
        <v>39</v>
      </c>
      <c r="E760" s="18" t="s">
        <v>36</v>
      </c>
      <c r="F760" s="18" t="s">
        <v>45</v>
      </c>
      <c r="G760" s="18" t="s">
        <v>51</v>
      </c>
      <c r="I760" s="18" t="s">
        <v>1321</v>
      </c>
      <c r="J760" s="19"/>
      <c r="K760" s="19">
        <v>0.76759999999999995</v>
      </c>
      <c r="L760" s="19">
        <v>0.63130434800000002</v>
      </c>
      <c r="M760" s="19">
        <v>0.78069999999999995</v>
      </c>
      <c r="N760" s="19">
        <v>0.75</v>
      </c>
      <c r="O760" s="19">
        <v>0.7198</v>
      </c>
      <c r="P760" s="19">
        <v>0.77910000000000001</v>
      </c>
      <c r="Q760" s="19">
        <v>5.0286442000000001E-2</v>
      </c>
      <c r="R760" s="20">
        <v>23428</v>
      </c>
      <c r="S760" s="21" t="str">
        <f>HYPERLINK("https://www.fitnyc.edu/admissions/costs/net-price-calculator.php", "$7974")</f>
        <v>$7974</v>
      </c>
      <c r="T760" s="20">
        <v>13602</v>
      </c>
      <c r="U760" s="20">
        <v>16306</v>
      </c>
      <c r="V760" s="20">
        <v>4000</v>
      </c>
      <c r="W760" s="20">
        <v>3974</v>
      </c>
      <c r="Y760" s="19">
        <v>0.26300000000000001</v>
      </c>
      <c r="Z760" s="19">
        <v>0.55089999999999995</v>
      </c>
      <c r="AB760" s="18">
        <v>7924</v>
      </c>
      <c r="AC760" s="18">
        <v>6</v>
      </c>
    </row>
    <row r="761" spans="1:29" ht="15.75" customHeight="1" x14ac:dyDescent="0.2">
      <c r="A761" s="36" t="str">
        <f>HYPERLINK("https://www.faulkner.edu", "Faulkner University")</f>
        <v>Faulkner University</v>
      </c>
      <c r="B761" s="18" t="s">
        <v>32</v>
      </c>
      <c r="C761" s="18" t="s">
        <v>300</v>
      </c>
      <c r="D761" s="18" t="s">
        <v>547</v>
      </c>
      <c r="E761" s="18">
        <v>1031</v>
      </c>
      <c r="F761" s="18" t="s">
        <v>35</v>
      </c>
      <c r="J761" s="19"/>
      <c r="K761" s="19">
        <v>0.28010000000000002</v>
      </c>
      <c r="L761" s="19">
        <v>0.270718232</v>
      </c>
      <c r="M761" s="19">
        <v>0.29899999999999999</v>
      </c>
      <c r="N761" s="19">
        <v>0.26469999999999999</v>
      </c>
      <c r="O761" s="19">
        <v>0.42859999999999998</v>
      </c>
      <c r="P761" s="19">
        <v>0.25</v>
      </c>
      <c r="Q761" s="19"/>
      <c r="R761" s="20">
        <v>34370</v>
      </c>
      <c r="S761" s="21" t="str">
        <f>HYPERLINK("https://www.faulkner.edu/net-price-calculator-form/", "$24736")</f>
        <v>$24736</v>
      </c>
      <c r="T761" s="20">
        <v>22459</v>
      </c>
      <c r="U761" s="20">
        <v>22287</v>
      </c>
      <c r="V761" s="20">
        <v>6000</v>
      </c>
      <c r="W761" s="20">
        <v>18736</v>
      </c>
      <c r="Y761" s="19">
        <v>0.5091</v>
      </c>
      <c r="Z761" s="19">
        <v>0.58539999999999992</v>
      </c>
      <c r="AB761" s="18">
        <v>2272</v>
      </c>
      <c r="AC761" s="18">
        <v>4</v>
      </c>
    </row>
    <row r="762" spans="1:29" ht="15.75" customHeight="1" x14ac:dyDescent="0.2">
      <c r="A762" s="36" t="str">
        <f>HYPERLINK("https://www.uncfsu.edu", "Fayetteville State University")</f>
        <v>Fayetteville State University</v>
      </c>
      <c r="B762" s="18" t="s">
        <v>49</v>
      </c>
      <c r="C762" s="18" t="s">
        <v>103</v>
      </c>
      <c r="D762" s="18" t="s">
        <v>498</v>
      </c>
      <c r="E762" s="18">
        <v>955</v>
      </c>
      <c r="F762" s="18" t="s">
        <v>35</v>
      </c>
      <c r="J762" s="19"/>
      <c r="K762" s="19">
        <v>0.32919999999999999</v>
      </c>
      <c r="L762" s="19">
        <v>0.412748171</v>
      </c>
      <c r="M762" s="19">
        <v>0.10340000000000001</v>
      </c>
      <c r="N762" s="19">
        <v>0.33710000000000001</v>
      </c>
      <c r="O762" s="19">
        <v>0.41670000000000001</v>
      </c>
      <c r="P762" s="19">
        <v>0.5</v>
      </c>
      <c r="Q762" s="19"/>
      <c r="R762" s="20">
        <v>28244</v>
      </c>
      <c r="S762" s="21" t="str">
        <f>HYPERLINK("https://www.uncfsu.edu/paying-for-college/cost-calculator", "$17637")</f>
        <v>$17637</v>
      </c>
      <c r="T762" s="20">
        <v>21546</v>
      </c>
      <c r="U762" s="20">
        <v>24557</v>
      </c>
      <c r="V762" s="20">
        <v>2826</v>
      </c>
      <c r="W762" s="20">
        <v>14811.62753950339</v>
      </c>
      <c r="Y762" s="19">
        <v>0.58320000000000005</v>
      </c>
      <c r="Z762" s="19">
        <v>0.81709999999999994</v>
      </c>
      <c r="AB762" s="18">
        <v>4817</v>
      </c>
      <c r="AC762" s="18">
        <v>4</v>
      </c>
    </row>
    <row r="763" spans="1:29" ht="15.75" customHeight="1" x14ac:dyDescent="0.2">
      <c r="A763" s="36" t="str">
        <f>HYPERLINK("https://www.frc.edu", "Feather River Community College District")</f>
        <v>Feather River Community College District</v>
      </c>
      <c r="B763" s="18" t="s">
        <v>49</v>
      </c>
      <c r="C763" s="18" t="s">
        <v>68</v>
      </c>
      <c r="D763" s="18" t="s">
        <v>716</v>
      </c>
      <c r="E763" s="18" t="s">
        <v>36</v>
      </c>
      <c r="F763" s="18" t="s">
        <v>36</v>
      </c>
      <c r="J763" s="19"/>
      <c r="K763" s="19">
        <v>0.35499999999999998</v>
      </c>
      <c r="L763" s="19">
        <v>0.13103448300000001</v>
      </c>
      <c r="M763" s="19">
        <v>0.44829999999999998</v>
      </c>
      <c r="N763" s="19">
        <v>0.1852</v>
      </c>
      <c r="O763" s="19">
        <v>0.27910000000000001</v>
      </c>
      <c r="P763" s="19">
        <v>0.33329999999999999</v>
      </c>
      <c r="Q763" s="19">
        <v>5.0925926000000003E-2</v>
      </c>
      <c r="R763" s="20">
        <v>22141</v>
      </c>
      <c r="S763" s="21" t="str">
        <f>HYPERLINK("https://misweb.cccco.edu/npc/121/npcalc.htm", "$14571")</f>
        <v>$14571</v>
      </c>
      <c r="T763" s="20">
        <v>19032</v>
      </c>
      <c r="U763" s="20">
        <v>20106</v>
      </c>
      <c r="V763" s="20">
        <v>4257</v>
      </c>
      <c r="W763" s="20">
        <v>10314.6875</v>
      </c>
      <c r="Y763" s="19">
        <v>0.1681</v>
      </c>
      <c r="Z763" s="19">
        <v>0.52150000000000007</v>
      </c>
      <c r="AB763" s="18">
        <v>1346</v>
      </c>
      <c r="AC763" s="18">
        <v>6</v>
      </c>
    </row>
    <row r="764" spans="1:29" ht="15.75" customHeight="1" x14ac:dyDescent="0.2">
      <c r="A764" s="36" t="str">
        <f>HYPERLINK("https://www.felician.edu", "Felician University")</f>
        <v>Felician University</v>
      </c>
      <c r="B764" s="18" t="s">
        <v>32</v>
      </c>
      <c r="C764" s="18" t="s">
        <v>141</v>
      </c>
      <c r="D764" s="18" t="s">
        <v>752</v>
      </c>
      <c r="E764" s="18">
        <v>993</v>
      </c>
      <c r="F764" s="18" t="s">
        <v>35</v>
      </c>
      <c r="J764" s="19"/>
      <c r="K764" s="19">
        <v>0.46920000000000001</v>
      </c>
      <c r="L764" s="19">
        <v>0.32015810300000003</v>
      </c>
      <c r="M764" s="19">
        <v>0.66969999999999996</v>
      </c>
      <c r="N764" s="19">
        <v>0.33329999999999999</v>
      </c>
      <c r="O764" s="19">
        <v>0.41570000000000001</v>
      </c>
      <c r="P764" s="19">
        <v>0.63639999999999997</v>
      </c>
      <c r="Q764" s="19"/>
      <c r="R764" s="20">
        <v>50630</v>
      </c>
      <c r="S764" s="21" t="str">
        <f>HYPERLINK("https://www.felician.edu/admissions/undergraduate-admissions/net-price-calculator", "$14553")</f>
        <v>$14553</v>
      </c>
      <c r="T764" s="20">
        <v>19925</v>
      </c>
      <c r="U764" s="20">
        <v>25124</v>
      </c>
      <c r="V764" s="20">
        <v>4350</v>
      </c>
      <c r="W764" s="20">
        <v>10203</v>
      </c>
      <c r="Y764" s="19">
        <v>0.53580000000000005</v>
      </c>
      <c r="Z764" s="19">
        <v>0.7036</v>
      </c>
      <c r="AB764" s="18">
        <v>1616</v>
      </c>
      <c r="AC764" s="18">
        <v>4</v>
      </c>
    </row>
    <row r="765" spans="1:29" ht="15.75" customHeight="1" x14ac:dyDescent="0.2">
      <c r="A765" s="36" t="str">
        <f>HYPERLINK("https://www.ferris.edu/", "Ferris State University")</f>
        <v>Ferris State University</v>
      </c>
      <c r="B765" s="18" t="s">
        <v>49</v>
      </c>
      <c r="C765" s="18" t="s">
        <v>226</v>
      </c>
      <c r="D765" s="18" t="s">
        <v>754</v>
      </c>
      <c r="E765" s="18">
        <v>1069</v>
      </c>
      <c r="F765" s="18" t="s">
        <v>35</v>
      </c>
      <c r="J765" s="19"/>
      <c r="K765" s="19">
        <v>0.4491</v>
      </c>
      <c r="L765" s="19">
        <v>0.425619835</v>
      </c>
      <c r="M765" s="19">
        <v>0.48520000000000002</v>
      </c>
      <c r="N765" s="19">
        <v>0.16750000000000001</v>
      </c>
      <c r="O765" s="19">
        <v>0.3881</v>
      </c>
      <c r="P765" s="19">
        <v>0.51849999999999996</v>
      </c>
      <c r="Q765" s="19"/>
      <c r="R765" s="20">
        <v>30516</v>
      </c>
      <c r="S765" s="21" t="str">
        <f>HYPERLINK("https://www.ferris.edu/admissions/financialaid/NetPriceCalculator.htm", "$17609")</f>
        <v>$17609</v>
      </c>
      <c r="T765" s="20">
        <v>22213</v>
      </c>
      <c r="U765" s="20">
        <v>25324</v>
      </c>
      <c r="V765" s="20">
        <v>2034</v>
      </c>
      <c r="W765" s="20">
        <v>15575.141430948421</v>
      </c>
      <c r="Y765" s="19">
        <v>0.36080000000000001</v>
      </c>
      <c r="Z765" s="19">
        <v>0.218</v>
      </c>
      <c r="AB765" s="18">
        <v>11549</v>
      </c>
      <c r="AC765" s="18">
        <v>4</v>
      </c>
    </row>
    <row r="766" spans="1:29" ht="15.75" customHeight="1" x14ac:dyDescent="0.2">
      <c r="A766" s="36" t="str">
        <f>HYPERLINK("https://www.ferrum.edu", "Ferrum College")</f>
        <v>Ferrum College</v>
      </c>
      <c r="B766" s="18" t="s">
        <v>32</v>
      </c>
      <c r="C766" s="18" t="s">
        <v>83</v>
      </c>
      <c r="D766" s="18" t="s">
        <v>735</v>
      </c>
      <c r="E766" s="18">
        <v>962</v>
      </c>
      <c r="F766" s="18" t="s">
        <v>35</v>
      </c>
      <c r="J766" s="19"/>
      <c r="K766" s="19">
        <v>0.34620000000000001</v>
      </c>
      <c r="L766" s="19">
        <v>0.23766816099999999</v>
      </c>
      <c r="M766" s="19">
        <v>0.4647</v>
      </c>
      <c r="N766" s="19">
        <v>0.2467</v>
      </c>
      <c r="O766" s="19">
        <v>0.33329999999999999</v>
      </c>
      <c r="P766" s="19">
        <v>0</v>
      </c>
      <c r="Q766" s="19"/>
      <c r="R766" s="20">
        <v>46985</v>
      </c>
      <c r="S766" s="21" t="str">
        <f>HYPERLINK("https://www.ferrum.edu/financial-aid/tuition-net-price-calculator/", "$22643")</f>
        <v>$22643</v>
      </c>
      <c r="T766" s="20">
        <v>23575</v>
      </c>
      <c r="U766" s="20">
        <v>26200</v>
      </c>
      <c r="V766" s="20">
        <v>2480</v>
      </c>
      <c r="W766" s="20">
        <v>20163</v>
      </c>
      <c r="Y766" s="19">
        <v>0.56720000000000004</v>
      </c>
      <c r="Z766" s="19">
        <v>0.50449999999999995</v>
      </c>
      <c r="AB766" s="18">
        <v>1122</v>
      </c>
      <c r="AC766" s="18">
        <v>5</v>
      </c>
    </row>
    <row r="767" spans="1:29" ht="15.75" customHeight="1" x14ac:dyDescent="0.2">
      <c r="A767" s="36" t="str">
        <f>HYPERLINK("https://www.flcc.edu", "SUNY Finger Lakes Community College")</f>
        <v>SUNY Finger Lakes Community College</v>
      </c>
      <c r="B767" s="18" t="s">
        <v>49</v>
      </c>
      <c r="C767" s="18" t="s">
        <v>38</v>
      </c>
      <c r="D767" s="18" t="s">
        <v>1323</v>
      </c>
      <c r="E767" s="18" t="s">
        <v>36</v>
      </c>
      <c r="F767" s="18" t="s">
        <v>36</v>
      </c>
      <c r="G767" s="18" t="s">
        <v>51</v>
      </c>
      <c r="I767" s="18" t="s">
        <v>1324</v>
      </c>
      <c r="J767" s="19"/>
      <c r="K767" s="19">
        <v>0.31240000000000001</v>
      </c>
      <c r="L767" s="19">
        <v>0.20569902100000001</v>
      </c>
      <c r="M767" s="19">
        <v>0.37219999999999998</v>
      </c>
      <c r="N767" s="19">
        <v>0.1094</v>
      </c>
      <c r="O767" s="19">
        <v>0.1757</v>
      </c>
      <c r="P767" s="19">
        <v>0.33329999999999999</v>
      </c>
      <c r="Q767" s="19">
        <v>6.8590349999999994E-2</v>
      </c>
      <c r="R767" s="20">
        <v>18724</v>
      </c>
      <c r="S767" s="21" t="str">
        <f>HYPERLINK("https://www.flcc.edu/costs/netcalculator", "$8181")</f>
        <v>$8181</v>
      </c>
      <c r="T767" s="20">
        <v>12502</v>
      </c>
      <c r="U767" s="20">
        <v>14581</v>
      </c>
      <c r="V767" s="20">
        <v>4041</v>
      </c>
      <c r="W767" s="20">
        <v>4140</v>
      </c>
      <c r="Y767" s="19">
        <v>0.27639999999999998</v>
      </c>
      <c r="Z767" s="19">
        <v>0.2447</v>
      </c>
      <c r="AB767" s="18">
        <v>3417</v>
      </c>
      <c r="AC767" s="18">
        <v>6</v>
      </c>
    </row>
    <row r="768" spans="1:29" ht="15.75" customHeight="1" x14ac:dyDescent="0.2">
      <c r="A768" s="36" t="str">
        <f>HYPERLINK("https://www.fisk.edu", "Fisk University")</f>
        <v>Fisk University</v>
      </c>
      <c r="B768" s="18" t="s">
        <v>32</v>
      </c>
      <c r="C768" s="18" t="s">
        <v>174</v>
      </c>
      <c r="D768" s="18" t="s">
        <v>175</v>
      </c>
      <c r="E768" s="18">
        <v>1014</v>
      </c>
      <c r="F768" s="18" t="s">
        <v>35</v>
      </c>
      <c r="J768" s="19"/>
      <c r="K768" s="19">
        <v>0.51719999999999999</v>
      </c>
      <c r="L768" s="19">
        <v>0.47540983599999997</v>
      </c>
      <c r="M768" s="19">
        <v>0</v>
      </c>
      <c r="N768" s="19">
        <v>0.53920000000000001</v>
      </c>
      <c r="O768" s="19" t="s">
        <v>36</v>
      </c>
      <c r="P768" s="19" t="s">
        <v>36</v>
      </c>
      <c r="Q768" s="19"/>
      <c r="R768" s="20">
        <v>37070</v>
      </c>
      <c r="S768" s="21" t="str">
        <f>HYPERLINK("https://web.fisk.edu/npc/", "$28362")</f>
        <v>$28362</v>
      </c>
      <c r="T768" s="20">
        <v>27567</v>
      </c>
      <c r="U768" s="20">
        <v>32792</v>
      </c>
      <c r="V768" s="20">
        <v>4800</v>
      </c>
      <c r="W768" s="20">
        <v>23562</v>
      </c>
      <c r="Y768" s="19">
        <v>0.54969999999999997</v>
      </c>
      <c r="Z768" s="19">
        <v>0.99399999999999999</v>
      </c>
      <c r="AB768" s="18">
        <v>664</v>
      </c>
      <c r="AC768" s="18">
        <v>4</v>
      </c>
    </row>
    <row r="769" spans="1:29" ht="15.75" customHeight="1" x14ac:dyDescent="0.2">
      <c r="A769" s="36" t="str">
        <f>HYPERLINK("https://www.fitchburgstate.edu", "Fitchburg State University")</f>
        <v>Fitchburg State University</v>
      </c>
      <c r="B769" s="18" t="s">
        <v>49</v>
      </c>
      <c r="C769" s="18" t="s">
        <v>33</v>
      </c>
      <c r="D769" s="18" t="s">
        <v>757</v>
      </c>
      <c r="E769" s="18">
        <v>1056</v>
      </c>
      <c r="F769" s="18" t="s">
        <v>35</v>
      </c>
      <c r="J769" s="19"/>
      <c r="K769" s="19">
        <v>0.59650000000000003</v>
      </c>
      <c r="L769" s="19">
        <v>0.44943820200000001</v>
      </c>
      <c r="M769" s="19">
        <v>0.61550000000000005</v>
      </c>
      <c r="N769" s="19">
        <v>0.52629999999999999</v>
      </c>
      <c r="O769" s="19">
        <v>0.5</v>
      </c>
      <c r="P769" s="19">
        <v>0.375</v>
      </c>
      <c r="Q769" s="19"/>
      <c r="R769" s="20">
        <v>30061</v>
      </c>
      <c r="S769" s="21" t="str">
        <f>HYPERLINK("https://www.fitchburgstate.edu/finaid", "$21104")</f>
        <v>$21104</v>
      </c>
      <c r="T769" s="20">
        <v>24928</v>
      </c>
      <c r="U769" s="20">
        <v>28107</v>
      </c>
      <c r="V769" s="20">
        <v>3150</v>
      </c>
      <c r="W769" s="20">
        <v>17954.82987551867</v>
      </c>
      <c r="Y769" s="19">
        <v>0.36109999999999998</v>
      </c>
      <c r="Z769" s="19">
        <v>0.30170000000000002</v>
      </c>
      <c r="AB769" s="18">
        <v>4040</v>
      </c>
      <c r="AC769" s="18">
        <v>4</v>
      </c>
    </row>
    <row r="770" spans="1:29" ht="15.75" customHeight="1" x14ac:dyDescent="0.2">
      <c r="A770" s="36" t="str">
        <f>HYPERLINK("https://www.ftc.edu", "Five Towns College")</f>
        <v>Five Towns College</v>
      </c>
      <c r="B770" s="18" t="s">
        <v>368</v>
      </c>
      <c r="C770" s="18" t="s">
        <v>38</v>
      </c>
      <c r="D770" s="18" t="s">
        <v>758</v>
      </c>
      <c r="E770" s="18" t="s">
        <v>36</v>
      </c>
      <c r="F770" s="18" t="s">
        <v>90</v>
      </c>
      <c r="J770" s="19"/>
      <c r="K770" s="19">
        <v>0.30769999999999997</v>
      </c>
      <c r="L770" s="19">
        <v>0.36956521700000011</v>
      </c>
      <c r="M770" s="19">
        <v>0.32990000000000003</v>
      </c>
      <c r="N770" s="19">
        <v>0.28789999999999999</v>
      </c>
      <c r="O770" s="19">
        <v>0.27910000000000001</v>
      </c>
      <c r="P770" s="19">
        <v>0.33329999999999999</v>
      </c>
      <c r="Q770" s="19"/>
      <c r="R770" s="20">
        <v>36960</v>
      </c>
      <c r="S770" s="21" t="str">
        <f>HYPERLINK("https://npc.collegeboard.org/student/app/ftc", "$16871")</f>
        <v>$16871</v>
      </c>
      <c r="T770" s="20">
        <v>22326</v>
      </c>
      <c r="U770" s="20">
        <v>26745</v>
      </c>
      <c r="V770" s="20">
        <v>5000</v>
      </c>
      <c r="W770" s="20">
        <v>11871</v>
      </c>
      <c r="Y770" s="19">
        <v>0.49769999999999998</v>
      </c>
      <c r="Z770" s="19">
        <v>0.49669999999999997</v>
      </c>
      <c r="AB770" s="18">
        <v>614</v>
      </c>
      <c r="AC770" s="18">
        <v>4</v>
      </c>
    </row>
    <row r="771" spans="1:29" ht="15.75" customHeight="1" x14ac:dyDescent="0.2">
      <c r="A771" s="36" t="str">
        <f>HYPERLINK("https://www.flagler.edu", "Flagler College-St Augustine")</f>
        <v>Flagler College-St Augustine</v>
      </c>
      <c r="B771" s="18" t="s">
        <v>32</v>
      </c>
      <c r="C771" s="18" t="s">
        <v>162</v>
      </c>
      <c r="D771" s="18" t="s">
        <v>357</v>
      </c>
      <c r="E771" s="18">
        <v>1093</v>
      </c>
      <c r="F771" s="18" t="s">
        <v>35</v>
      </c>
      <c r="J771" s="19"/>
      <c r="K771" s="19">
        <v>0.55069999999999997</v>
      </c>
      <c r="L771" s="19">
        <v>0.61261261299999992</v>
      </c>
      <c r="M771" s="19">
        <v>0.55279999999999996</v>
      </c>
      <c r="N771" s="19">
        <v>0.375</v>
      </c>
      <c r="O771" s="19">
        <v>0.53059999999999996</v>
      </c>
      <c r="P771" s="19">
        <v>0.71430000000000005</v>
      </c>
      <c r="Q771" s="19"/>
      <c r="R771" s="20">
        <v>33480</v>
      </c>
      <c r="S771" s="21" t="str">
        <f>HYPERLINK("https://www.flagler.edu/admissions--aid/tuition--fees/net-price-calculator/", "$18254")</f>
        <v>$18254</v>
      </c>
      <c r="T771" s="20">
        <v>21306</v>
      </c>
      <c r="U771" s="20">
        <v>24402</v>
      </c>
      <c r="V771" s="20">
        <v>4600</v>
      </c>
      <c r="W771" s="20">
        <v>13654</v>
      </c>
      <c r="Y771" s="19">
        <v>0.27539999999999998</v>
      </c>
      <c r="Z771" s="19">
        <v>0.23069999999999999</v>
      </c>
      <c r="AB771" s="18">
        <v>2674</v>
      </c>
      <c r="AC771" s="18">
        <v>3</v>
      </c>
    </row>
    <row r="772" spans="1:29" ht="15.75" customHeight="1" x14ac:dyDescent="0.2">
      <c r="A772" s="36" t="str">
        <f>HYPERLINK("https://www.flagler.edu", "Flagler College-Tallahassee")</f>
        <v>Flagler College-Tallahassee</v>
      </c>
      <c r="B772" s="18" t="s">
        <v>32</v>
      </c>
      <c r="C772" s="18" t="s">
        <v>162</v>
      </c>
      <c r="D772" s="18" t="s">
        <v>216</v>
      </c>
      <c r="E772" s="18" t="s">
        <v>36</v>
      </c>
      <c r="F772" s="18" t="s">
        <v>36</v>
      </c>
      <c r="J772" s="19"/>
      <c r="K772" s="19" t="s">
        <v>36</v>
      </c>
      <c r="L772" s="19">
        <v>0.61261261299999992</v>
      </c>
      <c r="M772" s="19" t="s">
        <v>36</v>
      </c>
      <c r="N772" s="19" t="s">
        <v>36</v>
      </c>
      <c r="O772" s="19" t="s">
        <v>36</v>
      </c>
      <c r="P772" s="19" t="s">
        <v>36</v>
      </c>
      <c r="Q772" s="19"/>
      <c r="R772" s="20" t="s">
        <v>36</v>
      </c>
      <c r="S772" s="21" t="str">
        <f>HYPERLINK("https://www.flagler.edu/admissions--aid/tuition--fees/net-price-calculator/", "Not reported")</f>
        <v>Not reported</v>
      </c>
      <c r="T772" s="20" t="s">
        <v>36</v>
      </c>
      <c r="U772" s="20" t="s">
        <v>36</v>
      </c>
      <c r="V772" s="20" t="s">
        <v>36</v>
      </c>
      <c r="W772" s="20" t="s">
        <v>36</v>
      </c>
      <c r="Y772" s="19">
        <v>0.5071</v>
      </c>
      <c r="Z772" s="19">
        <v>0.32929999999999998</v>
      </c>
      <c r="AB772" s="18">
        <v>416</v>
      </c>
      <c r="AC772" s="18">
        <v>3</v>
      </c>
    </row>
    <row r="773" spans="1:29" ht="15.75" customHeight="1" x14ac:dyDescent="0.2">
      <c r="A773" s="36" t="str">
        <f>HYPERLINK("https://flashpoint.columbiacollege.edu/", "Tribeca Flashpoint College")</f>
        <v>Tribeca Flashpoint College</v>
      </c>
      <c r="B773" s="18" t="s">
        <v>368</v>
      </c>
      <c r="C773" s="18" t="s">
        <v>137</v>
      </c>
      <c r="D773" s="18" t="s">
        <v>161</v>
      </c>
      <c r="E773" s="18" t="s">
        <v>36</v>
      </c>
      <c r="F773" s="18" t="s">
        <v>45</v>
      </c>
      <c r="J773" s="19"/>
      <c r="K773" s="19">
        <v>0.75680000000000003</v>
      </c>
      <c r="L773" s="19" t="s">
        <v>36</v>
      </c>
      <c r="M773" s="19">
        <v>0.79700000000000004</v>
      </c>
      <c r="N773" s="19">
        <v>0</v>
      </c>
      <c r="O773" s="19">
        <v>0.71430000000000005</v>
      </c>
      <c r="P773" s="19">
        <v>0.5</v>
      </c>
      <c r="Q773" s="19" t="s">
        <v>36</v>
      </c>
      <c r="R773" s="20">
        <v>44604</v>
      </c>
      <c r="S773" s="21" t="str">
        <f>HYPERLINK("https://flashpoint.columbiacollege.edu/net-price-calculator/", "$29814")</f>
        <v>$29814</v>
      </c>
      <c r="T773" s="20">
        <v>37361</v>
      </c>
      <c r="U773" s="20">
        <v>36477</v>
      </c>
      <c r="V773" s="20">
        <v>8000</v>
      </c>
      <c r="W773" s="20">
        <v>21814</v>
      </c>
      <c r="Y773" s="19">
        <v>0.53649999999999998</v>
      </c>
      <c r="Z773" s="19">
        <v>0.66880000000000006</v>
      </c>
      <c r="AB773" s="18">
        <v>314</v>
      </c>
      <c r="AC773" s="18">
        <v>6</v>
      </c>
    </row>
    <row r="774" spans="1:29" ht="15.75" customHeight="1" x14ac:dyDescent="0.2">
      <c r="A774" s="36" t="str">
        <f>HYPERLINK("https://www.fvcc.edu", "Flathead Valley Community College")</f>
        <v>Flathead Valley Community College</v>
      </c>
      <c r="B774" s="18" t="s">
        <v>49</v>
      </c>
      <c r="C774" s="18" t="s">
        <v>421</v>
      </c>
      <c r="D774" s="18" t="s">
        <v>1326</v>
      </c>
      <c r="E774" s="18" t="s">
        <v>36</v>
      </c>
      <c r="F774" s="18" t="s">
        <v>36</v>
      </c>
      <c r="J774" s="19"/>
      <c r="K774" s="19">
        <v>0.24479999999999999</v>
      </c>
      <c r="L774" s="19">
        <v>0.13117546899999999</v>
      </c>
      <c r="M774" s="19">
        <v>0.25109999999999999</v>
      </c>
      <c r="N774" s="19">
        <v>0</v>
      </c>
      <c r="O774" s="19">
        <v>0</v>
      </c>
      <c r="P774" s="19">
        <v>0.5</v>
      </c>
      <c r="Q774" s="19">
        <v>7.2302558000000003E-2</v>
      </c>
      <c r="R774" s="20">
        <v>24624</v>
      </c>
      <c r="S774" s="21" t="str">
        <f>HYPERLINK("https://webwp.fvcc.edu/NetPriceCalculator/npcalc.htm", "$18887")</f>
        <v>$18887</v>
      </c>
      <c r="T774" s="20">
        <v>20798</v>
      </c>
      <c r="U774" s="20">
        <v>23090</v>
      </c>
      <c r="V774" s="20">
        <v>5240</v>
      </c>
      <c r="W774" s="20">
        <v>13647.857142857139</v>
      </c>
      <c r="Y774" s="19">
        <v>0.2853</v>
      </c>
      <c r="Z774" s="19">
        <v>0.15540000000000001</v>
      </c>
      <c r="AB774" s="18">
        <v>1538</v>
      </c>
      <c r="AC774" s="18">
        <v>6</v>
      </c>
    </row>
    <row r="775" spans="1:29" ht="15.75" customHeight="1" x14ac:dyDescent="0.2">
      <c r="A775" s="36" t="str">
        <f>HYPERLINK("https://WWW.FDTC.EDU", "Florence-Darlington Technical College")</f>
        <v>Florence-Darlington Technical College</v>
      </c>
      <c r="B775" s="18" t="s">
        <v>49</v>
      </c>
      <c r="C775" s="18" t="s">
        <v>208</v>
      </c>
      <c r="D775" s="18" t="s">
        <v>772</v>
      </c>
      <c r="E775" s="18" t="s">
        <v>36</v>
      </c>
      <c r="F775" s="18" t="s">
        <v>36</v>
      </c>
      <c r="J775" s="19"/>
      <c r="K775" s="19">
        <v>0.1193</v>
      </c>
      <c r="L775" s="19">
        <v>0.17532105000000001</v>
      </c>
      <c r="M775" s="19">
        <v>0.1734</v>
      </c>
      <c r="N775" s="19">
        <v>7.2300000000000003E-2</v>
      </c>
      <c r="O775" s="19">
        <v>0.15379999999999999</v>
      </c>
      <c r="P775" s="19">
        <v>0</v>
      </c>
      <c r="Q775" s="19">
        <v>5.9100642000000002E-2</v>
      </c>
      <c r="R775" s="20">
        <v>17104</v>
      </c>
      <c r="S775" s="21" t="str">
        <f>HYPERLINK("https://www.fdtc.edu/apps/net-price-calculator/", "$9667")</f>
        <v>$9667</v>
      </c>
      <c r="T775" s="20">
        <v>10929</v>
      </c>
      <c r="U775" s="20">
        <v>12564</v>
      </c>
      <c r="V775" s="20">
        <v>4560</v>
      </c>
      <c r="W775" s="20">
        <v>5107.8238213399491</v>
      </c>
      <c r="Y775" s="19">
        <v>0.46489999999999998</v>
      </c>
      <c r="Z775" s="19">
        <v>0.58600000000000008</v>
      </c>
      <c r="AB775" s="18">
        <v>4560</v>
      </c>
      <c r="AC775" s="18">
        <v>6</v>
      </c>
    </row>
    <row r="776" spans="1:29" ht="15.75" customHeight="1" x14ac:dyDescent="0.2">
      <c r="A776" s="36" t="str">
        <f>HYPERLINK("https://www.famu.edu", "Florida Agricultural and Mechanical University")</f>
        <v>Florida Agricultural and Mechanical University</v>
      </c>
      <c r="B776" s="18" t="s">
        <v>49</v>
      </c>
      <c r="C776" s="18" t="s">
        <v>162</v>
      </c>
      <c r="D776" s="18" t="s">
        <v>216</v>
      </c>
      <c r="E776" s="18">
        <v>1044</v>
      </c>
      <c r="F776" s="18" t="s">
        <v>35</v>
      </c>
      <c r="J776" s="19"/>
      <c r="K776" s="19">
        <v>0.47610000000000002</v>
      </c>
      <c r="L776" s="19">
        <v>0.39942693400000001</v>
      </c>
      <c r="M776" s="19">
        <v>0.30559999999999998</v>
      </c>
      <c r="N776" s="19">
        <v>0.47889999999999999</v>
      </c>
      <c r="O776" s="19">
        <v>0.39389999999999997</v>
      </c>
      <c r="P776" s="19">
        <v>0.63639999999999997</v>
      </c>
      <c r="Q776" s="19"/>
      <c r="R776" s="20">
        <v>34821</v>
      </c>
      <c r="S776" s="21" t="str">
        <f>HYPERLINK("https://www.famu.edu/index.cfm?FinancialAid&amp;EstimatingCost(NPC)", "$25411")</f>
        <v>$25411</v>
      </c>
      <c r="T776" s="20">
        <v>28914</v>
      </c>
      <c r="U776" s="20">
        <v>31563</v>
      </c>
      <c r="V776" s="20">
        <v>6502</v>
      </c>
      <c r="W776" s="20">
        <v>18909.216666666671</v>
      </c>
      <c r="Y776" s="19">
        <v>0.59079999999999999</v>
      </c>
      <c r="Z776" s="19">
        <v>0.96699999999999997</v>
      </c>
      <c r="AB776" s="18">
        <v>7552</v>
      </c>
      <c r="AC776" s="18">
        <v>4</v>
      </c>
    </row>
    <row r="777" spans="1:29" ht="15.75" customHeight="1" x14ac:dyDescent="0.2">
      <c r="A777" s="36" t="str">
        <f>HYPERLINK("https://www.fau.edu/", "Florida Atlantic University")</f>
        <v>Florida Atlantic University</v>
      </c>
      <c r="B777" s="18" t="s">
        <v>49</v>
      </c>
      <c r="C777" s="18" t="s">
        <v>162</v>
      </c>
      <c r="D777" s="18" t="s">
        <v>760</v>
      </c>
      <c r="E777" s="18">
        <v>1149</v>
      </c>
      <c r="F777" s="18" t="s">
        <v>35</v>
      </c>
      <c r="J777" s="19"/>
      <c r="K777" s="19">
        <v>0.51200000000000001</v>
      </c>
      <c r="L777" s="19">
        <v>0.56408450700000001</v>
      </c>
      <c r="M777" s="19">
        <v>0.48959999999999998</v>
      </c>
      <c r="N777" s="19">
        <v>0.56189999999999996</v>
      </c>
      <c r="O777" s="19">
        <v>0.52190000000000003</v>
      </c>
      <c r="P777" s="19">
        <v>0.55449999999999999</v>
      </c>
      <c r="Q777" s="19"/>
      <c r="R777" s="20">
        <v>35804</v>
      </c>
      <c r="S777" s="21" t="str">
        <f>HYPERLINK("https://www.fau.edu/admissions/npcalc.htm", "$24509")</f>
        <v>$24509</v>
      </c>
      <c r="T777" s="20">
        <v>28661</v>
      </c>
      <c r="U777" s="20">
        <v>33199</v>
      </c>
      <c r="V777" s="20">
        <v>6622</v>
      </c>
      <c r="W777" s="20">
        <v>17887.719393282769</v>
      </c>
      <c r="Y777" s="19">
        <v>0.38319999999999999</v>
      </c>
      <c r="Z777" s="19">
        <v>0.59099999999999997</v>
      </c>
      <c r="AB777" s="18">
        <v>23748</v>
      </c>
      <c r="AC777" s="18">
        <v>4</v>
      </c>
    </row>
    <row r="778" spans="1:29" ht="15.75" customHeight="1" x14ac:dyDescent="0.2">
      <c r="A778" s="36" t="str">
        <f>HYPERLINK("https://www.myunion.edu", "Florida Center")</f>
        <v>Florida Center</v>
      </c>
      <c r="B778" s="18" t="s">
        <v>32</v>
      </c>
      <c r="C778" s="18" t="s">
        <v>162</v>
      </c>
      <c r="D778" s="18" t="s">
        <v>762</v>
      </c>
      <c r="E778" s="18" t="s">
        <v>36</v>
      </c>
      <c r="F778" s="18" t="s">
        <v>36</v>
      </c>
      <c r="J778" s="19"/>
      <c r="K778" s="19" t="s">
        <v>36</v>
      </c>
      <c r="L778" s="19">
        <v>0.44725738399999998</v>
      </c>
      <c r="M778" s="19" t="s">
        <v>36</v>
      </c>
      <c r="N778" s="19" t="s">
        <v>36</v>
      </c>
      <c r="O778" s="19" t="s">
        <v>36</v>
      </c>
      <c r="P778" s="19" t="s">
        <v>36</v>
      </c>
      <c r="Q778" s="19"/>
      <c r="R778" s="20" t="s">
        <v>36</v>
      </c>
      <c r="S778" s="35" t="s">
        <v>36</v>
      </c>
      <c r="T778" s="20" t="s">
        <v>36</v>
      </c>
      <c r="U778" s="20" t="s">
        <v>36</v>
      </c>
      <c r="V778" s="20" t="s">
        <v>36</v>
      </c>
      <c r="W778" s="20" t="s">
        <v>36</v>
      </c>
      <c r="Y778" s="19" t="s">
        <v>36</v>
      </c>
      <c r="Z778" s="19" t="s">
        <v>36</v>
      </c>
      <c r="AB778" s="18" t="s">
        <v>36</v>
      </c>
      <c r="AC778" s="18">
        <v>4</v>
      </c>
    </row>
    <row r="779" spans="1:29" ht="15.75" customHeight="1" x14ac:dyDescent="0.2">
      <c r="A779" s="36" t="str">
        <f>HYPERLINK("https://www.floridacollege.edu", "Florida College")</f>
        <v>Florida College</v>
      </c>
      <c r="B779" s="18" t="s">
        <v>32</v>
      </c>
      <c r="C779" s="18" t="s">
        <v>162</v>
      </c>
      <c r="D779" s="18" t="s">
        <v>764</v>
      </c>
      <c r="E779" s="18">
        <v>1000</v>
      </c>
      <c r="F779" s="18" t="s">
        <v>35</v>
      </c>
      <c r="J779" s="19"/>
      <c r="K779" s="19">
        <v>0.46970000000000001</v>
      </c>
      <c r="L779" s="19">
        <v>0.26315789499999998</v>
      </c>
      <c r="M779" s="19">
        <v>0.50900000000000001</v>
      </c>
      <c r="N779" s="19">
        <v>0.22220000000000001</v>
      </c>
      <c r="O779" s="19">
        <v>0.2</v>
      </c>
      <c r="P779" s="19">
        <v>0</v>
      </c>
      <c r="Q779" s="19"/>
      <c r="R779" s="20">
        <v>30062</v>
      </c>
      <c r="S779" s="21" t="str">
        <f>HYPERLINK("https://www.floridacollege.edu", "$17364")</f>
        <v>$17364</v>
      </c>
      <c r="T779" s="20">
        <v>20063</v>
      </c>
      <c r="U779" s="20">
        <v>25489</v>
      </c>
      <c r="V779" s="20">
        <v>4500</v>
      </c>
      <c r="W779" s="20">
        <v>12864</v>
      </c>
      <c r="Y779" s="19">
        <v>0.31840000000000002</v>
      </c>
      <c r="Z779" s="19">
        <v>0.26529999999999998</v>
      </c>
      <c r="AB779" s="18">
        <v>505</v>
      </c>
      <c r="AC779" s="18">
        <v>4</v>
      </c>
    </row>
    <row r="780" spans="1:29" ht="15.75" customHeight="1" x14ac:dyDescent="0.2">
      <c r="A780" s="36" t="str">
        <f>HYPERLINK("https://www.fgc.edu/", "Florida Gateway College")</f>
        <v>Florida Gateway College</v>
      </c>
      <c r="B780" s="18" t="s">
        <v>49</v>
      </c>
      <c r="C780" s="18" t="s">
        <v>162</v>
      </c>
      <c r="D780" s="18" t="s">
        <v>1329</v>
      </c>
      <c r="E780" s="18" t="s">
        <v>36</v>
      </c>
      <c r="F780" s="18" t="s">
        <v>36</v>
      </c>
      <c r="J780" s="19"/>
      <c r="K780" s="19">
        <v>0.4113</v>
      </c>
      <c r="L780" s="19">
        <v>0.14055636899999999</v>
      </c>
      <c r="M780" s="19">
        <v>0.43159999999999998</v>
      </c>
      <c r="N780" s="19">
        <v>0.21149999999999999</v>
      </c>
      <c r="O780" s="19">
        <v>0.71430000000000005</v>
      </c>
      <c r="P780" s="19">
        <v>1</v>
      </c>
      <c r="Q780" s="19">
        <v>8.6823288999999998E-2</v>
      </c>
      <c r="R780" s="20">
        <v>22216</v>
      </c>
      <c r="S780" s="21" t="str">
        <f>HYPERLINK("https://www.fgc.edu/nc/npcalc.htm", "$15945")</f>
        <v>$15945</v>
      </c>
      <c r="T780" s="20">
        <v>19155</v>
      </c>
      <c r="U780" s="20">
        <v>20916</v>
      </c>
      <c r="V780" s="20">
        <v>3267</v>
      </c>
      <c r="W780" s="20">
        <v>12678</v>
      </c>
      <c r="Y780" s="19">
        <v>0.3034</v>
      </c>
      <c r="Z780" s="19">
        <v>0.27789999999999998</v>
      </c>
      <c r="AB780" s="18">
        <v>2285</v>
      </c>
      <c r="AC780" s="18">
        <v>6</v>
      </c>
    </row>
    <row r="781" spans="1:29" ht="15.75" customHeight="1" x14ac:dyDescent="0.2">
      <c r="A781" s="36" t="str">
        <f>HYPERLINK("https://www.fgcu.edu", "Florida Gulf Coast University")</f>
        <v>Florida Gulf Coast University</v>
      </c>
      <c r="B781" s="18" t="s">
        <v>49</v>
      </c>
      <c r="C781" s="18" t="s">
        <v>162</v>
      </c>
      <c r="D781" s="18" t="s">
        <v>766</v>
      </c>
      <c r="E781" s="18">
        <v>1141</v>
      </c>
      <c r="F781" s="18" t="s">
        <v>35</v>
      </c>
      <c r="J781" s="19"/>
      <c r="K781" s="19">
        <v>0.48099999999999998</v>
      </c>
      <c r="L781" s="19">
        <v>0.47447795799999998</v>
      </c>
      <c r="M781" s="19">
        <v>0.49199999999999999</v>
      </c>
      <c r="N781" s="19">
        <v>0.44969999999999999</v>
      </c>
      <c r="O781" s="19">
        <v>0.45140000000000002</v>
      </c>
      <c r="P781" s="19">
        <v>0.5</v>
      </c>
      <c r="Q781" s="19"/>
      <c r="R781" s="20">
        <v>39434</v>
      </c>
      <c r="S781" s="21" t="str">
        <f>HYPERLINK("https://www2.fgcu.edu/financialaid/netpricecalculator/npcalc.htm", "$32286")</f>
        <v>$32286</v>
      </c>
      <c r="T781" s="20">
        <v>35673</v>
      </c>
      <c r="U781" s="20">
        <v>37975</v>
      </c>
      <c r="V781" s="20">
        <v>4600</v>
      </c>
      <c r="W781" s="20">
        <v>27686.0985915493</v>
      </c>
      <c r="Y781" s="19">
        <v>0.29599999999999999</v>
      </c>
      <c r="Z781" s="19">
        <v>0.36209999999999998</v>
      </c>
      <c r="AB781" s="18">
        <v>13636</v>
      </c>
      <c r="AC781" s="18">
        <v>4</v>
      </c>
    </row>
    <row r="782" spans="1:29" ht="15.75" customHeight="1" x14ac:dyDescent="0.2">
      <c r="A782" s="36" t="str">
        <f>HYPERLINK("https://www.fit.edu", "Florida Institute of Technology-Online")</f>
        <v>Florida Institute of Technology-Online</v>
      </c>
      <c r="B782" s="18" t="s">
        <v>32</v>
      </c>
      <c r="C782" s="18" t="s">
        <v>162</v>
      </c>
      <c r="D782" s="18" t="s">
        <v>358</v>
      </c>
      <c r="E782" s="18">
        <v>1243</v>
      </c>
      <c r="F782" s="18" t="s">
        <v>35</v>
      </c>
      <c r="J782" s="19"/>
      <c r="K782" s="19">
        <v>0.60329999999999995</v>
      </c>
      <c r="L782" s="19">
        <v>6.6334165E-2</v>
      </c>
      <c r="M782" s="19">
        <v>0.61890000000000001</v>
      </c>
      <c r="N782" s="19">
        <v>0.41860000000000003</v>
      </c>
      <c r="O782" s="19">
        <v>0.57779999999999998</v>
      </c>
      <c r="P782" s="19">
        <v>0.6</v>
      </c>
      <c r="Q782" s="19"/>
      <c r="R782" s="20">
        <v>59650</v>
      </c>
      <c r="S782" s="21" t="str">
        <f>HYPERLINK("https://fit.studentaidcalculator.com/survey.aspx", "$26198")</f>
        <v>$26198</v>
      </c>
      <c r="T782" s="20">
        <v>31438</v>
      </c>
      <c r="U782" s="20">
        <v>33860</v>
      </c>
      <c r="V782" s="20">
        <v>4800</v>
      </c>
      <c r="W782" s="20">
        <v>21398</v>
      </c>
      <c r="Y782" s="19">
        <v>0.20419999999999999</v>
      </c>
      <c r="Z782" s="19">
        <v>0.54669999999999996</v>
      </c>
      <c r="AB782" s="18">
        <v>3395</v>
      </c>
      <c r="AC782" s="18">
        <v>3</v>
      </c>
    </row>
    <row r="783" spans="1:29" ht="15.75" customHeight="1" x14ac:dyDescent="0.2">
      <c r="A783" s="36" t="str">
        <f>HYPERLINK("https://www.fit.edu", "Florida Institute of Technology")</f>
        <v>Florida Institute of Technology</v>
      </c>
      <c r="B783" s="18" t="s">
        <v>32</v>
      </c>
      <c r="C783" s="18" t="s">
        <v>162</v>
      </c>
      <c r="D783" s="18" t="s">
        <v>358</v>
      </c>
      <c r="E783" s="18" t="s">
        <v>36</v>
      </c>
      <c r="F783" s="18" t="s">
        <v>36</v>
      </c>
      <c r="J783" s="19"/>
      <c r="K783" s="19" t="s">
        <v>36</v>
      </c>
      <c r="L783" s="19">
        <v>6.6334165E-2</v>
      </c>
      <c r="M783" s="19" t="s">
        <v>36</v>
      </c>
      <c r="N783" s="19" t="s">
        <v>36</v>
      </c>
      <c r="O783" s="19" t="s">
        <v>36</v>
      </c>
      <c r="P783" s="19" t="s">
        <v>36</v>
      </c>
      <c r="Q783" s="19"/>
      <c r="R783" s="20" t="s">
        <v>36</v>
      </c>
      <c r="S783" s="21" t="str">
        <f>HYPERLINK("https://fit.studentaidcalculator.com/survey.aspx", "Not reported")</f>
        <v>Not reported</v>
      </c>
      <c r="T783" s="20" t="s">
        <v>36</v>
      </c>
      <c r="U783" s="20" t="s">
        <v>36</v>
      </c>
      <c r="V783" s="20" t="s">
        <v>36</v>
      </c>
      <c r="W783" s="20" t="s">
        <v>36</v>
      </c>
      <c r="Y783" s="19">
        <v>0.52100000000000002</v>
      </c>
      <c r="Z783" s="19">
        <v>0.46650000000000003</v>
      </c>
      <c r="AB783" s="18">
        <v>1629</v>
      </c>
      <c r="AC783" s="18">
        <v>3</v>
      </c>
    </row>
    <row r="784" spans="1:29" ht="15.75" customHeight="1" x14ac:dyDescent="0.2">
      <c r="A784" s="36" t="str">
        <f>HYPERLINK("https://www.fiu.edu", "Florida International University")</f>
        <v>Florida International University</v>
      </c>
      <c r="B784" s="18" t="s">
        <v>49</v>
      </c>
      <c r="C784" s="18" t="s">
        <v>162</v>
      </c>
      <c r="D784" s="18" t="s">
        <v>359</v>
      </c>
      <c r="E784" s="18">
        <v>1172</v>
      </c>
      <c r="F784" s="18" t="s">
        <v>35</v>
      </c>
      <c r="J784" s="19"/>
      <c r="K784" s="19">
        <v>0.56620000000000004</v>
      </c>
      <c r="L784" s="19">
        <v>0.51337233599999998</v>
      </c>
      <c r="M784" s="19">
        <v>0.44479999999999997</v>
      </c>
      <c r="N784" s="19">
        <v>0.4078</v>
      </c>
      <c r="O784" s="19">
        <v>0.61050000000000004</v>
      </c>
      <c r="P784" s="19">
        <v>0.63109999999999999</v>
      </c>
      <c r="Q784" s="19"/>
      <c r="R784" s="20">
        <v>36086</v>
      </c>
      <c r="S784" s="21" t="str">
        <f>HYPERLINK("https://finance.fiu.edu/controller/UG_Calculator.htm", "$27348")</f>
        <v>$27348</v>
      </c>
      <c r="T784" s="20">
        <v>30336</v>
      </c>
      <c r="U784" s="20">
        <v>32158</v>
      </c>
      <c r="V784" s="20">
        <v>6250</v>
      </c>
      <c r="W784" s="20">
        <v>21098.55138568129</v>
      </c>
      <c r="Y784" s="19">
        <v>0.4884</v>
      </c>
      <c r="Z784" s="19">
        <v>0.91169999999999995</v>
      </c>
      <c r="AB784" s="18">
        <v>41834</v>
      </c>
      <c r="AC784" s="18">
        <v>3</v>
      </c>
    </row>
    <row r="785" spans="1:29" ht="15.75" customHeight="1" x14ac:dyDescent="0.2">
      <c r="A785" s="36" t="str">
        <f>HYPERLINK("https://www.fkcc.edu", "Florida Keys Community College")</f>
        <v>Florida Keys Community College</v>
      </c>
      <c r="B785" s="18" t="s">
        <v>49</v>
      </c>
      <c r="C785" s="18" t="s">
        <v>162</v>
      </c>
      <c r="D785" s="18" t="s">
        <v>1330</v>
      </c>
      <c r="E785" s="18" t="s">
        <v>36</v>
      </c>
      <c r="F785" s="18" t="s">
        <v>36</v>
      </c>
      <c r="J785" s="19"/>
      <c r="K785" s="19">
        <v>0.3226</v>
      </c>
      <c r="L785" s="19">
        <v>0.13725490200000001</v>
      </c>
      <c r="M785" s="19">
        <v>0.32319999999999999</v>
      </c>
      <c r="N785" s="19">
        <v>0.3846</v>
      </c>
      <c r="O785" s="19">
        <v>0.28570000000000001</v>
      </c>
      <c r="P785" s="19">
        <v>0</v>
      </c>
      <c r="Q785" s="19">
        <v>9.8557691999999988E-2</v>
      </c>
      <c r="R785" s="20">
        <v>29967</v>
      </c>
      <c r="S785" s="21" t="str">
        <f>HYPERLINK("https://www.fkcc.edu/skins/userfiles/file/Financial%20Aid/net_price_calc/npcalc.htm", "$24077")</f>
        <v>$24077</v>
      </c>
      <c r="T785" s="20">
        <v>27375</v>
      </c>
      <c r="U785" s="20">
        <v>29313</v>
      </c>
      <c r="V785" s="20">
        <v>2866</v>
      </c>
      <c r="W785" s="20">
        <v>21211.75</v>
      </c>
      <c r="Y785" s="19">
        <v>0.24979999999999999</v>
      </c>
      <c r="Z785" s="19">
        <v>0.47589999999999999</v>
      </c>
      <c r="AB785" s="18">
        <v>830</v>
      </c>
      <c r="AC785" s="18">
        <v>6</v>
      </c>
    </row>
    <row r="786" spans="1:29" ht="15.75" customHeight="1" x14ac:dyDescent="0.2">
      <c r="A786" s="36" t="str">
        <f>HYPERLINK("https://www.fmuniv.edu", "Florida Memorial University")</f>
        <v>Florida Memorial University</v>
      </c>
      <c r="B786" s="18" t="s">
        <v>32</v>
      </c>
      <c r="C786" s="18" t="s">
        <v>162</v>
      </c>
      <c r="D786" s="18" t="s">
        <v>737</v>
      </c>
      <c r="E786" s="18" t="s">
        <v>36</v>
      </c>
      <c r="F786" s="18" t="s">
        <v>90</v>
      </c>
      <c r="J786" s="19"/>
      <c r="K786" s="19">
        <v>0.376</v>
      </c>
      <c r="L786" s="19">
        <v>0.16985138</v>
      </c>
      <c r="M786" s="19">
        <v>0</v>
      </c>
      <c r="N786" s="19">
        <v>0.33110000000000001</v>
      </c>
      <c r="O786" s="19">
        <v>0.54549999999999998</v>
      </c>
      <c r="P786" s="19">
        <v>1</v>
      </c>
      <c r="Q786" s="19"/>
      <c r="R786" s="20">
        <v>28370</v>
      </c>
      <c r="S786" s="21" t="str">
        <f>HYPERLINK("https://www.fmuniv.edu/netpricecalc/npcalc.htm", "$16576")</f>
        <v>$16576</v>
      </c>
      <c r="T786" s="20">
        <v>18686</v>
      </c>
      <c r="U786" s="20">
        <v>20686</v>
      </c>
      <c r="V786" s="20">
        <v>6100</v>
      </c>
      <c r="W786" s="20">
        <v>10476</v>
      </c>
      <c r="Y786" s="19">
        <v>0.72970000000000002</v>
      </c>
      <c r="Z786" s="19">
        <v>0.99060000000000004</v>
      </c>
      <c r="AB786" s="18">
        <v>1173</v>
      </c>
      <c r="AC786" s="18">
        <v>5</v>
      </c>
    </row>
    <row r="787" spans="1:29" ht="15.75" customHeight="1" x14ac:dyDescent="0.2">
      <c r="A787" s="36" t="str">
        <f>HYPERLINK("https://www.fnu.edu", "Florida National University-Main Campus")</f>
        <v>Florida National University-Main Campus</v>
      </c>
      <c r="B787" s="18" t="s">
        <v>368</v>
      </c>
      <c r="C787" s="18" t="s">
        <v>162</v>
      </c>
      <c r="D787" s="18" t="s">
        <v>1331</v>
      </c>
      <c r="E787" s="18" t="s">
        <v>36</v>
      </c>
      <c r="F787" s="18" t="s">
        <v>36</v>
      </c>
      <c r="J787" s="19"/>
      <c r="K787" s="19">
        <v>0.6119</v>
      </c>
      <c r="L787" s="19">
        <v>0.35300859600000001</v>
      </c>
      <c r="M787" s="19">
        <v>0.5</v>
      </c>
      <c r="N787" s="19">
        <v>0.58819999999999995</v>
      </c>
      <c r="O787" s="19">
        <v>0.62360000000000004</v>
      </c>
      <c r="P787" s="19" t="s">
        <v>36</v>
      </c>
      <c r="Q787" s="19">
        <v>3.7113401999999997E-2</v>
      </c>
      <c r="R787" s="20">
        <v>31293</v>
      </c>
      <c r="S787" s="21" t="str">
        <f>HYPERLINK("https://www.fnu.edu/NetPriceCalculator/npcalc.htm", "$19162")</f>
        <v>$19162</v>
      </c>
      <c r="T787" s="20">
        <v>21491</v>
      </c>
      <c r="U787" s="20" t="s">
        <v>36</v>
      </c>
      <c r="V787" s="20">
        <v>8296</v>
      </c>
      <c r="W787" s="20">
        <v>10866</v>
      </c>
      <c r="Y787" s="19">
        <v>0.74580000000000002</v>
      </c>
      <c r="Z787" s="19">
        <v>0.98460000000000003</v>
      </c>
      <c r="AB787" s="18">
        <v>3117</v>
      </c>
      <c r="AC787" s="18">
        <v>6</v>
      </c>
    </row>
    <row r="788" spans="1:29" ht="15.75" customHeight="1" x14ac:dyDescent="0.2">
      <c r="A788" s="36" t="str">
        <f>HYPERLINK("https://www.fsw.edu", "Florida SouthWestern State College")</f>
        <v>Florida SouthWestern State College</v>
      </c>
      <c r="B788" s="18" t="s">
        <v>49</v>
      </c>
      <c r="C788" s="18" t="s">
        <v>162</v>
      </c>
      <c r="D788" s="18" t="s">
        <v>766</v>
      </c>
      <c r="E788" s="18" t="s">
        <v>36</v>
      </c>
      <c r="F788" s="18" t="s">
        <v>36</v>
      </c>
      <c r="J788" s="19"/>
      <c r="K788" s="19">
        <v>0.34810000000000002</v>
      </c>
      <c r="L788" s="19">
        <v>0.25705229800000001</v>
      </c>
      <c r="M788" s="19">
        <v>0.35270000000000001</v>
      </c>
      <c r="N788" s="19">
        <v>0.31219999999999998</v>
      </c>
      <c r="O788" s="19">
        <v>0.32969999999999999</v>
      </c>
      <c r="P788" s="19">
        <v>0.47499999999999998</v>
      </c>
      <c r="Q788" s="19">
        <v>7.9813159999999994E-2</v>
      </c>
      <c r="R788" s="20">
        <v>27969</v>
      </c>
      <c r="S788" s="21" t="str">
        <f>HYPERLINK("https://www.fsw.edu/financialaid/netprice", "$22672")</f>
        <v>$22672</v>
      </c>
      <c r="T788" s="20">
        <v>25224</v>
      </c>
      <c r="U788" s="20">
        <v>27150</v>
      </c>
      <c r="V788" s="20">
        <v>5990</v>
      </c>
      <c r="W788" s="20">
        <v>16682.17312072893</v>
      </c>
      <c r="Y788" s="19">
        <v>0.33479999999999999</v>
      </c>
      <c r="Z788" s="19">
        <v>0.54299999999999993</v>
      </c>
      <c r="AB788" s="18">
        <v>12618</v>
      </c>
      <c r="AC788" s="18">
        <v>6</v>
      </c>
    </row>
    <row r="789" spans="1:29" ht="15.75" customHeight="1" x14ac:dyDescent="0.2">
      <c r="A789" s="36" t="str">
        <f>HYPERLINK("https://www.flsouthern.edu", "Florida Southern College")</f>
        <v>Florida Southern College</v>
      </c>
      <c r="B789" s="18" t="s">
        <v>32</v>
      </c>
      <c r="C789" s="18" t="s">
        <v>162</v>
      </c>
      <c r="D789" s="18" t="s">
        <v>360</v>
      </c>
      <c r="E789" s="18">
        <v>1218</v>
      </c>
      <c r="F789" s="18" t="s">
        <v>35</v>
      </c>
      <c r="J789" s="19"/>
      <c r="K789" s="19">
        <v>0.63219999999999998</v>
      </c>
      <c r="L789" s="19">
        <v>0.48087431700000011</v>
      </c>
      <c r="M789" s="19">
        <v>0.61919999999999997</v>
      </c>
      <c r="N789" s="19">
        <v>0.4839</v>
      </c>
      <c r="O789" s="19">
        <v>0.60870000000000002</v>
      </c>
      <c r="P789" s="19">
        <v>0.88890000000000002</v>
      </c>
      <c r="Q789" s="19"/>
      <c r="R789" s="20">
        <v>49900</v>
      </c>
      <c r="S789" s="21" t="str">
        <f>HYPERLINK("https://flsouthern.studentaidcalculator.com/survey.aspx", "$21066")</f>
        <v>$21066</v>
      </c>
      <c r="T789" s="20">
        <v>24281</v>
      </c>
      <c r="U789" s="20">
        <v>25856</v>
      </c>
      <c r="V789" s="20">
        <v>3922</v>
      </c>
      <c r="W789" s="20">
        <v>17144</v>
      </c>
      <c r="Y789" s="19">
        <v>0.26019999999999999</v>
      </c>
      <c r="Z789" s="19">
        <v>0.25190000000000001</v>
      </c>
      <c r="AB789" s="18">
        <v>2561</v>
      </c>
      <c r="AC789" s="18">
        <v>3</v>
      </c>
    </row>
    <row r="790" spans="1:29" ht="15.75" customHeight="1" x14ac:dyDescent="0.2">
      <c r="A790" s="36" t="str">
        <f>HYPERLINK("https://www.fscj.edu", "Florida State College at Jacksonville")</f>
        <v>Florida State College at Jacksonville</v>
      </c>
      <c r="B790" s="18" t="s">
        <v>49</v>
      </c>
      <c r="C790" s="18" t="s">
        <v>162</v>
      </c>
      <c r="D790" s="18" t="s">
        <v>382</v>
      </c>
      <c r="E790" s="18" t="s">
        <v>36</v>
      </c>
      <c r="F790" s="18" t="s">
        <v>36</v>
      </c>
      <c r="J790" s="19"/>
      <c r="K790" s="19">
        <v>0.35099999999999998</v>
      </c>
      <c r="L790" s="19">
        <v>0.192307692</v>
      </c>
      <c r="M790" s="19">
        <v>0.4083</v>
      </c>
      <c r="N790" s="19">
        <v>0.2024</v>
      </c>
      <c r="O790" s="19">
        <v>0.39510000000000001</v>
      </c>
      <c r="P790" s="19">
        <v>0.53849999999999998</v>
      </c>
      <c r="Q790" s="19">
        <v>8.9766606999999998E-2</v>
      </c>
      <c r="R790" s="20">
        <v>21788</v>
      </c>
      <c r="S790" s="21" t="str">
        <f>HYPERLINK("https://www.fscj.edu/admissions-aid/financial-aid/applying-for-aid/net-price-calculator", "$16304")</f>
        <v>$16304</v>
      </c>
      <c r="T790" s="20">
        <v>19726</v>
      </c>
      <c r="U790" s="20">
        <v>21155</v>
      </c>
      <c r="V790" s="20">
        <v>2850</v>
      </c>
      <c r="W790" s="20">
        <v>13454.888888888891</v>
      </c>
      <c r="Y790" s="19">
        <v>0.33550000000000002</v>
      </c>
      <c r="Z790" s="19">
        <v>0.52049999999999996</v>
      </c>
      <c r="AB790" s="18">
        <v>18789</v>
      </c>
      <c r="AC790" s="18">
        <v>6</v>
      </c>
    </row>
    <row r="791" spans="1:29" ht="15.75" customHeight="1" x14ac:dyDescent="0.2">
      <c r="A791" s="36" t="str">
        <f>HYPERLINK("https://www.fsu.edu", "Florida State University")</f>
        <v>Florida State University</v>
      </c>
      <c r="B791" s="18" t="s">
        <v>49</v>
      </c>
      <c r="C791" s="18" t="s">
        <v>162</v>
      </c>
      <c r="D791" s="18" t="s">
        <v>216</v>
      </c>
      <c r="E791" s="18">
        <v>1304</v>
      </c>
      <c r="F791" s="18" t="s">
        <v>35</v>
      </c>
      <c r="J791" s="19"/>
      <c r="K791" s="19">
        <v>0.80169999999999997</v>
      </c>
      <c r="L791" s="19">
        <v>0.70115452900000008</v>
      </c>
      <c r="M791" s="19">
        <v>0.81159999999999999</v>
      </c>
      <c r="N791" s="19">
        <v>0.74180000000000001</v>
      </c>
      <c r="O791" s="19">
        <v>0.8054</v>
      </c>
      <c r="P791" s="19">
        <v>0.77559999999999996</v>
      </c>
      <c r="Q791" s="19"/>
      <c r="R791" s="20">
        <v>34904</v>
      </c>
      <c r="S791" s="21" t="str">
        <f>HYPERLINK("https://financialaid.fsu.edu/cost", "$22859")</f>
        <v>$22859</v>
      </c>
      <c r="T791" s="20">
        <v>27783</v>
      </c>
      <c r="U791" s="20">
        <v>31304</v>
      </c>
      <c r="V791" s="20">
        <v>5660</v>
      </c>
      <c r="W791" s="20">
        <v>17199.27489711934</v>
      </c>
      <c r="Y791" s="19">
        <v>0.30470000000000003</v>
      </c>
      <c r="Z791" s="19">
        <v>0.37959999999999999</v>
      </c>
      <c r="AB791" s="18">
        <v>32614</v>
      </c>
      <c r="AC791" s="18">
        <v>2</v>
      </c>
    </row>
    <row r="792" spans="1:29" ht="15.75" customHeight="1" x14ac:dyDescent="0.2">
      <c r="A792" s="36" t="str">
        <f>HYPERLINK("https://www.flc.losrios.edu/", "Folsom Lake College")</f>
        <v>Folsom Lake College</v>
      </c>
      <c r="B792" s="18" t="s">
        <v>49</v>
      </c>
      <c r="C792" s="18" t="s">
        <v>68</v>
      </c>
      <c r="D792" s="18" t="s">
        <v>1335</v>
      </c>
      <c r="E792" s="18" t="s">
        <v>36</v>
      </c>
      <c r="F792" s="18" t="s">
        <v>36</v>
      </c>
      <c r="J792" s="19"/>
      <c r="K792" s="19">
        <v>0.30509999999999998</v>
      </c>
      <c r="L792" s="19">
        <v>6.9154775000000002E-2</v>
      </c>
      <c r="M792" s="19">
        <v>0.31669999999999998</v>
      </c>
      <c r="N792" s="19">
        <v>0.1429</v>
      </c>
      <c r="O792" s="19">
        <v>0.21929999999999999</v>
      </c>
      <c r="P792" s="19">
        <v>0.57579999999999998</v>
      </c>
      <c r="Q792" s="19">
        <v>0.10856658199999999</v>
      </c>
      <c r="R792" s="20">
        <v>27594</v>
      </c>
      <c r="S792" s="21" t="str">
        <f>HYPERLINK("https://www.flc.losrios.edu/student-services/net-price-calculator", "$20941")</f>
        <v>$20941</v>
      </c>
      <c r="T792" s="20">
        <v>24818</v>
      </c>
      <c r="U792" s="20">
        <v>23594</v>
      </c>
      <c r="V792" s="20">
        <v>6093</v>
      </c>
      <c r="W792" s="20">
        <v>14848.96226415094</v>
      </c>
      <c r="Y792" s="19">
        <v>0.18329999999999999</v>
      </c>
      <c r="Z792" s="19">
        <v>0.42980000000000002</v>
      </c>
      <c r="AB792" s="18">
        <v>7911</v>
      </c>
      <c r="AC792" s="18">
        <v>6</v>
      </c>
    </row>
    <row r="793" spans="1:29" ht="15.75" customHeight="1" x14ac:dyDescent="0.2">
      <c r="A793" s="36" t="str">
        <f>HYPERLINK("https://www.fdltcc.edu", "Fond du Lac Tribal and Community College")</f>
        <v>Fond du Lac Tribal and Community College</v>
      </c>
      <c r="B793" s="18" t="s">
        <v>49</v>
      </c>
      <c r="C793" s="18" t="s">
        <v>72</v>
      </c>
      <c r="D793" s="18" t="s">
        <v>1336</v>
      </c>
      <c r="E793" s="18" t="s">
        <v>36</v>
      </c>
      <c r="F793" s="18" t="s">
        <v>36</v>
      </c>
      <c r="J793" s="19"/>
      <c r="K793" s="19">
        <v>0.245</v>
      </c>
      <c r="L793" s="19">
        <v>0.26575342499999999</v>
      </c>
      <c r="M793" s="19">
        <v>0.32500000000000001</v>
      </c>
      <c r="N793" s="19">
        <v>8.3299999999999999E-2</v>
      </c>
      <c r="O793" s="19">
        <v>0.28570000000000001</v>
      </c>
      <c r="P793" s="19" t="s">
        <v>36</v>
      </c>
      <c r="Q793" s="19">
        <v>3.7769784000000001E-2</v>
      </c>
      <c r="R793" s="20">
        <v>16161</v>
      </c>
      <c r="S793" s="21" t="str">
        <f>HYPERLINK("https://fdltcc.edu/faculty-staff/business-services/tuition-and-fee-payments/", "$10131")</f>
        <v>$10131</v>
      </c>
      <c r="T793" s="20">
        <v>13114</v>
      </c>
      <c r="U793" s="20">
        <v>14891</v>
      </c>
      <c r="V793" s="20">
        <v>4576</v>
      </c>
      <c r="W793" s="20">
        <v>5555.9672131147536</v>
      </c>
      <c r="Y793" s="19">
        <v>0.23180000000000001</v>
      </c>
      <c r="Z793" s="19">
        <v>0.42920000000000003</v>
      </c>
      <c r="AB793" s="18">
        <v>699</v>
      </c>
      <c r="AC793" s="18">
        <v>6</v>
      </c>
    </row>
    <row r="794" spans="1:29" ht="15.75" customHeight="1" x14ac:dyDescent="0.2">
      <c r="A794" s="36" t="str">
        <f>HYPERLINK("https://www.fontbonne.edu", "Fontbonne University")</f>
        <v>Fontbonne University</v>
      </c>
      <c r="B794" s="18" t="s">
        <v>32</v>
      </c>
      <c r="C794" s="18" t="s">
        <v>164</v>
      </c>
      <c r="D794" s="18" t="s">
        <v>179</v>
      </c>
      <c r="E794" s="18">
        <v>1145</v>
      </c>
      <c r="F794" s="18" t="s">
        <v>35</v>
      </c>
      <c r="J794" s="19"/>
      <c r="K794" s="19">
        <v>0.5</v>
      </c>
      <c r="L794" s="19">
        <v>0.37878787899999999</v>
      </c>
      <c r="M794" s="19">
        <v>0.56700000000000006</v>
      </c>
      <c r="N794" s="19">
        <v>0.3</v>
      </c>
      <c r="O794" s="19">
        <v>0.25</v>
      </c>
      <c r="P794" s="19">
        <v>0.33329999999999999</v>
      </c>
      <c r="Q794" s="19"/>
      <c r="R794" s="20">
        <v>40762</v>
      </c>
      <c r="S794" s="21" t="str">
        <f>HYPERLINK("https://www.fontbonne.edu/financial-aid/net-price-calculator/", "$19130")</f>
        <v>$19130</v>
      </c>
      <c r="T794" s="20">
        <v>21221</v>
      </c>
      <c r="U794" s="20">
        <v>23740</v>
      </c>
      <c r="V794" s="20">
        <v>5796</v>
      </c>
      <c r="W794" s="20">
        <v>13334</v>
      </c>
      <c r="Y794" s="19">
        <v>0.35949999999999999</v>
      </c>
      <c r="Z794" s="19">
        <v>0.26429999999999998</v>
      </c>
      <c r="AB794" s="18">
        <v>874</v>
      </c>
      <c r="AC794" s="18">
        <v>4</v>
      </c>
    </row>
    <row r="795" spans="1:29" ht="15.75" customHeight="1" x14ac:dyDescent="0.2">
      <c r="A795" s="36" t="str">
        <f>HYPERLINK("https://foothill.edu", "Foothill College")</f>
        <v>Foothill College</v>
      </c>
      <c r="B795" s="18" t="s">
        <v>49</v>
      </c>
      <c r="C795" s="18" t="s">
        <v>68</v>
      </c>
      <c r="D795" s="18" t="s">
        <v>1338</v>
      </c>
      <c r="E795" s="18" t="s">
        <v>36</v>
      </c>
      <c r="F795" s="18" t="s">
        <v>36</v>
      </c>
      <c r="J795" s="19"/>
      <c r="K795" s="19">
        <v>0.55689999999999995</v>
      </c>
      <c r="L795" s="19">
        <v>5.6629833999999997E-2</v>
      </c>
      <c r="M795" s="19">
        <v>0.4955</v>
      </c>
      <c r="N795" s="19">
        <v>0.29409999999999997</v>
      </c>
      <c r="O795" s="19">
        <v>0.32519999999999999</v>
      </c>
      <c r="P795" s="19">
        <v>0.70860000000000001</v>
      </c>
      <c r="Q795" s="19">
        <v>0.16161616200000001</v>
      </c>
      <c r="R795" s="20">
        <v>28408</v>
      </c>
      <c r="S795" s="21" t="str">
        <f>HYPERLINK("https://misweb.cccco.edu/npc/422/npcalc.htm", "$21669")</f>
        <v>$21669</v>
      </c>
      <c r="T795" s="20">
        <v>25365</v>
      </c>
      <c r="U795" s="20">
        <v>26870</v>
      </c>
      <c r="V795" s="20">
        <v>6363</v>
      </c>
      <c r="W795" s="20">
        <v>15306.97260273973</v>
      </c>
      <c r="Y795" s="19">
        <v>7.3200000000000001E-2</v>
      </c>
      <c r="Z795" s="19">
        <v>0.67579999999999996</v>
      </c>
      <c r="AB795" s="18">
        <v>13873</v>
      </c>
      <c r="AC795" s="18">
        <v>6</v>
      </c>
    </row>
    <row r="796" spans="1:29" ht="15.75" customHeight="1" x14ac:dyDescent="0.2">
      <c r="A796" s="36" t="str">
        <f>HYPERLINK("https://www.fordham.edu", "Fordham University")</f>
        <v>Fordham University</v>
      </c>
      <c r="B796" s="18" t="s">
        <v>32</v>
      </c>
      <c r="C796" s="18" t="s">
        <v>38</v>
      </c>
      <c r="D796" s="18" t="s">
        <v>217</v>
      </c>
      <c r="E796" s="18">
        <v>1337</v>
      </c>
      <c r="F796" s="18" t="s">
        <v>35</v>
      </c>
      <c r="G796" s="18" t="s">
        <v>40</v>
      </c>
      <c r="H796" s="18" t="s">
        <v>218</v>
      </c>
      <c r="I796" s="18" t="s">
        <v>219</v>
      </c>
      <c r="J796" s="19"/>
      <c r="K796" s="19">
        <v>0.79459999999999997</v>
      </c>
      <c r="L796" s="19">
        <v>0.65100671099999996</v>
      </c>
      <c r="M796" s="19">
        <v>0.82820000000000005</v>
      </c>
      <c r="N796" s="19">
        <v>0.625</v>
      </c>
      <c r="O796" s="19">
        <v>0.75900000000000001</v>
      </c>
      <c r="P796" s="19">
        <v>0.74739999999999995</v>
      </c>
      <c r="Q796" s="19"/>
      <c r="R796" s="20">
        <v>72239</v>
      </c>
      <c r="S796" s="21" t="str">
        <f>HYPERLINK("https://www.fordham.edu/finaid/npc", "$23636")</f>
        <v>$23636</v>
      </c>
      <c r="T796" s="20">
        <v>32480</v>
      </c>
      <c r="U796" s="20">
        <v>34459</v>
      </c>
      <c r="V796" s="20">
        <v>3808</v>
      </c>
      <c r="W796" s="20">
        <v>19828</v>
      </c>
      <c r="Y796" s="19">
        <v>0.19059999999999999</v>
      </c>
      <c r="Z796" s="19">
        <v>0.41849999999999998</v>
      </c>
      <c r="AB796" s="18">
        <v>9403</v>
      </c>
      <c r="AC796" s="18">
        <v>2</v>
      </c>
    </row>
    <row r="797" spans="1:29" ht="15.75" customHeight="1" x14ac:dyDescent="0.2">
      <c r="A797" s="36" t="str">
        <f>HYPERLINK("https://www.forrestcollege.edu", "Forrest College")</f>
        <v>Forrest College</v>
      </c>
      <c r="B797" s="18" t="s">
        <v>368</v>
      </c>
      <c r="C797" s="18" t="s">
        <v>208</v>
      </c>
      <c r="D797" s="18" t="s">
        <v>553</v>
      </c>
      <c r="E797" s="18" t="s">
        <v>36</v>
      </c>
      <c r="F797" s="18" t="s">
        <v>36</v>
      </c>
      <c r="J797" s="19"/>
      <c r="K797" s="19">
        <v>0.73329999999999995</v>
      </c>
      <c r="L797" s="19" t="s">
        <v>36</v>
      </c>
      <c r="M797" s="19">
        <v>0.7</v>
      </c>
      <c r="N797" s="19">
        <v>0.75</v>
      </c>
      <c r="O797" s="19" t="s">
        <v>36</v>
      </c>
      <c r="P797" s="19" t="s">
        <v>36</v>
      </c>
      <c r="Q797" s="19" t="s">
        <v>36</v>
      </c>
      <c r="R797" s="20">
        <v>26922</v>
      </c>
      <c r="S797" s="21" t="str">
        <f>HYPERLINK("https://www.forrestcollege.edu/wp-content/uploads/2012/06/npcalc.htm", "$15298")</f>
        <v>$15298</v>
      </c>
      <c r="T797" s="20">
        <v>14757</v>
      </c>
      <c r="U797" s="20">
        <v>20532</v>
      </c>
      <c r="V797" s="20">
        <v>6479</v>
      </c>
      <c r="W797" s="20">
        <v>8819</v>
      </c>
      <c r="Y797" s="19">
        <v>0.81130000000000002</v>
      </c>
      <c r="Z797" s="19">
        <v>0.40279999999999999</v>
      </c>
      <c r="AB797" s="18">
        <v>72</v>
      </c>
      <c r="AC797" s="18">
        <v>6</v>
      </c>
    </row>
    <row r="798" spans="1:29" ht="15.75" customHeight="1" x14ac:dyDescent="0.2">
      <c r="A798" s="36" t="str">
        <f>HYPERLINK("https://www.forsythtech.edu/", "Forsyth Technical Community College")</f>
        <v>Forsyth Technical Community College</v>
      </c>
      <c r="B798" s="18" t="s">
        <v>49</v>
      </c>
      <c r="C798" s="18" t="s">
        <v>103</v>
      </c>
      <c r="D798" s="18" t="s">
        <v>178</v>
      </c>
      <c r="E798" s="18" t="s">
        <v>36</v>
      </c>
      <c r="F798" s="18" t="s">
        <v>36</v>
      </c>
      <c r="J798" s="19"/>
      <c r="K798" s="19">
        <v>0.17069999999999999</v>
      </c>
      <c r="L798" s="19">
        <v>0.15002459400000001</v>
      </c>
      <c r="M798" s="19">
        <v>0.21229999999999999</v>
      </c>
      <c r="N798" s="19">
        <v>6.0400000000000002E-2</v>
      </c>
      <c r="O798" s="19">
        <v>0.13109999999999999</v>
      </c>
      <c r="P798" s="19">
        <v>0.28570000000000001</v>
      </c>
      <c r="Q798" s="19">
        <v>6.6070735000000005E-2</v>
      </c>
      <c r="R798" s="20">
        <v>16343</v>
      </c>
      <c r="S798" s="21" t="str">
        <f>HYPERLINK("https://www.forsythtech.edu/static/netpricecalculator/npcalc.htm", "$11900")</f>
        <v>$11900</v>
      </c>
      <c r="T798" s="20">
        <v>12847</v>
      </c>
      <c r="U798" s="20">
        <v>15582</v>
      </c>
      <c r="V798" s="20">
        <v>6048</v>
      </c>
      <c r="W798" s="20">
        <v>5852.1860465116279</v>
      </c>
      <c r="Y798" s="19">
        <v>0.38919999999999999</v>
      </c>
      <c r="Z798" s="19">
        <v>0.45300000000000001</v>
      </c>
      <c r="AB798" s="18">
        <v>6602</v>
      </c>
      <c r="AC798" s="18">
        <v>6</v>
      </c>
    </row>
    <row r="799" spans="1:29" ht="15.75" customHeight="1" x14ac:dyDescent="0.2">
      <c r="A799" s="36" t="str">
        <f>HYPERLINK("https://www.fhsu.edu", "Fort Hays State University")</f>
        <v>Fort Hays State University</v>
      </c>
      <c r="B799" s="18" t="s">
        <v>49</v>
      </c>
      <c r="C799" s="18" t="s">
        <v>307</v>
      </c>
      <c r="D799" s="18" t="s">
        <v>767</v>
      </c>
      <c r="E799" s="18" t="s">
        <v>36</v>
      </c>
      <c r="F799" s="18" t="s">
        <v>90</v>
      </c>
      <c r="J799" s="19"/>
      <c r="K799" s="19">
        <v>0.43799999999999989</v>
      </c>
      <c r="L799" s="19">
        <v>0.36978417299999999</v>
      </c>
      <c r="M799" s="19">
        <v>0.46860000000000002</v>
      </c>
      <c r="N799" s="19">
        <v>0.1754</v>
      </c>
      <c r="O799" s="19">
        <v>0.40510000000000002</v>
      </c>
      <c r="P799" s="19">
        <v>0.57140000000000002</v>
      </c>
      <c r="Q799" s="19"/>
      <c r="R799" s="20">
        <v>27654</v>
      </c>
      <c r="S799" s="21" t="str">
        <f>HYPERLINK("https://www.fhsu.edu/finaid/net-price-calculator/", "$20667")</f>
        <v>$20667</v>
      </c>
      <c r="T799" s="20">
        <v>23711</v>
      </c>
      <c r="U799" s="20">
        <v>25290</v>
      </c>
      <c r="V799" s="20">
        <v>4928</v>
      </c>
      <c r="W799" s="20">
        <v>15739.76119402985</v>
      </c>
      <c r="Y799" s="19">
        <v>0.2802</v>
      </c>
      <c r="Z799" s="19">
        <v>0.45660000000000001</v>
      </c>
      <c r="AB799" s="18">
        <v>12174</v>
      </c>
      <c r="AC799" s="18">
        <v>4</v>
      </c>
    </row>
    <row r="800" spans="1:29" ht="15.75" customHeight="1" x14ac:dyDescent="0.2">
      <c r="A800" s="36" t="str">
        <f>HYPERLINK("https://fortlewis.edu/", "Fort Lewis College")</f>
        <v>Fort Lewis College</v>
      </c>
      <c r="B800" s="18" t="s">
        <v>49</v>
      </c>
      <c r="C800" s="18" t="s">
        <v>87</v>
      </c>
      <c r="D800" s="18" t="s">
        <v>769</v>
      </c>
      <c r="E800" s="18">
        <v>1123</v>
      </c>
      <c r="F800" s="18" t="s">
        <v>35</v>
      </c>
      <c r="J800" s="19"/>
      <c r="K800" s="19">
        <v>0.40179999999999999</v>
      </c>
      <c r="L800" s="19">
        <v>0.39839572200000001</v>
      </c>
      <c r="M800" s="19">
        <v>0.44769999999999999</v>
      </c>
      <c r="N800" s="19">
        <v>0.45450000000000002</v>
      </c>
      <c r="O800" s="19">
        <v>0.44290000000000002</v>
      </c>
      <c r="P800" s="19">
        <v>0.66669999999999996</v>
      </c>
      <c r="Q800" s="19"/>
      <c r="R800" s="20">
        <v>36843</v>
      </c>
      <c r="S800" s="21" t="str">
        <f>HYPERLINK("https://www.fortlewis.edu/home/Cost.aspx", "$25632")</f>
        <v>$25632</v>
      </c>
      <c r="T800" s="20">
        <v>29720</v>
      </c>
      <c r="U800" s="20">
        <v>31783</v>
      </c>
      <c r="V800" s="20">
        <v>6814</v>
      </c>
      <c r="W800" s="20">
        <v>18818.215909090912</v>
      </c>
      <c r="Y800" s="19">
        <v>0.34510000000000002</v>
      </c>
      <c r="Z800" s="19">
        <v>0.51490000000000002</v>
      </c>
      <c r="AB800" s="18">
        <v>3150</v>
      </c>
      <c r="AC800" s="18">
        <v>4</v>
      </c>
    </row>
    <row r="801" spans="1:29" ht="15.75" customHeight="1" x14ac:dyDescent="0.2">
      <c r="A801" s="36" t="str">
        <f>HYPERLINK("https://www.fpcc.edu", "Fort Peck Community College")</f>
        <v>Fort Peck Community College</v>
      </c>
      <c r="B801" s="18" t="s">
        <v>49</v>
      </c>
      <c r="C801" s="18" t="s">
        <v>421</v>
      </c>
      <c r="D801" s="18" t="s">
        <v>1340</v>
      </c>
      <c r="E801" s="18" t="s">
        <v>36</v>
      </c>
      <c r="F801" s="18" t="s">
        <v>36</v>
      </c>
      <c r="J801" s="19"/>
      <c r="K801" s="19">
        <v>8.1600000000000006E-2</v>
      </c>
      <c r="L801" s="19" t="s">
        <v>36</v>
      </c>
      <c r="M801" s="19">
        <v>0.33329999999999999</v>
      </c>
      <c r="N801" s="19" t="s">
        <v>36</v>
      </c>
      <c r="O801" s="19" t="s">
        <v>36</v>
      </c>
      <c r="P801" s="19">
        <v>0</v>
      </c>
      <c r="Q801" s="19" t="s">
        <v>36</v>
      </c>
      <c r="R801" s="20">
        <v>15100</v>
      </c>
      <c r="S801" s="21" t="str">
        <f>HYPERLINK("https://www.fpcc.edu", "$7163")</f>
        <v>$7163</v>
      </c>
      <c r="T801" s="20">
        <v>8237</v>
      </c>
      <c r="U801" s="20">
        <v>7210</v>
      </c>
      <c r="V801" s="20">
        <v>4075</v>
      </c>
      <c r="W801" s="20">
        <v>3088.333333333333</v>
      </c>
      <c r="Y801" s="19">
        <v>0.24940000000000001</v>
      </c>
      <c r="Z801" s="19">
        <v>0.94579999999999997</v>
      </c>
      <c r="AB801" s="18">
        <v>295</v>
      </c>
      <c r="AC801" s="18">
        <v>6</v>
      </c>
    </row>
    <row r="802" spans="1:29" ht="15.75" customHeight="1" x14ac:dyDescent="0.2">
      <c r="A802" s="36" t="str">
        <f>HYPERLINK("https://www.fvsu.edu", "Fort Valley State University")</f>
        <v>Fort Valley State University</v>
      </c>
      <c r="B802" s="18" t="s">
        <v>49</v>
      </c>
      <c r="C802" s="18" t="s">
        <v>107</v>
      </c>
      <c r="D802" s="18" t="s">
        <v>361</v>
      </c>
      <c r="E802" s="18">
        <v>564</v>
      </c>
      <c r="F802" s="18" t="s">
        <v>35</v>
      </c>
      <c r="J802" s="19"/>
      <c r="K802" s="19">
        <v>0.25929999999999997</v>
      </c>
      <c r="L802" s="19">
        <v>0.27127003700000002</v>
      </c>
      <c r="M802" s="19">
        <v>0.125</v>
      </c>
      <c r="N802" s="19">
        <v>0.2611</v>
      </c>
      <c r="O802" s="19">
        <v>0.33329999999999999</v>
      </c>
      <c r="P802" s="19">
        <v>0</v>
      </c>
      <c r="Q802" s="19"/>
      <c r="R802" s="20">
        <v>34188</v>
      </c>
      <c r="S802" s="21" t="str">
        <f>HYPERLINK("https://npc.fvsu.edu/npc_2015/npcalc.htm", "$26803")</f>
        <v>$26803</v>
      </c>
      <c r="T802" s="20">
        <v>30036</v>
      </c>
      <c r="U802" s="20">
        <v>32053</v>
      </c>
      <c r="V802" s="20">
        <v>6500</v>
      </c>
      <c r="W802" s="20">
        <v>20303.20821114369</v>
      </c>
      <c r="Y802" s="19">
        <v>0.76200000000000001</v>
      </c>
      <c r="Z802" s="19">
        <v>0.96740000000000004</v>
      </c>
      <c r="AB802" s="18">
        <v>2329</v>
      </c>
      <c r="AC802" s="18">
        <v>3</v>
      </c>
    </row>
    <row r="803" spans="1:29" ht="15.75" customHeight="1" x14ac:dyDescent="0.2">
      <c r="A803" s="36" t="str">
        <f>HYPERLINK("https://www.fortiscollege.edu", "Fortis College-Centerville")</f>
        <v>Fortis College-Centerville</v>
      </c>
      <c r="B803" s="18" t="s">
        <v>368</v>
      </c>
      <c r="C803" s="18" t="s">
        <v>75</v>
      </c>
      <c r="D803" s="18" t="s">
        <v>1341</v>
      </c>
      <c r="E803" s="18" t="s">
        <v>36</v>
      </c>
      <c r="F803" s="18" t="s">
        <v>36</v>
      </c>
      <c r="J803" s="19"/>
      <c r="K803" s="19">
        <v>0.32550000000000001</v>
      </c>
      <c r="L803" s="19">
        <v>0.44690553799999999</v>
      </c>
      <c r="M803" s="19">
        <v>0.46839999999999998</v>
      </c>
      <c r="N803" s="19">
        <v>0.3226</v>
      </c>
      <c r="O803" s="19">
        <v>1</v>
      </c>
      <c r="P803" s="19" t="s">
        <v>36</v>
      </c>
      <c r="Q803" s="19">
        <v>1.4903130000000001E-2</v>
      </c>
      <c r="R803" s="20">
        <v>28907</v>
      </c>
      <c r="S803" s="21" t="str">
        <f>HYPERLINK("https://www.fortiscollege.edu", "$27344")</f>
        <v>$27344</v>
      </c>
      <c r="T803" s="20">
        <v>29522</v>
      </c>
      <c r="U803" s="20">
        <v>32783</v>
      </c>
      <c r="V803" s="20">
        <v>6565</v>
      </c>
      <c r="W803" s="20">
        <v>20779</v>
      </c>
      <c r="Y803" s="19">
        <v>0.79669999999999996</v>
      </c>
      <c r="Z803" s="19">
        <v>0.64779999999999993</v>
      </c>
      <c r="AB803" s="18">
        <v>690</v>
      </c>
      <c r="AC803" s="18">
        <v>6</v>
      </c>
    </row>
    <row r="804" spans="1:29" ht="15.75" customHeight="1" x14ac:dyDescent="0.2">
      <c r="A804" s="36" t="str">
        <f>HYPERLINK("https://www.fortis.edu", "Fortis Institute-Scranton")</f>
        <v>Fortis Institute-Scranton</v>
      </c>
      <c r="B804" s="18" t="s">
        <v>368</v>
      </c>
      <c r="C804" s="18" t="s">
        <v>65</v>
      </c>
      <c r="D804" s="18" t="s">
        <v>524</v>
      </c>
      <c r="E804" s="18" t="s">
        <v>36</v>
      </c>
      <c r="F804" s="18" t="s">
        <v>36</v>
      </c>
      <c r="J804" s="19"/>
      <c r="K804" s="19">
        <v>0.52939999999999998</v>
      </c>
      <c r="L804" s="19">
        <v>0.45247148300000001</v>
      </c>
      <c r="M804" s="19">
        <v>0.55559999999999998</v>
      </c>
      <c r="N804" s="19">
        <v>0.45450000000000002</v>
      </c>
      <c r="O804" s="19">
        <v>0.4667</v>
      </c>
      <c r="P804" s="19">
        <v>1</v>
      </c>
      <c r="Q804" s="19" t="s">
        <v>36</v>
      </c>
      <c r="R804" s="20">
        <v>40381</v>
      </c>
      <c r="S804" s="21" t="str">
        <f>HYPERLINK("https://www.fortis.edu/portals/0/compliancefiles/netprice-calc/npcalc-fortis_scranton.htm", "$28362")</f>
        <v>$28362</v>
      </c>
      <c r="T804" s="20">
        <v>31287</v>
      </c>
      <c r="U804" s="20">
        <v>33936</v>
      </c>
      <c r="V804" s="20">
        <v>5935</v>
      </c>
      <c r="W804" s="20">
        <v>22427</v>
      </c>
      <c r="Y804" s="19">
        <v>0.78790000000000004</v>
      </c>
      <c r="Z804" s="19">
        <v>0.28920000000000001</v>
      </c>
      <c r="AB804" s="18">
        <v>287</v>
      </c>
      <c r="AC804" s="18">
        <v>6</v>
      </c>
    </row>
    <row r="805" spans="1:29" ht="15.75" customHeight="1" x14ac:dyDescent="0.2">
      <c r="A805" s="36" t="str">
        <f>HYPERLINK("https://www.fountainheadcollege.edu", "Fountainhead College of Technology")</f>
        <v>Fountainhead College of Technology</v>
      </c>
      <c r="B805" s="18" t="s">
        <v>368</v>
      </c>
      <c r="C805" s="18" t="s">
        <v>174</v>
      </c>
      <c r="D805" s="18" t="s">
        <v>492</v>
      </c>
      <c r="E805" s="18" t="s">
        <v>36</v>
      </c>
      <c r="F805" s="18" t="s">
        <v>36</v>
      </c>
      <c r="J805" s="19"/>
      <c r="K805" s="19">
        <v>0.43640000000000001</v>
      </c>
      <c r="L805" s="19">
        <v>0.56701030899999993</v>
      </c>
      <c r="M805" s="19">
        <v>0.44</v>
      </c>
      <c r="N805" s="19">
        <v>0.4</v>
      </c>
      <c r="O805" s="19" t="s">
        <v>36</v>
      </c>
      <c r="P805" s="19" t="s">
        <v>36</v>
      </c>
      <c r="Q805" s="19" t="s">
        <v>36</v>
      </c>
      <c r="R805" s="20">
        <v>29412</v>
      </c>
      <c r="S805" s="21" t="str">
        <f>HYPERLINK("https://fountainheadcollege.edu/npcalc.htm", "$19778")</f>
        <v>$19778</v>
      </c>
      <c r="T805" s="20" t="s">
        <v>36</v>
      </c>
      <c r="U805" s="20" t="s">
        <v>36</v>
      </c>
      <c r="V805" s="20">
        <v>7580</v>
      </c>
      <c r="W805" s="20">
        <v>12198</v>
      </c>
      <c r="Y805" s="19">
        <v>0.82569999999999999</v>
      </c>
      <c r="Z805" s="19">
        <v>9.0899999999999981E-2</v>
      </c>
      <c r="AB805" s="18">
        <v>88</v>
      </c>
      <c r="AC805" s="18">
        <v>6</v>
      </c>
    </row>
    <row r="806" spans="1:29" ht="15.75" customHeight="1" x14ac:dyDescent="0.2">
      <c r="A806" s="36" t="str">
        <f>HYPERLINK("https://www.foxcollege.edu", "Fox College")</f>
        <v>Fox College</v>
      </c>
      <c r="B806" s="18" t="s">
        <v>368</v>
      </c>
      <c r="C806" s="18" t="s">
        <v>137</v>
      </c>
      <c r="D806" s="18" t="s">
        <v>1343</v>
      </c>
      <c r="E806" s="18" t="s">
        <v>36</v>
      </c>
      <c r="F806" s="18" t="s">
        <v>45</v>
      </c>
      <c r="J806" s="19"/>
      <c r="K806" s="19">
        <v>0.7</v>
      </c>
      <c r="L806" s="19">
        <v>0.55487804900000004</v>
      </c>
      <c r="M806" s="19">
        <v>0.84619999999999995</v>
      </c>
      <c r="N806" s="19">
        <v>0.25</v>
      </c>
      <c r="O806" s="19">
        <v>0.71430000000000005</v>
      </c>
      <c r="P806" s="19" t="s">
        <v>36</v>
      </c>
      <c r="Q806" s="19">
        <v>3.4482759000000002E-2</v>
      </c>
      <c r="R806" s="20">
        <v>24396</v>
      </c>
      <c r="S806" s="21" t="str">
        <f>HYPERLINK("https://www.foxcollege.edu/aid", "$10169")</f>
        <v>$10169</v>
      </c>
      <c r="T806" s="20">
        <v>16473</v>
      </c>
      <c r="U806" s="20">
        <v>17364</v>
      </c>
      <c r="V806" s="20">
        <v>3036</v>
      </c>
      <c r="W806" s="20">
        <v>7133</v>
      </c>
      <c r="Y806" s="19">
        <v>0.5333</v>
      </c>
      <c r="Z806" s="19">
        <v>0.41110000000000002</v>
      </c>
      <c r="AB806" s="18">
        <v>433</v>
      </c>
      <c r="AC806" s="18">
        <v>6</v>
      </c>
    </row>
    <row r="807" spans="1:29" ht="15.75" customHeight="1" x14ac:dyDescent="0.2">
      <c r="A807" s="36" t="str">
        <f>HYPERLINK("https://www.framingham.edu/", "Framingham State University")</f>
        <v>Framingham State University</v>
      </c>
      <c r="B807" s="18" t="s">
        <v>49</v>
      </c>
      <c r="C807" s="18" t="s">
        <v>33</v>
      </c>
      <c r="D807" s="18" t="s">
        <v>771</v>
      </c>
      <c r="E807" s="18">
        <v>1043</v>
      </c>
      <c r="F807" s="18" t="s">
        <v>35</v>
      </c>
      <c r="J807" s="19"/>
      <c r="K807" s="19">
        <v>0.53979999999999995</v>
      </c>
      <c r="L807" s="19">
        <v>0.50243902399999996</v>
      </c>
      <c r="M807" s="19">
        <v>0.54830000000000001</v>
      </c>
      <c r="N807" s="19">
        <v>0.55769999999999997</v>
      </c>
      <c r="O807" s="19">
        <v>0.4778</v>
      </c>
      <c r="P807" s="19">
        <v>0.63639999999999997</v>
      </c>
      <c r="Q807" s="19"/>
      <c r="R807" s="20">
        <v>32230</v>
      </c>
      <c r="S807" s="21" t="str">
        <f>HYPERLINK("https://npc.collegeboard.org/student/app/framingham", "$22653")</f>
        <v>$22653</v>
      </c>
      <c r="T807" s="20">
        <v>26393</v>
      </c>
      <c r="U807" s="20">
        <v>30413</v>
      </c>
      <c r="V807" s="20">
        <v>4410</v>
      </c>
      <c r="W807" s="20">
        <v>18243.96446700508</v>
      </c>
      <c r="Y807" s="19">
        <v>0.31309999999999999</v>
      </c>
      <c r="Z807" s="19">
        <v>0.3518</v>
      </c>
      <c r="AB807" s="18">
        <v>3963</v>
      </c>
      <c r="AC807" s="18">
        <v>4</v>
      </c>
    </row>
    <row r="808" spans="1:29" ht="15.75" customHeight="1" x14ac:dyDescent="0.2">
      <c r="A808" s="36" t="str">
        <f>HYPERLINK("https://www.fmarion.edu", "Francis Marion University")</f>
        <v>Francis Marion University</v>
      </c>
      <c r="B808" s="18" t="s">
        <v>49</v>
      </c>
      <c r="C808" s="18" t="s">
        <v>208</v>
      </c>
      <c r="D808" s="18" t="s">
        <v>772</v>
      </c>
      <c r="E808" s="18">
        <v>1003</v>
      </c>
      <c r="F808" s="18" t="s">
        <v>35</v>
      </c>
      <c r="J808" s="19"/>
      <c r="K808" s="19">
        <v>0.37330000000000002</v>
      </c>
      <c r="L808" s="19">
        <v>0.38624338600000002</v>
      </c>
      <c r="M808" s="19">
        <v>0.3831</v>
      </c>
      <c r="N808" s="19">
        <v>0.37080000000000002</v>
      </c>
      <c r="O808" s="19">
        <v>0.3</v>
      </c>
      <c r="P808" s="19">
        <v>0.16669999999999999</v>
      </c>
      <c r="Q808" s="19"/>
      <c r="R808" s="20">
        <v>33418</v>
      </c>
      <c r="S808" s="21" t="str">
        <f>HYPERLINK("https://netprice.fmarion.edu", "$23158")</f>
        <v>$23158</v>
      </c>
      <c r="T808" s="20">
        <v>27719</v>
      </c>
      <c r="U808" s="20">
        <v>29495</v>
      </c>
      <c r="V808" s="20">
        <v>4552</v>
      </c>
      <c r="W808" s="20">
        <v>18606.046448087429</v>
      </c>
      <c r="Y808" s="19">
        <v>0.54200000000000004</v>
      </c>
      <c r="Z808" s="19">
        <v>0.51350000000000007</v>
      </c>
      <c r="AB808" s="18">
        <v>3079</v>
      </c>
      <c r="AC808" s="18">
        <v>4</v>
      </c>
    </row>
    <row r="809" spans="1:29" ht="15.75" customHeight="1" x14ac:dyDescent="0.2">
      <c r="A809" s="36" t="str">
        <f>HYPERLINK("https://www.franciscan.edu", "Franciscan University of Steubenville")</f>
        <v>Franciscan University of Steubenville</v>
      </c>
      <c r="B809" s="18" t="s">
        <v>32</v>
      </c>
      <c r="C809" s="18" t="s">
        <v>75</v>
      </c>
      <c r="D809" s="18" t="s">
        <v>362</v>
      </c>
      <c r="E809" s="18">
        <v>1209</v>
      </c>
      <c r="F809" s="18" t="s">
        <v>35</v>
      </c>
      <c r="J809" s="19"/>
      <c r="K809" s="19">
        <v>0.77680000000000005</v>
      </c>
      <c r="L809" s="19">
        <v>0.619565217</v>
      </c>
      <c r="M809" s="19">
        <v>0.79</v>
      </c>
      <c r="N809" s="19">
        <v>1</v>
      </c>
      <c r="O809" s="19">
        <v>0.625</v>
      </c>
      <c r="P809" s="19">
        <v>0.5</v>
      </c>
      <c r="Q809" s="19"/>
      <c r="R809" s="20">
        <v>37790</v>
      </c>
      <c r="S809" s="21" t="str">
        <f>HYPERLINK("https://www.franciscan.edu/sfs/new/", "$18612")</f>
        <v>$18612</v>
      </c>
      <c r="T809" s="20">
        <v>20130</v>
      </c>
      <c r="U809" s="20">
        <v>22621</v>
      </c>
      <c r="V809" s="20">
        <v>2960</v>
      </c>
      <c r="W809" s="20">
        <v>15652</v>
      </c>
      <c r="Y809" s="19">
        <v>0.41820000000000002</v>
      </c>
      <c r="Z809" s="19">
        <v>0.18729999999999999</v>
      </c>
      <c r="AB809" s="18">
        <v>2071</v>
      </c>
      <c r="AC809" s="18">
        <v>3</v>
      </c>
    </row>
    <row r="810" spans="1:29" ht="15.75" customHeight="1" x14ac:dyDescent="0.2">
      <c r="A810" s="36" t="str">
        <f>HYPERLINK("https://www.franklincollege.edu", "Franklin College")</f>
        <v>Franklin College</v>
      </c>
      <c r="B810" s="18" t="s">
        <v>32</v>
      </c>
      <c r="C810" s="18" t="s">
        <v>148</v>
      </c>
      <c r="D810" s="18" t="s">
        <v>774</v>
      </c>
      <c r="E810" s="18">
        <v>1105</v>
      </c>
      <c r="F810" s="18" t="s">
        <v>35</v>
      </c>
      <c r="J810" s="19"/>
      <c r="K810" s="19">
        <v>0.61680000000000001</v>
      </c>
      <c r="L810" s="19">
        <v>0.55128205100000005</v>
      </c>
      <c r="M810" s="19">
        <v>0.62780000000000002</v>
      </c>
      <c r="N810" s="19">
        <v>0.4667</v>
      </c>
      <c r="O810" s="19">
        <v>0</v>
      </c>
      <c r="P810" s="19" t="s">
        <v>36</v>
      </c>
      <c r="Q810" s="19"/>
      <c r="R810" s="20">
        <v>44350</v>
      </c>
      <c r="S810" s="21" t="str">
        <f>HYPERLINK("https://franklincollege.edu/admissions/tuition-fees-2/", "$14774")</f>
        <v>$14774</v>
      </c>
      <c r="T810" s="20">
        <v>20127</v>
      </c>
      <c r="U810" s="20">
        <v>24010</v>
      </c>
      <c r="V810" s="20">
        <v>3800</v>
      </c>
      <c r="W810" s="20">
        <v>10974</v>
      </c>
      <c r="Y810" s="19">
        <v>0.36349999999999999</v>
      </c>
      <c r="Z810" s="19">
        <v>0.13189999999999999</v>
      </c>
      <c r="AB810" s="18">
        <v>978</v>
      </c>
      <c r="AC810" s="18">
        <v>4</v>
      </c>
    </row>
    <row r="811" spans="1:29" ht="15.75" customHeight="1" x14ac:dyDescent="0.2">
      <c r="A811" s="36" t="str">
        <f>HYPERLINK("https://www.franklinpierce.edu", "Franklin Pierce University")</f>
        <v>Franklin Pierce University</v>
      </c>
      <c r="B811" s="18" t="s">
        <v>32</v>
      </c>
      <c r="C811" s="18" t="s">
        <v>101</v>
      </c>
      <c r="D811" s="18" t="s">
        <v>775</v>
      </c>
      <c r="E811" s="18" t="s">
        <v>36</v>
      </c>
      <c r="F811" s="18" t="s">
        <v>115</v>
      </c>
      <c r="J811" s="19"/>
      <c r="K811" s="19">
        <v>0.48899999999999999</v>
      </c>
      <c r="L811" s="19">
        <v>0.50862068999999999</v>
      </c>
      <c r="M811" s="19">
        <v>0.51070000000000004</v>
      </c>
      <c r="N811" s="19">
        <v>0.6</v>
      </c>
      <c r="O811" s="19">
        <v>0.18179999999999999</v>
      </c>
      <c r="P811" s="19">
        <v>1</v>
      </c>
      <c r="Q811" s="19"/>
      <c r="R811" s="20">
        <v>51577</v>
      </c>
      <c r="S811" s="21" t="str">
        <f>HYPERLINK("https://www.franklinpierce.edu/admissions/finaid/ssl/npc.htm", "$22500")</f>
        <v>$22500</v>
      </c>
      <c r="T811" s="20">
        <v>24989</v>
      </c>
      <c r="U811" s="20">
        <v>26935</v>
      </c>
      <c r="V811" s="20">
        <v>3500</v>
      </c>
      <c r="W811" s="20">
        <v>19000</v>
      </c>
      <c r="Y811" s="19">
        <v>0.29949999999999999</v>
      </c>
      <c r="Z811" s="19">
        <v>0.26140000000000002</v>
      </c>
      <c r="AB811" s="18">
        <v>1710</v>
      </c>
      <c r="AC811" s="18">
        <v>4</v>
      </c>
    </row>
    <row r="812" spans="1:29" ht="15.75" customHeight="1" x14ac:dyDescent="0.2">
      <c r="A812" s="36" t="str">
        <f>HYPERLINK("https://www.franklin.edu", "Franklin University")</f>
        <v>Franklin University</v>
      </c>
      <c r="B812" s="18" t="s">
        <v>32</v>
      </c>
      <c r="C812" s="18" t="s">
        <v>75</v>
      </c>
      <c r="D812" s="18" t="s">
        <v>237</v>
      </c>
      <c r="E812" s="18" t="s">
        <v>36</v>
      </c>
      <c r="F812" s="18" t="s">
        <v>36</v>
      </c>
      <c r="J812" s="19"/>
      <c r="K812" s="19">
        <v>5.6599999999999998E-2</v>
      </c>
      <c r="L812" s="19">
        <v>0.12703379200000001</v>
      </c>
      <c r="M812" s="19">
        <v>5.2600000000000001E-2</v>
      </c>
      <c r="N812" s="19">
        <v>3.5700000000000003E-2</v>
      </c>
      <c r="O812" s="19" t="s">
        <v>36</v>
      </c>
      <c r="P812" s="19" t="s">
        <v>36</v>
      </c>
      <c r="Q812" s="19"/>
      <c r="R812" s="20">
        <v>32933</v>
      </c>
      <c r="S812" s="21" t="str">
        <f>HYPERLINK("https://www.franklin.edu/lp/npcalc/index.html", "$23868")</f>
        <v>$23868</v>
      </c>
      <c r="T812" s="20">
        <v>26751</v>
      </c>
      <c r="U812" s="20" t="s">
        <v>36</v>
      </c>
      <c r="V812" s="20">
        <v>6300</v>
      </c>
      <c r="W812" s="20">
        <v>17568</v>
      </c>
      <c r="Y812" s="19">
        <v>0.39</v>
      </c>
      <c r="Z812" s="19">
        <v>0.36759999999999998</v>
      </c>
      <c r="AB812" s="18">
        <v>3433</v>
      </c>
      <c r="AC812" s="18">
        <v>4</v>
      </c>
    </row>
    <row r="813" spans="1:29" ht="15.75" customHeight="1" x14ac:dyDescent="0.2">
      <c r="A813" s="36" t="str">
        <f>HYPERLINK("https://www.olin.edu", "Franklin W Olin College of Engineering")</f>
        <v>Franklin W Olin College of Engineering</v>
      </c>
      <c r="B813" s="18" t="s">
        <v>32</v>
      </c>
      <c r="C813" s="18" t="s">
        <v>33</v>
      </c>
      <c r="D813" s="18" t="s">
        <v>110</v>
      </c>
      <c r="E813" s="18">
        <v>1522</v>
      </c>
      <c r="F813" s="18" t="s">
        <v>35</v>
      </c>
      <c r="J813" s="19"/>
      <c r="K813" s="19">
        <v>0.91459999999999997</v>
      </c>
      <c r="L813" s="19" t="s">
        <v>36</v>
      </c>
      <c r="M813" s="19">
        <v>0.91110000000000002</v>
      </c>
      <c r="N813" s="19">
        <v>1</v>
      </c>
      <c r="O813" s="19">
        <v>1</v>
      </c>
      <c r="P813" s="19">
        <v>0.91669999999999996</v>
      </c>
      <c r="Q813" s="19"/>
      <c r="R813" s="20">
        <v>70289</v>
      </c>
      <c r="S813" s="21" t="str">
        <f>HYPERLINK("https://npc.collegeboard.org/student/app/olin", "$5536")</f>
        <v>$5536</v>
      </c>
      <c r="T813" s="20">
        <v>11813</v>
      </c>
      <c r="U813" s="20">
        <v>26956</v>
      </c>
      <c r="V813" s="20">
        <v>2053</v>
      </c>
      <c r="W813" s="20">
        <v>3483</v>
      </c>
      <c r="X813" s="18" t="s">
        <v>37</v>
      </c>
      <c r="Y813" s="19">
        <v>7.6700000000000004E-2</v>
      </c>
      <c r="Z813" s="19">
        <v>0.46960000000000002</v>
      </c>
      <c r="AB813" s="18">
        <v>345</v>
      </c>
      <c r="AC813" s="18">
        <v>1</v>
      </c>
    </row>
    <row r="814" spans="1:29" ht="15.75" customHeight="1" x14ac:dyDescent="0.2">
      <c r="A814" s="36" t="str">
        <f>HYPERLINK("https://WWW.FANDM.EDU", "Franklin and Marshall College")</f>
        <v>Franklin and Marshall College</v>
      </c>
      <c r="B814" s="18" t="s">
        <v>32</v>
      </c>
      <c r="C814" s="18" t="s">
        <v>65</v>
      </c>
      <c r="D814" s="18" t="s">
        <v>112</v>
      </c>
      <c r="E814" s="18" t="s">
        <v>36</v>
      </c>
      <c r="F814" s="18" t="s">
        <v>45</v>
      </c>
      <c r="J814" s="19"/>
      <c r="K814" s="19">
        <v>0.85519999999999996</v>
      </c>
      <c r="L814" s="19">
        <v>0.71428571400000007</v>
      </c>
      <c r="M814" s="19">
        <v>0.86629999999999996</v>
      </c>
      <c r="N814" s="19">
        <v>0.8</v>
      </c>
      <c r="O814" s="19">
        <v>0.81579999999999997</v>
      </c>
      <c r="P814" s="19">
        <v>0.83330000000000004</v>
      </c>
      <c r="Q814" s="19"/>
      <c r="R814" s="20">
        <v>70430</v>
      </c>
      <c r="S814" s="21" t="str">
        <f>HYPERLINK("https://npc.collegeboard.org/student/app/fandm", "$10455")</f>
        <v>$10455</v>
      </c>
      <c r="T814" s="20">
        <v>17632</v>
      </c>
      <c r="U814" s="20">
        <v>23888</v>
      </c>
      <c r="V814" s="20">
        <v>2470</v>
      </c>
      <c r="W814" s="20">
        <v>7985</v>
      </c>
      <c r="X814" s="18" t="s">
        <v>37</v>
      </c>
      <c r="Y814" s="19">
        <v>0.1729</v>
      </c>
      <c r="Z814" s="19">
        <v>0.43009999999999998</v>
      </c>
      <c r="AB814" s="18">
        <v>2269</v>
      </c>
      <c r="AC814" s="18">
        <v>1</v>
      </c>
    </row>
    <row r="815" spans="1:29" ht="15.75" customHeight="1" x14ac:dyDescent="0.2">
      <c r="A815" s="36" t="str">
        <f>HYPERLINK("https://www.frederick.edu", "Frederick Community College")</f>
        <v>Frederick Community College</v>
      </c>
      <c r="B815" s="18" t="s">
        <v>49</v>
      </c>
      <c r="C815" s="18" t="s">
        <v>124</v>
      </c>
      <c r="D815" s="18" t="s">
        <v>824</v>
      </c>
      <c r="E815" s="18" t="s">
        <v>36</v>
      </c>
      <c r="F815" s="18" t="s">
        <v>36</v>
      </c>
      <c r="J815" s="19"/>
      <c r="K815" s="19">
        <v>0.31209999999999999</v>
      </c>
      <c r="L815" s="19">
        <v>0.216757741</v>
      </c>
      <c r="M815" s="19">
        <v>0.36080000000000001</v>
      </c>
      <c r="N815" s="19">
        <v>0.1047</v>
      </c>
      <c r="O815" s="19">
        <v>0.24490000000000001</v>
      </c>
      <c r="P815" s="19">
        <v>0.34620000000000001</v>
      </c>
      <c r="Q815" s="19">
        <v>9.9589321999999994E-2</v>
      </c>
      <c r="R815" s="20">
        <v>21260</v>
      </c>
      <c r="S815" s="21" t="str">
        <f>HYPERLINK("https://www.frederick.edu/cost-financial-aid/cost.aspx", "$15350")</f>
        <v>$15350</v>
      </c>
      <c r="T815" s="20">
        <v>18561</v>
      </c>
      <c r="U815" s="20">
        <v>20731</v>
      </c>
      <c r="V815" s="20">
        <v>4000</v>
      </c>
      <c r="W815" s="20">
        <v>11350.99315068493</v>
      </c>
      <c r="Y815" s="19">
        <v>0.19159999999999999</v>
      </c>
      <c r="Z815" s="19">
        <v>0.38940000000000002</v>
      </c>
      <c r="AB815" s="18">
        <v>4830</v>
      </c>
      <c r="AC815" s="18">
        <v>6</v>
      </c>
    </row>
    <row r="816" spans="1:29" ht="15.75" customHeight="1" x14ac:dyDescent="0.2">
      <c r="A816" s="36" t="str">
        <f>HYPERLINK("https://www.fhu.edu", "Freed-Hardeman University")</f>
        <v>Freed-Hardeman University</v>
      </c>
      <c r="B816" s="18" t="s">
        <v>32</v>
      </c>
      <c r="C816" s="18" t="s">
        <v>174</v>
      </c>
      <c r="D816" s="18" t="s">
        <v>363</v>
      </c>
      <c r="E816" s="18">
        <v>1208</v>
      </c>
      <c r="F816" s="18" t="s">
        <v>35</v>
      </c>
      <c r="J816" s="19"/>
      <c r="K816" s="19">
        <v>0.54690000000000005</v>
      </c>
      <c r="L816" s="19">
        <v>0.462121212</v>
      </c>
      <c r="M816" s="19">
        <v>0.55620000000000003</v>
      </c>
      <c r="N816" s="19">
        <v>0.34620000000000001</v>
      </c>
      <c r="O816" s="19">
        <v>1</v>
      </c>
      <c r="P816" s="19">
        <v>0</v>
      </c>
      <c r="Q816" s="19"/>
      <c r="R816" s="20">
        <v>34950</v>
      </c>
      <c r="S816" s="21" t="str">
        <f>HYPERLINK("https://www.fhu.edu/tuition/FinancialAidEstimator", "$16099")</f>
        <v>$16099</v>
      </c>
      <c r="T816" s="20">
        <v>16406</v>
      </c>
      <c r="U816" s="20">
        <v>19080</v>
      </c>
      <c r="V816" s="20">
        <v>5050</v>
      </c>
      <c r="W816" s="20">
        <v>11049</v>
      </c>
      <c r="Y816" s="19">
        <v>0.26250000000000001</v>
      </c>
      <c r="Z816" s="19">
        <v>0.14940000000000001</v>
      </c>
      <c r="AB816" s="18">
        <v>1319</v>
      </c>
      <c r="AC816" s="18">
        <v>3</v>
      </c>
    </row>
    <row r="817" spans="1:29" ht="15.75" customHeight="1" x14ac:dyDescent="0.2">
      <c r="A817" s="36" t="str">
        <f>HYPERLINK("https://www.fremont.edu", "Fremont College")</f>
        <v>Fremont College</v>
      </c>
      <c r="B817" s="18" t="s">
        <v>368</v>
      </c>
      <c r="C817" s="18" t="s">
        <v>68</v>
      </c>
      <c r="D817" s="18" t="s">
        <v>1345</v>
      </c>
      <c r="E817" s="18" t="s">
        <v>36</v>
      </c>
      <c r="F817" s="18" t="s">
        <v>36</v>
      </c>
      <c r="J817" s="19"/>
      <c r="K817" s="19">
        <v>0.50260000000000005</v>
      </c>
      <c r="L817" s="19">
        <v>0.68269230800000003</v>
      </c>
      <c r="M817" s="19">
        <v>0.45829999999999999</v>
      </c>
      <c r="N817" s="19">
        <v>0.34379999999999999</v>
      </c>
      <c r="O817" s="19">
        <v>0.54349999999999998</v>
      </c>
      <c r="P817" s="19">
        <v>0.73680000000000001</v>
      </c>
      <c r="Q817" s="19" t="s">
        <v>36</v>
      </c>
      <c r="R817" s="20" t="s">
        <v>36</v>
      </c>
      <c r="S817" s="21" t="str">
        <f>HYPERLINK("https://www.fremont.edu/admissions/financial-aid/net-price-calculator/", "$25432")</f>
        <v>$25432</v>
      </c>
      <c r="T817" s="20">
        <v>26034</v>
      </c>
      <c r="U817" s="20">
        <v>30205</v>
      </c>
      <c r="V817" s="20" t="s">
        <v>36</v>
      </c>
      <c r="W817" s="20" t="s">
        <v>36</v>
      </c>
      <c r="Y817" s="19">
        <v>0.78069999999999995</v>
      </c>
      <c r="Z817" s="19">
        <v>0.92049999999999998</v>
      </c>
      <c r="AB817" s="18">
        <v>151</v>
      </c>
      <c r="AC817" s="18">
        <v>6</v>
      </c>
    </row>
    <row r="818" spans="1:29" ht="15.75" customHeight="1" x14ac:dyDescent="0.2">
      <c r="A818" s="36" t="str">
        <f>HYPERLINK("https://www.fresnocitycollege.edu", "Fresno City College")</f>
        <v>Fresno City College</v>
      </c>
      <c r="B818" s="18" t="s">
        <v>49</v>
      </c>
      <c r="C818" s="18" t="s">
        <v>68</v>
      </c>
      <c r="D818" s="18" t="s">
        <v>673</v>
      </c>
      <c r="E818" s="18" t="s">
        <v>36</v>
      </c>
      <c r="F818" s="18" t="s">
        <v>36</v>
      </c>
      <c r="J818" s="19"/>
      <c r="K818" s="19">
        <v>0.1757</v>
      </c>
      <c r="L818" s="19">
        <v>7.4425469000000008E-2</v>
      </c>
      <c r="M818" s="19">
        <v>0.25530000000000003</v>
      </c>
      <c r="N818" s="19">
        <v>0.1032</v>
      </c>
      <c r="O818" s="19">
        <v>0.15140000000000001</v>
      </c>
      <c r="P818" s="19">
        <v>0.23019999999999999</v>
      </c>
      <c r="Q818" s="19">
        <v>9.7378276999999999E-2</v>
      </c>
      <c r="R818" s="20">
        <v>21258</v>
      </c>
      <c r="S818" s="21" t="str">
        <f>HYPERLINK("https://misweb.cccco.edu/npc/571/npcalc.htm", "$14555")</f>
        <v>$14555</v>
      </c>
      <c r="T818" s="20">
        <v>17009</v>
      </c>
      <c r="U818" s="20">
        <v>19634</v>
      </c>
      <c r="V818" s="20">
        <v>4494</v>
      </c>
      <c r="W818" s="20">
        <v>10061.97727272727</v>
      </c>
      <c r="Y818" s="19">
        <v>0.34749999999999998</v>
      </c>
      <c r="Z818" s="19">
        <v>0.79300000000000004</v>
      </c>
      <c r="AB818" s="18">
        <v>19322</v>
      </c>
      <c r="AC818" s="18">
        <v>6</v>
      </c>
    </row>
    <row r="819" spans="1:29" ht="15.75" customHeight="1" x14ac:dyDescent="0.2">
      <c r="A819" s="36" t="str">
        <f>HYPERLINK("https://www.fresno.edu", "Fresno Pacific University")</f>
        <v>Fresno Pacific University</v>
      </c>
      <c r="B819" s="18" t="s">
        <v>32</v>
      </c>
      <c r="C819" s="18" t="s">
        <v>68</v>
      </c>
      <c r="D819" s="18" t="s">
        <v>673</v>
      </c>
      <c r="E819" s="18">
        <v>1050</v>
      </c>
      <c r="F819" s="18" t="s">
        <v>35</v>
      </c>
      <c r="J819" s="19"/>
      <c r="K819" s="19">
        <v>0.65380000000000005</v>
      </c>
      <c r="L819" s="19">
        <v>0.44705882400000002</v>
      </c>
      <c r="M819" s="19">
        <v>0.67710000000000004</v>
      </c>
      <c r="N819" s="19">
        <v>0.4</v>
      </c>
      <c r="O819" s="19">
        <v>0.67420000000000002</v>
      </c>
      <c r="P819" s="19">
        <v>0.5</v>
      </c>
      <c r="Q819" s="19"/>
      <c r="R819" s="20">
        <v>43115</v>
      </c>
      <c r="S819" s="21" t="str">
        <f>HYPERLINK("https://tcc.noellevitz.com/(S(2udqcz4v5juwacioemspbydx))/Fresno%20Pacific%20University/Freshman%20Students", "$14749")</f>
        <v>$14749</v>
      </c>
      <c r="T819" s="20">
        <v>12485</v>
      </c>
      <c r="U819" s="20">
        <v>18346</v>
      </c>
      <c r="V819" s="20">
        <v>4257</v>
      </c>
      <c r="W819" s="20">
        <v>10492</v>
      </c>
      <c r="Y819" s="19">
        <v>0.57709999999999995</v>
      </c>
      <c r="Z819" s="19">
        <v>0.71089999999999998</v>
      </c>
      <c r="AB819" s="18">
        <v>2791</v>
      </c>
      <c r="AC819" s="18">
        <v>4</v>
      </c>
    </row>
    <row r="820" spans="1:29" ht="15.75" customHeight="1" x14ac:dyDescent="0.2">
      <c r="A820" s="36" t="str">
        <f>HYPERLINK("https://www.friends.edu", "Friends University")</f>
        <v>Friends University</v>
      </c>
      <c r="B820" s="18" t="s">
        <v>32</v>
      </c>
      <c r="C820" s="18" t="s">
        <v>307</v>
      </c>
      <c r="D820" s="18" t="s">
        <v>778</v>
      </c>
      <c r="E820" s="18">
        <v>1100</v>
      </c>
      <c r="F820" s="18" t="s">
        <v>35</v>
      </c>
      <c r="J820" s="19"/>
      <c r="K820" s="19">
        <v>0.3362</v>
      </c>
      <c r="L820" s="19">
        <v>0.199288256</v>
      </c>
      <c r="M820" s="19">
        <v>0.39069999999999999</v>
      </c>
      <c r="N820" s="19">
        <v>0.125</v>
      </c>
      <c r="O820" s="19">
        <v>0.18179999999999999</v>
      </c>
      <c r="P820" s="19">
        <v>0</v>
      </c>
      <c r="Q820" s="19"/>
      <c r="R820" s="20">
        <v>40805</v>
      </c>
      <c r="S820" s="21" t="str">
        <f>HYPERLINK("https://friendsucalculator.com", "$23115")</f>
        <v>$23115</v>
      </c>
      <c r="T820" s="20">
        <v>23339</v>
      </c>
      <c r="U820" s="20">
        <v>23123</v>
      </c>
      <c r="V820" s="20">
        <v>5500</v>
      </c>
      <c r="W820" s="20">
        <v>17615</v>
      </c>
      <c r="Y820" s="19">
        <v>0.41610000000000003</v>
      </c>
      <c r="Z820" s="19">
        <v>0.40810000000000002</v>
      </c>
      <c r="AB820" s="18">
        <v>1110</v>
      </c>
      <c r="AC820" s="18">
        <v>4</v>
      </c>
    </row>
    <row r="821" spans="1:29" ht="15.75" customHeight="1" x14ac:dyDescent="0.2">
      <c r="A821" s="36" t="str">
        <f>HYPERLINK("https://www.frostburg.edu", "Frostburg State University")</f>
        <v>Frostburg State University</v>
      </c>
      <c r="B821" s="18" t="s">
        <v>49</v>
      </c>
      <c r="C821" s="18" t="s">
        <v>124</v>
      </c>
      <c r="D821" s="18" t="s">
        <v>781</v>
      </c>
      <c r="E821" s="18">
        <v>1017</v>
      </c>
      <c r="F821" s="18" t="s">
        <v>35</v>
      </c>
      <c r="J821" s="19"/>
      <c r="K821" s="19">
        <v>0.4945</v>
      </c>
      <c r="L821" s="19">
        <v>0.468277946</v>
      </c>
      <c r="M821" s="19">
        <v>0.52600000000000002</v>
      </c>
      <c r="N821" s="19">
        <v>0.46179999999999999</v>
      </c>
      <c r="O821" s="19">
        <v>0.34620000000000001</v>
      </c>
      <c r="P821" s="19">
        <v>0.5</v>
      </c>
      <c r="Q821" s="19"/>
      <c r="R821" s="20">
        <v>34990</v>
      </c>
      <c r="S821" s="21" t="str">
        <f>HYPERLINK("https://www.frostburg.edu/admissions-and-cost/financial-aid/calculators-and-tools.php", "$24034")</f>
        <v>$24034</v>
      </c>
      <c r="T821" s="20">
        <v>29211</v>
      </c>
      <c r="U821" s="20">
        <v>32986</v>
      </c>
      <c r="V821" s="20">
        <v>3206</v>
      </c>
      <c r="W821" s="20">
        <v>20828.615384615379</v>
      </c>
      <c r="Y821" s="19">
        <v>0.37590000000000001</v>
      </c>
      <c r="Z821" s="19">
        <v>0.48240000000000011</v>
      </c>
      <c r="AB821" s="18">
        <v>4486</v>
      </c>
      <c r="AC821" s="18">
        <v>4</v>
      </c>
    </row>
    <row r="822" spans="1:29" ht="15.75" customHeight="1" x14ac:dyDescent="0.2">
      <c r="A822" s="36" t="str">
        <f>HYPERLINK("https://www.fullcoll.edu", "Fullerton College")</f>
        <v>Fullerton College</v>
      </c>
      <c r="B822" s="18" t="s">
        <v>49</v>
      </c>
      <c r="C822" s="18" t="s">
        <v>68</v>
      </c>
      <c r="D822" s="18" t="s">
        <v>607</v>
      </c>
      <c r="E822" s="18" t="s">
        <v>36</v>
      </c>
      <c r="F822" s="18" t="s">
        <v>36</v>
      </c>
      <c r="J822" s="19"/>
      <c r="K822" s="19">
        <v>0.28760000000000002</v>
      </c>
      <c r="L822" s="19">
        <v>2.9891304E-2</v>
      </c>
      <c r="M822" s="19">
        <v>0.33160000000000001</v>
      </c>
      <c r="N822" s="19">
        <v>0.24529999999999999</v>
      </c>
      <c r="O822" s="19">
        <v>0.24349999999999999</v>
      </c>
      <c r="P822" s="19">
        <v>0.43359999999999999</v>
      </c>
      <c r="Q822" s="19">
        <v>0.171446192</v>
      </c>
      <c r="R822" s="20">
        <v>23515</v>
      </c>
      <c r="S822" s="21" t="str">
        <f>HYPERLINK("https://misweb.cccco.edu/npc/862/npcalc.htm", "$16025")</f>
        <v>$16025</v>
      </c>
      <c r="T822" s="20">
        <v>19361</v>
      </c>
      <c r="U822" s="20">
        <v>21038</v>
      </c>
      <c r="V822" s="20">
        <v>6012</v>
      </c>
      <c r="W822" s="20">
        <v>10013.090090090091</v>
      </c>
      <c r="Y822" s="19">
        <v>0.23330000000000001</v>
      </c>
      <c r="Z822" s="19">
        <v>0.80499999999999994</v>
      </c>
      <c r="AB822" s="18">
        <v>21969</v>
      </c>
      <c r="AC822" s="18">
        <v>6</v>
      </c>
    </row>
    <row r="823" spans="1:29" ht="15.75" customHeight="1" x14ac:dyDescent="0.2">
      <c r="A823" s="36" t="str">
        <f>HYPERLINK("https://www.fmcc.edu", "SUNY Fulton-Montgomery Community College")</f>
        <v>SUNY Fulton-Montgomery Community College</v>
      </c>
      <c r="B823" s="18" t="s">
        <v>49</v>
      </c>
      <c r="C823" s="18" t="s">
        <v>38</v>
      </c>
      <c r="D823" s="18" t="s">
        <v>907</v>
      </c>
      <c r="E823" s="18" t="s">
        <v>36</v>
      </c>
      <c r="F823" s="18" t="s">
        <v>36</v>
      </c>
      <c r="G823" s="18" t="s">
        <v>51</v>
      </c>
      <c r="I823" s="18" t="s">
        <v>1347</v>
      </c>
      <c r="J823" s="19"/>
      <c r="K823" s="19">
        <v>0.3493</v>
      </c>
      <c r="L823" s="19">
        <v>0.25503355700000002</v>
      </c>
      <c r="M823" s="19">
        <v>0.41610000000000003</v>
      </c>
      <c r="N823" s="19">
        <v>0.18640000000000001</v>
      </c>
      <c r="O823" s="19">
        <v>0.25969999999999999</v>
      </c>
      <c r="P823" s="19">
        <v>0.5</v>
      </c>
      <c r="Q823" s="19">
        <v>4.2448174000000012E-2</v>
      </c>
      <c r="R823" s="20">
        <v>20470</v>
      </c>
      <c r="S823" s="21" t="str">
        <f>HYPERLINK("https://www.fmcc.edu/admissions/financial-aid/welcome-to-the-suny-net-price-cost-calculator/", "$7609")</f>
        <v>$7609</v>
      </c>
      <c r="T823" s="20">
        <v>11707</v>
      </c>
      <c r="U823" s="20">
        <v>14537</v>
      </c>
      <c r="V823" s="20">
        <v>4100</v>
      </c>
      <c r="W823" s="20">
        <v>3509</v>
      </c>
      <c r="Y823" s="19">
        <v>0.39900000000000002</v>
      </c>
      <c r="Z823" s="19">
        <v>0.39129999999999998</v>
      </c>
      <c r="AB823" s="18">
        <v>1776</v>
      </c>
      <c r="AC823" s="18">
        <v>6</v>
      </c>
    </row>
    <row r="824" spans="1:29" ht="15.75" customHeight="1" x14ac:dyDescent="0.2">
      <c r="A824" s="36" t="str">
        <f>HYPERLINK("https://www.furman.edu", "Furman University")</f>
        <v>Furman University</v>
      </c>
      <c r="B824" s="18" t="s">
        <v>32</v>
      </c>
      <c r="C824" s="18" t="s">
        <v>208</v>
      </c>
      <c r="D824" s="18" t="s">
        <v>220</v>
      </c>
      <c r="E824" s="18">
        <v>1319</v>
      </c>
      <c r="F824" s="18" t="s">
        <v>115</v>
      </c>
      <c r="J824" s="19"/>
      <c r="K824" s="19">
        <v>0.80510000000000004</v>
      </c>
      <c r="L824" s="19">
        <v>0.75</v>
      </c>
      <c r="M824" s="19">
        <v>0.82410000000000005</v>
      </c>
      <c r="N824" s="19">
        <v>0.6875</v>
      </c>
      <c r="O824" s="19">
        <v>0.72</v>
      </c>
      <c r="P824" s="19">
        <v>0.8</v>
      </c>
      <c r="Q824" s="19"/>
      <c r="R824" s="20">
        <v>63706</v>
      </c>
      <c r="S824" s="21" t="str">
        <f>HYPERLINK("https://www.collegecostcalculator.org/FurmanUniversity", "$20095")</f>
        <v>$20095</v>
      </c>
      <c r="T824" s="20">
        <v>22111</v>
      </c>
      <c r="U824" s="20">
        <v>27840</v>
      </c>
      <c r="V824" s="20">
        <v>3200</v>
      </c>
      <c r="W824" s="20">
        <v>16895</v>
      </c>
      <c r="Y824" s="19">
        <v>0.128</v>
      </c>
      <c r="Z824" s="19">
        <v>0.2467</v>
      </c>
      <c r="AB824" s="18">
        <v>2728</v>
      </c>
      <c r="AC824" s="18">
        <v>2</v>
      </c>
    </row>
    <row r="825" spans="1:29" ht="15.75" customHeight="1" x14ac:dyDescent="0.2">
      <c r="A825" s="36" t="str">
        <f>HYPERLINK("https://www.galencollege.edu/cincinnati", "Galen College of Nursing-Cincinnati")</f>
        <v>Galen College of Nursing-Cincinnati</v>
      </c>
      <c r="B825" s="18" t="s">
        <v>368</v>
      </c>
      <c r="C825" s="18" t="s">
        <v>75</v>
      </c>
      <c r="D825" s="18" t="s">
        <v>502</v>
      </c>
      <c r="E825" s="18" t="s">
        <v>36</v>
      </c>
      <c r="F825" s="18" t="s">
        <v>36</v>
      </c>
      <c r="J825" s="19"/>
      <c r="K825" s="19">
        <v>0.1905</v>
      </c>
      <c r="L825" s="19">
        <v>0.63197969499999995</v>
      </c>
      <c r="M825" s="19">
        <v>0.26669999999999999</v>
      </c>
      <c r="N825" s="19">
        <v>0</v>
      </c>
      <c r="O825" s="19" t="s">
        <v>36</v>
      </c>
      <c r="P825" s="19" t="s">
        <v>36</v>
      </c>
      <c r="Q825" s="19">
        <v>4.9150485000000001E-2</v>
      </c>
      <c r="R825" s="20" t="s">
        <v>36</v>
      </c>
      <c r="S825" s="21" t="str">
        <f>HYPERLINK("https://galencollege.studentaidcalculator.com/welcome.aspx", "$26015")</f>
        <v>$26015</v>
      </c>
      <c r="T825" s="20">
        <v>28149</v>
      </c>
      <c r="U825" s="20">
        <v>28702</v>
      </c>
      <c r="V825" s="20" t="s">
        <v>36</v>
      </c>
      <c r="W825" s="20" t="s">
        <v>36</v>
      </c>
      <c r="Y825" s="19">
        <v>0.61439999999999995</v>
      </c>
      <c r="Z825" s="19">
        <v>0.23430000000000001</v>
      </c>
      <c r="AB825" s="18">
        <v>478</v>
      </c>
      <c r="AC825" s="18">
        <v>6</v>
      </c>
    </row>
    <row r="826" spans="1:29" ht="15.75" customHeight="1" x14ac:dyDescent="0.2">
      <c r="A826" s="36" t="str">
        <f>HYPERLINK("https://www.galencollege.edu/louisville", "Galen College of Nursing-Louisville")</f>
        <v>Galen College of Nursing-Louisville</v>
      </c>
      <c r="B826" s="18" t="s">
        <v>368</v>
      </c>
      <c r="C826" s="18" t="s">
        <v>205</v>
      </c>
      <c r="D826" s="18" t="s">
        <v>306</v>
      </c>
      <c r="E826" s="18" t="s">
        <v>36</v>
      </c>
      <c r="F826" s="18" t="s">
        <v>36</v>
      </c>
      <c r="J826" s="19"/>
      <c r="K826" s="19">
        <v>0.56220000000000003</v>
      </c>
      <c r="L826" s="19">
        <v>0.63197969499999995</v>
      </c>
      <c r="M826" s="19">
        <v>0.67589999999999995</v>
      </c>
      <c r="N826" s="19">
        <v>0.42859999999999998</v>
      </c>
      <c r="O826" s="19">
        <v>0.5</v>
      </c>
      <c r="P826" s="19">
        <v>1</v>
      </c>
      <c r="Q826" s="19">
        <v>4.9150485000000001E-2</v>
      </c>
      <c r="R826" s="20" t="s">
        <v>36</v>
      </c>
      <c r="S826" s="21" t="str">
        <f>HYPERLINK("https://galencollege.studentaidcalculator.com/welcome.aspx", "$23260")</f>
        <v>$23260</v>
      </c>
      <c r="T826" s="20">
        <v>26758</v>
      </c>
      <c r="U826" s="20">
        <v>26732</v>
      </c>
      <c r="V826" s="20" t="s">
        <v>36</v>
      </c>
      <c r="W826" s="20" t="s">
        <v>36</v>
      </c>
      <c r="Y826" s="19">
        <v>0.51900000000000002</v>
      </c>
      <c r="Z826" s="19">
        <v>0.28770000000000001</v>
      </c>
      <c r="AB826" s="18">
        <v>1703</v>
      </c>
      <c r="AC826" s="18">
        <v>6</v>
      </c>
    </row>
    <row r="827" spans="1:29" ht="15.75" customHeight="1" x14ac:dyDescent="0.2">
      <c r="A827" s="36" t="str">
        <f>HYPERLINK("https://www.galencollege.edu/tampabay", "Galen College of Nursing-Tampa Bay")</f>
        <v>Galen College of Nursing-Tampa Bay</v>
      </c>
      <c r="B827" s="18" t="s">
        <v>368</v>
      </c>
      <c r="C827" s="18" t="s">
        <v>162</v>
      </c>
      <c r="D827" s="18" t="s">
        <v>352</v>
      </c>
      <c r="E827" s="18" t="s">
        <v>36</v>
      </c>
      <c r="F827" s="18" t="s">
        <v>36</v>
      </c>
      <c r="J827" s="19"/>
      <c r="K827" s="19">
        <v>0.46379999999999999</v>
      </c>
      <c r="L827" s="19">
        <v>0.63197969499999995</v>
      </c>
      <c r="M827" s="19">
        <v>0.439</v>
      </c>
      <c r="N827" s="19">
        <v>0.57140000000000002</v>
      </c>
      <c r="O827" s="19">
        <v>0.5</v>
      </c>
      <c r="P827" s="19">
        <v>0</v>
      </c>
      <c r="Q827" s="19">
        <v>4.9150485000000001E-2</v>
      </c>
      <c r="R827" s="20" t="s">
        <v>36</v>
      </c>
      <c r="S827" s="21" t="str">
        <f>HYPERLINK("https://galencollege.studentaidcalculator.com/welcome.aspx", "$24327")</f>
        <v>$24327</v>
      </c>
      <c r="T827" s="20">
        <v>26530</v>
      </c>
      <c r="U827" s="20">
        <v>27661</v>
      </c>
      <c r="V827" s="20" t="s">
        <v>36</v>
      </c>
      <c r="W827" s="20" t="s">
        <v>36</v>
      </c>
      <c r="Y827" s="19">
        <v>0.51459999999999995</v>
      </c>
      <c r="Z827" s="19">
        <v>0.4194</v>
      </c>
      <c r="AB827" s="18">
        <v>1235</v>
      </c>
      <c r="AC827" s="18">
        <v>6</v>
      </c>
    </row>
    <row r="828" spans="1:29" ht="15.75" customHeight="1" x14ac:dyDescent="0.2">
      <c r="A828" s="36" t="str">
        <f>HYPERLINK("https://www.gallaudet.edu", "Gallaudet University")</f>
        <v>Gallaudet University</v>
      </c>
      <c r="B828" s="18" t="s">
        <v>32</v>
      </c>
      <c r="C828" s="18" t="s">
        <v>113</v>
      </c>
      <c r="D828" s="18" t="s">
        <v>114</v>
      </c>
      <c r="E828" s="18">
        <v>916</v>
      </c>
      <c r="F828" s="18" t="s">
        <v>35</v>
      </c>
      <c r="J828" s="19"/>
      <c r="K828" s="19">
        <v>0.52500000000000002</v>
      </c>
      <c r="L828" s="19">
        <v>0.47517730499999999</v>
      </c>
      <c r="M828" s="19">
        <v>0.53910000000000002</v>
      </c>
      <c r="N828" s="19">
        <v>0.42420000000000002</v>
      </c>
      <c r="O828" s="19">
        <v>0.45</v>
      </c>
      <c r="P828" s="19">
        <v>0.7</v>
      </c>
      <c r="Q828" s="19"/>
      <c r="R828" s="20">
        <v>37188</v>
      </c>
      <c r="S828" s="21" t="str">
        <f>HYPERLINK("https://www.gallaudet.edu/merit-based-scholarship-awards/net-price-calculator", "$11705")</f>
        <v>$11705</v>
      </c>
      <c r="T828" s="20">
        <v>17284</v>
      </c>
      <c r="U828" s="20">
        <v>7876</v>
      </c>
      <c r="V828" s="20">
        <v>7100</v>
      </c>
      <c r="W828" s="20">
        <v>4605</v>
      </c>
      <c r="Y828" s="19">
        <v>0.55930000000000002</v>
      </c>
      <c r="Z828" s="19">
        <v>0.48780000000000001</v>
      </c>
      <c r="AB828" s="18">
        <v>1111</v>
      </c>
      <c r="AC828" s="18">
        <v>4</v>
      </c>
    </row>
    <row r="829" spans="1:29" ht="15.75" customHeight="1" x14ac:dyDescent="0.2">
      <c r="A829" s="36" t="str">
        <f>HYPERLINK("https://www.gc.edu", "Galveston College")</f>
        <v>Galveston College</v>
      </c>
      <c r="B829" s="18" t="s">
        <v>49</v>
      </c>
      <c r="C829" s="18" t="s">
        <v>146</v>
      </c>
      <c r="D829" s="18" t="s">
        <v>1350</v>
      </c>
      <c r="E829" s="18" t="s">
        <v>36</v>
      </c>
      <c r="F829" s="18" t="s">
        <v>36</v>
      </c>
      <c r="J829" s="19"/>
      <c r="K829" s="19">
        <v>0.2465</v>
      </c>
      <c r="L829" s="19">
        <v>0.17587939699999999</v>
      </c>
      <c r="M829" s="19">
        <v>0.2059</v>
      </c>
      <c r="N829" s="19">
        <v>0.21429999999999999</v>
      </c>
      <c r="O829" s="19">
        <v>0.31369999999999998</v>
      </c>
      <c r="P829" s="19" t="s">
        <v>36</v>
      </c>
      <c r="Q829" s="19">
        <v>8.3928570999999993E-2</v>
      </c>
      <c r="R829" s="20">
        <v>13944</v>
      </c>
      <c r="S829" s="21" t="str">
        <f>HYPERLINK("https://www.collegeforalltexans.com/apps/CollegeMoney/", "$8414")</f>
        <v>$8414</v>
      </c>
      <c r="T829" s="20">
        <v>10046</v>
      </c>
      <c r="U829" s="20">
        <v>13226</v>
      </c>
      <c r="V829" s="20">
        <v>4794</v>
      </c>
      <c r="W829" s="20">
        <v>3620.652173913044</v>
      </c>
      <c r="Y829" s="19">
        <v>0.2999</v>
      </c>
      <c r="Z829" s="19">
        <v>0.61580000000000001</v>
      </c>
      <c r="AB829" s="18">
        <v>1809</v>
      </c>
      <c r="AC829" s="18">
        <v>6</v>
      </c>
    </row>
    <row r="830" spans="1:29" ht="15.75" customHeight="1" x14ac:dyDescent="0.2">
      <c r="A830" s="36" t="str">
        <f>HYPERLINK("https://www.gannon.edu", "Gannon University")</f>
        <v>Gannon University</v>
      </c>
      <c r="B830" s="18" t="s">
        <v>32</v>
      </c>
      <c r="C830" s="18" t="s">
        <v>65</v>
      </c>
      <c r="D830" s="18" t="s">
        <v>782</v>
      </c>
      <c r="E830" s="18">
        <v>1119</v>
      </c>
      <c r="F830" s="18" t="s">
        <v>35</v>
      </c>
      <c r="J830" s="19"/>
      <c r="K830" s="19">
        <v>0.68149999999999999</v>
      </c>
      <c r="L830" s="19">
        <v>0.48034934499999998</v>
      </c>
      <c r="M830" s="19">
        <v>0.71020000000000005</v>
      </c>
      <c r="N830" s="19">
        <v>0.42499999999999999</v>
      </c>
      <c r="O830" s="19">
        <v>0.66669999999999996</v>
      </c>
      <c r="P830" s="19">
        <v>0.66669999999999996</v>
      </c>
      <c r="Q830" s="19"/>
      <c r="R830" s="20">
        <v>46546</v>
      </c>
      <c r="S830" s="21" t="str">
        <f>HYPERLINK("https://gannon.studentaidcalculator.com/", "$16626")</f>
        <v>$16626</v>
      </c>
      <c r="T830" s="20">
        <v>21658</v>
      </c>
      <c r="U830" s="20">
        <v>23443</v>
      </c>
      <c r="V830" s="20">
        <v>3624</v>
      </c>
      <c r="W830" s="20">
        <v>13002</v>
      </c>
      <c r="Y830" s="19">
        <v>0.23469999999999999</v>
      </c>
      <c r="Z830" s="19">
        <v>0.27179999999999999</v>
      </c>
      <c r="AB830" s="18">
        <v>2616</v>
      </c>
      <c r="AC830" s="18">
        <v>4</v>
      </c>
    </row>
    <row r="831" spans="1:29" ht="15.75" customHeight="1" x14ac:dyDescent="0.2">
      <c r="A831" s="36" t="str">
        <f>HYPERLINK("https://www.gcccks.edu", "Garden City Community College")</f>
        <v>Garden City Community College</v>
      </c>
      <c r="B831" s="18" t="s">
        <v>49</v>
      </c>
      <c r="C831" s="18" t="s">
        <v>307</v>
      </c>
      <c r="D831" s="18" t="s">
        <v>545</v>
      </c>
      <c r="E831" s="18" t="s">
        <v>36</v>
      </c>
      <c r="F831" s="18" t="s">
        <v>36</v>
      </c>
      <c r="J831" s="19"/>
      <c r="K831" s="19">
        <v>0.31359999999999999</v>
      </c>
      <c r="L831" s="19">
        <v>0.22741433</v>
      </c>
      <c r="M831" s="19">
        <v>0.36759999999999998</v>
      </c>
      <c r="N831" s="19">
        <v>0.15490000000000001</v>
      </c>
      <c r="O831" s="19">
        <v>0.29070000000000001</v>
      </c>
      <c r="P831" s="19">
        <v>0.42859999999999998</v>
      </c>
      <c r="Q831" s="19">
        <v>5.9440558999999997E-2</v>
      </c>
      <c r="R831" s="20">
        <v>14410</v>
      </c>
      <c r="S831" s="21" t="str">
        <f>HYPERLINK("https://www.gcccks.edu/admission/consumerinfo/1516npcalc.htm", "$9297")</f>
        <v>$9297</v>
      </c>
      <c r="T831" s="20">
        <v>11983</v>
      </c>
      <c r="U831" s="20">
        <v>13912</v>
      </c>
      <c r="V831" s="20">
        <v>4880</v>
      </c>
      <c r="W831" s="20">
        <v>4417.2890173410406</v>
      </c>
      <c r="Y831" s="19">
        <v>0.35749999999999998</v>
      </c>
      <c r="Z831" s="19">
        <v>0.66890000000000005</v>
      </c>
      <c r="AB831" s="18">
        <v>1516</v>
      </c>
      <c r="AC831" s="18">
        <v>6</v>
      </c>
    </row>
    <row r="832" spans="1:29" ht="15.75" customHeight="1" x14ac:dyDescent="0.2">
      <c r="A832" s="36" t="str">
        <f>HYPERLINK("https://www.gardner-webb.edu", "Gardner-Webb University")</f>
        <v>Gardner-Webb University</v>
      </c>
      <c r="B832" s="18" t="s">
        <v>32</v>
      </c>
      <c r="C832" s="18" t="s">
        <v>103</v>
      </c>
      <c r="D832" s="18" t="s">
        <v>783</v>
      </c>
      <c r="E832" s="18">
        <v>1102</v>
      </c>
      <c r="F832" s="18" t="s">
        <v>35</v>
      </c>
      <c r="J832" s="19"/>
      <c r="K832" s="19">
        <v>0.49120000000000003</v>
      </c>
      <c r="L832" s="19">
        <v>0.53846153899999993</v>
      </c>
      <c r="M832" s="19">
        <v>0.59850000000000003</v>
      </c>
      <c r="N832" s="19">
        <v>0.31580000000000003</v>
      </c>
      <c r="O832" s="19">
        <v>0.33329999999999999</v>
      </c>
      <c r="P832" s="19">
        <v>0.5</v>
      </c>
      <c r="Q832" s="19"/>
      <c r="R832" s="20">
        <v>44540</v>
      </c>
      <c r="S832" s="21" t="str">
        <f>HYPERLINK("https://www.gardner-webb.edu/financial-planning", "$20027")</f>
        <v>$20027</v>
      </c>
      <c r="T832" s="20">
        <v>20847</v>
      </c>
      <c r="U832" s="20">
        <v>22400</v>
      </c>
      <c r="V832" s="20">
        <v>3760</v>
      </c>
      <c r="W832" s="20">
        <v>16267</v>
      </c>
      <c r="Y832" s="19">
        <v>0.41189999999999999</v>
      </c>
      <c r="Z832" s="19">
        <v>0.32709999999999989</v>
      </c>
      <c r="AB832" s="18">
        <v>2210</v>
      </c>
      <c r="AC832" s="18">
        <v>4</v>
      </c>
    </row>
    <row r="833" spans="1:29" ht="15.75" customHeight="1" x14ac:dyDescent="0.2">
      <c r="A833" s="36" t="str">
        <f>HYPERLINK("https://www.garrettcollege.edu/index.php", "Garrett College")</f>
        <v>Garrett College</v>
      </c>
      <c r="B833" s="18" t="s">
        <v>49</v>
      </c>
      <c r="C833" s="18" t="s">
        <v>124</v>
      </c>
      <c r="D833" s="18" t="s">
        <v>1352</v>
      </c>
      <c r="E833" s="18" t="s">
        <v>36</v>
      </c>
      <c r="F833" s="18" t="s">
        <v>36</v>
      </c>
      <c r="J833" s="19"/>
      <c r="K833" s="19">
        <v>0.318</v>
      </c>
      <c r="L833" s="19" t="s">
        <v>36</v>
      </c>
      <c r="M833" s="19">
        <v>0.46899999999999997</v>
      </c>
      <c r="N833" s="19">
        <v>0.12659999999999999</v>
      </c>
      <c r="O833" s="19">
        <v>0</v>
      </c>
      <c r="P833" s="19">
        <v>1</v>
      </c>
      <c r="Q833" s="19">
        <v>6.9408739999999997E-2</v>
      </c>
      <c r="R833" s="20">
        <v>21872</v>
      </c>
      <c r="S833" s="21" t="str">
        <f>HYPERLINK("https://www.garrettcollege.edu/NPC/", "$15836")</f>
        <v>$15836</v>
      </c>
      <c r="T833" s="20">
        <v>17902</v>
      </c>
      <c r="U833" s="20">
        <v>19794</v>
      </c>
      <c r="V833" s="20">
        <v>4100</v>
      </c>
      <c r="W833" s="20">
        <v>11736.46808510638</v>
      </c>
      <c r="Y833" s="19">
        <v>0.51459999999999995</v>
      </c>
      <c r="Z833" s="19">
        <v>0.32669999999999999</v>
      </c>
      <c r="AB833" s="18">
        <v>450</v>
      </c>
      <c r="AC833" s="18">
        <v>6</v>
      </c>
    </row>
    <row r="834" spans="1:29" ht="15.75" customHeight="1" x14ac:dyDescent="0.2">
      <c r="A834" s="36" t="str">
        <f>HYPERLINK("https://www.gaston.edu", "Gaston College")</f>
        <v>Gaston College</v>
      </c>
      <c r="B834" s="18" t="s">
        <v>49</v>
      </c>
      <c r="C834" s="18" t="s">
        <v>103</v>
      </c>
      <c r="D834" s="18" t="s">
        <v>152</v>
      </c>
      <c r="E834" s="18" t="s">
        <v>36</v>
      </c>
      <c r="F834" s="18" t="s">
        <v>36</v>
      </c>
      <c r="J834" s="19"/>
      <c r="K834" s="19">
        <v>0.29949999999999999</v>
      </c>
      <c r="L834" s="19">
        <v>0.15396700699999999</v>
      </c>
      <c r="M834" s="19">
        <v>0.29930000000000001</v>
      </c>
      <c r="N834" s="19">
        <v>0.1875</v>
      </c>
      <c r="O834" s="19">
        <v>0.36359999999999998</v>
      </c>
      <c r="P834" s="19">
        <v>0.2</v>
      </c>
      <c r="Q834" s="19">
        <v>4.1929925E-2</v>
      </c>
      <c r="R834" s="20">
        <v>22316</v>
      </c>
      <c r="S834" s="21" t="str">
        <f>HYPERLINK("https://www.gaston.edu/netprice/npcalc.htm", "$17363")</f>
        <v>$17363</v>
      </c>
      <c r="T834" s="20">
        <v>19616</v>
      </c>
      <c r="U834" s="20">
        <v>21583</v>
      </c>
      <c r="V834" s="20">
        <v>7360</v>
      </c>
      <c r="W834" s="20">
        <v>10003.23684210526</v>
      </c>
      <c r="Y834" s="19">
        <v>0.38719999999999999</v>
      </c>
      <c r="Z834" s="19">
        <v>0.39169999999999999</v>
      </c>
      <c r="AB834" s="18">
        <v>5034</v>
      </c>
      <c r="AC834" s="18">
        <v>6</v>
      </c>
    </row>
    <row r="835" spans="1:29" ht="15.75" customHeight="1" x14ac:dyDescent="0.2">
      <c r="A835" s="36" t="str">
        <f>HYPERLINK("https://www.gatewayct.edu/", "Gateway Community College")</f>
        <v>Gateway Community College</v>
      </c>
      <c r="B835" s="18" t="s">
        <v>49</v>
      </c>
      <c r="C835" s="18" t="s">
        <v>94</v>
      </c>
      <c r="D835" s="18" t="s">
        <v>187</v>
      </c>
      <c r="E835" s="18" t="s">
        <v>36</v>
      </c>
      <c r="F835" s="18" t="s">
        <v>36</v>
      </c>
      <c r="J835" s="19"/>
      <c r="K835" s="19">
        <v>0.104</v>
      </c>
      <c r="L835" s="19">
        <v>0.115789474</v>
      </c>
      <c r="M835" s="19">
        <v>0.16009999999999999</v>
      </c>
      <c r="N835" s="19">
        <v>6.0600000000000001E-2</v>
      </c>
      <c r="O835" s="19">
        <v>6.0699999999999997E-2</v>
      </c>
      <c r="P835" s="19">
        <v>0.3</v>
      </c>
      <c r="Q835" s="19">
        <v>7.6335877999999996E-2</v>
      </c>
      <c r="R835" s="20">
        <v>25660</v>
      </c>
      <c r="S835" s="21" t="str">
        <f>HYPERLINK("https://www.commnet.edu/finaid/netprice/i_npcalc.htm", "$20136")</f>
        <v>$20136</v>
      </c>
      <c r="T835" s="20">
        <v>20749</v>
      </c>
      <c r="U835" s="20">
        <v>22777</v>
      </c>
      <c r="V835" s="20">
        <v>4720</v>
      </c>
      <c r="W835" s="20">
        <v>15416.02985074627</v>
      </c>
      <c r="Y835" s="19">
        <v>0.45390000000000003</v>
      </c>
      <c r="Z835" s="19">
        <v>0.61519999999999997</v>
      </c>
      <c r="AB835" s="18">
        <v>6346</v>
      </c>
      <c r="AC835" s="18">
        <v>6</v>
      </c>
    </row>
    <row r="836" spans="1:29" ht="15.75" customHeight="1" x14ac:dyDescent="0.2">
      <c r="A836" s="36" t="str">
        <f>HYPERLINK("https://www.genesee.edu", "SUNY Genesee Community College")</f>
        <v>SUNY Genesee Community College</v>
      </c>
      <c r="B836" s="18" t="s">
        <v>49</v>
      </c>
      <c r="C836" s="18" t="s">
        <v>38</v>
      </c>
      <c r="D836" s="18" t="s">
        <v>1354</v>
      </c>
      <c r="E836" s="18" t="s">
        <v>36</v>
      </c>
      <c r="F836" s="18" t="s">
        <v>36</v>
      </c>
      <c r="G836" s="18" t="s">
        <v>51</v>
      </c>
      <c r="I836" s="18" t="s">
        <v>1100</v>
      </c>
      <c r="J836" s="19"/>
      <c r="K836" s="19">
        <v>0.29170000000000001</v>
      </c>
      <c r="L836" s="19">
        <v>0.193423598</v>
      </c>
      <c r="M836" s="19">
        <v>0.32379999999999998</v>
      </c>
      <c r="N836" s="19">
        <v>0.1197</v>
      </c>
      <c r="O836" s="19">
        <v>0.1449</v>
      </c>
      <c r="P836" s="19">
        <v>0</v>
      </c>
      <c r="Q836" s="19">
        <v>5.549569E-2</v>
      </c>
      <c r="R836" s="20">
        <v>16075</v>
      </c>
      <c r="S836" s="21" t="str">
        <f>HYPERLINK("https://www.genesee.edu/home/offices/finaid/costs/", "$4385")</f>
        <v>$4385</v>
      </c>
      <c r="T836" s="20">
        <v>9783</v>
      </c>
      <c r="U836" s="20">
        <v>9811</v>
      </c>
      <c r="V836" s="20">
        <v>2985</v>
      </c>
      <c r="W836" s="20">
        <v>1400</v>
      </c>
      <c r="Y836" s="19">
        <v>0.35420000000000001</v>
      </c>
      <c r="Z836" s="19">
        <v>0.26819999999999999</v>
      </c>
      <c r="AB836" s="18">
        <v>3188</v>
      </c>
      <c r="AC836" s="18">
        <v>6</v>
      </c>
    </row>
    <row r="837" spans="1:29" ht="15.75" customHeight="1" x14ac:dyDescent="0.2">
      <c r="A837" s="36" t="str">
        <f>HYPERLINK("https://www.geneva.edu", "Geneva College")</f>
        <v>Geneva College</v>
      </c>
      <c r="B837" s="18" t="s">
        <v>32</v>
      </c>
      <c r="C837" s="18" t="s">
        <v>65</v>
      </c>
      <c r="D837" s="18" t="s">
        <v>784</v>
      </c>
      <c r="E837" s="18">
        <v>1110</v>
      </c>
      <c r="F837" s="18" t="s">
        <v>35</v>
      </c>
      <c r="J837" s="19"/>
      <c r="K837" s="19">
        <v>0.68589999999999995</v>
      </c>
      <c r="L837" s="19">
        <v>0.49079754599999997</v>
      </c>
      <c r="M837" s="19">
        <v>0.71479999999999999</v>
      </c>
      <c r="N837" s="19">
        <v>0.2</v>
      </c>
      <c r="O837" s="19">
        <v>0.2</v>
      </c>
      <c r="P837" s="19">
        <v>0.66669999999999996</v>
      </c>
      <c r="Q837" s="19"/>
      <c r="R837" s="20">
        <v>38040</v>
      </c>
      <c r="S837" s="21" t="str">
        <f>HYPERLINK("https://www.geneva.edu/student-financial-services/financial-aid/calculator/netprice-calculator", "$16547")</f>
        <v>$16547</v>
      </c>
      <c r="T837" s="20">
        <v>17599</v>
      </c>
      <c r="U837" s="20">
        <v>20663</v>
      </c>
      <c r="V837" s="20">
        <v>2050</v>
      </c>
      <c r="W837" s="20">
        <v>14497</v>
      </c>
      <c r="Y837" s="19">
        <v>0.35870000000000002</v>
      </c>
      <c r="Z837" s="19">
        <v>0.1767</v>
      </c>
      <c r="AB837" s="18">
        <v>1330</v>
      </c>
      <c r="AC837" s="18">
        <v>4</v>
      </c>
    </row>
    <row r="838" spans="1:29" ht="15.75" customHeight="1" x14ac:dyDescent="0.2">
      <c r="A838" s="36" t="str">
        <f>HYPERLINK("https://www.wallace.edu", "George C Wallace State Community College-Dothan")</f>
        <v>George C Wallace State Community College-Dothan</v>
      </c>
      <c r="B838" s="18" t="s">
        <v>49</v>
      </c>
      <c r="C838" s="18" t="s">
        <v>300</v>
      </c>
      <c r="D838" s="18" t="s">
        <v>1255</v>
      </c>
      <c r="E838" s="18" t="s">
        <v>36</v>
      </c>
      <c r="F838" s="18" t="s">
        <v>36</v>
      </c>
      <c r="J838" s="19"/>
      <c r="K838" s="19">
        <v>0.2374</v>
      </c>
      <c r="L838" s="19">
        <v>0.192982456</v>
      </c>
      <c r="M838" s="19">
        <v>0.2863</v>
      </c>
      <c r="N838" s="19">
        <v>0.15690000000000001</v>
      </c>
      <c r="O838" s="19">
        <v>0.24</v>
      </c>
      <c r="P838" s="19">
        <v>0.25</v>
      </c>
      <c r="Q838" s="19">
        <v>0.05</v>
      </c>
      <c r="R838" s="20">
        <v>14300</v>
      </c>
      <c r="S838" s="21" t="str">
        <f>HYPERLINK("https://www.wallace.edu/net_price_calculator.aspx", "$7623")</f>
        <v>$7623</v>
      </c>
      <c r="T838" s="20">
        <v>8170</v>
      </c>
      <c r="U838" s="20" t="s">
        <v>36</v>
      </c>
      <c r="V838" s="20">
        <v>3367</v>
      </c>
      <c r="W838" s="20">
        <v>4256.4954337899544</v>
      </c>
      <c r="Y838" s="19">
        <v>0.51129999999999998</v>
      </c>
      <c r="Z838" s="19">
        <v>0.37719999999999998</v>
      </c>
      <c r="AB838" s="18">
        <v>3836</v>
      </c>
      <c r="AC838" s="18">
        <v>6</v>
      </c>
    </row>
    <row r="839" spans="1:29" ht="15.75" customHeight="1" x14ac:dyDescent="0.2">
      <c r="A839" s="36" t="str">
        <f>HYPERLINK("https://www.wallacestate.edu", "George C Wallace State Community College-Hanceville")</f>
        <v>George C Wallace State Community College-Hanceville</v>
      </c>
      <c r="B839" s="18" t="s">
        <v>49</v>
      </c>
      <c r="C839" s="18" t="s">
        <v>300</v>
      </c>
      <c r="D839" s="18" t="s">
        <v>1358</v>
      </c>
      <c r="E839" s="18" t="s">
        <v>36</v>
      </c>
      <c r="F839" s="18" t="s">
        <v>36</v>
      </c>
      <c r="J839" s="19"/>
      <c r="K839" s="19">
        <v>0.39550000000000002</v>
      </c>
      <c r="L839" s="19">
        <v>0.201153569</v>
      </c>
      <c r="M839" s="19">
        <v>0.4</v>
      </c>
      <c r="N839" s="19">
        <v>0.26669999999999999</v>
      </c>
      <c r="O839" s="19">
        <v>0.47370000000000001</v>
      </c>
      <c r="P839" s="19">
        <v>0.33329999999999999</v>
      </c>
      <c r="Q839" s="19">
        <v>6.5044247999999999E-2</v>
      </c>
      <c r="R839" s="20">
        <v>16742</v>
      </c>
      <c r="S839" s="21" t="str">
        <f>HYPERLINK("https://www.wallacestate.edu/Financial-Aid/Net-Price-Calculator", "$12407")</f>
        <v>$12407</v>
      </c>
      <c r="T839" s="20">
        <v>13981</v>
      </c>
      <c r="U839" s="20">
        <v>15973</v>
      </c>
      <c r="V839" s="20">
        <v>5560</v>
      </c>
      <c r="W839" s="20">
        <v>6847.92</v>
      </c>
      <c r="Y839" s="19">
        <v>0.45669999999999999</v>
      </c>
      <c r="Z839" s="19">
        <v>0.1673</v>
      </c>
      <c r="AB839" s="18">
        <v>4805</v>
      </c>
      <c r="AC839" s="18">
        <v>6</v>
      </c>
    </row>
    <row r="840" spans="1:29" ht="15.75" customHeight="1" x14ac:dyDescent="0.2">
      <c r="A840" s="36" t="str">
        <f>HYPERLINK("https://www.wccs.edu", "George C Wallace State Community College-Selma")</f>
        <v>George C Wallace State Community College-Selma</v>
      </c>
      <c r="B840" s="18" t="s">
        <v>49</v>
      </c>
      <c r="C840" s="18" t="s">
        <v>300</v>
      </c>
      <c r="D840" s="18" t="s">
        <v>1227</v>
      </c>
      <c r="E840" s="18" t="s">
        <v>36</v>
      </c>
      <c r="F840" s="18" t="s">
        <v>36</v>
      </c>
      <c r="J840" s="19"/>
      <c r="K840" s="19">
        <v>0.22189999999999999</v>
      </c>
      <c r="L840" s="19" t="s">
        <v>36</v>
      </c>
      <c r="M840" s="19">
        <v>0.3226</v>
      </c>
      <c r="N840" s="19">
        <v>0.21210000000000001</v>
      </c>
      <c r="O840" s="19" t="s">
        <v>36</v>
      </c>
      <c r="P840" s="19" t="s">
        <v>36</v>
      </c>
      <c r="Q840" s="19">
        <v>6.6056910999999996E-2</v>
      </c>
      <c r="R840" s="20">
        <v>26185</v>
      </c>
      <c r="S840" s="21" t="str">
        <f>HYPERLINK("https://www.wccs.edu/financial-aid/about-financial-aid/", "$19849")</f>
        <v>$19849</v>
      </c>
      <c r="T840" s="20">
        <v>21620</v>
      </c>
      <c r="U840" s="20" t="s">
        <v>36</v>
      </c>
      <c r="V840" s="20">
        <v>9375</v>
      </c>
      <c r="W840" s="20">
        <v>10474.193220338981</v>
      </c>
      <c r="Y840" s="19">
        <v>0.68869999999999998</v>
      </c>
      <c r="Z840" s="19">
        <v>0.78310000000000002</v>
      </c>
      <c r="AB840" s="18">
        <v>1217</v>
      </c>
      <c r="AC840" s="18">
        <v>6</v>
      </c>
    </row>
    <row r="841" spans="1:29" ht="15.75" customHeight="1" x14ac:dyDescent="0.2">
      <c r="A841" s="36" t="str">
        <f>HYPERLINK("https://www.georgefox.edu", "George Fox University")</f>
        <v>George Fox University</v>
      </c>
      <c r="B841" s="18" t="s">
        <v>32</v>
      </c>
      <c r="C841" s="18" t="s">
        <v>143</v>
      </c>
      <c r="D841" s="18" t="s">
        <v>786</v>
      </c>
      <c r="E841" s="18">
        <v>1167</v>
      </c>
      <c r="F841" s="18" t="s">
        <v>35</v>
      </c>
      <c r="J841" s="19"/>
      <c r="K841" s="19">
        <v>0.71679999999999999</v>
      </c>
      <c r="L841" s="19">
        <v>0.64705882400000003</v>
      </c>
      <c r="M841" s="19">
        <v>0.71560000000000001</v>
      </c>
      <c r="N841" s="19">
        <v>0.71430000000000005</v>
      </c>
      <c r="O841" s="19">
        <v>0.62860000000000005</v>
      </c>
      <c r="P841" s="19">
        <v>0.82350000000000001</v>
      </c>
      <c r="Q841" s="19"/>
      <c r="R841" s="20">
        <v>48902</v>
      </c>
      <c r="S841" s="21" t="str">
        <f>HYPERLINK("https://www.georgefox.edu/college-admissions/scholarships/net-price-calculator.html", "$22165")</f>
        <v>$22165</v>
      </c>
      <c r="T841" s="20">
        <v>26076</v>
      </c>
      <c r="U841" s="20">
        <v>29973</v>
      </c>
      <c r="V841" s="20">
        <v>3000</v>
      </c>
      <c r="W841" s="20">
        <v>19165</v>
      </c>
      <c r="Y841" s="19">
        <v>0.30620000000000003</v>
      </c>
      <c r="Z841" s="19">
        <v>0.30209999999999998</v>
      </c>
      <c r="AB841" s="18">
        <v>2678</v>
      </c>
      <c r="AC841" s="18">
        <v>4</v>
      </c>
    </row>
    <row r="842" spans="1:29" ht="15.75" customHeight="1" x14ac:dyDescent="0.2">
      <c r="A842" s="36" t="str">
        <f>HYPERLINK("https://www2.gmu.edu/", "George Mason University")</f>
        <v>George Mason University</v>
      </c>
      <c r="B842" s="18" t="s">
        <v>49</v>
      </c>
      <c r="C842" s="18" t="s">
        <v>83</v>
      </c>
      <c r="D842" s="18" t="s">
        <v>364</v>
      </c>
      <c r="E842" s="18">
        <v>1210</v>
      </c>
      <c r="F842" s="18" t="s">
        <v>35</v>
      </c>
      <c r="J842" s="19"/>
      <c r="K842" s="19">
        <v>0.70860000000000001</v>
      </c>
      <c r="L842" s="19">
        <v>0.67064973900000002</v>
      </c>
      <c r="M842" s="19">
        <v>0.71189999999999998</v>
      </c>
      <c r="N842" s="19">
        <v>0.71540000000000004</v>
      </c>
      <c r="O842" s="19">
        <v>0.62170000000000003</v>
      </c>
      <c r="P842" s="19">
        <v>0.74939999999999996</v>
      </c>
      <c r="Q842" s="19"/>
      <c r="R842" s="20">
        <v>51672</v>
      </c>
      <c r="S842" s="21" t="str">
        <f>HYPERLINK("https://gmu.studentaidcalculator.com/survey.aspx", "$41883")</f>
        <v>$41883</v>
      </c>
      <c r="T842" s="20">
        <v>45709</v>
      </c>
      <c r="U842" s="20">
        <v>48301</v>
      </c>
      <c r="V842" s="20">
        <v>5274</v>
      </c>
      <c r="W842" s="20">
        <v>36609.887005649718</v>
      </c>
      <c r="Y842" s="19">
        <v>0.28399999999999997</v>
      </c>
      <c r="Z842" s="19">
        <v>0.58529999999999993</v>
      </c>
      <c r="AB842" s="18">
        <v>24395</v>
      </c>
      <c r="AC842" s="18">
        <v>3</v>
      </c>
    </row>
    <row r="843" spans="1:29" ht="15.75" customHeight="1" x14ac:dyDescent="0.2">
      <c r="A843" s="36" t="str">
        <f>HYPERLINK("https://www.gwu.edu", "George Washington University")</f>
        <v>George Washington University</v>
      </c>
      <c r="B843" s="18" t="s">
        <v>32</v>
      </c>
      <c r="C843" s="18" t="s">
        <v>113</v>
      </c>
      <c r="D843" s="18" t="s">
        <v>114</v>
      </c>
      <c r="E843" s="18">
        <v>1386</v>
      </c>
      <c r="F843" s="18" t="s">
        <v>115</v>
      </c>
      <c r="J843" s="19"/>
      <c r="K843" s="19">
        <v>0.80630000000000002</v>
      </c>
      <c r="L843" s="19">
        <v>0.73267326700000002</v>
      </c>
      <c r="M843" s="19">
        <v>0.81420000000000003</v>
      </c>
      <c r="N843" s="19">
        <v>0.76429999999999998</v>
      </c>
      <c r="O843" s="19">
        <v>0.76739999999999997</v>
      </c>
      <c r="P843" s="19">
        <v>0.87360000000000004</v>
      </c>
      <c r="Q843" s="19"/>
      <c r="R843" s="20">
        <v>69368</v>
      </c>
      <c r="S843" s="21" t="str">
        <f>HYPERLINK("https://financialaid.gwu.edu/net-price-calculator", "$14930")</f>
        <v>$14930</v>
      </c>
      <c r="T843" s="20">
        <v>21451</v>
      </c>
      <c r="U843" s="20">
        <v>31039</v>
      </c>
      <c r="V843" s="20">
        <v>2850</v>
      </c>
      <c r="W843" s="20">
        <v>12080</v>
      </c>
      <c r="Y843" s="19">
        <v>0.13750000000000001</v>
      </c>
      <c r="Z843" s="19">
        <v>0.47470000000000001</v>
      </c>
      <c r="AB843" s="18">
        <v>11718</v>
      </c>
      <c r="AC843" s="18">
        <v>1</v>
      </c>
    </row>
    <row r="844" spans="1:29" ht="15.75" customHeight="1" x14ac:dyDescent="0.2">
      <c r="A844" s="36" t="str">
        <f>HYPERLINK("https://www.georgetowncollege.edu", "Georgetown College")</f>
        <v>Georgetown College</v>
      </c>
      <c r="B844" s="18" t="s">
        <v>32</v>
      </c>
      <c r="C844" s="18" t="s">
        <v>205</v>
      </c>
      <c r="D844" s="18" t="s">
        <v>481</v>
      </c>
      <c r="E844" s="18">
        <v>1145</v>
      </c>
      <c r="F844" s="18" t="s">
        <v>35</v>
      </c>
      <c r="J844" s="19"/>
      <c r="K844" s="19">
        <v>0.53390000000000004</v>
      </c>
      <c r="L844" s="19">
        <v>0.36458333300000001</v>
      </c>
      <c r="M844" s="19">
        <v>0.54969999999999997</v>
      </c>
      <c r="N844" s="19">
        <v>0.48149999999999998</v>
      </c>
      <c r="O844" s="19">
        <v>0.33329999999999999</v>
      </c>
      <c r="P844" s="19">
        <v>0.5</v>
      </c>
      <c r="Q844" s="19"/>
      <c r="R844" s="20">
        <v>50086</v>
      </c>
      <c r="S844" s="21" t="str">
        <f>HYPERLINK("https://georgetowncollege.studentaidcalculator.com/survey.aspx", "$16360")</f>
        <v>$16360</v>
      </c>
      <c r="T844" s="20">
        <v>17826</v>
      </c>
      <c r="U844" s="20">
        <v>20729</v>
      </c>
      <c r="V844" s="20">
        <v>3516</v>
      </c>
      <c r="W844" s="20">
        <v>12844</v>
      </c>
      <c r="Y844" s="19">
        <v>0.35499999999999998</v>
      </c>
      <c r="Z844" s="19">
        <v>0.21479999999999999</v>
      </c>
      <c r="AB844" s="18">
        <v>1029</v>
      </c>
      <c r="AC844" s="18">
        <v>4</v>
      </c>
    </row>
    <row r="845" spans="1:29" ht="15.75" customHeight="1" x14ac:dyDescent="0.2">
      <c r="A845" s="36" t="str">
        <f>HYPERLINK("https://www.georgetown.edu", "Georgetown University")</f>
        <v>Georgetown University</v>
      </c>
      <c r="B845" s="18" t="s">
        <v>32</v>
      </c>
      <c r="C845" s="18" t="s">
        <v>113</v>
      </c>
      <c r="D845" s="18" t="s">
        <v>114</v>
      </c>
      <c r="E845" s="18">
        <v>1451</v>
      </c>
      <c r="F845" s="18" t="s">
        <v>35</v>
      </c>
      <c r="J845" s="19"/>
      <c r="K845" s="19">
        <v>0.94610000000000005</v>
      </c>
      <c r="L845" s="19">
        <v>0.83050847500000002</v>
      </c>
      <c r="M845" s="19">
        <v>0.95169999999999999</v>
      </c>
      <c r="N845" s="19">
        <v>0.91959999999999997</v>
      </c>
      <c r="O845" s="19">
        <v>0.95269999999999999</v>
      </c>
      <c r="P845" s="19">
        <v>0.9345</v>
      </c>
      <c r="Q845" s="19"/>
      <c r="R845" s="20">
        <v>71580</v>
      </c>
      <c r="S845" s="21" t="str">
        <f>HYPERLINK("https://finaid.georgetown.edu/consumer-info#Net%20Price", "$7511")</f>
        <v>$7511</v>
      </c>
      <c r="T845" s="20">
        <v>13348</v>
      </c>
      <c r="U845" s="20">
        <v>25073</v>
      </c>
      <c r="V845" s="20">
        <v>3846</v>
      </c>
      <c r="W845" s="20">
        <v>3665</v>
      </c>
      <c r="X845" s="18" t="s">
        <v>37</v>
      </c>
      <c r="Y845" s="19">
        <v>0.1195</v>
      </c>
      <c r="Z845" s="19">
        <v>0.45619999999999999</v>
      </c>
      <c r="AA845" s="18" t="s">
        <v>37</v>
      </c>
      <c r="AB845" s="18">
        <v>7128</v>
      </c>
      <c r="AC845" s="18">
        <v>1</v>
      </c>
    </row>
    <row r="846" spans="1:29" ht="15.75" customHeight="1" x14ac:dyDescent="0.2">
      <c r="A846" s="36" t="str">
        <f>HYPERLINK("https://www.gcsu.edu/", "Georgia College and State University")</f>
        <v>Georgia College and State University</v>
      </c>
      <c r="B846" s="18" t="s">
        <v>49</v>
      </c>
      <c r="C846" s="18" t="s">
        <v>107</v>
      </c>
      <c r="D846" s="18" t="s">
        <v>365</v>
      </c>
      <c r="E846" s="18">
        <v>1199</v>
      </c>
      <c r="F846" s="18" t="s">
        <v>35</v>
      </c>
      <c r="J846" s="19"/>
      <c r="K846" s="19">
        <v>0.6603</v>
      </c>
      <c r="L846" s="19">
        <v>0.55719557200000003</v>
      </c>
      <c r="M846" s="19">
        <v>0.67059999999999997</v>
      </c>
      <c r="N846" s="19">
        <v>0.61109999999999998</v>
      </c>
      <c r="O846" s="19">
        <v>0.61019999999999996</v>
      </c>
      <c r="P846" s="19">
        <v>0.57140000000000002</v>
      </c>
      <c r="Q846" s="19"/>
      <c r="R846" s="20">
        <v>46834</v>
      </c>
      <c r="S846" s="21" t="str">
        <f>HYPERLINK("https://irout.gcsu.edu/cc/", "$35942")</f>
        <v>$35942</v>
      </c>
      <c r="T846" s="20">
        <v>39026</v>
      </c>
      <c r="U846" s="20">
        <v>40678</v>
      </c>
      <c r="V846" s="20">
        <v>6236</v>
      </c>
      <c r="W846" s="20">
        <v>29706.527777777781</v>
      </c>
      <c r="Y846" s="19">
        <v>0.1923</v>
      </c>
      <c r="Z846" s="19">
        <v>0.16080000000000011</v>
      </c>
      <c r="AB846" s="18">
        <v>5857</v>
      </c>
      <c r="AC846" s="18">
        <v>3</v>
      </c>
    </row>
    <row r="847" spans="1:29" ht="15.75" customHeight="1" x14ac:dyDescent="0.2">
      <c r="A847" s="36" t="str">
        <f>HYPERLINK("https://www.highlands.edu", "Georgia Highlands College")</f>
        <v>Georgia Highlands College</v>
      </c>
      <c r="B847" s="18" t="s">
        <v>49</v>
      </c>
      <c r="C847" s="18" t="s">
        <v>107</v>
      </c>
      <c r="D847" s="18" t="s">
        <v>1155</v>
      </c>
      <c r="E847" s="18" t="s">
        <v>36</v>
      </c>
      <c r="F847" s="18" t="s">
        <v>36</v>
      </c>
      <c r="J847" s="19"/>
      <c r="K847" s="19">
        <v>8.1100000000000005E-2</v>
      </c>
      <c r="L847" s="19">
        <v>0.159629248</v>
      </c>
      <c r="M847" s="19">
        <v>9.4899999999999998E-2</v>
      </c>
      <c r="N847" s="19">
        <v>4.3900000000000002E-2</v>
      </c>
      <c r="O847" s="19">
        <v>5.4300000000000001E-2</v>
      </c>
      <c r="P847" s="19">
        <v>0.13039999999999999</v>
      </c>
      <c r="Q847" s="19">
        <v>0.108926674</v>
      </c>
      <c r="R847" s="20">
        <v>23931</v>
      </c>
      <c r="S847" s="21" t="str">
        <f>HYPERLINK("https://www.highlands.edu/site/business-office-net-price-calc", "$17664")</f>
        <v>$17664</v>
      </c>
      <c r="T847" s="20">
        <v>20181</v>
      </c>
      <c r="U847" s="20">
        <v>22610</v>
      </c>
      <c r="V847" s="20">
        <v>7246</v>
      </c>
      <c r="W847" s="20">
        <v>10418.125</v>
      </c>
      <c r="Y847" s="19">
        <v>0.43059999999999998</v>
      </c>
      <c r="Z847" s="19">
        <v>0.36919999999999997</v>
      </c>
      <c r="AB847" s="18">
        <v>5715</v>
      </c>
      <c r="AC847" s="18">
        <v>6</v>
      </c>
    </row>
    <row r="848" spans="1:29" ht="15.75" customHeight="1" x14ac:dyDescent="0.2">
      <c r="A848" s="36" t="str">
        <f>HYPERLINK("https://www.gatech.edu", "Georgia Institute of Technology-Main Campus")</f>
        <v>Georgia Institute of Technology-Main Campus</v>
      </c>
      <c r="B848" s="18" t="s">
        <v>49</v>
      </c>
      <c r="C848" s="18" t="s">
        <v>107</v>
      </c>
      <c r="D848" s="18" t="s">
        <v>108</v>
      </c>
      <c r="E848" s="18">
        <v>1389</v>
      </c>
      <c r="F848" s="18" t="s">
        <v>35</v>
      </c>
      <c r="J848" s="19"/>
      <c r="K848" s="19">
        <v>0.85260000000000002</v>
      </c>
      <c r="L848" s="19">
        <v>0.72134387400000011</v>
      </c>
      <c r="M848" s="19">
        <v>0.86199999999999999</v>
      </c>
      <c r="N848" s="19">
        <v>0.72289999999999999</v>
      </c>
      <c r="O848" s="19">
        <v>0.84809999999999997</v>
      </c>
      <c r="P848" s="19">
        <v>0.88119999999999998</v>
      </c>
      <c r="Q848" s="19"/>
      <c r="R848" s="20">
        <v>49366</v>
      </c>
      <c r="S848" s="21" t="str">
        <f>HYPERLINK("https://admission.gatech.edu/npc_2015/npcalc.htm", "$30406")</f>
        <v>$30406</v>
      </c>
      <c r="T848" s="20">
        <v>35811</v>
      </c>
      <c r="U848" s="20">
        <v>37931</v>
      </c>
      <c r="V848" s="20">
        <v>4860</v>
      </c>
      <c r="W848" s="20">
        <v>25546.282608695648</v>
      </c>
      <c r="Y848" s="19">
        <v>0.14710000000000001</v>
      </c>
      <c r="Z848" s="19">
        <v>0.50259999999999994</v>
      </c>
      <c r="AB848" s="18">
        <v>14810</v>
      </c>
      <c r="AC848" s="18">
        <v>1</v>
      </c>
    </row>
    <row r="849" spans="1:29" ht="15.75" customHeight="1" x14ac:dyDescent="0.2">
      <c r="A849" s="36" t="str">
        <f>HYPERLINK("https://www.gmc.edu/", "Georgia Military College")</f>
        <v>Georgia Military College</v>
      </c>
      <c r="B849" s="18" t="s">
        <v>49</v>
      </c>
      <c r="C849" s="18" t="s">
        <v>107</v>
      </c>
      <c r="D849" s="18" t="s">
        <v>365</v>
      </c>
      <c r="E849" s="18" t="s">
        <v>36</v>
      </c>
      <c r="F849" s="18" t="s">
        <v>36</v>
      </c>
      <c r="J849" s="19"/>
      <c r="K849" s="19">
        <v>0.25169999999999998</v>
      </c>
      <c r="L849" s="19">
        <v>0.14440825199999999</v>
      </c>
      <c r="M849" s="19">
        <v>0.30420000000000003</v>
      </c>
      <c r="N849" s="19">
        <v>0.19009999999999999</v>
      </c>
      <c r="O849" s="19">
        <v>0.33960000000000001</v>
      </c>
      <c r="P849" s="19">
        <v>0.4</v>
      </c>
      <c r="Q849" s="19">
        <v>0.144805876</v>
      </c>
      <c r="R849" s="20">
        <v>17557</v>
      </c>
      <c r="S849" s="21" t="str">
        <f>HYPERLINK("https://www.gmc.edu/prospective-students/financial-aid-net-price-calculator.cms", "$13828")</f>
        <v>$13828</v>
      </c>
      <c r="T849" s="20">
        <v>15781</v>
      </c>
      <c r="U849" s="20">
        <v>17522</v>
      </c>
      <c r="V849" s="20">
        <v>3933</v>
      </c>
      <c r="W849" s="20">
        <v>9895.1616499442589</v>
      </c>
      <c r="Y849" s="19">
        <v>0.46899999999999997</v>
      </c>
      <c r="Z849" s="19">
        <v>0.57420000000000004</v>
      </c>
      <c r="AB849" s="18">
        <v>5947</v>
      </c>
      <c r="AC849" s="18">
        <v>6</v>
      </c>
    </row>
    <row r="850" spans="1:29" ht="15.75" customHeight="1" x14ac:dyDescent="0.2">
      <c r="A850" s="36" t="str">
        <f>HYPERLINK("https://www.georgiasouthern.edu", "Georgia Southern University")</f>
        <v>Georgia Southern University</v>
      </c>
      <c r="B850" s="18" t="s">
        <v>49</v>
      </c>
      <c r="C850" s="18" t="s">
        <v>107</v>
      </c>
      <c r="D850" s="18" t="s">
        <v>788</v>
      </c>
      <c r="E850" s="18">
        <v>1174</v>
      </c>
      <c r="F850" s="18" t="s">
        <v>35</v>
      </c>
      <c r="J850" s="19"/>
      <c r="K850" s="19">
        <v>0.49940000000000001</v>
      </c>
      <c r="L850" s="19">
        <v>0.45387994100000001</v>
      </c>
      <c r="M850" s="19">
        <v>0.5141</v>
      </c>
      <c r="N850" s="19">
        <v>0.47239999999999999</v>
      </c>
      <c r="O850" s="19">
        <v>0.42249999999999999</v>
      </c>
      <c r="P850" s="19">
        <v>0.44190000000000002</v>
      </c>
      <c r="Q850" s="19"/>
      <c r="R850" s="20">
        <v>33646</v>
      </c>
      <c r="S850" s="21" t="str">
        <f>HYPERLINK("https://w3.georgiasouthern.edu/sta/fad/NetPriceCalc/npcalc.htm", "$24995")</f>
        <v>$24995</v>
      </c>
      <c r="T850" s="20">
        <v>28525</v>
      </c>
      <c r="U850" s="20">
        <v>29810</v>
      </c>
      <c r="V850" s="20">
        <v>6854</v>
      </c>
      <c r="W850" s="20">
        <v>18141.300578034679</v>
      </c>
      <c r="Y850" s="19">
        <v>0.35649999999999998</v>
      </c>
      <c r="Z850" s="19">
        <v>0.37180000000000002</v>
      </c>
      <c r="AB850" s="18">
        <v>17062</v>
      </c>
      <c r="AC850" s="18">
        <v>4</v>
      </c>
    </row>
    <row r="851" spans="1:29" ht="15.75" customHeight="1" x14ac:dyDescent="0.2">
      <c r="A851" s="36" t="str">
        <f>HYPERLINK("https://gsw.edu/", "Georgia Southwestern State University")</f>
        <v>Georgia Southwestern State University</v>
      </c>
      <c r="B851" s="18" t="s">
        <v>49</v>
      </c>
      <c r="C851" s="18" t="s">
        <v>107</v>
      </c>
      <c r="D851" s="18" t="s">
        <v>790</v>
      </c>
      <c r="E851" s="18">
        <v>1045</v>
      </c>
      <c r="F851" s="18" t="s">
        <v>35</v>
      </c>
      <c r="J851" s="19"/>
      <c r="K851" s="19">
        <v>0.255</v>
      </c>
      <c r="L851" s="19">
        <v>0.43146067399999999</v>
      </c>
      <c r="M851" s="19">
        <v>0.2883</v>
      </c>
      <c r="N851" s="19">
        <v>0.2</v>
      </c>
      <c r="O851" s="19">
        <v>0.2</v>
      </c>
      <c r="P851" s="19">
        <v>0</v>
      </c>
      <c r="Q851" s="19"/>
      <c r="R851" s="20">
        <v>30897</v>
      </c>
      <c r="S851" s="21" t="str">
        <f>HYPERLINK("https://gsw.edu/Assets/FinancialAid/files/NetPriceCalculator/npcalc.htm", "$22361")</f>
        <v>$22361</v>
      </c>
      <c r="T851" s="20">
        <v>24965</v>
      </c>
      <c r="U851" s="20">
        <v>27207</v>
      </c>
      <c r="V851" s="20">
        <v>7185</v>
      </c>
      <c r="W851" s="20">
        <v>15176.73544973545</v>
      </c>
      <c r="Y851" s="19">
        <v>0.42920000000000003</v>
      </c>
      <c r="Z851" s="19">
        <v>0.37990000000000002</v>
      </c>
      <c r="AB851" s="18">
        <v>2348</v>
      </c>
      <c r="AC851" s="18">
        <v>4</v>
      </c>
    </row>
    <row r="852" spans="1:29" ht="15.75" customHeight="1" x14ac:dyDescent="0.2">
      <c r="A852" s="36" t="str">
        <f>HYPERLINK("https://www.gsu.edu", "Georgia State University")</f>
        <v>Georgia State University</v>
      </c>
      <c r="B852" s="18" t="s">
        <v>49</v>
      </c>
      <c r="C852" s="18" t="s">
        <v>107</v>
      </c>
      <c r="D852" s="18" t="s">
        <v>108</v>
      </c>
      <c r="E852" s="18">
        <v>1128</v>
      </c>
      <c r="F852" s="18" t="s">
        <v>35</v>
      </c>
      <c r="J852" s="19"/>
      <c r="K852" s="19">
        <v>0.53469999999999995</v>
      </c>
      <c r="L852" s="19">
        <v>0.5</v>
      </c>
      <c r="M852" s="19">
        <v>0.49680000000000002</v>
      </c>
      <c r="N852" s="19">
        <v>0.57420000000000004</v>
      </c>
      <c r="O852" s="19">
        <v>0.5494</v>
      </c>
      <c r="P852" s="19">
        <v>0.55389999999999995</v>
      </c>
      <c r="Q852" s="19"/>
      <c r="R852" s="20">
        <v>40873</v>
      </c>
      <c r="S852" s="21" t="str">
        <f>HYPERLINK("https://admissions.gsu.edu/what-does-it-cost/cost-calculator/", "$29824")</f>
        <v>$29824</v>
      </c>
      <c r="T852" s="20">
        <v>32975</v>
      </c>
      <c r="U852" s="20">
        <v>34727</v>
      </c>
      <c r="V852" s="20">
        <v>2510</v>
      </c>
      <c r="W852" s="20">
        <v>27314.49148418492</v>
      </c>
      <c r="Y852" s="19">
        <v>0.49299999999999999</v>
      </c>
      <c r="Z852" s="19">
        <v>0.76570000000000005</v>
      </c>
      <c r="AB852" s="18">
        <v>25031</v>
      </c>
      <c r="AC852" s="18">
        <v>3</v>
      </c>
    </row>
    <row r="853" spans="1:29" ht="15.75" customHeight="1" x14ac:dyDescent="0.2">
      <c r="A853" s="36" t="str">
        <f>HYPERLINK("https://georgian.edu/", "Georgian Court University")</f>
        <v>Georgian Court University</v>
      </c>
      <c r="B853" s="18" t="s">
        <v>32</v>
      </c>
      <c r="C853" s="18" t="s">
        <v>141</v>
      </c>
      <c r="D853" s="18" t="s">
        <v>338</v>
      </c>
      <c r="E853" s="18">
        <v>1015</v>
      </c>
      <c r="F853" s="18" t="s">
        <v>35</v>
      </c>
      <c r="J853" s="19"/>
      <c r="K853" s="19">
        <v>0.47739999999999999</v>
      </c>
      <c r="L853" s="19">
        <v>0.50289017299999994</v>
      </c>
      <c r="M853" s="19">
        <v>0.62609999999999999</v>
      </c>
      <c r="N853" s="19">
        <v>0.3281</v>
      </c>
      <c r="O853" s="19">
        <v>0.3947</v>
      </c>
      <c r="P853" s="19">
        <v>0.33329999999999999</v>
      </c>
      <c r="Q853" s="19"/>
      <c r="R853" s="20">
        <v>51018</v>
      </c>
      <c r="S853" s="21" t="str">
        <f>HYPERLINK("https://georgian.studentaidcalculator.com/survey.aspx", "$19210")</f>
        <v>$19210</v>
      </c>
      <c r="T853" s="20">
        <v>21839</v>
      </c>
      <c r="U853" s="20">
        <v>27730</v>
      </c>
      <c r="V853" s="20">
        <v>7950</v>
      </c>
      <c r="W853" s="20">
        <v>11260</v>
      </c>
      <c r="Y853" s="19">
        <v>0.38590000000000002</v>
      </c>
      <c r="Z853" s="19">
        <v>0.39529999999999998</v>
      </c>
      <c r="AB853" s="18">
        <v>1447</v>
      </c>
      <c r="AC853" s="18">
        <v>5</v>
      </c>
    </row>
    <row r="854" spans="1:29" ht="15.75" customHeight="1" x14ac:dyDescent="0.2">
      <c r="A854" s="36" t="str">
        <f>HYPERLINK("https://WWW.GETTYSBURG.EDU", "Gettysburg College")</f>
        <v>Gettysburg College</v>
      </c>
      <c r="B854" s="18" t="s">
        <v>32</v>
      </c>
      <c r="C854" s="18" t="s">
        <v>65</v>
      </c>
      <c r="D854" s="18" t="s">
        <v>221</v>
      </c>
      <c r="E854" s="18" t="s">
        <v>36</v>
      </c>
      <c r="F854" s="18" t="s">
        <v>90</v>
      </c>
      <c r="J854" s="19"/>
      <c r="K854" s="19">
        <v>0.83579999999999999</v>
      </c>
      <c r="L854" s="19" t="s">
        <v>36</v>
      </c>
      <c r="M854" s="19">
        <v>0.85009999999999997</v>
      </c>
      <c r="N854" s="19">
        <v>0.66669999999999996</v>
      </c>
      <c r="O854" s="19">
        <v>0.8276</v>
      </c>
      <c r="P854" s="19">
        <v>0.83330000000000004</v>
      </c>
      <c r="Q854" s="19"/>
      <c r="R854" s="20">
        <v>66710</v>
      </c>
      <c r="S854" s="21" t="str">
        <f>HYPERLINK("https://www.gettysburg.edu/calculator/", "$15878")</f>
        <v>$15878</v>
      </c>
      <c r="T854" s="20">
        <v>18661</v>
      </c>
      <c r="U854" s="20">
        <v>25764</v>
      </c>
      <c r="V854" s="20">
        <v>1500</v>
      </c>
      <c r="W854" s="20">
        <v>14378</v>
      </c>
      <c r="X854" s="18" t="s">
        <v>37</v>
      </c>
      <c r="Y854" s="19">
        <v>0.15040000000000001</v>
      </c>
      <c r="Z854" s="19">
        <v>0.24970000000000001</v>
      </c>
      <c r="AB854" s="18">
        <v>2411</v>
      </c>
      <c r="AC854" s="18">
        <v>2</v>
      </c>
    </row>
    <row r="855" spans="1:29" ht="15.75" customHeight="1" x14ac:dyDescent="0.2">
      <c r="A855" s="36" t="str">
        <f>HYPERLINK("https://www.glenoaks.edu/", "Glen Oaks Community College")</f>
        <v>Glen Oaks Community College</v>
      </c>
      <c r="B855" s="18" t="s">
        <v>49</v>
      </c>
      <c r="C855" s="18" t="s">
        <v>226</v>
      </c>
      <c r="D855" s="18" t="s">
        <v>1362</v>
      </c>
      <c r="E855" s="18" t="s">
        <v>36</v>
      </c>
      <c r="F855" s="18" t="s">
        <v>36</v>
      </c>
      <c r="J855" s="19"/>
      <c r="K855" s="19">
        <v>0.26960000000000001</v>
      </c>
      <c r="L855" s="19">
        <v>0.18429002999999999</v>
      </c>
      <c r="M855" s="19">
        <v>0.3256</v>
      </c>
      <c r="N855" s="19">
        <v>7.6899999999999996E-2</v>
      </c>
      <c r="O855" s="19">
        <v>0.28570000000000001</v>
      </c>
      <c r="P855" s="19" t="s">
        <v>36</v>
      </c>
      <c r="Q855" s="19">
        <v>4.7882135999999999E-2</v>
      </c>
      <c r="R855" s="20">
        <v>17412</v>
      </c>
      <c r="S855" s="21" t="str">
        <f>HYPERLINK("https://www.glenoaks.edu/student-services/net-price-calculator/", "$11390")</f>
        <v>$11390</v>
      </c>
      <c r="T855" s="20">
        <v>14961</v>
      </c>
      <c r="U855" s="20">
        <v>16678</v>
      </c>
      <c r="V855" s="20">
        <v>3100</v>
      </c>
      <c r="W855" s="20">
        <v>8290.2258064516136</v>
      </c>
      <c r="Y855" s="19">
        <v>0.27379999999999999</v>
      </c>
      <c r="Z855" s="19">
        <v>0.25790000000000002</v>
      </c>
      <c r="AB855" s="18">
        <v>667</v>
      </c>
      <c r="AC855" s="18">
        <v>6</v>
      </c>
    </row>
    <row r="856" spans="1:29" ht="15.75" customHeight="1" x14ac:dyDescent="0.2">
      <c r="A856" s="36" t="str">
        <f>HYPERLINK("https://www.glendale.edu", "Glendale Community College")</f>
        <v>Glendale Community College</v>
      </c>
      <c r="B856" s="18" t="s">
        <v>49</v>
      </c>
      <c r="C856" s="18" t="s">
        <v>68</v>
      </c>
      <c r="D856" s="18" t="s">
        <v>559</v>
      </c>
      <c r="E856" s="18" t="s">
        <v>36</v>
      </c>
      <c r="F856" s="18" t="s">
        <v>36</v>
      </c>
      <c r="J856" s="19"/>
      <c r="K856" s="19">
        <v>0.28720000000000001</v>
      </c>
      <c r="L856" s="19" t="s">
        <v>36</v>
      </c>
      <c r="M856" s="19">
        <v>0.38190000000000002</v>
      </c>
      <c r="N856" s="19">
        <v>0.1515</v>
      </c>
      <c r="O856" s="19">
        <v>0.1812</v>
      </c>
      <c r="P856" s="19">
        <v>0.26790000000000003</v>
      </c>
      <c r="Q856" s="19">
        <v>0.18686868700000001</v>
      </c>
      <c r="R856" s="20">
        <v>24489</v>
      </c>
      <c r="S856" s="21" t="str">
        <f>HYPERLINK("https://misweb.cccco.edu/npc/731/npcalc.htm", "$17143")</f>
        <v>$17143</v>
      </c>
      <c r="T856" s="20">
        <v>20575</v>
      </c>
      <c r="U856" s="20">
        <v>21096</v>
      </c>
      <c r="V856" s="20">
        <v>4860</v>
      </c>
      <c r="W856" s="20">
        <v>12283.78487394958</v>
      </c>
      <c r="Y856" s="19">
        <v>0.34910000000000002</v>
      </c>
      <c r="Z856" s="19">
        <v>0.52249999999999996</v>
      </c>
      <c r="AB856" s="18">
        <v>12996</v>
      </c>
      <c r="AC856" s="18">
        <v>6</v>
      </c>
    </row>
    <row r="857" spans="1:29" ht="15.75" customHeight="1" x14ac:dyDescent="0.2">
      <c r="A857" s="36" t="str">
        <f>HYPERLINK("https://www.glenville.edu", "Glenville State College")</f>
        <v>Glenville State College</v>
      </c>
      <c r="B857" s="18" t="s">
        <v>49</v>
      </c>
      <c r="C857" s="18" t="s">
        <v>574</v>
      </c>
      <c r="D857" s="18" t="s">
        <v>740</v>
      </c>
      <c r="E857" s="18" t="s">
        <v>36</v>
      </c>
      <c r="F857" s="18" t="s">
        <v>36</v>
      </c>
      <c r="J857" s="19"/>
      <c r="K857" s="19">
        <v>0.2979</v>
      </c>
      <c r="L857" s="19">
        <v>0.170833333</v>
      </c>
      <c r="M857" s="19">
        <v>0.35049999999999998</v>
      </c>
      <c r="N857" s="19">
        <v>5.5599999999999997E-2</v>
      </c>
      <c r="O857" s="19">
        <v>0.2</v>
      </c>
      <c r="P857" s="19">
        <v>1</v>
      </c>
      <c r="Q857" s="19"/>
      <c r="R857" s="20">
        <v>32400</v>
      </c>
      <c r="S857" s="21" t="str">
        <f>HYPERLINK("https://glenville.studentaidcalculator.com/survey.aspx", "$27558")</f>
        <v>$27558</v>
      </c>
      <c r="T857" s="20">
        <v>28288</v>
      </c>
      <c r="U857" s="20">
        <v>31584</v>
      </c>
      <c r="V857" s="20">
        <v>5898</v>
      </c>
      <c r="W857" s="20">
        <v>21660.056338028171</v>
      </c>
      <c r="Y857" s="19">
        <v>0.48449999999999999</v>
      </c>
      <c r="Z857" s="19">
        <v>0.221</v>
      </c>
      <c r="AB857" s="18">
        <v>1326</v>
      </c>
      <c r="AC857" s="18">
        <v>5</v>
      </c>
    </row>
    <row r="858" spans="1:29" ht="15.75" customHeight="1" x14ac:dyDescent="0.2">
      <c r="A858" s="36" t="str">
        <f>HYPERLINK("https://www.goddard.edu", "Goddard College")</f>
        <v>Goddard College</v>
      </c>
      <c r="B858" s="18" t="s">
        <v>32</v>
      </c>
      <c r="C858" s="18" t="s">
        <v>47</v>
      </c>
      <c r="D858" s="18" t="s">
        <v>793</v>
      </c>
      <c r="E858" s="18" t="s">
        <v>36</v>
      </c>
      <c r="F858" s="18" t="s">
        <v>45</v>
      </c>
      <c r="J858" s="19"/>
      <c r="K858" s="19">
        <v>0.42859999999999998</v>
      </c>
      <c r="L858" s="19">
        <v>0.66666666699999999</v>
      </c>
      <c r="M858" s="19">
        <v>0.25</v>
      </c>
      <c r="N858" s="19" t="s">
        <v>36</v>
      </c>
      <c r="O858" s="19">
        <v>1</v>
      </c>
      <c r="P858" s="19" t="s">
        <v>36</v>
      </c>
      <c r="Q858" s="19"/>
      <c r="R858" s="20">
        <v>34300</v>
      </c>
      <c r="S858" s="21" t="str">
        <f>HYPERLINK("https://web.goddard.edu/npc/", "$19374")</f>
        <v>$19374</v>
      </c>
      <c r="T858" s="20" t="s">
        <v>36</v>
      </c>
      <c r="U858" s="20" t="s">
        <v>36</v>
      </c>
      <c r="V858" s="20">
        <v>7670</v>
      </c>
      <c r="W858" s="20">
        <v>11704</v>
      </c>
      <c r="Y858" s="19">
        <v>0.58250000000000002</v>
      </c>
      <c r="Z858" s="19">
        <v>0.45760000000000001</v>
      </c>
      <c r="AB858" s="18">
        <v>177</v>
      </c>
      <c r="AC858" s="18">
        <v>4</v>
      </c>
    </row>
    <row r="859" spans="1:29" ht="15.75" customHeight="1" x14ac:dyDescent="0.2">
      <c r="A859" s="36" t="str">
        <f>HYPERLINK("https://www.gogebic.edu", "Gogebic Community College")</f>
        <v>Gogebic Community College</v>
      </c>
      <c r="B859" s="18" t="s">
        <v>49</v>
      </c>
      <c r="C859" s="18" t="s">
        <v>226</v>
      </c>
      <c r="D859" s="18" t="s">
        <v>1363</v>
      </c>
      <c r="E859" s="18" t="s">
        <v>36</v>
      </c>
      <c r="F859" s="18" t="s">
        <v>36</v>
      </c>
      <c r="J859" s="19"/>
      <c r="K859" s="19">
        <v>0.36969999999999997</v>
      </c>
      <c r="L859" s="19">
        <v>0.26950354599999998</v>
      </c>
      <c r="M859" s="19">
        <v>0.4022</v>
      </c>
      <c r="N859" s="19">
        <v>0.28570000000000001</v>
      </c>
      <c r="O859" s="19">
        <v>0.66669999999999996</v>
      </c>
      <c r="P859" s="19" t="s">
        <v>36</v>
      </c>
      <c r="Q859" s="19">
        <v>6.8000000000000005E-2</v>
      </c>
      <c r="R859" s="20">
        <v>17492</v>
      </c>
      <c r="S859" s="21" t="str">
        <f>HYPERLINK("https://www.gogebic.edu/financial_aid/financialaid.html", "$10242")</f>
        <v>$10242</v>
      </c>
      <c r="T859" s="20">
        <v>14180</v>
      </c>
      <c r="U859" s="20">
        <v>16539</v>
      </c>
      <c r="V859" s="20">
        <v>4500</v>
      </c>
      <c r="W859" s="20">
        <v>5742.6666666666679</v>
      </c>
      <c r="Y859" s="19">
        <v>0.36309999999999998</v>
      </c>
      <c r="Z859" s="19">
        <v>0.1108</v>
      </c>
      <c r="AB859" s="18">
        <v>758</v>
      </c>
      <c r="AC859" s="18">
        <v>6</v>
      </c>
    </row>
    <row r="860" spans="1:29" ht="15.75" customHeight="1" x14ac:dyDescent="0.2">
      <c r="A860" s="36" t="str">
        <f>HYPERLINK("https://www.ggu.edu/", "Golden Gate University-Los Angeles")</f>
        <v>Golden Gate University-Los Angeles</v>
      </c>
      <c r="B860" s="18" t="s">
        <v>32</v>
      </c>
      <c r="C860" s="18" t="s">
        <v>68</v>
      </c>
      <c r="D860" s="18" t="s">
        <v>140</v>
      </c>
      <c r="E860" s="18" t="s">
        <v>36</v>
      </c>
      <c r="F860" s="18" t="s">
        <v>36</v>
      </c>
      <c r="J860" s="19"/>
      <c r="K860" s="19" t="s">
        <v>36</v>
      </c>
      <c r="L860" s="19">
        <v>0.58333333300000001</v>
      </c>
      <c r="M860" s="19" t="s">
        <v>36</v>
      </c>
      <c r="N860" s="19" t="s">
        <v>36</v>
      </c>
      <c r="O860" s="19" t="s">
        <v>36</v>
      </c>
      <c r="P860" s="19" t="s">
        <v>36</v>
      </c>
      <c r="Q860" s="19"/>
      <c r="R860" s="20" t="s">
        <v>36</v>
      </c>
      <c r="S860" s="35" t="s">
        <v>36</v>
      </c>
      <c r="T860" s="20" t="s">
        <v>36</v>
      </c>
      <c r="U860" s="20" t="s">
        <v>36</v>
      </c>
      <c r="V860" s="20" t="s">
        <v>36</v>
      </c>
      <c r="W860" s="20" t="s">
        <v>36</v>
      </c>
      <c r="Y860" s="19" t="s">
        <v>36</v>
      </c>
      <c r="Z860" s="19" t="s">
        <v>36</v>
      </c>
      <c r="AB860" s="18" t="s">
        <v>36</v>
      </c>
      <c r="AC860" s="18">
        <v>4</v>
      </c>
    </row>
    <row r="861" spans="1:29" ht="15.75" customHeight="1" x14ac:dyDescent="0.2">
      <c r="A861" s="36" t="str">
        <f>HYPERLINK("https://www.ggu.edu", "Golden Gate University-San Francisco")</f>
        <v>Golden Gate University-San Francisco</v>
      </c>
      <c r="B861" s="18" t="s">
        <v>32</v>
      </c>
      <c r="C861" s="18" t="s">
        <v>68</v>
      </c>
      <c r="D861" s="18" t="s">
        <v>522</v>
      </c>
      <c r="E861" s="18" t="s">
        <v>36</v>
      </c>
      <c r="F861" s="18" t="s">
        <v>45</v>
      </c>
      <c r="J861" s="19"/>
      <c r="K861" s="19" t="s">
        <v>36</v>
      </c>
      <c r="L861" s="19">
        <v>0.58333333300000001</v>
      </c>
      <c r="M861" s="19" t="s">
        <v>36</v>
      </c>
      <c r="N861" s="19" t="s">
        <v>36</v>
      </c>
      <c r="O861" s="19" t="s">
        <v>36</v>
      </c>
      <c r="P861" s="19" t="s">
        <v>36</v>
      </c>
      <c r="Q861" s="19"/>
      <c r="R861" s="20">
        <v>35825</v>
      </c>
      <c r="S861" s="21" t="str">
        <f>HYPERLINK("https://www.ggu.edu/undergraduate/enrollment/financial-aid/net-price-calculator", "Not reported")</f>
        <v>Not reported</v>
      </c>
      <c r="T861" s="20" t="s">
        <v>36</v>
      </c>
      <c r="U861" s="20" t="s">
        <v>36</v>
      </c>
      <c r="V861" s="20">
        <v>6530</v>
      </c>
      <c r="W861" s="20" t="s">
        <v>36</v>
      </c>
      <c r="Y861" s="19">
        <v>0.22090000000000001</v>
      </c>
      <c r="Z861" s="19">
        <v>0.72839999999999994</v>
      </c>
      <c r="AB861" s="18">
        <v>416</v>
      </c>
      <c r="AC861" s="18">
        <v>4</v>
      </c>
    </row>
    <row r="862" spans="1:29" ht="15.75" customHeight="1" x14ac:dyDescent="0.2">
      <c r="A862" s="36" t="str">
        <f>HYPERLINK("https://www.ggu.edu/", "Golden Gate University-Seattle")</f>
        <v>Golden Gate University-Seattle</v>
      </c>
      <c r="B862" s="18" t="s">
        <v>32</v>
      </c>
      <c r="C862" s="18" t="s">
        <v>184</v>
      </c>
      <c r="D862" s="18" t="s">
        <v>472</v>
      </c>
      <c r="E862" s="18" t="s">
        <v>36</v>
      </c>
      <c r="F862" s="18" t="s">
        <v>36</v>
      </c>
      <c r="J862" s="19"/>
      <c r="K862" s="19" t="s">
        <v>36</v>
      </c>
      <c r="L862" s="19">
        <v>0.58333333300000001</v>
      </c>
      <c r="M862" s="19" t="s">
        <v>36</v>
      </c>
      <c r="N862" s="19" t="s">
        <v>36</v>
      </c>
      <c r="O862" s="19" t="s">
        <v>36</v>
      </c>
      <c r="P862" s="19" t="s">
        <v>36</v>
      </c>
      <c r="Q862" s="19"/>
      <c r="R862" s="20" t="s">
        <v>36</v>
      </c>
      <c r="S862" s="35" t="s">
        <v>36</v>
      </c>
      <c r="T862" s="20" t="s">
        <v>36</v>
      </c>
      <c r="U862" s="20" t="s">
        <v>36</v>
      </c>
      <c r="V862" s="20" t="s">
        <v>36</v>
      </c>
      <c r="W862" s="20" t="s">
        <v>36</v>
      </c>
      <c r="Y862" s="19" t="s">
        <v>36</v>
      </c>
      <c r="Z862" s="19" t="s">
        <v>36</v>
      </c>
      <c r="AB862" s="18" t="s">
        <v>36</v>
      </c>
      <c r="AC862" s="18">
        <v>4</v>
      </c>
    </row>
    <row r="863" spans="1:29" ht="15.75" customHeight="1" x14ac:dyDescent="0.2">
      <c r="A863" s="36" t="str">
        <f>HYPERLINK("https://www.ggu.edu/", "Golden Gate University-Silicon Valley")</f>
        <v>Golden Gate University-Silicon Valley</v>
      </c>
      <c r="B863" s="18" t="s">
        <v>32</v>
      </c>
      <c r="C863" s="18" t="s">
        <v>68</v>
      </c>
      <c r="D863" s="18" t="s">
        <v>150</v>
      </c>
      <c r="E863" s="18" t="s">
        <v>36</v>
      </c>
      <c r="F863" s="18" t="s">
        <v>36</v>
      </c>
      <c r="J863" s="19"/>
      <c r="K863" s="19" t="s">
        <v>36</v>
      </c>
      <c r="L863" s="19">
        <v>0.58333333300000001</v>
      </c>
      <c r="M863" s="19" t="s">
        <v>36</v>
      </c>
      <c r="N863" s="19" t="s">
        <v>36</v>
      </c>
      <c r="O863" s="19" t="s">
        <v>36</v>
      </c>
      <c r="P863" s="19" t="s">
        <v>36</v>
      </c>
      <c r="Q863" s="19"/>
      <c r="R863" s="20" t="s">
        <v>36</v>
      </c>
      <c r="S863" s="35" t="s">
        <v>36</v>
      </c>
      <c r="T863" s="20" t="s">
        <v>36</v>
      </c>
      <c r="U863" s="20" t="s">
        <v>36</v>
      </c>
      <c r="V863" s="20" t="s">
        <v>36</v>
      </c>
      <c r="W863" s="20" t="s">
        <v>36</v>
      </c>
      <c r="Y863" s="19" t="s">
        <v>36</v>
      </c>
      <c r="Z863" s="19" t="s">
        <v>36</v>
      </c>
      <c r="AB863" s="18" t="s">
        <v>36</v>
      </c>
      <c r="AC863" s="18">
        <v>4</v>
      </c>
    </row>
    <row r="864" spans="1:29" ht="15.75" customHeight="1" x14ac:dyDescent="0.2">
      <c r="A864" s="36" t="str">
        <f>HYPERLINK("https://www.golfacademy.edu", "Golf Academy of America-Farmers Branch")</f>
        <v>Golf Academy of America-Farmers Branch</v>
      </c>
      <c r="B864" s="18" t="s">
        <v>368</v>
      </c>
      <c r="C864" s="18" t="s">
        <v>146</v>
      </c>
      <c r="D864" s="18" t="s">
        <v>991</v>
      </c>
      <c r="E864" s="18" t="s">
        <v>36</v>
      </c>
      <c r="F864" s="18" t="s">
        <v>36</v>
      </c>
      <c r="J864" s="19"/>
      <c r="K864" s="19">
        <v>0.55810000000000004</v>
      </c>
      <c r="L864" s="19">
        <v>0.30252664499999998</v>
      </c>
      <c r="M864" s="19">
        <v>0.6</v>
      </c>
      <c r="N864" s="19">
        <v>0.5</v>
      </c>
      <c r="O864" s="19">
        <v>0.75</v>
      </c>
      <c r="P864" s="19">
        <v>1</v>
      </c>
      <c r="Q864" s="19">
        <v>2.3974295999999999E-2</v>
      </c>
      <c r="R864" s="20" t="s">
        <v>36</v>
      </c>
      <c r="S864" s="21" t="str">
        <f>HYPERLINK("https://enroll.golfacademy.edu/Npc", "$24009")</f>
        <v>$24009</v>
      </c>
      <c r="T864" s="20" t="s">
        <v>36</v>
      </c>
      <c r="U864" s="20">
        <v>27538</v>
      </c>
      <c r="V864" s="20" t="s">
        <v>36</v>
      </c>
      <c r="W864" s="20" t="s">
        <v>36</v>
      </c>
      <c r="Y864" s="19">
        <v>0.18870000000000001</v>
      </c>
      <c r="Z864" s="19">
        <v>0.2752</v>
      </c>
      <c r="AB864" s="18">
        <v>109</v>
      </c>
      <c r="AC864" s="18">
        <v>6</v>
      </c>
    </row>
    <row r="865" spans="1:29" ht="15.75" customHeight="1" x14ac:dyDescent="0.2">
      <c r="A865" s="36" t="str">
        <f>HYPERLINK("https://www.golfacademy.edu", "Golf Academy of America-Myrtle Beach")</f>
        <v>Golf Academy of America-Myrtle Beach</v>
      </c>
      <c r="B865" s="18" t="s">
        <v>368</v>
      </c>
      <c r="C865" s="18" t="s">
        <v>208</v>
      </c>
      <c r="D865" s="18" t="s">
        <v>1366</v>
      </c>
      <c r="E865" s="18" t="s">
        <v>36</v>
      </c>
      <c r="F865" s="18" t="s">
        <v>36</v>
      </c>
      <c r="J865" s="19"/>
      <c r="K865" s="19">
        <v>0.59089999999999998</v>
      </c>
      <c r="L865" s="19">
        <v>0.30252664499999998</v>
      </c>
      <c r="M865" s="19">
        <v>0.61539999999999995</v>
      </c>
      <c r="N865" s="19">
        <v>1</v>
      </c>
      <c r="O865" s="19">
        <v>1</v>
      </c>
      <c r="P865" s="19">
        <v>0</v>
      </c>
      <c r="Q865" s="19">
        <v>2.3974295999999999E-2</v>
      </c>
      <c r="R865" s="20" t="s">
        <v>36</v>
      </c>
      <c r="S865" s="21" t="str">
        <f>HYPERLINK("https://enroll.golfacademy.edu/npc", "$24414")</f>
        <v>$24414</v>
      </c>
      <c r="T865" s="20">
        <v>27884</v>
      </c>
      <c r="U865" s="20">
        <v>27906</v>
      </c>
      <c r="V865" s="20" t="s">
        <v>36</v>
      </c>
      <c r="W865" s="20" t="s">
        <v>36</v>
      </c>
      <c r="Y865" s="19">
        <v>0.28110000000000002</v>
      </c>
      <c r="Z865" s="19">
        <v>0.15</v>
      </c>
      <c r="AB865" s="18">
        <v>160</v>
      </c>
      <c r="AC865" s="18">
        <v>6</v>
      </c>
    </row>
    <row r="866" spans="1:29" ht="15.75" customHeight="1" x14ac:dyDescent="0.2">
      <c r="A866" s="36" t="str">
        <f>HYPERLINK("https://www.golfacademy.edu", "Golf Academy of America-Altamonte Springs")</f>
        <v>Golf Academy of America-Altamonte Springs</v>
      </c>
      <c r="B866" s="18" t="s">
        <v>368</v>
      </c>
      <c r="C866" s="18" t="s">
        <v>162</v>
      </c>
      <c r="D866" s="18" t="s">
        <v>1368</v>
      </c>
      <c r="E866" s="18" t="s">
        <v>36</v>
      </c>
      <c r="F866" s="18" t="s">
        <v>36</v>
      </c>
      <c r="J866" s="19"/>
      <c r="K866" s="19">
        <v>0.77459999999999996</v>
      </c>
      <c r="L866" s="19">
        <v>0.30252664499999998</v>
      </c>
      <c r="M866" s="19">
        <v>0.78</v>
      </c>
      <c r="N866" s="19">
        <v>0.25</v>
      </c>
      <c r="O866" s="19">
        <v>1</v>
      </c>
      <c r="P866" s="19">
        <v>1</v>
      </c>
      <c r="Q866" s="19">
        <v>2.3974295999999999E-2</v>
      </c>
      <c r="R866" s="20" t="s">
        <v>36</v>
      </c>
      <c r="S866" s="21" t="str">
        <f>HYPERLINK("https://enroll.golfacademy.edu/Npc", "$23454")</f>
        <v>$23454</v>
      </c>
      <c r="T866" s="20">
        <v>24683</v>
      </c>
      <c r="U866" s="20" t="s">
        <v>36</v>
      </c>
      <c r="V866" s="20" t="s">
        <v>36</v>
      </c>
      <c r="W866" s="20" t="s">
        <v>36</v>
      </c>
      <c r="Y866" s="19">
        <v>0.25969999999999999</v>
      </c>
      <c r="Z866" s="19">
        <v>0.33040000000000003</v>
      </c>
      <c r="AB866" s="18">
        <v>115</v>
      </c>
      <c r="AC866" s="18">
        <v>6</v>
      </c>
    </row>
    <row r="867" spans="1:29" ht="15.75" customHeight="1" x14ac:dyDescent="0.2">
      <c r="A867" s="36" t="str">
        <f>HYPERLINK("https://www.golfacademy.edu", "Golf Academy of America-Phoenix")</f>
        <v>Golf Academy of America-Phoenix</v>
      </c>
      <c r="B867" s="18" t="s">
        <v>368</v>
      </c>
      <c r="C867" s="18" t="s">
        <v>354</v>
      </c>
      <c r="D867" s="18" t="s">
        <v>1369</v>
      </c>
      <c r="E867" s="18" t="s">
        <v>36</v>
      </c>
      <c r="F867" s="18" t="s">
        <v>36</v>
      </c>
      <c r="J867" s="19"/>
      <c r="K867" s="19">
        <v>0.75790000000000002</v>
      </c>
      <c r="L867" s="19">
        <v>0.30252664499999998</v>
      </c>
      <c r="M867" s="19">
        <v>0.75639999999999996</v>
      </c>
      <c r="N867" s="19">
        <v>1</v>
      </c>
      <c r="O867" s="19">
        <v>0.75</v>
      </c>
      <c r="P867" s="19">
        <v>1</v>
      </c>
      <c r="Q867" s="19">
        <v>2.3974295999999999E-2</v>
      </c>
      <c r="R867" s="20" t="s">
        <v>36</v>
      </c>
      <c r="S867" s="21" t="str">
        <f>HYPERLINK("https://enroll.golfacademy.edu/Npc", "$24698")</f>
        <v>$24698</v>
      </c>
      <c r="T867" s="20">
        <v>25369</v>
      </c>
      <c r="U867" s="20" t="s">
        <v>36</v>
      </c>
      <c r="V867" s="20" t="s">
        <v>36</v>
      </c>
      <c r="W867" s="20" t="s">
        <v>36</v>
      </c>
      <c r="Y867" s="19">
        <v>0.32300000000000001</v>
      </c>
      <c r="Z867" s="19">
        <v>0.27099999999999991</v>
      </c>
      <c r="AB867" s="18">
        <v>107</v>
      </c>
      <c r="AC867" s="18">
        <v>6</v>
      </c>
    </row>
    <row r="868" spans="1:29" ht="15.75" customHeight="1" x14ac:dyDescent="0.2">
      <c r="A868" s="36" t="str">
        <f>HYPERLINK("https://www.golfacademy.edu", "Golf Academy of America-Carlsbad")</f>
        <v>Golf Academy of America-Carlsbad</v>
      </c>
      <c r="B868" s="18" t="s">
        <v>368</v>
      </c>
      <c r="C868" s="18" t="s">
        <v>68</v>
      </c>
      <c r="D868" s="18" t="s">
        <v>1373</v>
      </c>
      <c r="E868" s="18" t="s">
        <v>36</v>
      </c>
      <c r="F868" s="18" t="s">
        <v>36</v>
      </c>
      <c r="J868" s="19"/>
      <c r="K868" s="19">
        <v>0.56069999999999998</v>
      </c>
      <c r="L868" s="19">
        <v>0.30252664499999998</v>
      </c>
      <c r="M868" s="19">
        <v>0.59150000000000003</v>
      </c>
      <c r="N868" s="19">
        <v>0.5</v>
      </c>
      <c r="O868" s="19">
        <v>0.42859999999999998</v>
      </c>
      <c r="P868" s="19">
        <v>0.63639999999999997</v>
      </c>
      <c r="Q868" s="19">
        <v>2.3974295999999999E-2</v>
      </c>
      <c r="R868" s="20" t="s">
        <v>36</v>
      </c>
      <c r="S868" s="21" t="str">
        <f>HYPERLINK("https://enroll.golfacademy.edu/Npc", "$28174")</f>
        <v>$28174</v>
      </c>
      <c r="T868" s="20" t="s">
        <v>36</v>
      </c>
      <c r="U868" s="20" t="s">
        <v>36</v>
      </c>
      <c r="V868" s="20" t="s">
        <v>36</v>
      </c>
      <c r="W868" s="20" t="s">
        <v>36</v>
      </c>
      <c r="Y868" s="19">
        <v>0.28000000000000003</v>
      </c>
      <c r="Z868" s="19">
        <v>0.34749999999999998</v>
      </c>
      <c r="AB868" s="18">
        <v>118</v>
      </c>
      <c r="AC868" s="18">
        <v>6</v>
      </c>
    </row>
    <row r="869" spans="1:29" ht="15.75" customHeight="1" x14ac:dyDescent="0.2">
      <c r="A869" s="36" t="str">
        <f>HYPERLINK("https://www.gonzaga.edu", "Gonzaga University")</f>
        <v>Gonzaga University</v>
      </c>
      <c r="B869" s="18" t="s">
        <v>32</v>
      </c>
      <c r="C869" s="18" t="s">
        <v>184</v>
      </c>
      <c r="D869" s="18" t="s">
        <v>222</v>
      </c>
      <c r="E869" s="18">
        <v>1295</v>
      </c>
      <c r="F869" s="18" t="s">
        <v>35</v>
      </c>
      <c r="J869" s="19"/>
      <c r="K869" s="19">
        <v>0.87260000000000004</v>
      </c>
      <c r="L869" s="19">
        <v>0.74404761900000005</v>
      </c>
      <c r="M869" s="19">
        <v>0.8841</v>
      </c>
      <c r="N869" s="19">
        <v>1</v>
      </c>
      <c r="O869" s="19">
        <v>0.86809999999999998</v>
      </c>
      <c r="P869" s="19">
        <v>0.97829999999999995</v>
      </c>
      <c r="Q869" s="19"/>
      <c r="R869" s="20">
        <v>57350</v>
      </c>
      <c r="S869" s="21" t="str">
        <f>HYPERLINK("https://www.gonzaga.edu/admission/tuition-scholarships-aid/financial-aid/tools-resources/net-price-calculator", "$24525")</f>
        <v>$24525</v>
      </c>
      <c r="T869" s="20">
        <v>29798</v>
      </c>
      <c r="U869" s="20">
        <v>33072</v>
      </c>
      <c r="V869" s="20">
        <v>4470</v>
      </c>
      <c r="W869" s="20">
        <v>20055</v>
      </c>
      <c r="Y869" s="19">
        <v>0.1333</v>
      </c>
      <c r="Z869" s="19">
        <v>0.27860000000000001</v>
      </c>
      <c r="AA869" s="18" t="s">
        <v>37</v>
      </c>
      <c r="AB869" s="18">
        <v>5119</v>
      </c>
      <c r="AC869" s="18">
        <v>2</v>
      </c>
    </row>
    <row r="870" spans="1:29" ht="15.75" customHeight="1" x14ac:dyDescent="0.2">
      <c r="A870" s="36" t="str">
        <f>HYPERLINK("https://www.GSCollege.edu", "Good Samaritan College of Nursing and Health Science")</f>
        <v>Good Samaritan College of Nursing and Health Science</v>
      </c>
      <c r="B870" s="18" t="s">
        <v>32</v>
      </c>
      <c r="C870" s="18" t="s">
        <v>75</v>
      </c>
      <c r="D870" s="18" t="s">
        <v>502</v>
      </c>
      <c r="E870" s="18">
        <v>1065</v>
      </c>
      <c r="F870" s="18" t="s">
        <v>35</v>
      </c>
      <c r="J870" s="19"/>
      <c r="K870" s="19">
        <v>0.5</v>
      </c>
      <c r="L870" s="19">
        <v>0.69047619099999991</v>
      </c>
      <c r="M870" s="19">
        <v>0.4</v>
      </c>
      <c r="N870" s="19" t="s">
        <v>36</v>
      </c>
      <c r="O870" s="19" t="s">
        <v>36</v>
      </c>
      <c r="P870" s="19" t="s">
        <v>36</v>
      </c>
      <c r="Q870" s="19">
        <v>0.113636364</v>
      </c>
      <c r="R870" s="20">
        <v>31708</v>
      </c>
      <c r="S870" s="21" t="str">
        <f>HYPERLINK("https://www.gscollege.edu/net-price-calculator/", "$13676")</f>
        <v>$13676</v>
      </c>
      <c r="T870" s="20">
        <v>20075</v>
      </c>
      <c r="U870" s="20">
        <v>21808</v>
      </c>
      <c r="V870" s="20">
        <v>5512</v>
      </c>
      <c r="W870" s="20">
        <v>8164</v>
      </c>
      <c r="Y870" s="19">
        <v>0.38790000000000002</v>
      </c>
      <c r="Z870" s="19">
        <v>0.17190000000000011</v>
      </c>
      <c r="AB870" s="18">
        <v>413</v>
      </c>
      <c r="AC870" s="18">
        <v>6</v>
      </c>
    </row>
    <row r="871" spans="1:29" ht="15.75" customHeight="1" x14ac:dyDescent="0.2">
      <c r="A871" s="36" t="str">
        <f>HYPERLINK("https://www.goodwin.edu", "Goodwin College")</f>
        <v>Goodwin College</v>
      </c>
      <c r="B871" s="18" t="s">
        <v>32</v>
      </c>
      <c r="C871" s="18" t="s">
        <v>94</v>
      </c>
      <c r="D871" s="18" t="s">
        <v>1376</v>
      </c>
      <c r="E871" s="18" t="s">
        <v>36</v>
      </c>
      <c r="F871" s="18" t="s">
        <v>36</v>
      </c>
      <c r="J871" s="19"/>
      <c r="K871" s="19">
        <v>0.25829999999999997</v>
      </c>
      <c r="L871" s="19">
        <v>0.16345062399999999</v>
      </c>
      <c r="M871" s="19">
        <v>0.29509999999999997</v>
      </c>
      <c r="N871" s="19">
        <v>0.21740000000000001</v>
      </c>
      <c r="O871" s="19">
        <v>0.25640000000000002</v>
      </c>
      <c r="P871" s="19">
        <v>0</v>
      </c>
      <c r="Q871" s="19">
        <v>3.7149817000000002E-2</v>
      </c>
      <c r="R871" s="20">
        <v>39716</v>
      </c>
      <c r="S871" s="21" t="str">
        <f>HYPERLINK("https://www.goodwin.edu/institutional-effectiveness/npcalc/npcalc.htm", "$18656")</f>
        <v>$18656</v>
      </c>
      <c r="T871" s="20">
        <v>24253</v>
      </c>
      <c r="U871" s="20">
        <v>18916</v>
      </c>
      <c r="V871" s="20">
        <v>9378</v>
      </c>
      <c r="W871" s="20">
        <v>9278</v>
      </c>
      <c r="Y871" s="19">
        <v>0.499</v>
      </c>
      <c r="Z871" s="19">
        <v>0.52649999999999997</v>
      </c>
      <c r="AB871" s="18">
        <v>3240</v>
      </c>
      <c r="AC871" s="18">
        <v>6</v>
      </c>
    </row>
    <row r="872" spans="1:29" ht="15.75" customHeight="1" x14ac:dyDescent="0.2">
      <c r="A872" s="36" t="str">
        <f>HYPERLINK("https://www.gordon.edu", "Gordon College")</f>
        <v>Gordon College</v>
      </c>
      <c r="B872" s="18" t="s">
        <v>32</v>
      </c>
      <c r="C872" s="18" t="s">
        <v>33</v>
      </c>
      <c r="D872" s="18" t="s">
        <v>366</v>
      </c>
      <c r="E872" s="18">
        <v>1189</v>
      </c>
      <c r="F872" s="18" t="s">
        <v>35</v>
      </c>
      <c r="J872" s="19"/>
      <c r="K872" s="19">
        <v>0.70150000000000001</v>
      </c>
      <c r="L872" s="19">
        <v>0.54385964899999995</v>
      </c>
      <c r="M872" s="19">
        <v>0.71240000000000003</v>
      </c>
      <c r="N872" s="19">
        <v>0.5625</v>
      </c>
      <c r="O872" s="19">
        <v>0.60709999999999997</v>
      </c>
      <c r="P872" s="19">
        <v>0.66669999999999996</v>
      </c>
      <c r="Q872" s="19"/>
      <c r="R872" s="20">
        <v>49940</v>
      </c>
      <c r="S872" s="21" t="str">
        <f>HYPERLINK("https://www.gordon.edu/netpricecalculator", "$22265")</f>
        <v>$22265</v>
      </c>
      <c r="T872" s="20">
        <v>25189</v>
      </c>
      <c r="U872" s="20">
        <v>26935</v>
      </c>
      <c r="V872" s="20">
        <v>2200</v>
      </c>
      <c r="W872" s="20">
        <v>20065</v>
      </c>
      <c r="Y872" s="19">
        <v>0.2185</v>
      </c>
      <c r="Z872" s="19">
        <v>0.31850000000000001</v>
      </c>
      <c r="AB872" s="18">
        <v>1573</v>
      </c>
      <c r="AC872" s="18">
        <v>3</v>
      </c>
    </row>
    <row r="873" spans="1:29" ht="15.75" customHeight="1" x14ac:dyDescent="0.2">
      <c r="A873" s="36" t="str">
        <f>HYPERLINK("https://www.gordonstate.edu", "Gordon State College")</f>
        <v>Gordon State College</v>
      </c>
      <c r="B873" s="18" t="s">
        <v>49</v>
      </c>
      <c r="C873" s="18" t="s">
        <v>107</v>
      </c>
      <c r="D873" s="18" t="s">
        <v>1377</v>
      </c>
      <c r="E873" s="18">
        <v>924</v>
      </c>
      <c r="F873" s="18" t="s">
        <v>35</v>
      </c>
      <c r="J873" s="19"/>
      <c r="K873" s="19">
        <v>0.14910000000000001</v>
      </c>
      <c r="L873" s="19">
        <v>0.113464448</v>
      </c>
      <c r="M873" s="19">
        <v>0.1905</v>
      </c>
      <c r="N873" s="19">
        <v>0.104</v>
      </c>
      <c r="O873" s="19">
        <v>0.22450000000000001</v>
      </c>
      <c r="P873" s="19">
        <v>0.22220000000000001</v>
      </c>
      <c r="Q873" s="19">
        <v>0.108724244</v>
      </c>
      <c r="R873" s="20">
        <v>23249</v>
      </c>
      <c r="S873" s="21" t="str">
        <f>HYPERLINK("https://www.gordonstate.edu/netpricecalculator/", "$16953")</f>
        <v>$16953</v>
      </c>
      <c r="T873" s="20">
        <v>19994</v>
      </c>
      <c r="U873" s="20">
        <v>21636</v>
      </c>
      <c r="V873" s="20">
        <v>4831</v>
      </c>
      <c r="W873" s="20">
        <v>12122.509536784741</v>
      </c>
      <c r="Y873" s="19">
        <v>0.53169999999999995</v>
      </c>
      <c r="Z873" s="19">
        <v>0.5101</v>
      </c>
      <c r="AB873" s="18">
        <v>3527</v>
      </c>
      <c r="AC873" s="18">
        <v>6</v>
      </c>
    </row>
    <row r="874" spans="1:29" ht="15.75" customHeight="1" x14ac:dyDescent="0.2">
      <c r="A874" s="36" t="str">
        <f>HYPERLINK("https://www.goshen.edu", "Goshen College")</f>
        <v>Goshen College</v>
      </c>
      <c r="B874" s="18" t="s">
        <v>32</v>
      </c>
      <c r="C874" s="18" t="s">
        <v>148</v>
      </c>
      <c r="D874" s="18" t="s">
        <v>367</v>
      </c>
      <c r="E874" s="18">
        <v>1121</v>
      </c>
      <c r="F874" s="18" t="s">
        <v>35</v>
      </c>
      <c r="J874" s="19"/>
      <c r="K874" s="19">
        <v>0.72350000000000003</v>
      </c>
      <c r="L874" s="19">
        <v>0.45454545499999999</v>
      </c>
      <c r="M874" s="19">
        <v>0.73280000000000001</v>
      </c>
      <c r="N874" s="19">
        <v>1</v>
      </c>
      <c r="O874" s="19">
        <v>0.61539999999999995</v>
      </c>
      <c r="P874" s="19">
        <v>1</v>
      </c>
      <c r="Q874" s="19"/>
      <c r="R874" s="20">
        <v>46500</v>
      </c>
      <c r="S874" s="21" t="str">
        <f>HYPERLINK("https://tcc.noellevitz.com/Goshen%20College/Freshman-Students", "$16096")</f>
        <v>$16096</v>
      </c>
      <c r="T874" s="20">
        <v>17853</v>
      </c>
      <c r="U874" s="20">
        <v>20924</v>
      </c>
      <c r="V874" s="20">
        <v>2800</v>
      </c>
      <c r="W874" s="20">
        <v>13296</v>
      </c>
      <c r="Y874" s="19">
        <v>0.32129999999999997</v>
      </c>
      <c r="Z874" s="19">
        <v>0.37659999999999999</v>
      </c>
      <c r="AB874" s="18">
        <v>855</v>
      </c>
      <c r="AC874" s="18">
        <v>3</v>
      </c>
    </row>
    <row r="875" spans="1:29" ht="15.75" customHeight="1" x14ac:dyDescent="0.2">
      <c r="A875" s="36" t="str">
        <f>HYPERLINK("https://www.goucher.edu", "Goucher College")</f>
        <v>Goucher College</v>
      </c>
      <c r="B875" s="18" t="s">
        <v>32</v>
      </c>
      <c r="C875" s="18" t="s">
        <v>124</v>
      </c>
      <c r="D875" s="18" t="s">
        <v>125</v>
      </c>
      <c r="E875" s="18" t="s">
        <v>36</v>
      </c>
      <c r="F875" s="18" t="s">
        <v>90</v>
      </c>
      <c r="J875" s="19"/>
      <c r="K875" s="19">
        <v>0.66210000000000002</v>
      </c>
      <c r="L875" s="19">
        <v>0.61194029900000002</v>
      </c>
      <c r="M875" s="19">
        <v>0.70900000000000007</v>
      </c>
      <c r="N875" s="19">
        <v>0.42859999999999998</v>
      </c>
      <c r="O875" s="19">
        <v>0.63639999999999997</v>
      </c>
      <c r="P875" s="19">
        <v>0.61539999999999995</v>
      </c>
      <c r="Q875" s="19"/>
      <c r="R875" s="20">
        <v>59810</v>
      </c>
      <c r="S875" s="21" t="str">
        <f>HYPERLINK("https://www.goucher.edu/financial-aid/tuition-and-fees/net-price-calculator.htm", "$18785")</f>
        <v>$18785</v>
      </c>
      <c r="T875" s="20">
        <v>23334</v>
      </c>
      <c r="U875" s="20">
        <v>25947</v>
      </c>
      <c r="V875" s="20">
        <v>3700</v>
      </c>
      <c r="W875" s="20">
        <v>15085</v>
      </c>
      <c r="Y875" s="19">
        <v>0.25659999999999999</v>
      </c>
      <c r="Z875" s="19">
        <v>0.43509999999999999</v>
      </c>
      <c r="AB875" s="18">
        <v>1526</v>
      </c>
      <c r="AC875" s="18">
        <v>3</v>
      </c>
    </row>
    <row r="876" spans="1:29" ht="15.75" customHeight="1" x14ac:dyDescent="0.2">
      <c r="A876" s="36" t="str">
        <f>HYPERLINK("https://www.gracechristian.edu/", "Grace Bible College")</f>
        <v>Grace Bible College</v>
      </c>
      <c r="B876" s="18" t="s">
        <v>32</v>
      </c>
      <c r="C876" s="18" t="s">
        <v>226</v>
      </c>
      <c r="D876" s="18" t="s">
        <v>1378</v>
      </c>
      <c r="E876" s="18" t="s">
        <v>36</v>
      </c>
      <c r="F876" s="18" t="s">
        <v>90</v>
      </c>
      <c r="J876" s="19"/>
      <c r="K876" s="19">
        <v>0.5</v>
      </c>
      <c r="L876" s="19" t="s">
        <v>36</v>
      </c>
      <c r="M876" s="19">
        <v>0.52629999999999999</v>
      </c>
      <c r="N876" s="19">
        <v>1</v>
      </c>
      <c r="O876" s="19">
        <v>0</v>
      </c>
      <c r="P876" s="19">
        <v>0</v>
      </c>
      <c r="Q876" s="19" t="s">
        <v>36</v>
      </c>
      <c r="R876" s="20">
        <v>21779</v>
      </c>
      <c r="S876" s="21" t="str">
        <f>HYPERLINK("https://www.gbcol.edu/admissions/traditional/financial-aid/net-price-calculator", "$14273")</f>
        <v>$14273</v>
      </c>
      <c r="T876" s="20">
        <v>14330</v>
      </c>
      <c r="U876" s="20">
        <v>13544</v>
      </c>
      <c r="V876" s="20">
        <v>2610</v>
      </c>
      <c r="W876" s="20">
        <v>11663</v>
      </c>
      <c r="Y876" s="19">
        <v>0.64259999999999995</v>
      </c>
      <c r="Z876" s="19">
        <v>0.43530000000000002</v>
      </c>
      <c r="AB876" s="18">
        <v>834</v>
      </c>
      <c r="AC876" s="18">
        <v>6</v>
      </c>
    </row>
    <row r="877" spans="1:29" ht="15.75" customHeight="1" x14ac:dyDescent="0.2">
      <c r="A877" s="36" t="str">
        <f>HYPERLINK("https://www.grace.edu", "Grace College and Theological Seminary")</f>
        <v>Grace College and Theological Seminary</v>
      </c>
      <c r="B877" s="18" t="s">
        <v>32</v>
      </c>
      <c r="C877" s="18" t="s">
        <v>148</v>
      </c>
      <c r="D877" s="18" t="s">
        <v>799</v>
      </c>
      <c r="E877" s="18">
        <v>1130</v>
      </c>
      <c r="F877" s="18" t="s">
        <v>35</v>
      </c>
      <c r="J877" s="19"/>
      <c r="K877" s="19">
        <v>0.62450000000000006</v>
      </c>
      <c r="L877" s="19">
        <v>0.571428571</v>
      </c>
      <c r="M877" s="19">
        <v>0.61950000000000005</v>
      </c>
      <c r="N877" s="19">
        <v>0.41670000000000001</v>
      </c>
      <c r="O877" s="19">
        <v>0.6</v>
      </c>
      <c r="P877" s="19">
        <v>0.85709999999999997</v>
      </c>
      <c r="Q877" s="19"/>
      <c r="R877" s="20">
        <v>33952</v>
      </c>
      <c r="S877" s="21" t="str">
        <f>HYPERLINK("https://www.grace.edu/admissions/undergraduate-admissions/financial-aid-scholarships/net-price-calculator/", "$15991")</f>
        <v>$15991</v>
      </c>
      <c r="T877" s="20">
        <v>20193</v>
      </c>
      <c r="U877" s="20">
        <v>23604</v>
      </c>
      <c r="V877" s="20">
        <v>2000</v>
      </c>
      <c r="W877" s="20">
        <v>13991</v>
      </c>
      <c r="Y877" s="19">
        <v>0.28849999999999998</v>
      </c>
      <c r="Z877" s="19">
        <v>0.16719999999999999</v>
      </c>
      <c r="AB877" s="18">
        <v>1447</v>
      </c>
      <c r="AC877" s="18">
        <v>4</v>
      </c>
    </row>
    <row r="878" spans="1:29" ht="15.75" customHeight="1" x14ac:dyDescent="0.2">
      <c r="A878" s="36" t="str">
        <f>HYPERLINK("https://www.graceland.edu", "Graceland University - Independence")</f>
        <v>Graceland University - Independence</v>
      </c>
      <c r="B878" s="18" t="s">
        <v>32</v>
      </c>
      <c r="C878" s="18" t="s">
        <v>164</v>
      </c>
      <c r="D878" s="18" t="s">
        <v>801</v>
      </c>
      <c r="E878" s="18" t="s">
        <v>36</v>
      </c>
      <c r="F878" s="18" t="s">
        <v>36</v>
      </c>
      <c r="J878" s="19"/>
      <c r="K878" s="19" t="s">
        <v>36</v>
      </c>
      <c r="L878" s="19">
        <v>0.54304635800000001</v>
      </c>
      <c r="M878" s="19" t="s">
        <v>36</v>
      </c>
      <c r="N878" s="19" t="s">
        <v>36</v>
      </c>
      <c r="O878" s="19" t="s">
        <v>36</v>
      </c>
      <c r="P878" s="19" t="s">
        <v>36</v>
      </c>
      <c r="Q878" s="19"/>
      <c r="R878" s="20" t="s">
        <v>36</v>
      </c>
      <c r="S878" s="35" t="s">
        <v>36</v>
      </c>
      <c r="T878" s="20" t="s">
        <v>36</v>
      </c>
      <c r="U878" s="20" t="s">
        <v>36</v>
      </c>
      <c r="V878" s="20" t="s">
        <v>36</v>
      </c>
      <c r="W878" s="20" t="s">
        <v>36</v>
      </c>
      <c r="Y878" s="19" t="s">
        <v>36</v>
      </c>
      <c r="Z878" s="19" t="s">
        <v>36</v>
      </c>
      <c r="AB878" s="18" t="s">
        <v>36</v>
      </c>
      <c r="AC878" s="18">
        <v>4</v>
      </c>
    </row>
    <row r="879" spans="1:29" ht="15.75" customHeight="1" x14ac:dyDescent="0.2">
      <c r="A879" s="36" t="str">
        <f>HYPERLINK("https://www.graceland.edu", "Graceland University-Lamoni")</f>
        <v>Graceland University-Lamoni</v>
      </c>
      <c r="B879" s="18" t="s">
        <v>32</v>
      </c>
      <c r="C879" s="18" t="s">
        <v>211</v>
      </c>
      <c r="D879" s="18" t="s">
        <v>802</v>
      </c>
      <c r="E879" s="18">
        <v>1029</v>
      </c>
      <c r="F879" s="18" t="s">
        <v>35</v>
      </c>
      <c r="J879" s="19"/>
      <c r="K879" s="19">
        <v>0.49609999999999999</v>
      </c>
      <c r="L879" s="19">
        <v>0.54304635800000001</v>
      </c>
      <c r="M879" s="19">
        <v>0.61539999999999995</v>
      </c>
      <c r="N879" s="19">
        <v>0.16669999999999999</v>
      </c>
      <c r="O879" s="19">
        <v>0.46429999999999999</v>
      </c>
      <c r="P879" s="19">
        <v>1</v>
      </c>
      <c r="Q879" s="19"/>
      <c r="R879" s="20">
        <v>41130</v>
      </c>
      <c r="S879" s="21" t="str">
        <f>HYPERLINK("https://www.graceland.edu/financial-aid/index", "$15771")</f>
        <v>$15771</v>
      </c>
      <c r="T879" s="20">
        <v>17163</v>
      </c>
      <c r="U879" s="20">
        <v>20930</v>
      </c>
      <c r="V879" s="20">
        <v>4540</v>
      </c>
      <c r="W879" s="20">
        <v>11231</v>
      </c>
      <c r="Y879" s="19">
        <v>0.41360000000000002</v>
      </c>
      <c r="Z879" s="19">
        <v>0.37250000000000011</v>
      </c>
      <c r="AB879" s="18">
        <v>1208</v>
      </c>
      <c r="AC879" s="18">
        <v>4</v>
      </c>
    </row>
    <row r="880" spans="1:29" ht="15.75" customHeight="1" x14ac:dyDescent="0.2">
      <c r="A880" s="36" t="str">
        <f>HYPERLINK("https://www.gram.edu", "Grambling State University")</f>
        <v>Grambling State University</v>
      </c>
      <c r="B880" s="18" t="s">
        <v>49</v>
      </c>
      <c r="C880" s="18" t="s">
        <v>158</v>
      </c>
      <c r="D880" s="18" t="s">
        <v>741</v>
      </c>
      <c r="E880" s="18" t="s">
        <v>36</v>
      </c>
      <c r="F880" s="18" t="s">
        <v>115</v>
      </c>
      <c r="J880" s="19"/>
      <c r="K880" s="19">
        <v>0.3513</v>
      </c>
      <c r="L880" s="19">
        <v>0.37813620100000001</v>
      </c>
      <c r="M880" s="19">
        <v>0.66669999999999996</v>
      </c>
      <c r="N880" s="19">
        <v>0.3614</v>
      </c>
      <c r="O880" s="19">
        <v>0.125</v>
      </c>
      <c r="P880" s="19">
        <v>0.5</v>
      </c>
      <c r="Q880" s="19"/>
      <c r="R880" s="20">
        <v>35389</v>
      </c>
      <c r="S880" s="21" t="str">
        <f>HYPERLINK("https://www.gram.edu/finaid/NetPrice/", "$27981")</f>
        <v>$27981</v>
      </c>
      <c r="T880" s="20">
        <v>31764</v>
      </c>
      <c r="U880" s="20">
        <v>32808</v>
      </c>
      <c r="V880" s="20">
        <v>8025</v>
      </c>
      <c r="W880" s="20">
        <v>19956.152317880791</v>
      </c>
      <c r="Y880" s="19">
        <v>0.78080000000000005</v>
      </c>
      <c r="Z880" s="19">
        <v>0.98719999999999997</v>
      </c>
      <c r="AB880" s="18">
        <v>4072</v>
      </c>
      <c r="AC880" s="18">
        <v>5</v>
      </c>
    </row>
    <row r="881" spans="1:29" ht="15.75" customHeight="1" x14ac:dyDescent="0.2">
      <c r="A881" s="36" t="str">
        <f>HYPERLINK("https://www.gcu.edu", "Grand Canyon University")</f>
        <v>Grand Canyon University</v>
      </c>
      <c r="B881" s="18" t="s">
        <v>368</v>
      </c>
      <c r="C881" s="18" t="s">
        <v>354</v>
      </c>
      <c r="D881" s="18" t="s">
        <v>369</v>
      </c>
      <c r="E881" s="18" t="s">
        <v>36</v>
      </c>
      <c r="F881" s="18" t="s">
        <v>90</v>
      </c>
      <c r="J881" s="19"/>
      <c r="K881" s="19">
        <v>0.40749999999999997</v>
      </c>
      <c r="L881" s="19">
        <v>0.12990822199999999</v>
      </c>
      <c r="M881" s="19">
        <v>0.44550000000000001</v>
      </c>
      <c r="N881" s="19">
        <v>0.2195</v>
      </c>
      <c r="O881" s="19">
        <v>0.3836</v>
      </c>
      <c r="P881" s="19">
        <v>0.88890000000000002</v>
      </c>
      <c r="Q881" s="19"/>
      <c r="R881" s="20">
        <v>32100</v>
      </c>
      <c r="S881" s="21" t="str">
        <f>HYPERLINK("https://www.gcu.edu/admissions/tuition-and-financing.php", "$18149")</f>
        <v>$18149</v>
      </c>
      <c r="T881" s="20">
        <v>21586</v>
      </c>
      <c r="U881" s="20">
        <v>22765</v>
      </c>
      <c r="V881" s="20">
        <v>6500</v>
      </c>
      <c r="W881" s="20">
        <v>11649</v>
      </c>
      <c r="Y881" s="19">
        <v>0.44500000000000001</v>
      </c>
      <c r="Z881" s="19">
        <v>0.51750000000000007</v>
      </c>
      <c r="AB881" s="18">
        <v>48666</v>
      </c>
      <c r="AC881" s="18">
        <v>3</v>
      </c>
    </row>
    <row r="882" spans="1:29" ht="15.75" customHeight="1" x14ac:dyDescent="0.2">
      <c r="A882" s="36" t="str">
        <f>HYPERLINK("https://www.grcc.edu", "Grand Rapids Community College")</f>
        <v>Grand Rapids Community College</v>
      </c>
      <c r="B882" s="18" t="s">
        <v>49</v>
      </c>
      <c r="C882" s="18" t="s">
        <v>226</v>
      </c>
      <c r="D882" s="18" t="s">
        <v>321</v>
      </c>
      <c r="E882" s="18" t="s">
        <v>36</v>
      </c>
      <c r="F882" s="18" t="s">
        <v>36</v>
      </c>
      <c r="J882" s="19"/>
      <c r="K882" s="19">
        <v>0.1434</v>
      </c>
      <c r="L882" s="19">
        <v>0.1121673</v>
      </c>
      <c r="M882" s="19">
        <v>0.1658</v>
      </c>
      <c r="N882" s="19">
        <v>6.1199999999999997E-2</v>
      </c>
      <c r="O882" s="19">
        <v>0.105</v>
      </c>
      <c r="P882" s="19">
        <v>0.15709999999999999</v>
      </c>
      <c r="Q882" s="19">
        <v>9.0288090000000001E-2</v>
      </c>
      <c r="R882" s="20">
        <v>21096</v>
      </c>
      <c r="S882" s="21" t="str">
        <f>HYPERLINK("https://cms.grcc.edu/aboutus/studentconsumerinformation/netpricecalculator", "$15317")</f>
        <v>$15317</v>
      </c>
      <c r="T882" s="20">
        <v>18580</v>
      </c>
      <c r="U882" s="20">
        <v>20641</v>
      </c>
      <c r="V882" s="20">
        <v>4195</v>
      </c>
      <c r="W882" s="20">
        <v>11122.67701863354</v>
      </c>
      <c r="Y882" s="19">
        <v>0.3039</v>
      </c>
      <c r="Z882" s="19">
        <v>0.33589999999999998</v>
      </c>
      <c r="AB882" s="18">
        <v>12597</v>
      </c>
      <c r="AC882" s="18">
        <v>6</v>
      </c>
    </row>
    <row r="883" spans="1:29" ht="15.75" customHeight="1" x14ac:dyDescent="0.2">
      <c r="A883" s="36" t="str">
        <f>HYPERLINK("https://www.gvsu.edu", "Grand Valley State University")</f>
        <v>Grand Valley State University</v>
      </c>
      <c r="B883" s="18" t="s">
        <v>49</v>
      </c>
      <c r="C883" s="18" t="s">
        <v>226</v>
      </c>
      <c r="D883" s="18" t="s">
        <v>370</v>
      </c>
      <c r="E883" s="18">
        <v>1150</v>
      </c>
      <c r="F883" s="18" t="s">
        <v>35</v>
      </c>
      <c r="J883" s="19"/>
      <c r="K883" s="19">
        <v>0.65259999999999996</v>
      </c>
      <c r="L883" s="19">
        <v>0.53810264399999996</v>
      </c>
      <c r="M883" s="19">
        <v>0.67900000000000005</v>
      </c>
      <c r="N883" s="19">
        <v>0.50380000000000003</v>
      </c>
      <c r="O883" s="19">
        <v>0.55620000000000003</v>
      </c>
      <c r="P883" s="19">
        <v>0.623</v>
      </c>
      <c r="Q883" s="19"/>
      <c r="R883" s="20">
        <v>29314</v>
      </c>
      <c r="S883" s="21" t="str">
        <f>HYPERLINK("https://www.gvsu.edu/financialaid/netprice", "$19079")</f>
        <v>$19079</v>
      </c>
      <c r="T883" s="20">
        <v>22423</v>
      </c>
      <c r="U883" s="20">
        <v>26165</v>
      </c>
      <c r="V883" s="20">
        <v>3100</v>
      </c>
      <c r="W883" s="20">
        <v>15979.390625</v>
      </c>
      <c r="Y883" s="19">
        <v>0.3105</v>
      </c>
      <c r="Z883" s="19">
        <v>0.18110000000000001</v>
      </c>
      <c r="AB883" s="18">
        <v>21837</v>
      </c>
      <c r="AC883" s="18">
        <v>3</v>
      </c>
    </row>
    <row r="884" spans="1:29" ht="15.75" customHeight="1" x14ac:dyDescent="0.2">
      <c r="A884" s="36" t="str">
        <f>HYPERLINK("https://www.grandview.edu", "Grand View University")</f>
        <v>Grand View University</v>
      </c>
      <c r="B884" s="18" t="s">
        <v>32</v>
      </c>
      <c r="C884" s="18" t="s">
        <v>211</v>
      </c>
      <c r="D884" s="18" t="s">
        <v>348</v>
      </c>
      <c r="E884" s="18">
        <v>1043</v>
      </c>
      <c r="F884" s="18" t="s">
        <v>35</v>
      </c>
      <c r="J884" s="19"/>
      <c r="K884" s="19">
        <v>0.50139999999999996</v>
      </c>
      <c r="L884" s="19">
        <v>0.49771689499999999</v>
      </c>
      <c r="M884" s="19">
        <v>0.53610000000000002</v>
      </c>
      <c r="N884" s="19">
        <v>0.33329999999999999</v>
      </c>
      <c r="O884" s="19">
        <v>0.27779999999999999</v>
      </c>
      <c r="P884" s="19">
        <v>0.71430000000000005</v>
      </c>
      <c r="Q884" s="19"/>
      <c r="R884" s="20">
        <v>38936</v>
      </c>
      <c r="S884" s="21" t="str">
        <f>HYPERLINK("https://www.grandview.edu/admissions/financial-aid/net-price-calculator", "$16272")</f>
        <v>$16272</v>
      </c>
      <c r="T884" s="20">
        <v>16389</v>
      </c>
      <c r="U884" s="20">
        <v>19198</v>
      </c>
      <c r="V884" s="20">
        <v>3586</v>
      </c>
      <c r="W884" s="20">
        <v>12686</v>
      </c>
      <c r="Y884" s="19">
        <v>0.3634</v>
      </c>
      <c r="Z884" s="19">
        <v>0.32519999999999999</v>
      </c>
      <c r="AB884" s="18">
        <v>1753</v>
      </c>
      <c r="AC884" s="18">
        <v>4</v>
      </c>
    </row>
    <row r="885" spans="1:29" ht="15.75" customHeight="1" x14ac:dyDescent="0.2">
      <c r="A885" s="36" t="str">
        <f>HYPERLINK("https://www.granite.edu", "Granite State College")</f>
        <v>Granite State College</v>
      </c>
      <c r="B885" s="18" t="s">
        <v>49</v>
      </c>
      <c r="C885" s="18" t="s">
        <v>101</v>
      </c>
      <c r="D885" s="18" t="s">
        <v>804</v>
      </c>
      <c r="E885" s="18" t="s">
        <v>36</v>
      </c>
      <c r="F885" s="18" t="s">
        <v>36</v>
      </c>
      <c r="J885" s="19"/>
      <c r="K885" s="19">
        <v>0.13789999999999999</v>
      </c>
      <c r="L885" s="19">
        <v>0.34347826100000001</v>
      </c>
      <c r="M885" s="19">
        <v>0.1739</v>
      </c>
      <c r="N885" s="19" t="s">
        <v>36</v>
      </c>
      <c r="O885" s="19">
        <v>0</v>
      </c>
      <c r="P885" s="19" t="s">
        <v>36</v>
      </c>
      <c r="Q885" s="19"/>
      <c r="R885" s="20">
        <v>21969</v>
      </c>
      <c r="S885" s="21" t="str">
        <f>HYPERLINK("https://www.granite.edu/tuition-aid/tuition-fees/net-price-calculator/", "$17878")</f>
        <v>$17878</v>
      </c>
      <c r="T885" s="20">
        <v>19781</v>
      </c>
      <c r="U885" s="20">
        <v>20803</v>
      </c>
      <c r="V885" s="20">
        <v>3654</v>
      </c>
      <c r="W885" s="20">
        <v>14224.04347826087</v>
      </c>
      <c r="Y885" s="19">
        <v>0.43099999999999999</v>
      </c>
      <c r="Z885" s="19">
        <v>0.16109999999999999</v>
      </c>
      <c r="AB885" s="18">
        <v>1676</v>
      </c>
      <c r="AC885" s="18">
        <v>4</v>
      </c>
    </row>
    <row r="886" spans="1:29" ht="15.75" customHeight="1" x14ac:dyDescent="0.2">
      <c r="A886" s="36" t="str">
        <f>HYPERLINK("https://www.grantham.edu/", "Grantham University")</f>
        <v>Grantham University</v>
      </c>
      <c r="B886" s="18" t="s">
        <v>368</v>
      </c>
      <c r="C886" s="18" t="s">
        <v>307</v>
      </c>
      <c r="D886" s="18" t="s">
        <v>1380</v>
      </c>
      <c r="E886" s="18" t="s">
        <v>36</v>
      </c>
      <c r="F886" s="18" t="s">
        <v>36</v>
      </c>
      <c r="J886" s="19"/>
      <c r="K886" s="19">
        <v>0.38119999999999998</v>
      </c>
      <c r="L886" s="19" t="s">
        <v>36</v>
      </c>
      <c r="M886" s="19">
        <v>0.45219999999999999</v>
      </c>
      <c r="N886" s="19">
        <v>0.28989999999999999</v>
      </c>
      <c r="O886" s="19">
        <v>0.18179999999999999</v>
      </c>
      <c r="P886" s="19">
        <v>0</v>
      </c>
      <c r="Q886" s="19" t="s">
        <v>36</v>
      </c>
      <c r="R886" s="20">
        <v>13900</v>
      </c>
      <c r="S886" s="21" t="str">
        <f>HYPERLINK("https://npc.grantham.edu", "$10868")</f>
        <v>$10868</v>
      </c>
      <c r="T886" s="20">
        <v>12566</v>
      </c>
      <c r="U886" s="20">
        <v>15309</v>
      </c>
      <c r="V886" s="20">
        <v>1312</v>
      </c>
      <c r="W886" s="20">
        <v>9556</v>
      </c>
      <c r="Y886" s="19">
        <v>0.50760000000000005</v>
      </c>
      <c r="Z886" s="19">
        <v>0.66120000000000001</v>
      </c>
      <c r="AB886" s="18">
        <v>7752</v>
      </c>
      <c r="AC886" s="18">
        <v>6</v>
      </c>
    </row>
    <row r="887" spans="1:29" ht="15.75" customHeight="1" x14ac:dyDescent="0.2">
      <c r="A887" s="36" t="str">
        <f>HYPERLINK("https://grayson.edu", "Grayson College")</f>
        <v>Grayson College</v>
      </c>
      <c r="B887" s="18" t="s">
        <v>49</v>
      </c>
      <c r="C887" s="18" t="s">
        <v>146</v>
      </c>
      <c r="D887" s="18" t="s">
        <v>1382</v>
      </c>
      <c r="E887" s="18" t="s">
        <v>36</v>
      </c>
      <c r="F887" s="18" t="s">
        <v>36</v>
      </c>
      <c r="J887" s="19"/>
      <c r="K887" s="19">
        <v>0.22789999999999999</v>
      </c>
      <c r="L887" s="19">
        <v>0.194690266</v>
      </c>
      <c r="M887" s="19">
        <v>0.21010000000000001</v>
      </c>
      <c r="N887" s="19">
        <v>0.1754</v>
      </c>
      <c r="O887" s="19">
        <v>0.30630000000000002</v>
      </c>
      <c r="P887" s="19">
        <v>0</v>
      </c>
      <c r="Q887" s="19">
        <v>5.9590316999999997E-2</v>
      </c>
      <c r="R887" s="20">
        <v>14287</v>
      </c>
      <c r="S887" s="21" t="str">
        <f>HYPERLINK("https://www.grayson.edu/gettingstarted/Financial%20Aid/net-price-calculator.html", "$8005")</f>
        <v>$8005</v>
      </c>
      <c r="T887" s="20">
        <v>10322</v>
      </c>
      <c r="U887" s="20">
        <v>13135</v>
      </c>
      <c r="V887" s="20">
        <v>4980</v>
      </c>
      <c r="W887" s="20">
        <v>3025.9361702127658</v>
      </c>
      <c r="Y887" s="19">
        <v>0.3523</v>
      </c>
      <c r="Z887" s="19">
        <v>0.32450000000000001</v>
      </c>
      <c r="AB887" s="18">
        <v>3051</v>
      </c>
      <c r="AC887" s="18">
        <v>6</v>
      </c>
    </row>
    <row r="888" spans="1:29" ht="15.75" customHeight="1" x14ac:dyDescent="0.2">
      <c r="A888" s="36" t="str">
        <f>HYPERLINK("https://www.greatbay.edu", "Great Bay Community College")</f>
        <v>Great Bay Community College</v>
      </c>
      <c r="B888" s="18" t="s">
        <v>49</v>
      </c>
      <c r="C888" s="18" t="s">
        <v>101</v>
      </c>
      <c r="D888" s="18" t="s">
        <v>833</v>
      </c>
      <c r="E888" s="18" t="s">
        <v>36</v>
      </c>
      <c r="F888" s="18" t="s">
        <v>36</v>
      </c>
      <c r="J888" s="19"/>
      <c r="K888" s="19">
        <v>0.16420000000000001</v>
      </c>
      <c r="L888" s="19">
        <v>0.249146758</v>
      </c>
      <c r="M888" s="19">
        <v>0.16089999999999999</v>
      </c>
      <c r="N888" s="19">
        <v>0</v>
      </c>
      <c r="O888" s="19">
        <v>0</v>
      </c>
      <c r="P888" s="19">
        <v>0.3</v>
      </c>
      <c r="Q888" s="19">
        <v>0.106830123</v>
      </c>
      <c r="R888" s="20">
        <v>37155</v>
      </c>
      <c r="S888" s="21" t="str">
        <f>HYPERLINK("https://www.greatbay.edu/?a0=59&amp;a1=finaid_netcalc", "$32771")</f>
        <v>$32771</v>
      </c>
      <c r="T888" s="20">
        <v>37155</v>
      </c>
      <c r="U888" s="20">
        <v>37155</v>
      </c>
      <c r="V888" s="20">
        <v>7412</v>
      </c>
      <c r="W888" s="20">
        <v>25359.333333333339</v>
      </c>
      <c r="Y888" s="19">
        <v>0.30590000000000001</v>
      </c>
      <c r="Z888" s="19">
        <v>0.1832</v>
      </c>
      <c r="AB888" s="18">
        <v>1616</v>
      </c>
      <c r="AC888" s="18">
        <v>6</v>
      </c>
    </row>
    <row r="889" spans="1:29" ht="15.75" customHeight="1" x14ac:dyDescent="0.2">
      <c r="A889" s="36" t="str">
        <f>HYPERLINK("https://www.gfcmsu.edu", "Great Falls College Montana State University")</f>
        <v>Great Falls College Montana State University</v>
      </c>
      <c r="B889" s="18" t="s">
        <v>49</v>
      </c>
      <c r="C889" s="18" t="s">
        <v>421</v>
      </c>
      <c r="D889" s="18" t="s">
        <v>1325</v>
      </c>
      <c r="E889" s="18" t="s">
        <v>36</v>
      </c>
      <c r="F889" s="18" t="s">
        <v>36</v>
      </c>
      <c r="J889" s="19"/>
      <c r="K889" s="19">
        <v>0.15909999999999999</v>
      </c>
      <c r="L889" s="19" t="s">
        <v>36</v>
      </c>
      <c r="M889" s="19">
        <v>0.15559999999999999</v>
      </c>
      <c r="N889" s="19">
        <v>0</v>
      </c>
      <c r="O889" s="19">
        <v>0.1</v>
      </c>
      <c r="P889" s="19">
        <v>0</v>
      </c>
      <c r="Q889" s="19">
        <v>0.10067114100000001</v>
      </c>
      <c r="R889" s="20">
        <v>21961</v>
      </c>
      <c r="S889" s="21" t="str">
        <f>HYPERLINK("https://finaid.gfcmsu.edu/npc/npcalc.html", "$17319")</f>
        <v>$17319</v>
      </c>
      <c r="T889" s="20">
        <v>20506</v>
      </c>
      <c r="U889" s="20">
        <v>21913</v>
      </c>
      <c r="V889" s="20">
        <v>4942</v>
      </c>
      <c r="W889" s="20">
        <v>12377.20238095238</v>
      </c>
      <c r="Y889" s="19">
        <v>0.46360000000000001</v>
      </c>
      <c r="Z889" s="19">
        <v>0.2077</v>
      </c>
      <c r="AB889" s="18">
        <v>1228</v>
      </c>
      <c r="AC889" s="18">
        <v>6</v>
      </c>
    </row>
    <row r="890" spans="1:29" ht="15.75" customHeight="1" x14ac:dyDescent="0.2">
      <c r="A890" s="36" t="str">
        <f>HYPERLINK("https://www.greenmtn.edu", "Green Mountain College")</f>
        <v>Green Mountain College</v>
      </c>
      <c r="B890" s="18" t="s">
        <v>32</v>
      </c>
      <c r="C890" s="18" t="s">
        <v>47</v>
      </c>
      <c r="D890" s="18" t="s">
        <v>743</v>
      </c>
      <c r="E890" s="18" t="s">
        <v>36</v>
      </c>
      <c r="F890" s="18" t="s">
        <v>90</v>
      </c>
      <c r="J890" s="19"/>
      <c r="K890" s="19">
        <v>0.5071</v>
      </c>
      <c r="L890" s="19">
        <v>0.33823529400000002</v>
      </c>
      <c r="M890" s="19">
        <v>0.53849999999999998</v>
      </c>
      <c r="N890" s="19">
        <v>0.1111</v>
      </c>
      <c r="O890" s="19" t="s">
        <v>36</v>
      </c>
      <c r="P890" s="19">
        <v>1</v>
      </c>
      <c r="Q890" s="19"/>
      <c r="R890" s="20">
        <v>49274</v>
      </c>
      <c r="S890" s="21" t="str">
        <f>HYPERLINK("https://greenmtn.studentaidcalculator.com/welcome.aspx", "$15159")</f>
        <v>$15159</v>
      </c>
      <c r="T890" s="20">
        <v>18067</v>
      </c>
      <c r="U890" s="20">
        <v>25445</v>
      </c>
      <c r="V890" s="20" t="s">
        <v>36</v>
      </c>
      <c r="W890" s="20" t="s">
        <v>36</v>
      </c>
      <c r="Y890" s="19">
        <v>0.39729999999999999</v>
      </c>
      <c r="Z890" s="19">
        <v>0.34789999999999999</v>
      </c>
      <c r="AB890" s="18">
        <v>457</v>
      </c>
      <c r="AC890" s="18">
        <v>5</v>
      </c>
    </row>
    <row r="891" spans="1:29" ht="15.75" customHeight="1" x14ac:dyDescent="0.2">
      <c r="A891" s="36" t="str">
        <f>HYPERLINK("https://www.greenriver.edu/", "Green River College")</f>
        <v>Green River College</v>
      </c>
      <c r="B891" s="18" t="s">
        <v>49</v>
      </c>
      <c r="C891" s="18" t="s">
        <v>184</v>
      </c>
      <c r="D891" s="18" t="s">
        <v>301</v>
      </c>
      <c r="E891" s="18" t="s">
        <v>36</v>
      </c>
      <c r="F891" s="18" t="s">
        <v>36</v>
      </c>
      <c r="J891" s="19"/>
      <c r="K891" s="19">
        <v>0.3216</v>
      </c>
      <c r="L891" s="19">
        <v>0.202939118</v>
      </c>
      <c r="M891" s="19">
        <v>0.36109999999999998</v>
      </c>
      <c r="N891" s="19">
        <v>0.17499999999999999</v>
      </c>
      <c r="O891" s="19">
        <v>0.24390000000000001</v>
      </c>
      <c r="P891" s="19">
        <v>0.27779999999999999</v>
      </c>
      <c r="Q891" s="19">
        <v>9.2018779000000009E-2</v>
      </c>
      <c r="R891" s="20">
        <v>18132</v>
      </c>
      <c r="S891" s="21" t="str">
        <f>HYPERLINK("https://grcc.greenriver.edu/netprice/", "$11557")</f>
        <v>$11557</v>
      </c>
      <c r="T891" s="20">
        <v>13591</v>
      </c>
      <c r="U891" s="20">
        <v>17046</v>
      </c>
      <c r="V891" s="20">
        <v>4050</v>
      </c>
      <c r="W891" s="20">
        <v>7507.125</v>
      </c>
      <c r="Y891" s="19">
        <v>0.184</v>
      </c>
      <c r="Z891" s="19">
        <v>0.55969999999999998</v>
      </c>
      <c r="AB891" s="18">
        <v>5667</v>
      </c>
      <c r="AC891" s="18">
        <v>6</v>
      </c>
    </row>
    <row r="892" spans="1:29" ht="15.75" customHeight="1" x14ac:dyDescent="0.2">
      <c r="A892" s="36" t="str">
        <f>HYPERLINK("https://www.gcc.mass.edu", "Greenfield Community College")</f>
        <v>Greenfield Community College</v>
      </c>
      <c r="B892" s="18" t="s">
        <v>49</v>
      </c>
      <c r="C892" s="18" t="s">
        <v>33</v>
      </c>
      <c r="D892" s="18" t="s">
        <v>1387</v>
      </c>
      <c r="E892" s="18" t="s">
        <v>36</v>
      </c>
      <c r="F892" s="18" t="s">
        <v>36</v>
      </c>
      <c r="J892" s="19"/>
      <c r="K892" s="19">
        <v>0.2487</v>
      </c>
      <c r="L892" s="19">
        <v>0.28153153199999997</v>
      </c>
      <c r="M892" s="19">
        <v>0.27739999999999998</v>
      </c>
      <c r="N892" s="19">
        <v>0.25</v>
      </c>
      <c r="O892" s="19">
        <v>0.2</v>
      </c>
      <c r="P892" s="19">
        <v>0.28570000000000001</v>
      </c>
      <c r="Q892" s="19">
        <v>6.4085447000000004E-2</v>
      </c>
      <c r="R892" s="20">
        <v>23169</v>
      </c>
      <c r="S892" s="21" t="str">
        <f>HYPERLINK("https://web.gcc.mass.edu/financial-aid/net-price-calculator/", "$18239")</f>
        <v>$18239</v>
      </c>
      <c r="T892" s="20">
        <v>21636</v>
      </c>
      <c r="U892" s="20">
        <v>22922</v>
      </c>
      <c r="V892" s="20">
        <v>5525</v>
      </c>
      <c r="W892" s="20">
        <v>12714.588235294121</v>
      </c>
      <c r="Y892" s="19">
        <v>0.43430000000000002</v>
      </c>
      <c r="Z892" s="19">
        <v>0.24310000000000001</v>
      </c>
      <c r="AB892" s="18">
        <v>1551</v>
      </c>
      <c r="AC892" s="18">
        <v>6</v>
      </c>
    </row>
    <row r="893" spans="1:29" ht="15.75" customHeight="1" x14ac:dyDescent="0.2">
      <c r="A893" s="36" t="str">
        <f>HYPERLINK("https://www.greensboro.edu", "Greensboro College")</f>
        <v>Greensboro College</v>
      </c>
      <c r="B893" s="18" t="s">
        <v>32</v>
      </c>
      <c r="C893" s="18" t="s">
        <v>103</v>
      </c>
      <c r="D893" s="18" t="s">
        <v>643</v>
      </c>
      <c r="E893" s="18">
        <v>1023</v>
      </c>
      <c r="F893" s="18" t="s">
        <v>35</v>
      </c>
      <c r="J893" s="19"/>
      <c r="K893" s="19">
        <v>0.1636</v>
      </c>
      <c r="L893" s="19">
        <v>0.29801324499999998</v>
      </c>
      <c r="M893" s="19">
        <v>0.20180000000000001</v>
      </c>
      <c r="N893" s="19">
        <v>0.1111</v>
      </c>
      <c r="O893" s="19">
        <v>0</v>
      </c>
      <c r="P893" s="19">
        <v>0.33329999999999999</v>
      </c>
      <c r="Q893" s="19"/>
      <c r="R893" s="20">
        <v>42420</v>
      </c>
      <c r="S893" s="21" t="str">
        <f>HYPERLINK("https://greensboro.studentaidcalculator.com/welcome.aspx", "$29168")</f>
        <v>$29168</v>
      </c>
      <c r="T893" s="20">
        <v>31368</v>
      </c>
      <c r="U893" s="20">
        <v>36313</v>
      </c>
      <c r="V893" s="20">
        <v>2600</v>
      </c>
      <c r="W893" s="20">
        <v>26568</v>
      </c>
      <c r="Y893" s="19">
        <v>0.45979999999999999</v>
      </c>
      <c r="Z893" s="19">
        <v>0.45550000000000002</v>
      </c>
      <c r="AB893" s="18">
        <v>821</v>
      </c>
      <c r="AC893" s="18">
        <v>5</v>
      </c>
    </row>
    <row r="894" spans="1:29" ht="15.75" customHeight="1" x14ac:dyDescent="0.2">
      <c r="A894" s="36" t="str">
        <f>HYPERLINK("https://www.gvltec.edu", "Greenville Technical College")</f>
        <v>Greenville Technical College</v>
      </c>
      <c r="B894" s="18" t="s">
        <v>49</v>
      </c>
      <c r="C894" s="18" t="s">
        <v>208</v>
      </c>
      <c r="D894" s="18" t="s">
        <v>220</v>
      </c>
      <c r="E894" s="18" t="s">
        <v>36</v>
      </c>
      <c r="F894" s="18" t="s">
        <v>36</v>
      </c>
      <c r="J894" s="19"/>
      <c r="K894" s="19">
        <v>0.1179</v>
      </c>
      <c r="L894" s="19">
        <v>0.11393869299999999</v>
      </c>
      <c r="M894" s="19">
        <v>0.14399999999999999</v>
      </c>
      <c r="N894" s="19">
        <v>7.2900000000000006E-2</v>
      </c>
      <c r="O894" s="19">
        <v>0.1056</v>
      </c>
      <c r="P894" s="19">
        <v>0.1333</v>
      </c>
      <c r="Q894" s="19">
        <v>8.5850555999999995E-2</v>
      </c>
      <c r="R894" s="20">
        <v>21966</v>
      </c>
      <c r="S894" s="21" t="str">
        <f>HYPERLINK("https://www.gvltec.edu/admissions_aid/tuition_and_payments/cost2attend.html", "$15198")</f>
        <v>$15198</v>
      </c>
      <c r="T894" s="20">
        <v>16577</v>
      </c>
      <c r="U894" s="20">
        <v>18492</v>
      </c>
      <c r="V894" s="20">
        <v>3741</v>
      </c>
      <c r="W894" s="20">
        <v>11457.481132075471</v>
      </c>
      <c r="Y894" s="19">
        <v>0.43440000000000001</v>
      </c>
      <c r="Z894" s="19">
        <v>0.41599999999999998</v>
      </c>
      <c r="AB894" s="18">
        <v>10171</v>
      </c>
      <c r="AC894" s="18">
        <v>6</v>
      </c>
    </row>
    <row r="895" spans="1:29" ht="15.75" customHeight="1" x14ac:dyDescent="0.2">
      <c r="A895" s="36" t="str">
        <f>HYPERLINK("https://www.greenville.edu", "Greenville College")</f>
        <v>Greenville College</v>
      </c>
      <c r="B895" s="18" t="s">
        <v>32</v>
      </c>
      <c r="C895" s="18" t="s">
        <v>137</v>
      </c>
      <c r="D895" s="18" t="s">
        <v>220</v>
      </c>
      <c r="E895" s="18">
        <v>1067</v>
      </c>
      <c r="F895" s="18" t="s">
        <v>35</v>
      </c>
      <c r="J895" s="19"/>
      <c r="K895" s="19">
        <v>0.4239</v>
      </c>
      <c r="L895" s="19">
        <v>0.27329192600000002</v>
      </c>
      <c r="M895" s="19">
        <v>0.4728</v>
      </c>
      <c r="N895" s="19">
        <v>0.1333</v>
      </c>
      <c r="O895" s="19">
        <v>0.36359999999999998</v>
      </c>
      <c r="P895" s="19">
        <v>0.5</v>
      </c>
      <c r="Q895" s="19"/>
      <c r="R895" s="20">
        <v>39474</v>
      </c>
      <c r="S895" s="21" t="str">
        <f>HYPERLINK("https://www.greenville.edu/financial_aid/net-price-calculator/npcalc.htm", "$17159")</f>
        <v>$17159</v>
      </c>
      <c r="T895" s="20">
        <v>18978</v>
      </c>
      <c r="U895" s="20">
        <v>22103</v>
      </c>
      <c r="V895" s="20">
        <v>3796</v>
      </c>
      <c r="W895" s="20">
        <v>13363</v>
      </c>
      <c r="Y895" s="19">
        <v>0.3881</v>
      </c>
      <c r="Z895" s="19">
        <v>0.31140000000000001</v>
      </c>
      <c r="AB895" s="18">
        <v>944</v>
      </c>
      <c r="AC895" s="18">
        <v>4</v>
      </c>
    </row>
    <row r="896" spans="1:29" ht="15.75" customHeight="1" x14ac:dyDescent="0.2">
      <c r="A896" s="36" t="str">
        <f>HYPERLINK("https://www.grinnell.edu", "Grinnell College")</f>
        <v>Grinnell College</v>
      </c>
      <c r="B896" s="18" t="s">
        <v>32</v>
      </c>
      <c r="C896" s="18" t="s">
        <v>211</v>
      </c>
      <c r="D896" s="18" t="s">
        <v>223</v>
      </c>
      <c r="E896" s="18">
        <v>1449</v>
      </c>
      <c r="F896" s="18" t="s">
        <v>35</v>
      </c>
      <c r="J896" s="19"/>
      <c r="K896" s="19">
        <v>0.87280000000000002</v>
      </c>
      <c r="L896" s="19">
        <v>0.73809523799999999</v>
      </c>
      <c r="M896" s="19">
        <v>0.87180000000000002</v>
      </c>
      <c r="N896" s="19">
        <v>0.88890000000000002</v>
      </c>
      <c r="O896" s="19">
        <v>0.8</v>
      </c>
      <c r="P896" s="19">
        <v>0.89659999999999995</v>
      </c>
      <c r="Q896" s="19"/>
      <c r="R896" s="20">
        <v>66214</v>
      </c>
      <c r="S896" s="21" t="str">
        <f>HYPERLINK("https://npc.collegeboard.org/student/app/grinnell", "$11316")</f>
        <v>$11316</v>
      </c>
      <c r="T896" s="20">
        <v>15904</v>
      </c>
      <c r="U896" s="20">
        <v>21882</v>
      </c>
      <c r="V896" s="20">
        <v>3100</v>
      </c>
      <c r="W896" s="20">
        <v>8216</v>
      </c>
      <c r="X896" s="18" t="s">
        <v>37</v>
      </c>
      <c r="Y896" s="19">
        <v>0.19889999999999999</v>
      </c>
      <c r="Z896" s="19">
        <v>0.48920000000000002</v>
      </c>
      <c r="AA896" s="18" t="s">
        <v>37</v>
      </c>
      <c r="AB896" s="18">
        <v>1660</v>
      </c>
      <c r="AC896" s="18">
        <v>2</v>
      </c>
    </row>
    <row r="897" spans="1:29" ht="15.75" customHeight="1" x14ac:dyDescent="0.2">
      <c r="A897" s="36" t="str">
        <f>HYPERLINK("https://www.grossmont.edu/", "Grossmont College")</f>
        <v>Grossmont College</v>
      </c>
      <c r="B897" s="18" t="s">
        <v>49</v>
      </c>
      <c r="C897" s="18" t="s">
        <v>68</v>
      </c>
      <c r="D897" s="18" t="s">
        <v>1251</v>
      </c>
      <c r="E897" s="18" t="s">
        <v>36</v>
      </c>
      <c r="F897" s="18" t="s">
        <v>36</v>
      </c>
      <c r="J897" s="19"/>
      <c r="K897" s="19">
        <v>0.26719999999999999</v>
      </c>
      <c r="L897" s="19">
        <v>9.3164794000000009E-2</v>
      </c>
      <c r="M897" s="19">
        <v>0.29299999999999998</v>
      </c>
      <c r="N897" s="19">
        <v>0.17349999999999999</v>
      </c>
      <c r="O897" s="19">
        <v>0.21970000000000001</v>
      </c>
      <c r="P897" s="19">
        <v>0.40849999999999997</v>
      </c>
      <c r="Q897" s="19">
        <v>0.128008753</v>
      </c>
      <c r="R897" s="20">
        <v>24196</v>
      </c>
      <c r="S897" s="21" t="str">
        <f>HYPERLINK("https://misweb.cccco.edu/npc/022/npcalc.htm", "$16776")</f>
        <v>$16776</v>
      </c>
      <c r="T897" s="20">
        <v>19812</v>
      </c>
      <c r="U897" s="20">
        <v>22288</v>
      </c>
      <c r="V897" s="20">
        <v>5700</v>
      </c>
      <c r="W897" s="20">
        <v>11076.565811965809</v>
      </c>
      <c r="Y897" s="19">
        <v>0.2482</v>
      </c>
      <c r="Z897" s="19">
        <v>0.60899999999999999</v>
      </c>
      <c r="AB897" s="18">
        <v>16304</v>
      </c>
      <c r="AC897" s="18">
        <v>6</v>
      </c>
    </row>
    <row r="898" spans="1:29" ht="15.75" customHeight="1" x14ac:dyDescent="0.2">
      <c r="A898" s="36" t="str">
        <f>HYPERLINK("https://www.guamcc.edu", "Guam Community College")</f>
        <v>Guam Community College</v>
      </c>
      <c r="B898" s="18" t="s">
        <v>49</v>
      </c>
      <c r="C898" s="18" t="s">
        <v>1390</v>
      </c>
      <c r="D898" s="18" t="s">
        <v>1391</v>
      </c>
      <c r="E898" s="18" t="s">
        <v>36</v>
      </c>
      <c r="F898" s="18" t="s">
        <v>36</v>
      </c>
      <c r="J898" s="19"/>
      <c r="K898" s="19">
        <v>0.18210000000000001</v>
      </c>
      <c r="L898" s="19">
        <v>8.8582676999999999E-2</v>
      </c>
      <c r="M898" s="19">
        <v>0</v>
      </c>
      <c r="N898" s="19">
        <v>0.25</v>
      </c>
      <c r="O898" s="19">
        <v>0</v>
      </c>
      <c r="P898" s="19">
        <v>0.21490000000000001</v>
      </c>
      <c r="Q898" s="19">
        <v>2.6033691000000001E-2</v>
      </c>
      <c r="R898" s="20">
        <v>18964</v>
      </c>
      <c r="S898" s="21" t="str">
        <f>HYPERLINK("https://www.guamcc.edu/Runtime/uploads/Files/03%20Finance%20and%20Admin/FinancialAid/npcalc.htm", "$13942")</f>
        <v>$13942</v>
      </c>
      <c r="T898" s="20">
        <v>14999</v>
      </c>
      <c r="U898" s="20" t="s">
        <v>36</v>
      </c>
      <c r="V898" s="20">
        <v>3850</v>
      </c>
      <c r="W898" s="20">
        <v>10092.73417721519</v>
      </c>
      <c r="Y898" s="19">
        <v>0.61880000000000002</v>
      </c>
      <c r="Z898" s="19">
        <v>0.9849</v>
      </c>
      <c r="AB898" s="18">
        <v>1794</v>
      </c>
      <c r="AC898" s="18">
        <v>6</v>
      </c>
    </row>
    <row r="899" spans="1:29" ht="15.75" customHeight="1" x14ac:dyDescent="0.2">
      <c r="A899" s="36" t="str">
        <f>HYPERLINK("https://www.guilford.edu", "Guilford College")</f>
        <v>Guilford College</v>
      </c>
      <c r="B899" s="18" t="s">
        <v>32</v>
      </c>
      <c r="C899" s="18" t="s">
        <v>103</v>
      </c>
      <c r="D899" s="18" t="s">
        <v>643</v>
      </c>
      <c r="E899" s="18" t="s">
        <v>36</v>
      </c>
      <c r="F899" s="18" t="s">
        <v>90</v>
      </c>
      <c r="J899" s="19"/>
      <c r="K899" s="19">
        <v>0.53110000000000002</v>
      </c>
      <c r="L899" s="19">
        <v>0.36781609199999998</v>
      </c>
      <c r="M899" s="19">
        <v>0.54620000000000002</v>
      </c>
      <c r="N899" s="19">
        <v>0.5</v>
      </c>
      <c r="O899" s="19">
        <v>0.57889999999999997</v>
      </c>
      <c r="P899" s="19">
        <v>0.33329999999999999</v>
      </c>
      <c r="Q899" s="19"/>
      <c r="R899" s="20">
        <v>50813</v>
      </c>
      <c r="S899" s="21" t="str">
        <f>HYPERLINK("https://npc.collegeboard.org/student/app/guilford", "$21760")</f>
        <v>$21760</v>
      </c>
      <c r="T899" s="20">
        <v>22984</v>
      </c>
      <c r="U899" s="20">
        <v>26062</v>
      </c>
      <c r="V899" s="20">
        <v>4450</v>
      </c>
      <c r="W899" s="20">
        <v>17310</v>
      </c>
      <c r="Y899" s="19">
        <v>0.41320000000000001</v>
      </c>
      <c r="Z899" s="19">
        <v>0.44209999999999999</v>
      </c>
      <c r="AA899" s="18" t="s">
        <v>37</v>
      </c>
      <c r="AB899" s="18">
        <v>1502</v>
      </c>
      <c r="AC899" s="18">
        <v>4</v>
      </c>
    </row>
    <row r="900" spans="1:29" ht="15.75" customHeight="1" x14ac:dyDescent="0.2">
      <c r="A900" s="36" t="str">
        <f>HYPERLINK("https://www.gtcc.edu", "Guilford Technical Community College")</f>
        <v>Guilford Technical Community College</v>
      </c>
      <c r="B900" s="18" t="s">
        <v>49</v>
      </c>
      <c r="C900" s="18" t="s">
        <v>103</v>
      </c>
      <c r="D900" s="18" t="s">
        <v>1276</v>
      </c>
      <c r="E900" s="18" t="s">
        <v>36</v>
      </c>
      <c r="F900" s="18" t="s">
        <v>36</v>
      </c>
      <c r="J900" s="19"/>
      <c r="K900" s="19">
        <v>0.18529999999999999</v>
      </c>
      <c r="L900" s="19">
        <v>0.155810069</v>
      </c>
      <c r="M900" s="19">
        <v>0.25819999999999999</v>
      </c>
      <c r="N900" s="19">
        <v>8.8599999999999998E-2</v>
      </c>
      <c r="O900" s="19">
        <v>0.20180000000000001</v>
      </c>
      <c r="P900" s="19">
        <v>0.18970000000000001</v>
      </c>
      <c r="Q900" s="19">
        <v>5.7581226999999999E-2</v>
      </c>
      <c r="R900" s="20">
        <v>23044</v>
      </c>
      <c r="S900" s="21" t="str">
        <f>HYPERLINK("https://www.gtcc.edu/_files/NetPriceCalculator/npcalc.htm", "$17855")</f>
        <v>$17855</v>
      </c>
      <c r="T900" s="20">
        <v>18788</v>
      </c>
      <c r="U900" s="20">
        <v>21163</v>
      </c>
      <c r="V900" s="20">
        <v>7951</v>
      </c>
      <c r="W900" s="20">
        <v>9904.9175257731949</v>
      </c>
      <c r="Y900" s="19">
        <v>0.54339999999999999</v>
      </c>
      <c r="Z900" s="19">
        <v>0.58489999999999998</v>
      </c>
      <c r="AB900" s="18">
        <v>9821</v>
      </c>
      <c r="AC900" s="18">
        <v>6</v>
      </c>
    </row>
    <row r="901" spans="1:29" ht="15.75" customHeight="1" x14ac:dyDescent="0.2">
      <c r="A901" s="36" t="str">
        <f>HYPERLINK("https://www.gulfcoast.edu/default.htm", "Gulf Coast State College")</f>
        <v>Gulf Coast State College</v>
      </c>
      <c r="B901" s="18" t="s">
        <v>49</v>
      </c>
      <c r="C901" s="18" t="s">
        <v>162</v>
      </c>
      <c r="D901" s="18" t="s">
        <v>1393</v>
      </c>
      <c r="E901" s="18" t="s">
        <v>36</v>
      </c>
      <c r="F901" s="18" t="s">
        <v>36</v>
      </c>
      <c r="J901" s="19"/>
      <c r="K901" s="19">
        <v>0.40139999999999998</v>
      </c>
      <c r="L901" s="19">
        <v>0.246069182</v>
      </c>
      <c r="M901" s="19">
        <v>0.4052</v>
      </c>
      <c r="N901" s="19">
        <v>0.30859999999999999</v>
      </c>
      <c r="O901" s="19">
        <v>0.47620000000000001</v>
      </c>
      <c r="P901" s="19">
        <v>0.58819999999999995</v>
      </c>
      <c r="Q901" s="19">
        <v>5.1470587999999998E-2</v>
      </c>
      <c r="R901" s="20">
        <v>19433</v>
      </c>
      <c r="S901" s="21" t="str">
        <f>HYPERLINK("https://www.gulfcoast.edu/tuition-aid/financial-aid/net-price-calculator/index.html", "$13801")</f>
        <v>$13801</v>
      </c>
      <c r="T901" s="20">
        <v>17497</v>
      </c>
      <c r="U901" s="20">
        <v>18682</v>
      </c>
      <c r="V901" s="20">
        <v>3220</v>
      </c>
      <c r="W901" s="20">
        <v>10581.403100775189</v>
      </c>
      <c r="Y901" s="19">
        <v>0.32479999999999998</v>
      </c>
      <c r="Z901" s="19">
        <v>0.2974</v>
      </c>
      <c r="AB901" s="18">
        <v>4028</v>
      </c>
      <c r="AC901" s="18">
        <v>6</v>
      </c>
    </row>
    <row r="902" spans="1:29" ht="15.75" customHeight="1" x14ac:dyDescent="0.2">
      <c r="A902" s="36" t="str">
        <f>HYPERLINK("https://www.gupton-jones.edu/", "Gupton Jones College of Funeral Service")</f>
        <v>Gupton Jones College of Funeral Service</v>
      </c>
      <c r="B902" s="18" t="s">
        <v>32</v>
      </c>
      <c r="C902" s="18" t="s">
        <v>107</v>
      </c>
      <c r="D902" s="18" t="s">
        <v>189</v>
      </c>
      <c r="E902" s="18" t="s">
        <v>36</v>
      </c>
      <c r="F902" s="18" t="s">
        <v>36</v>
      </c>
      <c r="J902" s="19"/>
      <c r="K902" s="19">
        <v>0.6341</v>
      </c>
      <c r="L902" s="19">
        <v>0.59482758599999996</v>
      </c>
      <c r="M902" s="19">
        <v>0.79410000000000003</v>
      </c>
      <c r="N902" s="19">
        <v>0.52080000000000004</v>
      </c>
      <c r="O902" s="19" t="s">
        <v>36</v>
      </c>
      <c r="P902" s="19" t="s">
        <v>36</v>
      </c>
      <c r="Q902" s="19" t="s">
        <v>36</v>
      </c>
      <c r="R902" s="20">
        <v>23700</v>
      </c>
      <c r="S902" s="21" t="str">
        <f>HYPERLINK("https://www.gupton-jones.edu/admissions/general-info", "$16827")</f>
        <v>$16827</v>
      </c>
      <c r="T902" s="20">
        <v>14465</v>
      </c>
      <c r="U902" s="20">
        <v>14465</v>
      </c>
      <c r="V902" s="20" t="s">
        <v>36</v>
      </c>
      <c r="W902" s="20" t="s">
        <v>36</v>
      </c>
      <c r="Y902" s="19">
        <v>0.93969999999999998</v>
      </c>
      <c r="Z902" s="19">
        <v>0.70679999999999998</v>
      </c>
      <c r="AB902" s="18">
        <v>249</v>
      </c>
      <c r="AC902" s="18">
        <v>6</v>
      </c>
    </row>
    <row r="903" spans="1:29" ht="15.75" customHeight="1" x14ac:dyDescent="0.2">
      <c r="A903" s="36" t="str">
        <f>HYPERLINK("https://gustavus.edu/", "Gustavus Adolphus College")</f>
        <v>Gustavus Adolphus College</v>
      </c>
      <c r="B903" s="18" t="s">
        <v>32</v>
      </c>
      <c r="C903" s="18" t="s">
        <v>72</v>
      </c>
      <c r="D903" s="18" t="s">
        <v>224</v>
      </c>
      <c r="E903" s="18" t="s">
        <v>36</v>
      </c>
      <c r="F903" s="18" t="s">
        <v>90</v>
      </c>
      <c r="J903" s="19"/>
      <c r="K903" s="19">
        <v>0.79830000000000001</v>
      </c>
      <c r="L903" s="19">
        <v>0.60526315799999997</v>
      </c>
      <c r="M903" s="19">
        <v>0.79159999999999997</v>
      </c>
      <c r="N903" s="19">
        <v>0.73680000000000001</v>
      </c>
      <c r="O903" s="19">
        <v>0.80769999999999997</v>
      </c>
      <c r="P903" s="19">
        <v>0.91890000000000005</v>
      </c>
      <c r="Q903" s="19"/>
      <c r="R903" s="20">
        <v>55800</v>
      </c>
      <c r="S903" s="21" t="str">
        <f>HYPERLINK("https://gustavus.edu/admission/financial-aid/calculator.php", "$13114")</f>
        <v>$13114</v>
      </c>
      <c r="T903" s="20">
        <v>16024</v>
      </c>
      <c r="U903" s="20">
        <v>21164</v>
      </c>
      <c r="V903" s="20">
        <v>2050</v>
      </c>
      <c r="W903" s="20">
        <v>11064</v>
      </c>
      <c r="Y903" s="19">
        <v>0.24360000000000001</v>
      </c>
      <c r="Z903" s="19">
        <v>0.21659999999999999</v>
      </c>
      <c r="AB903" s="18">
        <v>2170</v>
      </c>
      <c r="AC903" s="18">
        <v>2</v>
      </c>
    </row>
    <row r="904" spans="1:29" ht="15.75" customHeight="1" x14ac:dyDescent="0.2">
      <c r="A904" s="36" t="str">
        <f>HYPERLINK("https://www.gwinnettcollege.edu", "Gwinnett College-Lilburn")</f>
        <v>Gwinnett College-Lilburn</v>
      </c>
      <c r="B904" s="18" t="s">
        <v>368</v>
      </c>
      <c r="C904" s="18" t="s">
        <v>107</v>
      </c>
      <c r="D904" s="18" t="s">
        <v>1394</v>
      </c>
      <c r="E904" s="18" t="s">
        <v>36</v>
      </c>
      <c r="F904" s="18" t="s">
        <v>36</v>
      </c>
      <c r="J904" s="19"/>
      <c r="K904" s="19">
        <v>0.41860000000000003</v>
      </c>
      <c r="L904" s="19">
        <v>0.39516129</v>
      </c>
      <c r="M904" s="19">
        <v>0.33329999999999999</v>
      </c>
      <c r="N904" s="19">
        <v>0.4138</v>
      </c>
      <c r="O904" s="19">
        <v>0.5</v>
      </c>
      <c r="P904" s="19">
        <v>0.5</v>
      </c>
      <c r="Q904" s="19" t="s">
        <v>36</v>
      </c>
      <c r="R904" s="20">
        <v>28325</v>
      </c>
      <c r="S904" s="21" t="str">
        <f>HYPERLINK("https://www.gwinnettcollege.edu/title-ix-disclosures/", "$21397")</f>
        <v>$21397</v>
      </c>
      <c r="T904" s="20" t="s">
        <v>36</v>
      </c>
      <c r="U904" s="20" t="s">
        <v>36</v>
      </c>
      <c r="V904" s="20">
        <v>8600</v>
      </c>
      <c r="W904" s="20">
        <v>12797</v>
      </c>
      <c r="Y904" s="19">
        <v>0.82520000000000004</v>
      </c>
      <c r="Z904" s="19">
        <v>0.86109999999999998</v>
      </c>
      <c r="AB904" s="18">
        <v>252</v>
      </c>
      <c r="AC904" s="18">
        <v>6</v>
      </c>
    </row>
    <row r="905" spans="1:29" ht="15.75" customHeight="1" x14ac:dyDescent="0.2">
      <c r="A905" s="36" t="str">
        <f>HYPERLINK("https://www.gmercyu.edu/", "Gwynedd Mercy University")</f>
        <v>Gwynedd Mercy University</v>
      </c>
      <c r="B905" s="18" t="s">
        <v>32</v>
      </c>
      <c r="C905" s="18" t="s">
        <v>65</v>
      </c>
      <c r="D905" s="18" t="s">
        <v>806</v>
      </c>
      <c r="E905" s="18">
        <v>1021</v>
      </c>
      <c r="F905" s="18" t="s">
        <v>35</v>
      </c>
      <c r="J905" s="19"/>
      <c r="K905" s="19">
        <v>0.49320000000000003</v>
      </c>
      <c r="L905" s="19">
        <v>0.508379888</v>
      </c>
      <c r="M905" s="19">
        <v>0.52729999999999999</v>
      </c>
      <c r="N905" s="19">
        <v>0.30230000000000001</v>
      </c>
      <c r="O905" s="19">
        <v>0.4375</v>
      </c>
      <c r="P905" s="19">
        <v>0.57140000000000002</v>
      </c>
      <c r="Q905" s="19"/>
      <c r="R905" s="20">
        <v>48250</v>
      </c>
      <c r="S905" s="21" t="str">
        <f>HYPERLINK("https://www.gmercyu.edu/admissions-aid/financial-aid-tuition/net-price-calculator", "$17513")</f>
        <v>$17513</v>
      </c>
      <c r="T905" s="20">
        <v>19042</v>
      </c>
      <c r="U905" s="20">
        <v>24590</v>
      </c>
      <c r="V905" s="20">
        <v>3020</v>
      </c>
      <c r="W905" s="20">
        <v>14493</v>
      </c>
      <c r="Y905" s="19">
        <v>0.32869999999999999</v>
      </c>
      <c r="Z905" s="19">
        <v>0.41270000000000001</v>
      </c>
      <c r="AB905" s="18">
        <v>1987</v>
      </c>
      <c r="AC905" s="18">
        <v>4</v>
      </c>
    </row>
    <row r="906" spans="1:29" ht="15.75" customHeight="1" x14ac:dyDescent="0.2">
      <c r="A906" s="36" t="str">
        <f>HYPERLINK("https://www.hagerstowncc.edu", "Hagerstown Community College")</f>
        <v>Hagerstown Community College</v>
      </c>
      <c r="B906" s="18" t="s">
        <v>49</v>
      </c>
      <c r="C906" s="18" t="s">
        <v>124</v>
      </c>
      <c r="D906" s="18" t="s">
        <v>820</v>
      </c>
      <c r="E906" s="18" t="s">
        <v>36</v>
      </c>
      <c r="F906" s="18" t="s">
        <v>36</v>
      </c>
      <c r="J906" s="19"/>
      <c r="K906" s="19">
        <v>0.36530000000000001</v>
      </c>
      <c r="L906" s="19">
        <v>0.211305518</v>
      </c>
      <c r="M906" s="19">
        <v>0.41770000000000002</v>
      </c>
      <c r="N906" s="19">
        <v>8.8900000000000007E-2</v>
      </c>
      <c r="O906" s="19">
        <v>0.4118</v>
      </c>
      <c r="P906" s="19">
        <v>0.4</v>
      </c>
      <c r="Q906" s="19">
        <v>6.2550120000000001E-2</v>
      </c>
      <c r="R906" s="20">
        <v>22126</v>
      </c>
      <c r="S906" s="21" t="str">
        <f>HYPERLINK("https://www.hagerstowncc.edu/NetPrice/npcalc.htm", "$17229")</f>
        <v>$17229</v>
      </c>
      <c r="T906" s="20">
        <v>20077</v>
      </c>
      <c r="U906" s="20">
        <v>21313</v>
      </c>
      <c r="V906" s="20">
        <v>3986</v>
      </c>
      <c r="W906" s="20">
        <v>13243.32</v>
      </c>
      <c r="Y906" s="19">
        <v>0.33069999999999999</v>
      </c>
      <c r="Z906" s="19">
        <v>0.27789999999999998</v>
      </c>
      <c r="AB906" s="18">
        <v>3181</v>
      </c>
      <c r="AC906" s="18">
        <v>6</v>
      </c>
    </row>
    <row r="907" spans="1:29" ht="15.75" customHeight="1" x14ac:dyDescent="0.2">
      <c r="A907" s="36" t="str">
        <f>HYPERLINK("https://www.hallmarkuniversity.edu", "Hallmark University")</f>
        <v>Hallmark University</v>
      </c>
      <c r="B907" s="18" t="s">
        <v>32</v>
      </c>
      <c r="C907" s="18" t="s">
        <v>146</v>
      </c>
      <c r="D907" s="18" t="s">
        <v>268</v>
      </c>
      <c r="E907" s="18" t="s">
        <v>36</v>
      </c>
      <c r="F907" s="18" t="s">
        <v>115</v>
      </c>
      <c r="J907" s="19"/>
      <c r="K907" s="19">
        <v>0.53210000000000002</v>
      </c>
      <c r="L907" s="19">
        <v>0.45102040799999998</v>
      </c>
      <c r="M907" s="19">
        <v>0.55910000000000004</v>
      </c>
      <c r="N907" s="19">
        <v>0.42859999999999998</v>
      </c>
      <c r="O907" s="19">
        <v>0.52939999999999998</v>
      </c>
      <c r="P907" s="19">
        <v>0.25</v>
      </c>
      <c r="Q907" s="19" t="s">
        <v>36</v>
      </c>
      <c r="R907" s="20" t="s">
        <v>36</v>
      </c>
      <c r="S907" s="21" t="str">
        <f>HYPERLINK("https://www.hallmarkuniversity.edu/net-price-calculator/npcalc.htm", "$10618")</f>
        <v>$10618</v>
      </c>
      <c r="T907" s="20">
        <v>12562</v>
      </c>
      <c r="U907" s="20">
        <v>14046</v>
      </c>
      <c r="V907" s="20" t="s">
        <v>36</v>
      </c>
      <c r="W907" s="20" t="s">
        <v>36</v>
      </c>
      <c r="Y907" s="19">
        <v>0.59079999999999999</v>
      </c>
      <c r="Z907" s="19">
        <v>0.69340000000000002</v>
      </c>
      <c r="AB907" s="18">
        <v>848</v>
      </c>
      <c r="AC907" s="18">
        <v>6</v>
      </c>
    </row>
    <row r="908" spans="1:29" ht="15.75" customHeight="1" x14ac:dyDescent="0.2">
      <c r="A908" s="36" t="str">
        <f>HYPERLINK("https://www.hamilton.edu", "Hamilton College")</f>
        <v>Hamilton College</v>
      </c>
      <c r="B908" s="18" t="s">
        <v>32</v>
      </c>
      <c r="C908" s="18" t="s">
        <v>38</v>
      </c>
      <c r="D908" s="18" t="s">
        <v>118</v>
      </c>
      <c r="E908" s="18">
        <v>1452</v>
      </c>
      <c r="F908" s="18" t="s">
        <v>35</v>
      </c>
      <c r="G908" s="18" t="s">
        <v>40</v>
      </c>
      <c r="H908" s="18" t="s">
        <v>119</v>
      </c>
      <c r="I908" s="18" t="s">
        <v>99</v>
      </c>
      <c r="J908" s="19"/>
      <c r="K908" s="19">
        <v>0.94179999999999997</v>
      </c>
      <c r="L908" s="19" t="s">
        <v>36</v>
      </c>
      <c r="M908" s="19">
        <v>0.94530000000000003</v>
      </c>
      <c r="N908" s="19">
        <v>0.93330000000000002</v>
      </c>
      <c r="O908" s="19">
        <v>0.91110000000000002</v>
      </c>
      <c r="P908" s="19">
        <v>0.92589999999999995</v>
      </c>
      <c r="Q908" s="19"/>
      <c r="R908" s="20">
        <v>67670</v>
      </c>
      <c r="S908" s="21" t="str">
        <f>HYPERLINK("https://www.hamilton.edu/finaid/netpricecalculator", "$8931")</f>
        <v>$8931</v>
      </c>
      <c r="T908" s="20">
        <v>13249</v>
      </c>
      <c r="U908" s="20">
        <v>19223</v>
      </c>
      <c r="V908" s="20">
        <v>1500</v>
      </c>
      <c r="W908" s="20">
        <v>7431</v>
      </c>
      <c r="X908" s="18" t="s">
        <v>37</v>
      </c>
      <c r="Y908" s="19">
        <v>0.15290000000000001</v>
      </c>
      <c r="Z908" s="19">
        <v>0.36339999999999989</v>
      </c>
      <c r="AB908" s="18">
        <v>1885</v>
      </c>
      <c r="AC908" s="18">
        <v>1</v>
      </c>
    </row>
    <row r="909" spans="1:29" ht="15.75" customHeight="1" x14ac:dyDescent="0.2">
      <c r="A909" s="36" t="str">
        <f>HYPERLINK("https://www.hamiltontechcollege.edu", "Hamilton Technical College")</f>
        <v>Hamilton Technical College</v>
      </c>
      <c r="B909" s="18" t="s">
        <v>368</v>
      </c>
      <c r="C909" s="18" t="s">
        <v>211</v>
      </c>
      <c r="D909" s="18" t="s">
        <v>818</v>
      </c>
      <c r="E909" s="18" t="s">
        <v>36</v>
      </c>
      <c r="F909" s="18" t="s">
        <v>36</v>
      </c>
      <c r="J909" s="19"/>
      <c r="K909" s="19">
        <v>0.75329999999999997</v>
      </c>
      <c r="L909" s="19">
        <v>0.58375634499999995</v>
      </c>
      <c r="M909" s="19">
        <v>0.79820000000000002</v>
      </c>
      <c r="N909" s="19">
        <v>0.69230000000000003</v>
      </c>
      <c r="O909" s="19">
        <v>0.72219999999999995</v>
      </c>
      <c r="P909" s="19">
        <v>0.66669999999999996</v>
      </c>
      <c r="Q909" s="19" t="s">
        <v>36</v>
      </c>
      <c r="R909" s="20">
        <v>27350</v>
      </c>
      <c r="S909" s="21" t="str">
        <f>HYPERLINK("https://www.hamiltontechcollege.edu/net-price-calculator.html", "$19238")</f>
        <v>$19238</v>
      </c>
      <c r="T909" s="20">
        <v>22727</v>
      </c>
      <c r="U909" s="20">
        <v>22524</v>
      </c>
      <c r="V909" s="20">
        <v>5100</v>
      </c>
      <c r="W909" s="20">
        <v>14138</v>
      </c>
      <c r="Y909" s="19">
        <v>0.67820000000000003</v>
      </c>
      <c r="Z909" s="19">
        <v>0.35070000000000001</v>
      </c>
      <c r="AB909" s="18">
        <v>134</v>
      </c>
      <c r="AC909" s="18">
        <v>6</v>
      </c>
    </row>
    <row r="910" spans="1:29" ht="15.75" customHeight="1" x14ac:dyDescent="0.2">
      <c r="A910" s="36" t="str">
        <f>HYPERLINK("https://www.hamline.edu", "Hamline University")</f>
        <v>Hamline University</v>
      </c>
      <c r="B910" s="18" t="s">
        <v>32</v>
      </c>
      <c r="C910" s="18" t="s">
        <v>72</v>
      </c>
      <c r="D910" s="18" t="s">
        <v>131</v>
      </c>
      <c r="E910" s="18">
        <v>1145</v>
      </c>
      <c r="F910" s="18" t="s">
        <v>35</v>
      </c>
      <c r="J910" s="19"/>
      <c r="K910" s="19">
        <v>0.6673</v>
      </c>
      <c r="L910" s="19">
        <v>0.50588235299999995</v>
      </c>
      <c r="M910" s="19">
        <v>0.74009999999999998</v>
      </c>
      <c r="N910" s="19">
        <v>0.51219999999999999</v>
      </c>
      <c r="O910" s="19">
        <v>0.44119999999999998</v>
      </c>
      <c r="P910" s="19">
        <v>0.4516</v>
      </c>
      <c r="Q910" s="19"/>
      <c r="R910" s="20">
        <v>52178</v>
      </c>
      <c r="S910" s="21" t="str">
        <f>HYPERLINK("https://www.hamline.edu/undergraduate/admission/net-price-calculator.html", "$16949")</f>
        <v>$16949</v>
      </c>
      <c r="T910" s="20">
        <v>18989</v>
      </c>
      <c r="U910" s="20">
        <v>21612</v>
      </c>
      <c r="V910" s="20">
        <v>1690</v>
      </c>
      <c r="W910" s="20">
        <v>15259</v>
      </c>
      <c r="Y910" s="19">
        <v>0.34250000000000003</v>
      </c>
      <c r="Z910" s="19">
        <v>0.33489999999999998</v>
      </c>
      <c r="AB910" s="18">
        <v>2132</v>
      </c>
      <c r="AC910" s="18">
        <v>3</v>
      </c>
    </row>
    <row r="911" spans="1:29" ht="15.75" customHeight="1" x14ac:dyDescent="0.2">
      <c r="A911" s="36" t="str">
        <f>HYPERLINK("https://www.hsc.edu", "Hampden-Sydney College")</f>
        <v>Hampden-Sydney College</v>
      </c>
      <c r="B911" s="18" t="s">
        <v>32</v>
      </c>
      <c r="C911" s="18" t="s">
        <v>83</v>
      </c>
      <c r="D911" s="18" t="s">
        <v>807</v>
      </c>
      <c r="E911" s="18">
        <v>1165</v>
      </c>
      <c r="F911" s="18" t="s">
        <v>35</v>
      </c>
      <c r="J911" s="19"/>
      <c r="K911" s="19">
        <v>0.64059999999999995</v>
      </c>
      <c r="L911" s="19">
        <v>0.5</v>
      </c>
      <c r="M911" s="19">
        <v>0.64910000000000001</v>
      </c>
      <c r="N911" s="19">
        <v>0.62960000000000005</v>
      </c>
      <c r="O911" s="19">
        <v>0.66669999999999996</v>
      </c>
      <c r="P911" s="19">
        <v>0.77780000000000005</v>
      </c>
      <c r="Q911" s="19"/>
      <c r="R911" s="20">
        <v>60360</v>
      </c>
      <c r="S911" s="21" t="str">
        <f>HYPERLINK("https://npc.collegeboard.org/student/app/hsc", "$25401")</f>
        <v>$25401</v>
      </c>
      <c r="T911" s="20">
        <v>28843</v>
      </c>
      <c r="U911" s="20">
        <v>29959</v>
      </c>
      <c r="V911" s="20">
        <v>3000</v>
      </c>
      <c r="W911" s="20">
        <v>22401</v>
      </c>
      <c r="Y911" s="19">
        <v>0.1704</v>
      </c>
      <c r="Z911" s="19">
        <v>0.13959999999999989</v>
      </c>
      <c r="AB911" s="18">
        <v>1046</v>
      </c>
      <c r="AC911" s="18">
        <v>4</v>
      </c>
    </row>
    <row r="912" spans="1:29" ht="15.75" customHeight="1" x14ac:dyDescent="0.2">
      <c r="A912" s="36" t="str">
        <f>HYPERLINK("https://www.hampshire.edu", "Hampshire College")</f>
        <v>Hampshire College</v>
      </c>
      <c r="B912" s="18" t="s">
        <v>32</v>
      </c>
      <c r="C912" s="18" t="s">
        <v>33</v>
      </c>
      <c r="D912" s="18" t="s">
        <v>34</v>
      </c>
      <c r="E912" s="18" t="s">
        <v>36</v>
      </c>
      <c r="F912" s="18" t="s">
        <v>45</v>
      </c>
      <c r="J912" s="19"/>
      <c r="K912" s="19">
        <v>0.62360000000000004</v>
      </c>
      <c r="L912" s="19">
        <v>0.63513513499999996</v>
      </c>
      <c r="M912" s="19">
        <v>0.63880000000000003</v>
      </c>
      <c r="N912" s="19">
        <v>0.57140000000000002</v>
      </c>
      <c r="O912" s="19">
        <v>0.53849999999999998</v>
      </c>
      <c r="P912" s="19">
        <v>0.8</v>
      </c>
      <c r="Q912" s="19"/>
      <c r="R912" s="20">
        <v>67114</v>
      </c>
      <c r="S912" s="21" t="str">
        <f>HYPERLINK("https://npc.collegeboard.org/student/app/hampshire", "$21499")</f>
        <v>$21499</v>
      </c>
      <c r="T912" s="20">
        <v>25291</v>
      </c>
      <c r="U912" s="20">
        <v>30475</v>
      </c>
      <c r="V912" s="20">
        <v>1900</v>
      </c>
      <c r="W912" s="20">
        <v>19599</v>
      </c>
      <c r="Y912" s="19">
        <v>0.29749999999999999</v>
      </c>
      <c r="Z912" s="19">
        <v>0.37659999999999999</v>
      </c>
      <c r="AB912" s="18">
        <v>1264</v>
      </c>
      <c r="AC912" s="18">
        <v>1</v>
      </c>
    </row>
    <row r="913" spans="1:29" ht="15.75" customHeight="1" x14ac:dyDescent="0.2">
      <c r="A913" s="36" t="str">
        <f>HYPERLINK("https://www.hamptonu.edu", "Hampton University")</f>
        <v>Hampton University</v>
      </c>
      <c r="B913" s="18" t="s">
        <v>32</v>
      </c>
      <c r="C913" s="18" t="s">
        <v>83</v>
      </c>
      <c r="D913" s="18" t="s">
        <v>808</v>
      </c>
      <c r="E913" s="18">
        <v>1083</v>
      </c>
      <c r="F913" s="18" t="s">
        <v>35</v>
      </c>
      <c r="J913" s="19"/>
      <c r="K913" s="19">
        <v>0.55559999999999998</v>
      </c>
      <c r="L913" s="19">
        <v>0.47027026999999999</v>
      </c>
      <c r="M913" s="19">
        <v>0.66669999999999996</v>
      </c>
      <c r="N913" s="19">
        <v>0.56010000000000004</v>
      </c>
      <c r="O913" s="19">
        <v>0.375</v>
      </c>
      <c r="P913" s="19">
        <v>0.83330000000000004</v>
      </c>
      <c r="Q913" s="19"/>
      <c r="R913" s="20">
        <v>40559</v>
      </c>
      <c r="S913" s="21" t="str">
        <f>HYPERLINK("https://www.hamptonu.edu/studentservices/financialaid", "$25461")</f>
        <v>$25461</v>
      </c>
      <c r="T913" s="20">
        <v>24508</v>
      </c>
      <c r="U913" s="20" t="s">
        <v>36</v>
      </c>
      <c r="V913" s="20">
        <v>3900</v>
      </c>
      <c r="W913" s="20">
        <v>21561</v>
      </c>
      <c r="Y913" s="19">
        <v>0.39169999999999999</v>
      </c>
      <c r="Z913" s="19">
        <v>0.9889</v>
      </c>
      <c r="AB913" s="18">
        <v>3786</v>
      </c>
      <c r="AC913" s="18">
        <v>4</v>
      </c>
    </row>
    <row r="914" spans="1:29" ht="15.75" customHeight="1" x14ac:dyDescent="0.2">
      <c r="A914" s="36" t="str">
        <f>HYPERLINK("https://www.hlg.edu", "Hannibal-LaGrange University")</f>
        <v>Hannibal-LaGrange University</v>
      </c>
      <c r="B914" s="18" t="s">
        <v>32</v>
      </c>
      <c r="C914" s="18" t="s">
        <v>164</v>
      </c>
      <c r="D914" s="18" t="s">
        <v>811</v>
      </c>
      <c r="E914" s="18" t="s">
        <v>36</v>
      </c>
      <c r="F914" s="18" t="s">
        <v>90</v>
      </c>
      <c r="J914" s="19"/>
      <c r="K914" s="19">
        <v>0.50629999999999997</v>
      </c>
      <c r="L914" s="19">
        <v>0.44680851100000002</v>
      </c>
      <c r="M914" s="19">
        <v>0.57379999999999998</v>
      </c>
      <c r="N914" s="19">
        <v>9.0899999999999995E-2</v>
      </c>
      <c r="O914" s="19">
        <v>0.2</v>
      </c>
      <c r="P914" s="19" t="s">
        <v>36</v>
      </c>
      <c r="Q914" s="19"/>
      <c r="R914" s="20">
        <v>36008</v>
      </c>
      <c r="S914" s="21" t="str">
        <f>HYPERLINK("https://npc.collegeboard.org/student/app/hlg", "$18591")</f>
        <v>$18591</v>
      </c>
      <c r="T914" s="20">
        <v>17196</v>
      </c>
      <c r="U914" s="20">
        <v>19024</v>
      </c>
      <c r="V914" s="20">
        <v>6090</v>
      </c>
      <c r="W914" s="20">
        <v>12501</v>
      </c>
      <c r="Y914" s="19">
        <v>0.34770000000000001</v>
      </c>
      <c r="Z914" s="19">
        <v>0.19089999999999999</v>
      </c>
      <c r="AB914" s="18">
        <v>744</v>
      </c>
      <c r="AC914" s="18">
        <v>4</v>
      </c>
    </row>
    <row r="915" spans="1:29" ht="15.75" customHeight="1" x14ac:dyDescent="0.2">
      <c r="A915" s="36" t="str">
        <f>HYPERLINK("https://www.hanover.edu", "Hanover College")</f>
        <v>Hanover College</v>
      </c>
      <c r="B915" s="18" t="s">
        <v>32</v>
      </c>
      <c r="C915" s="18" t="s">
        <v>148</v>
      </c>
      <c r="D915" s="18" t="s">
        <v>102</v>
      </c>
      <c r="E915" s="18">
        <v>1184</v>
      </c>
      <c r="F915" s="18" t="s">
        <v>115</v>
      </c>
      <c r="J915" s="19"/>
      <c r="K915" s="19">
        <v>0.71030000000000004</v>
      </c>
      <c r="L915" s="19">
        <v>0.65384615400000001</v>
      </c>
      <c r="M915" s="19">
        <v>0.71430000000000005</v>
      </c>
      <c r="N915" s="19">
        <v>0.72219999999999995</v>
      </c>
      <c r="O915" s="19">
        <v>0.33329999999999999</v>
      </c>
      <c r="P915" s="19">
        <v>1</v>
      </c>
      <c r="Q915" s="19"/>
      <c r="R915" s="20">
        <v>50450</v>
      </c>
      <c r="S915" s="21" t="str">
        <f>HYPERLINK("https://npc.collegeboard.org/student/app/hanover", "$16044")</f>
        <v>$16044</v>
      </c>
      <c r="T915" s="20">
        <v>19810</v>
      </c>
      <c r="U915" s="20">
        <v>24958</v>
      </c>
      <c r="V915" s="20">
        <v>2700</v>
      </c>
      <c r="W915" s="20">
        <v>13344</v>
      </c>
      <c r="Y915" s="19">
        <v>0.27610000000000001</v>
      </c>
      <c r="Z915" s="19">
        <v>0.23749999999999999</v>
      </c>
      <c r="AB915" s="18">
        <v>1082</v>
      </c>
      <c r="AC915" s="18">
        <v>3</v>
      </c>
    </row>
    <row r="916" spans="1:29" ht="15.75" customHeight="1" x14ac:dyDescent="0.2">
      <c r="A916" s="36" t="str">
        <f>HYPERLINK("https://www.harcum.edu", "Harcum College")</f>
        <v>Harcum College</v>
      </c>
      <c r="B916" s="18" t="s">
        <v>32</v>
      </c>
      <c r="C916" s="18" t="s">
        <v>65</v>
      </c>
      <c r="D916" s="18" t="s">
        <v>66</v>
      </c>
      <c r="E916" s="18" t="s">
        <v>36</v>
      </c>
      <c r="F916" s="18" t="s">
        <v>36</v>
      </c>
      <c r="J916" s="19"/>
      <c r="K916" s="19">
        <v>0.17349999999999999</v>
      </c>
      <c r="L916" s="19">
        <v>0.37292817700000003</v>
      </c>
      <c r="M916" s="19">
        <v>0.1212</v>
      </c>
      <c r="N916" s="19">
        <v>0.18440000000000001</v>
      </c>
      <c r="O916" s="19">
        <v>0.25</v>
      </c>
      <c r="P916" s="19">
        <v>0</v>
      </c>
      <c r="Q916" s="19">
        <v>8.3333332999999996E-2</v>
      </c>
      <c r="R916" s="20">
        <v>37265</v>
      </c>
      <c r="S916" s="21" t="str">
        <f>HYPERLINK("https://harcum.edu/s/1044/edu/majors.aspx?sid=1044&amp;gid=1&amp;pgid=1046", "$20431")</f>
        <v>$20431</v>
      </c>
      <c r="T916" s="20">
        <v>23349</v>
      </c>
      <c r="U916" s="20">
        <v>25268</v>
      </c>
      <c r="V916" s="20">
        <v>3995</v>
      </c>
      <c r="W916" s="20">
        <v>16436</v>
      </c>
      <c r="Y916" s="19">
        <v>0.59019999999999995</v>
      </c>
      <c r="Z916" s="19">
        <v>0.70130000000000003</v>
      </c>
      <c r="AB916" s="18">
        <v>1436</v>
      </c>
      <c r="AC916" s="18">
        <v>6</v>
      </c>
    </row>
    <row r="917" spans="1:29" ht="15.75" customHeight="1" x14ac:dyDescent="0.2">
      <c r="A917" s="36" t="str">
        <f>HYPERLINK("https://www.hsutx.edu", "Hardin-Simmons University")</f>
        <v>Hardin-Simmons University</v>
      </c>
      <c r="B917" s="18" t="s">
        <v>32</v>
      </c>
      <c r="C917" s="18" t="s">
        <v>146</v>
      </c>
      <c r="D917" s="18" t="s">
        <v>287</v>
      </c>
      <c r="E917" s="18">
        <v>1074</v>
      </c>
      <c r="F917" s="18" t="s">
        <v>35</v>
      </c>
      <c r="J917" s="19"/>
      <c r="K917" s="19">
        <v>0.51019999999999999</v>
      </c>
      <c r="L917" s="19">
        <v>0.44604316599999999</v>
      </c>
      <c r="M917" s="19">
        <v>0.56700000000000006</v>
      </c>
      <c r="N917" s="19">
        <v>0.21429999999999999</v>
      </c>
      <c r="O917" s="19">
        <v>0.35849999999999999</v>
      </c>
      <c r="P917" s="19">
        <v>0.33329999999999999</v>
      </c>
      <c r="Q917" s="19"/>
      <c r="R917" s="20">
        <v>39836</v>
      </c>
      <c r="S917" s="21" t="str">
        <f>HYPERLINK("https://www.hsutx.edu/tuition-aid/affording-hsu/net-price-calculator/", "$27562")</f>
        <v>$27562</v>
      </c>
      <c r="T917" s="20">
        <v>30981</v>
      </c>
      <c r="U917" s="20">
        <v>32012</v>
      </c>
      <c r="V917" s="20">
        <v>3976</v>
      </c>
      <c r="W917" s="20">
        <v>23586</v>
      </c>
      <c r="Y917" s="19">
        <v>0.3402</v>
      </c>
      <c r="Z917" s="19">
        <v>0.3629</v>
      </c>
      <c r="AB917" s="18">
        <v>1670</v>
      </c>
      <c r="AC917" s="18">
        <v>4</v>
      </c>
    </row>
    <row r="918" spans="1:29" ht="15.75" customHeight="1" x14ac:dyDescent="0.2">
      <c r="A918" s="36" t="str">
        <f>HYPERLINK("https://hst.edu/", "Harding School of Theology")</f>
        <v>Harding School of Theology</v>
      </c>
      <c r="B918" s="18" t="s">
        <v>32</v>
      </c>
      <c r="C918" s="18" t="s">
        <v>174</v>
      </c>
      <c r="D918" s="18" t="s">
        <v>207</v>
      </c>
      <c r="E918" s="18" t="s">
        <v>36</v>
      </c>
      <c r="F918" s="18" t="s">
        <v>36</v>
      </c>
      <c r="J918" s="19"/>
      <c r="K918" s="19" t="s">
        <v>36</v>
      </c>
      <c r="L918" s="19">
        <v>0.47465437799999999</v>
      </c>
      <c r="M918" s="19" t="s">
        <v>36</v>
      </c>
      <c r="N918" s="19" t="s">
        <v>36</v>
      </c>
      <c r="O918" s="19" t="s">
        <v>36</v>
      </c>
      <c r="P918" s="19" t="s">
        <v>36</v>
      </c>
      <c r="Q918" s="19"/>
      <c r="R918" s="20" t="s">
        <v>36</v>
      </c>
      <c r="S918" s="35" t="s">
        <v>36</v>
      </c>
      <c r="T918" s="20" t="s">
        <v>36</v>
      </c>
      <c r="U918" s="20" t="s">
        <v>36</v>
      </c>
      <c r="V918" s="20" t="s">
        <v>36</v>
      </c>
      <c r="W918" s="20" t="s">
        <v>36</v>
      </c>
      <c r="Y918" s="19" t="s">
        <v>36</v>
      </c>
      <c r="Z918" s="19" t="s">
        <v>36</v>
      </c>
      <c r="AB918" s="18" t="s">
        <v>36</v>
      </c>
      <c r="AC918" s="18">
        <v>3</v>
      </c>
    </row>
    <row r="919" spans="1:29" ht="15.75" customHeight="1" x14ac:dyDescent="0.2">
      <c r="A919" s="36" t="str">
        <f>HYPERLINK("https://www.harding.edu", "Harding University")</f>
        <v>Harding University</v>
      </c>
      <c r="B919" s="18" t="s">
        <v>32</v>
      </c>
      <c r="C919" s="18" t="s">
        <v>371</v>
      </c>
      <c r="D919" s="18" t="s">
        <v>813</v>
      </c>
      <c r="E919" s="18">
        <v>1203</v>
      </c>
      <c r="F919" s="18" t="s">
        <v>35</v>
      </c>
      <c r="J919" s="19"/>
      <c r="K919" s="19">
        <v>0.6663</v>
      </c>
      <c r="L919" s="19">
        <v>0.47465437799999999</v>
      </c>
      <c r="M919" s="19">
        <v>0.69779999999999998</v>
      </c>
      <c r="N919" s="19">
        <v>0.26190000000000002</v>
      </c>
      <c r="O919" s="19">
        <v>0.36670000000000003</v>
      </c>
      <c r="P919" s="19">
        <v>0.5</v>
      </c>
      <c r="Q919" s="19"/>
      <c r="R919" s="20">
        <v>29975</v>
      </c>
      <c r="S919" s="21" t="str">
        <f>HYPERLINK("https://www.harding.edu/admissions/npc.html", "$14294")</f>
        <v>$14294</v>
      </c>
      <c r="T919" s="20">
        <v>18204</v>
      </c>
      <c r="U919" s="20">
        <v>21562</v>
      </c>
      <c r="V919" s="20">
        <v>3696</v>
      </c>
      <c r="W919" s="20">
        <v>10598</v>
      </c>
      <c r="Y919" s="19">
        <v>0.2641</v>
      </c>
      <c r="Z919" s="19">
        <v>0.18179999999999999</v>
      </c>
      <c r="AB919" s="18">
        <v>4147</v>
      </c>
      <c r="AC919" s="18">
        <v>4</v>
      </c>
    </row>
    <row r="920" spans="1:29" ht="15.75" customHeight="1" x14ac:dyDescent="0.2">
      <c r="A920" s="36" t="str">
        <f>HYPERLINK("https://www.harford.edu", "Harford Community College")</f>
        <v>Harford Community College</v>
      </c>
      <c r="B920" s="18" t="s">
        <v>49</v>
      </c>
      <c r="C920" s="18" t="s">
        <v>124</v>
      </c>
      <c r="D920" s="18" t="s">
        <v>1396</v>
      </c>
      <c r="E920" s="18" t="s">
        <v>36</v>
      </c>
      <c r="F920" s="18" t="s">
        <v>36</v>
      </c>
      <c r="J920" s="19"/>
      <c r="K920" s="19">
        <v>0.28910000000000002</v>
      </c>
      <c r="L920" s="19">
        <v>0.157824934</v>
      </c>
      <c r="M920" s="19">
        <v>0.34029999999999999</v>
      </c>
      <c r="N920" s="19">
        <v>0.1338</v>
      </c>
      <c r="O920" s="19">
        <v>0.14000000000000001</v>
      </c>
      <c r="P920" s="19">
        <v>0.2727</v>
      </c>
      <c r="Q920" s="19">
        <v>9.6247960999999993E-2</v>
      </c>
      <c r="R920" s="20">
        <v>22376</v>
      </c>
      <c r="S920" s="21" t="str">
        <f>HYPERLINK("https://ww2.harford.edu/finance/Net_Price_Calc/npcalc.htm", "$17039")</f>
        <v>$17039</v>
      </c>
      <c r="T920" s="20">
        <v>19750</v>
      </c>
      <c r="U920" s="20">
        <v>21667</v>
      </c>
      <c r="V920" s="20">
        <v>5474</v>
      </c>
      <c r="W920" s="20">
        <v>11565.38805970149</v>
      </c>
      <c r="Y920" s="19">
        <v>0.2233</v>
      </c>
      <c r="Z920" s="19">
        <v>0.31269999999999998</v>
      </c>
      <c r="AB920" s="18">
        <v>5018</v>
      </c>
      <c r="AC920" s="18">
        <v>6</v>
      </c>
    </row>
    <row r="921" spans="1:29" ht="15.75" customHeight="1" x14ac:dyDescent="0.2">
      <c r="A921" s="36" t="str">
        <f>HYPERLINK("https://www.hssu.edu", "Harris-Stowe State University")</f>
        <v>Harris-Stowe State University</v>
      </c>
      <c r="B921" s="18" t="s">
        <v>49</v>
      </c>
      <c r="C921" s="18" t="s">
        <v>164</v>
      </c>
      <c r="D921" s="18" t="s">
        <v>179</v>
      </c>
      <c r="E921" s="18" t="s">
        <v>36</v>
      </c>
      <c r="F921" s="18" t="s">
        <v>36</v>
      </c>
      <c r="J921" s="19"/>
      <c r="K921" s="19">
        <v>6.9599999999999995E-2</v>
      </c>
      <c r="L921" s="19">
        <v>0.110912344</v>
      </c>
      <c r="M921" s="19">
        <v>0.17649999999999999</v>
      </c>
      <c r="N921" s="19">
        <v>5.79E-2</v>
      </c>
      <c r="O921" s="19">
        <v>0.33329999999999999</v>
      </c>
      <c r="P921" s="19" t="s">
        <v>36</v>
      </c>
      <c r="Q921" s="19"/>
      <c r="R921" s="20">
        <v>25789</v>
      </c>
      <c r="S921" s="21" t="str">
        <f>HYPERLINK("https://www.hssu.edu/ae/aefiles/7/NetPriceCalc/npcalc.htm", "$20869")</f>
        <v>$20869</v>
      </c>
      <c r="T921" s="20">
        <v>22611</v>
      </c>
      <c r="U921" s="20">
        <v>25318</v>
      </c>
      <c r="V921" s="20">
        <v>6566</v>
      </c>
      <c r="W921" s="20">
        <v>14303.11666666667</v>
      </c>
      <c r="Y921" s="19">
        <v>0.72609999999999997</v>
      </c>
      <c r="Z921" s="19">
        <v>0.93530000000000002</v>
      </c>
      <c r="AB921" s="18">
        <v>1423</v>
      </c>
      <c r="AC921" s="18">
        <v>4</v>
      </c>
    </row>
    <row r="922" spans="1:29" ht="15.75" customHeight="1" x14ac:dyDescent="0.2">
      <c r="A922" s="36" t="str">
        <f>HYPERLINK("https://www.hacc.edu", "Harrisburg Area Community College-Harrisburg")</f>
        <v>Harrisburg Area Community College-Harrisburg</v>
      </c>
      <c r="B922" s="18" t="s">
        <v>49</v>
      </c>
      <c r="C922" s="18" t="s">
        <v>65</v>
      </c>
      <c r="D922" s="18" t="s">
        <v>1398</v>
      </c>
      <c r="E922" s="18" t="s">
        <v>36</v>
      </c>
      <c r="F922" s="18" t="s">
        <v>36</v>
      </c>
      <c r="J922" s="19"/>
      <c r="K922" s="19">
        <v>0.1067</v>
      </c>
      <c r="L922" s="19">
        <v>0.16449603600000001</v>
      </c>
      <c r="M922" s="19">
        <v>0.12809999999999999</v>
      </c>
      <c r="N922" s="19">
        <v>1.55E-2</v>
      </c>
      <c r="O922" s="19">
        <v>5.6500000000000002E-2</v>
      </c>
      <c r="P922" s="19">
        <v>7.0199999999999999E-2</v>
      </c>
      <c r="Q922" s="19">
        <v>9.3941456999999992E-2</v>
      </c>
      <c r="R922" s="20">
        <v>23439</v>
      </c>
      <c r="S922" s="21" t="str">
        <f>HYPERLINK("https://www.hacc.edu/Paying/Net-Price-Calculator.cfm", "$18197")</f>
        <v>$18197</v>
      </c>
      <c r="T922" s="20">
        <v>20926</v>
      </c>
      <c r="U922" s="20">
        <v>22949</v>
      </c>
      <c r="V922" s="20">
        <v>6242</v>
      </c>
      <c r="W922" s="20">
        <v>11955.272861356931</v>
      </c>
      <c r="Y922" s="19">
        <v>0.39989999999999998</v>
      </c>
      <c r="Z922" s="19">
        <v>0.34200000000000008</v>
      </c>
      <c r="AB922" s="18">
        <v>15968</v>
      </c>
      <c r="AC922" s="18">
        <v>6</v>
      </c>
    </row>
    <row r="923" spans="1:29" ht="15.75" customHeight="1" x14ac:dyDescent="0.2">
      <c r="A923" s="36" t="str">
        <f>HYPERLINK("https://harrison.edu", "Harrison College-Grove City")</f>
        <v>Harrison College-Grove City</v>
      </c>
      <c r="B923" s="18" t="s">
        <v>368</v>
      </c>
      <c r="C923" s="18" t="s">
        <v>75</v>
      </c>
      <c r="D923" s="18" t="s">
        <v>1400</v>
      </c>
      <c r="E923" s="18" t="s">
        <v>36</v>
      </c>
      <c r="F923" s="18" t="s">
        <v>45</v>
      </c>
      <c r="J923" s="19"/>
      <c r="K923" s="19">
        <v>0.125</v>
      </c>
      <c r="L923" s="19">
        <v>0.224550898</v>
      </c>
      <c r="M923" s="19">
        <v>0.17649999999999999</v>
      </c>
      <c r="N923" s="19">
        <v>0</v>
      </c>
      <c r="O923" s="19" t="s">
        <v>36</v>
      </c>
      <c r="P923" s="19" t="s">
        <v>36</v>
      </c>
      <c r="Q923" s="19">
        <v>3.4193999000000003E-2</v>
      </c>
      <c r="R923" s="20">
        <v>28521</v>
      </c>
      <c r="S923" s="21" t="str">
        <f>HYPERLINK("https://harrison.edu/admissions/net-price-calculator", "$16482")</f>
        <v>$16482</v>
      </c>
      <c r="T923" s="20" t="s">
        <v>36</v>
      </c>
      <c r="U923" s="20" t="s">
        <v>36</v>
      </c>
      <c r="V923" s="20">
        <v>5631</v>
      </c>
      <c r="W923" s="20">
        <v>10851</v>
      </c>
      <c r="Y923" s="19">
        <v>0.85650000000000004</v>
      </c>
      <c r="Z923" s="19">
        <v>0.43669999999999998</v>
      </c>
      <c r="AB923" s="18">
        <v>158</v>
      </c>
      <c r="AC923" s="18">
        <v>6</v>
      </c>
    </row>
    <row r="924" spans="1:29" ht="15.75" customHeight="1" x14ac:dyDescent="0.2">
      <c r="A924" s="36" t="str">
        <f>HYPERLINK("https://harrison.edu", "Harrison College-Indianapolis")</f>
        <v>Harrison College-Indianapolis</v>
      </c>
      <c r="B924" s="18" t="s">
        <v>368</v>
      </c>
      <c r="C924" s="18" t="s">
        <v>148</v>
      </c>
      <c r="D924" s="18" t="s">
        <v>316</v>
      </c>
      <c r="E924" s="18" t="s">
        <v>36</v>
      </c>
      <c r="F924" s="18" t="s">
        <v>45</v>
      </c>
      <c r="J924" s="19"/>
      <c r="K924" s="19">
        <v>0.16850000000000001</v>
      </c>
      <c r="L924" s="19">
        <v>0.224550898</v>
      </c>
      <c r="M924" s="19">
        <v>0.1928</v>
      </c>
      <c r="N924" s="19">
        <v>5.6599999999999998E-2</v>
      </c>
      <c r="O924" s="19">
        <v>0.28570000000000001</v>
      </c>
      <c r="P924" s="19">
        <v>0</v>
      </c>
      <c r="Q924" s="19">
        <v>3.4193999000000003E-2</v>
      </c>
      <c r="R924" s="20">
        <v>28521</v>
      </c>
      <c r="S924" s="21" t="str">
        <f>HYPERLINK("https://harrison.edu/admissions/net-price-calculator", "$21147")</f>
        <v>$21147</v>
      </c>
      <c r="T924" s="20">
        <v>22122</v>
      </c>
      <c r="U924" s="20">
        <v>23318</v>
      </c>
      <c r="V924" s="20">
        <v>5631</v>
      </c>
      <c r="W924" s="20">
        <v>15516</v>
      </c>
      <c r="Y924" s="19">
        <v>0.77029999999999998</v>
      </c>
      <c r="Z924" s="19">
        <v>0.34920000000000001</v>
      </c>
      <c r="AB924" s="18">
        <v>2033</v>
      </c>
      <c r="AC924" s="18">
        <v>6</v>
      </c>
    </row>
    <row r="925" spans="1:29" ht="15.75" customHeight="1" x14ac:dyDescent="0.2">
      <c r="A925" s="36" t="str">
        <f>HYPERLINK("https://harrison.edu", "Harrison College-Morrisville")</f>
        <v>Harrison College-Morrisville</v>
      </c>
      <c r="B925" s="18" t="s">
        <v>368</v>
      </c>
      <c r="C925" s="18" t="s">
        <v>103</v>
      </c>
      <c r="D925" s="18" t="s">
        <v>1404</v>
      </c>
      <c r="E925" s="18" t="s">
        <v>36</v>
      </c>
      <c r="F925" s="18" t="s">
        <v>45</v>
      </c>
      <c r="J925" s="19"/>
      <c r="K925" s="19">
        <v>0.33329999999999999</v>
      </c>
      <c r="L925" s="19">
        <v>0.224550898</v>
      </c>
      <c r="M925" s="19">
        <v>1</v>
      </c>
      <c r="N925" s="19">
        <v>0.16669999999999999</v>
      </c>
      <c r="O925" s="19">
        <v>0</v>
      </c>
      <c r="P925" s="19" t="s">
        <v>36</v>
      </c>
      <c r="Q925" s="19">
        <v>3.4193999000000003E-2</v>
      </c>
      <c r="R925" s="20">
        <v>28506</v>
      </c>
      <c r="S925" s="21" t="str">
        <f>HYPERLINK("https://harrison.edu/admissions/net-price-calculator", "$20217")</f>
        <v>$20217</v>
      </c>
      <c r="T925" s="20">
        <v>24898</v>
      </c>
      <c r="U925" s="20">
        <v>21017</v>
      </c>
      <c r="V925" s="20">
        <v>5391</v>
      </c>
      <c r="W925" s="20">
        <v>14826</v>
      </c>
      <c r="Y925" s="19">
        <v>0.61699999999999999</v>
      </c>
      <c r="Z925" s="19">
        <v>0.68540000000000001</v>
      </c>
      <c r="AB925" s="18">
        <v>89</v>
      </c>
      <c r="AC925" s="18">
        <v>6</v>
      </c>
    </row>
    <row r="926" spans="1:29" ht="15.75" customHeight="1" x14ac:dyDescent="0.2">
      <c r="A926" s="36" t="str">
        <f>HYPERLINK("https://www.hartnell.edu", "Hartnell College")</f>
        <v>Hartnell College</v>
      </c>
      <c r="B926" s="18" t="s">
        <v>49</v>
      </c>
      <c r="C926" s="18" t="s">
        <v>68</v>
      </c>
      <c r="D926" s="18" t="s">
        <v>1406</v>
      </c>
      <c r="E926" s="18" t="s">
        <v>36</v>
      </c>
      <c r="F926" s="18" t="s">
        <v>36</v>
      </c>
      <c r="J926" s="19"/>
      <c r="K926" s="19">
        <v>0.31090000000000001</v>
      </c>
      <c r="L926" s="19">
        <v>7.5205640000000004E-2</v>
      </c>
      <c r="M926" s="19">
        <v>0.32690000000000002</v>
      </c>
      <c r="N926" s="19">
        <v>0.2727</v>
      </c>
      <c r="O926" s="19">
        <v>0.31140000000000001</v>
      </c>
      <c r="P926" s="19">
        <v>0.18179999999999999</v>
      </c>
      <c r="Q926" s="19">
        <v>0.10879999999999999</v>
      </c>
      <c r="R926" s="20">
        <v>27056</v>
      </c>
      <c r="S926" s="21" t="str">
        <f>HYPERLINK("https://misweb.cccco.edu/npc/451/npcalc.htm", "$20097")</f>
        <v>$20097</v>
      </c>
      <c r="T926" s="20">
        <v>23085</v>
      </c>
      <c r="U926" s="20">
        <v>24776</v>
      </c>
      <c r="V926" s="20">
        <v>6093</v>
      </c>
      <c r="W926" s="20">
        <v>14004.729847494549</v>
      </c>
      <c r="Y926" s="19">
        <v>0.21110000000000001</v>
      </c>
      <c r="Z926" s="19">
        <v>0.77959999999999996</v>
      </c>
      <c r="AB926" s="18">
        <v>11218</v>
      </c>
      <c r="AC926" s="18">
        <v>6</v>
      </c>
    </row>
    <row r="927" spans="1:29" ht="15.75" customHeight="1" x14ac:dyDescent="0.2">
      <c r="A927" s="36" t="str">
        <f>HYPERLINK("https://www.hartwick.edu/", "Hartwick College")</f>
        <v>Hartwick College</v>
      </c>
      <c r="B927" s="18" t="s">
        <v>32</v>
      </c>
      <c r="C927" s="18" t="s">
        <v>38</v>
      </c>
      <c r="D927" s="18" t="s">
        <v>816</v>
      </c>
      <c r="E927" s="18">
        <v>1047</v>
      </c>
      <c r="F927" s="18" t="s">
        <v>115</v>
      </c>
      <c r="J927" s="19"/>
      <c r="K927" s="19">
        <v>0.53890000000000005</v>
      </c>
      <c r="L927" s="19">
        <v>0.40963855399999999</v>
      </c>
      <c r="M927" s="19">
        <v>0.59030000000000005</v>
      </c>
      <c r="N927" s="19">
        <v>0.3548</v>
      </c>
      <c r="O927" s="19">
        <v>0.32350000000000001</v>
      </c>
      <c r="P927" s="19">
        <v>0.375</v>
      </c>
      <c r="Q927" s="19"/>
      <c r="R927" s="20">
        <v>57627</v>
      </c>
      <c r="S927" s="21" t="str">
        <f>HYPERLINK("https://www.hartwick.edu/admissions/net-price-calculator/", "$21183")</f>
        <v>$21183</v>
      </c>
      <c r="T927" s="20">
        <v>25768</v>
      </c>
      <c r="U927" s="20">
        <v>28930</v>
      </c>
      <c r="V927" s="20">
        <v>1400</v>
      </c>
      <c r="W927" s="20">
        <v>19783</v>
      </c>
      <c r="Y927" s="19">
        <v>0.36170000000000002</v>
      </c>
      <c r="Z927" s="19">
        <v>0.37769999999999998</v>
      </c>
      <c r="AB927" s="18">
        <v>1194</v>
      </c>
      <c r="AC927" s="18">
        <v>4</v>
      </c>
    </row>
    <row r="928" spans="1:29" ht="15.75" customHeight="1" x14ac:dyDescent="0.2">
      <c r="A928" s="36" t="str">
        <f>HYPERLINK("https://www.harvard.edu", "Harvard University")</f>
        <v>Harvard University</v>
      </c>
      <c r="B928" s="18" t="s">
        <v>32</v>
      </c>
      <c r="C928" s="18" t="s">
        <v>33</v>
      </c>
      <c r="D928" s="18" t="s">
        <v>121</v>
      </c>
      <c r="E928" s="18">
        <v>1523</v>
      </c>
      <c r="F928" s="18" t="s">
        <v>35</v>
      </c>
      <c r="J928" s="19"/>
      <c r="K928" s="19">
        <v>0.96440000000000003</v>
      </c>
      <c r="L928" s="19">
        <v>0.80110497200000008</v>
      </c>
      <c r="M928" s="19">
        <v>0.96509999999999996</v>
      </c>
      <c r="N928" s="19">
        <v>0.96609999999999996</v>
      </c>
      <c r="O928" s="19">
        <v>0.95809999999999995</v>
      </c>
      <c r="P928" s="19">
        <v>0.96209999999999996</v>
      </c>
      <c r="Q928" s="19"/>
      <c r="R928" s="20">
        <v>69600</v>
      </c>
      <c r="S928" s="21" t="str">
        <f>HYPERLINK("https://college.harvard.edu/financial-aid/net-price-calculator", "$302")</f>
        <v>$302</v>
      </c>
      <c r="T928" s="20">
        <v>3392</v>
      </c>
      <c r="U928" s="20">
        <v>15613</v>
      </c>
      <c r="V928" s="20">
        <v>3991</v>
      </c>
      <c r="W928" s="20">
        <v>-3689</v>
      </c>
      <c r="X928" s="18" t="s">
        <v>37</v>
      </c>
      <c r="Y928" s="19">
        <v>0.10580000000000001</v>
      </c>
      <c r="Z928" s="19">
        <v>0.57889999999999997</v>
      </c>
      <c r="AA928" s="18" t="s">
        <v>37</v>
      </c>
      <c r="AB928" s="18">
        <v>7532</v>
      </c>
      <c r="AC928" s="18">
        <v>1</v>
      </c>
    </row>
    <row r="929" spans="1:29" ht="15.75" customHeight="1" x14ac:dyDescent="0.2">
      <c r="A929" s="36" t="str">
        <f>HYPERLINK("https://www.hmc.edu", "Harvey Mudd College")</f>
        <v>Harvey Mudd College</v>
      </c>
      <c r="B929" s="18" t="s">
        <v>32</v>
      </c>
      <c r="C929" s="18" t="s">
        <v>68</v>
      </c>
      <c r="D929" s="18" t="s">
        <v>77</v>
      </c>
      <c r="E929" s="18">
        <v>1527</v>
      </c>
      <c r="F929" s="18" t="s">
        <v>35</v>
      </c>
      <c r="J929" s="19"/>
      <c r="K929" s="19">
        <v>0.95879999999999999</v>
      </c>
      <c r="L929" s="19" t="s">
        <v>36</v>
      </c>
      <c r="M929" s="19">
        <v>0.95330000000000004</v>
      </c>
      <c r="N929" s="19">
        <v>1</v>
      </c>
      <c r="O929" s="19">
        <v>1</v>
      </c>
      <c r="P929" s="19">
        <v>0.97219999999999995</v>
      </c>
      <c r="Q929" s="19"/>
      <c r="R929" s="20">
        <v>74428</v>
      </c>
      <c r="S929" s="21" t="str">
        <f>HYPERLINK("https://npc.collegeboard.org/student/app/hmc", "$12482")</f>
        <v>$12482</v>
      </c>
      <c r="T929" s="20">
        <v>13359</v>
      </c>
      <c r="U929" s="20">
        <v>25555</v>
      </c>
      <c r="V929" s="20">
        <v>2200</v>
      </c>
      <c r="W929" s="20">
        <v>10282</v>
      </c>
      <c r="X929" s="18" t="s">
        <v>37</v>
      </c>
      <c r="Y929" s="19">
        <v>0.12770000000000001</v>
      </c>
      <c r="Z929" s="19">
        <v>0.66110000000000002</v>
      </c>
      <c r="AB929" s="18">
        <v>844</v>
      </c>
      <c r="AC929" s="18">
        <v>1</v>
      </c>
    </row>
    <row r="930" spans="1:29" ht="15.75" customHeight="1" x14ac:dyDescent="0.2">
      <c r="A930" s="36" t="str">
        <f>HYPERLINK("https://www.hastings.edu", "Hastings College")</f>
        <v>Hastings College</v>
      </c>
      <c r="B930" s="18" t="s">
        <v>32</v>
      </c>
      <c r="C930" s="18" t="s">
        <v>341</v>
      </c>
      <c r="D930" s="18" t="s">
        <v>817</v>
      </c>
      <c r="E930" s="18">
        <v>1118</v>
      </c>
      <c r="F930" s="18" t="s">
        <v>35</v>
      </c>
      <c r="J930" s="19"/>
      <c r="K930" s="19">
        <v>0.54520000000000002</v>
      </c>
      <c r="L930" s="19">
        <v>0.43478260899999999</v>
      </c>
      <c r="M930" s="19">
        <v>0.57200000000000006</v>
      </c>
      <c r="N930" s="19">
        <v>0.26669999999999999</v>
      </c>
      <c r="O930" s="19">
        <v>0.38100000000000001</v>
      </c>
      <c r="P930" s="19">
        <v>0.5</v>
      </c>
      <c r="Q930" s="19"/>
      <c r="R930" s="20">
        <v>43527</v>
      </c>
      <c r="S930" s="21" t="str">
        <f>HYPERLINK("https://hastings.studentaidcalculator.com/survey.aspx", "$18403")</f>
        <v>$18403</v>
      </c>
      <c r="T930" s="20">
        <v>19647</v>
      </c>
      <c r="U930" s="20">
        <v>23628</v>
      </c>
      <c r="V930" s="20">
        <v>4927</v>
      </c>
      <c r="W930" s="20">
        <v>13476</v>
      </c>
      <c r="Y930" s="19">
        <v>0.29459999999999997</v>
      </c>
      <c r="Z930" s="19">
        <v>0.19589999999999999</v>
      </c>
      <c r="AB930" s="18">
        <v>1082</v>
      </c>
      <c r="AC930" s="18">
        <v>4</v>
      </c>
    </row>
    <row r="931" spans="1:29" ht="15.75" customHeight="1" x14ac:dyDescent="0.2">
      <c r="A931" s="36" t="str">
        <f>HYPERLINK("https://www.haverford.edu", "Haverford College")</f>
        <v>Haverford College</v>
      </c>
      <c r="B931" s="18" t="s">
        <v>32</v>
      </c>
      <c r="C931" s="18" t="s">
        <v>65</v>
      </c>
      <c r="D931" s="18" t="s">
        <v>123</v>
      </c>
      <c r="E931" s="18">
        <v>1472</v>
      </c>
      <c r="F931" s="18" t="s">
        <v>35</v>
      </c>
      <c r="J931" s="19"/>
      <c r="K931" s="19">
        <v>0.92749999999999999</v>
      </c>
      <c r="L931" s="19" t="s">
        <v>36</v>
      </c>
      <c r="M931" s="19">
        <v>0.98509999999999998</v>
      </c>
      <c r="N931" s="19">
        <v>0.88239999999999996</v>
      </c>
      <c r="O931" s="19">
        <v>0.92859999999999998</v>
      </c>
      <c r="P931" s="19">
        <v>0.92589999999999995</v>
      </c>
      <c r="Q931" s="19"/>
      <c r="R931" s="20">
        <v>71614</v>
      </c>
      <c r="S931" s="21" t="str">
        <f>HYPERLINK("https://www.haverford.edu/admission/tuition-and-aid", "$9621")</f>
        <v>$9621</v>
      </c>
      <c r="T931" s="20">
        <v>14922</v>
      </c>
      <c r="U931" s="20">
        <v>21857</v>
      </c>
      <c r="V931" s="20">
        <v>2662</v>
      </c>
      <c r="W931" s="20">
        <v>6959</v>
      </c>
      <c r="X931" s="18" t="s">
        <v>37</v>
      </c>
      <c r="Y931" s="19">
        <v>0.15690000000000001</v>
      </c>
      <c r="Z931" s="19">
        <v>0.43070000000000003</v>
      </c>
      <c r="AA931" s="18" t="s">
        <v>37</v>
      </c>
      <c r="AB931" s="18">
        <v>1291</v>
      </c>
      <c r="AC931" s="18">
        <v>1</v>
      </c>
    </row>
    <row r="932" spans="1:29" ht="15.75" customHeight="1" x14ac:dyDescent="0.2">
      <c r="A932" s="36" t="str">
        <f>HYPERLINK("https://hawaii.hawaii.edu", "Hawaii Community College")</f>
        <v>Hawaii Community College</v>
      </c>
      <c r="B932" s="18" t="s">
        <v>49</v>
      </c>
      <c r="C932" s="18" t="s">
        <v>313</v>
      </c>
      <c r="D932" s="18" t="s">
        <v>1273</v>
      </c>
      <c r="E932" s="18" t="s">
        <v>36</v>
      </c>
      <c r="F932" s="18" t="s">
        <v>36</v>
      </c>
      <c r="J932" s="19"/>
      <c r="K932" s="19">
        <v>0.21390000000000001</v>
      </c>
      <c r="L932" s="19">
        <v>0.25251076</v>
      </c>
      <c r="M932" s="19">
        <v>0.1026</v>
      </c>
      <c r="N932" s="19">
        <v>0</v>
      </c>
      <c r="O932" s="19">
        <v>0.21310000000000001</v>
      </c>
      <c r="P932" s="19">
        <v>0.36070000000000002</v>
      </c>
      <c r="Q932" s="19">
        <v>4.8511577E-2</v>
      </c>
      <c r="R932" s="20">
        <v>23740</v>
      </c>
      <c r="S932" s="21" t="str">
        <f>HYPERLINK("https://hawaii.hawaii.edu/files/financialaid/netpricecalculator/npcalc.htm", "$18306")</f>
        <v>$18306</v>
      </c>
      <c r="T932" s="20">
        <v>20057</v>
      </c>
      <c r="U932" s="20">
        <v>22668</v>
      </c>
      <c r="V932" s="20">
        <v>4456</v>
      </c>
      <c r="W932" s="20">
        <v>13850.8224852071</v>
      </c>
      <c r="Y932" s="19">
        <v>0.35220000000000001</v>
      </c>
      <c r="Z932" s="19">
        <v>0.86419999999999997</v>
      </c>
      <c r="AB932" s="18">
        <v>2173</v>
      </c>
      <c r="AC932" s="18">
        <v>6</v>
      </c>
    </row>
    <row r="933" spans="1:29" ht="15.75" customHeight="1" x14ac:dyDescent="0.2">
      <c r="A933" s="36" t="str">
        <f>HYPERLINK("https://www.hpu.edu/", "Hawaii Pacific University")</f>
        <v>Hawaii Pacific University</v>
      </c>
      <c r="B933" s="18" t="s">
        <v>32</v>
      </c>
      <c r="C933" s="18" t="s">
        <v>313</v>
      </c>
      <c r="D933" s="18" t="s">
        <v>510</v>
      </c>
      <c r="E933" s="18">
        <v>1110</v>
      </c>
      <c r="F933" s="18" t="s">
        <v>35</v>
      </c>
      <c r="J933" s="19"/>
      <c r="K933" s="19">
        <v>0.44469999999999998</v>
      </c>
      <c r="L933" s="19">
        <v>0.41902313600000002</v>
      </c>
      <c r="M933" s="19">
        <v>0.42570000000000002</v>
      </c>
      <c r="N933" s="19">
        <v>0.47370000000000001</v>
      </c>
      <c r="O933" s="19">
        <v>0.33329999999999999</v>
      </c>
      <c r="P933" s="19">
        <v>0.60580000000000001</v>
      </c>
      <c r="Q933" s="19"/>
      <c r="R933" s="20">
        <v>42294</v>
      </c>
      <c r="S933" s="21" t="str">
        <f>HYPERLINK("https://www.hpu.edu/financial-aid/net-price-calculator/", "$27513")</f>
        <v>$27513</v>
      </c>
      <c r="T933" s="20">
        <v>27618</v>
      </c>
      <c r="U933" s="20">
        <v>30949</v>
      </c>
      <c r="V933" s="20">
        <v>3540</v>
      </c>
      <c r="W933" s="20">
        <v>23973</v>
      </c>
      <c r="Y933" s="19">
        <v>0.26879999999999998</v>
      </c>
      <c r="Z933" s="19">
        <v>0.72829999999999995</v>
      </c>
      <c r="AB933" s="18">
        <v>3228</v>
      </c>
      <c r="AC933" s="18">
        <v>4</v>
      </c>
    </row>
    <row r="934" spans="1:29" ht="15.75" customHeight="1" x14ac:dyDescent="0.2">
      <c r="A934" s="36" t="str">
        <f>HYPERLINK("https://www.hawkeyecollege.edu", "Hawkeye Community College")</f>
        <v>Hawkeye Community College</v>
      </c>
      <c r="B934" s="18" t="s">
        <v>49</v>
      </c>
      <c r="C934" s="18" t="s">
        <v>211</v>
      </c>
      <c r="D934" s="18" t="s">
        <v>1408</v>
      </c>
      <c r="E934" s="18" t="s">
        <v>36</v>
      </c>
      <c r="F934" s="18" t="s">
        <v>36</v>
      </c>
      <c r="J934" s="19"/>
      <c r="K934" s="19">
        <v>0.2596</v>
      </c>
      <c r="L934" s="19">
        <v>0.223443223</v>
      </c>
      <c r="M934" s="19">
        <v>0.27789999999999998</v>
      </c>
      <c r="N934" s="19">
        <v>7.6899999999999996E-2</v>
      </c>
      <c r="O934" s="19">
        <v>0.27500000000000002</v>
      </c>
      <c r="P934" s="19">
        <v>0.28570000000000001</v>
      </c>
      <c r="Q934" s="19">
        <v>7.0372031000000002E-2</v>
      </c>
      <c r="R934" s="20">
        <v>18421</v>
      </c>
      <c r="S934" s="21" t="str">
        <f>HYPERLINK("https://www.hawkeyecollege.edu/financial-aid/net-price-calculator.aspx", "$13359")</f>
        <v>$13359</v>
      </c>
      <c r="T934" s="20">
        <v>15483</v>
      </c>
      <c r="U934" s="20">
        <v>17714</v>
      </c>
      <c r="V934" s="20">
        <v>4615</v>
      </c>
      <c r="W934" s="20">
        <v>8744.2816901408441</v>
      </c>
      <c r="Y934" s="19">
        <v>0.29120000000000001</v>
      </c>
      <c r="Z934" s="19">
        <v>0.20319999999999999</v>
      </c>
      <c r="AB934" s="18">
        <v>3499</v>
      </c>
      <c r="AC934" s="18">
        <v>6</v>
      </c>
    </row>
    <row r="935" spans="1:29" ht="15.75" customHeight="1" x14ac:dyDescent="0.2">
      <c r="A935" s="36" t="str">
        <f>HYPERLINK("https://www.heartland.edu", "Heartland Community College")</f>
        <v>Heartland Community College</v>
      </c>
      <c r="B935" s="18" t="s">
        <v>49</v>
      </c>
      <c r="C935" s="18" t="s">
        <v>137</v>
      </c>
      <c r="D935" s="18" t="s">
        <v>383</v>
      </c>
      <c r="E935" s="18" t="s">
        <v>36</v>
      </c>
      <c r="F935" s="18" t="s">
        <v>36</v>
      </c>
      <c r="J935" s="19"/>
      <c r="K935" s="19">
        <v>0.29310000000000003</v>
      </c>
      <c r="L935" s="19">
        <v>0.18740849200000001</v>
      </c>
      <c r="M935" s="19">
        <v>0.34160000000000001</v>
      </c>
      <c r="N935" s="19">
        <v>0.1404</v>
      </c>
      <c r="O935" s="19">
        <v>0.1923</v>
      </c>
      <c r="P935" s="19">
        <v>0.44440000000000002</v>
      </c>
      <c r="Q935" s="19">
        <v>9.7472924000000002E-2</v>
      </c>
      <c r="R935" s="20">
        <v>24100</v>
      </c>
      <c r="S935" s="21" t="str">
        <f>HYPERLINK("https://www.heartland.edu/payingForCollege/cost/netPriceCalculator.html", "$19872")</f>
        <v>$19872</v>
      </c>
      <c r="T935" s="20">
        <v>22514</v>
      </c>
      <c r="U935" s="20">
        <v>23881</v>
      </c>
      <c r="V935" s="20">
        <v>2690</v>
      </c>
      <c r="W935" s="20">
        <v>17182.005813953489</v>
      </c>
      <c r="Y935" s="19">
        <v>0.29099999999999998</v>
      </c>
      <c r="Z935" s="19">
        <v>0.29430000000000001</v>
      </c>
      <c r="AB935" s="18">
        <v>3677</v>
      </c>
      <c r="AC935" s="18">
        <v>6</v>
      </c>
    </row>
    <row r="936" spans="1:29" ht="15.75" customHeight="1" x14ac:dyDescent="0.2">
      <c r="A936" s="36" t="str">
        <f>HYPERLINK("https://www.heidelberg.edu", "Heidelberg University")</f>
        <v>Heidelberg University</v>
      </c>
      <c r="B936" s="18" t="s">
        <v>32</v>
      </c>
      <c r="C936" s="18" t="s">
        <v>75</v>
      </c>
      <c r="D936" s="18" t="s">
        <v>819</v>
      </c>
      <c r="E936" s="18">
        <v>1088</v>
      </c>
      <c r="F936" s="18" t="s">
        <v>35</v>
      </c>
      <c r="J936" s="19"/>
      <c r="K936" s="19">
        <v>0.49120000000000003</v>
      </c>
      <c r="L936" s="19">
        <v>0.27678571400000002</v>
      </c>
      <c r="M936" s="19">
        <v>0.56040000000000001</v>
      </c>
      <c r="N936" s="19">
        <v>0.2</v>
      </c>
      <c r="O936" s="19">
        <v>0.5</v>
      </c>
      <c r="P936" s="19">
        <v>1</v>
      </c>
      <c r="Q936" s="19"/>
      <c r="R936" s="20">
        <v>43400</v>
      </c>
      <c r="S936" s="21" t="str">
        <f>HYPERLINK("https://heidelberg.studentaidcalculator.com/survey.aspx", "$19973")</f>
        <v>$19973</v>
      </c>
      <c r="T936" s="20">
        <v>21873</v>
      </c>
      <c r="U936" s="20">
        <v>24669</v>
      </c>
      <c r="V936" s="20">
        <v>3000</v>
      </c>
      <c r="W936" s="20">
        <v>16973</v>
      </c>
      <c r="Y936" s="19">
        <v>0.4078</v>
      </c>
      <c r="Z936" s="19">
        <v>0.21829999999999999</v>
      </c>
      <c r="AB936" s="18">
        <v>1049</v>
      </c>
      <c r="AC936" s="18">
        <v>4</v>
      </c>
    </row>
    <row r="937" spans="1:29" ht="15.75" customHeight="1" x14ac:dyDescent="0.2">
      <c r="A937" s="36" t="str">
        <f>HYPERLINK("https://www.helenacollege.edu", "Helena College University of Montana")</f>
        <v>Helena College University of Montana</v>
      </c>
      <c r="B937" s="18" t="s">
        <v>49</v>
      </c>
      <c r="C937" s="18" t="s">
        <v>421</v>
      </c>
      <c r="D937" s="18" t="s">
        <v>619</v>
      </c>
      <c r="E937" s="18" t="s">
        <v>36</v>
      </c>
      <c r="F937" s="18" t="s">
        <v>36</v>
      </c>
      <c r="J937" s="19"/>
      <c r="K937" s="19">
        <v>0.25979999999999998</v>
      </c>
      <c r="L937" s="19">
        <v>0.23867069499999999</v>
      </c>
      <c r="M937" s="19">
        <v>0.2737</v>
      </c>
      <c r="N937" s="19">
        <v>0.5</v>
      </c>
      <c r="O937" s="19">
        <v>0.25</v>
      </c>
      <c r="P937" s="19" t="s">
        <v>36</v>
      </c>
      <c r="Q937" s="19">
        <v>6.9158879000000006E-2</v>
      </c>
      <c r="R937" s="20">
        <v>22712</v>
      </c>
      <c r="S937" s="21" t="str">
        <f>HYPERLINK("https://www.umhelena.edu/netpricecalculator/npcalc.htm", "$19004")</f>
        <v>$19004</v>
      </c>
      <c r="T937" s="20">
        <v>20857</v>
      </c>
      <c r="U937" s="20">
        <v>22380</v>
      </c>
      <c r="V937" s="20">
        <v>7259</v>
      </c>
      <c r="W937" s="20">
        <v>11745.857142857139</v>
      </c>
      <c r="Y937" s="19">
        <v>0.33939999999999998</v>
      </c>
      <c r="Z937" s="19">
        <v>0.10630000000000001</v>
      </c>
      <c r="AB937" s="18">
        <v>903</v>
      </c>
      <c r="AC937" s="18">
        <v>6</v>
      </c>
    </row>
    <row r="938" spans="1:29" ht="15.75" customHeight="1" x14ac:dyDescent="0.2">
      <c r="A938" s="36" t="str">
        <f>HYPERLINK("https://www.helenefuld.edu", "Helene Fuld College of Nursing")</f>
        <v>Helene Fuld College of Nursing</v>
      </c>
      <c r="B938" s="18" t="s">
        <v>32</v>
      </c>
      <c r="C938" s="18" t="s">
        <v>38</v>
      </c>
      <c r="D938" s="18" t="s">
        <v>39</v>
      </c>
      <c r="E938" s="18" t="s">
        <v>36</v>
      </c>
      <c r="F938" s="18" t="s">
        <v>36</v>
      </c>
      <c r="J938" s="19"/>
      <c r="K938" s="19" t="s">
        <v>36</v>
      </c>
      <c r="L938" s="19" t="s">
        <v>36</v>
      </c>
      <c r="M938" s="19" t="s">
        <v>36</v>
      </c>
      <c r="N938" s="19" t="s">
        <v>36</v>
      </c>
      <c r="O938" s="19" t="s">
        <v>36</v>
      </c>
      <c r="P938" s="19" t="s">
        <v>36</v>
      </c>
      <c r="Q938" s="19" t="s">
        <v>36</v>
      </c>
      <c r="R938" s="20" t="s">
        <v>36</v>
      </c>
      <c r="S938" s="21" t="str">
        <f>HYPERLINK("https://www.helenefuld.edu/Net_price/AAS/", "Not reported")</f>
        <v>Not reported</v>
      </c>
      <c r="T938" s="20" t="s">
        <v>36</v>
      </c>
      <c r="U938" s="20" t="s">
        <v>36</v>
      </c>
      <c r="V938" s="20" t="s">
        <v>36</v>
      </c>
      <c r="W938" s="20" t="s">
        <v>36</v>
      </c>
      <c r="Y938" s="19">
        <v>0.34939999999999999</v>
      </c>
      <c r="Z938" s="19">
        <v>0.92920000000000003</v>
      </c>
      <c r="AB938" s="18">
        <v>480</v>
      </c>
      <c r="AC938" s="18">
        <v>6</v>
      </c>
    </row>
    <row r="939" spans="1:29" ht="15.75" customHeight="1" x14ac:dyDescent="0.2">
      <c r="A939" s="36" t="str">
        <f>HYPERLINK("https://www.hsu.edu", "Henderson State University")</f>
        <v>Henderson State University</v>
      </c>
      <c r="B939" s="18" t="s">
        <v>49</v>
      </c>
      <c r="C939" s="18" t="s">
        <v>371</v>
      </c>
      <c r="D939" s="18" t="s">
        <v>440</v>
      </c>
      <c r="E939" s="18">
        <v>1102</v>
      </c>
      <c r="F939" s="18" t="s">
        <v>35</v>
      </c>
      <c r="J939" s="19"/>
      <c r="K939" s="19">
        <v>0.33250000000000002</v>
      </c>
      <c r="L939" s="19">
        <v>0.24675324700000001</v>
      </c>
      <c r="M939" s="19">
        <v>0.3821</v>
      </c>
      <c r="N939" s="19">
        <v>0.23749999999999999</v>
      </c>
      <c r="O939" s="19">
        <v>0.6</v>
      </c>
      <c r="P939" s="19">
        <v>0.6</v>
      </c>
      <c r="Q939" s="19"/>
      <c r="R939" s="20">
        <v>22480</v>
      </c>
      <c r="S939" s="21" t="str">
        <f>HYPERLINK("https://www.hsu.edu/net-price-calculator/", "$16577")</f>
        <v>$16577</v>
      </c>
      <c r="T939" s="20">
        <v>19237</v>
      </c>
      <c r="U939" s="20">
        <v>17444</v>
      </c>
      <c r="V939" s="20">
        <v>5300</v>
      </c>
      <c r="W939" s="20">
        <v>11277.8</v>
      </c>
      <c r="Y939" s="19">
        <v>0.46899999999999997</v>
      </c>
      <c r="Z939" s="19">
        <v>0.3397</v>
      </c>
      <c r="AB939" s="18">
        <v>2829</v>
      </c>
      <c r="AC939" s="18">
        <v>4</v>
      </c>
    </row>
    <row r="940" spans="1:29" ht="15.75" customHeight="1" x14ac:dyDescent="0.2">
      <c r="A940" s="36" t="str">
        <f>HYPERLINK("https://www.hendrix.edu", "Hendrix College")</f>
        <v>Hendrix College</v>
      </c>
      <c r="B940" s="18" t="s">
        <v>32</v>
      </c>
      <c r="C940" s="18" t="s">
        <v>371</v>
      </c>
      <c r="D940" s="18" t="s">
        <v>372</v>
      </c>
      <c r="E940" s="18">
        <v>1295</v>
      </c>
      <c r="F940" s="18" t="s">
        <v>35</v>
      </c>
      <c r="J940" s="19"/>
      <c r="K940" s="19">
        <v>0.74529999999999996</v>
      </c>
      <c r="L940" s="19">
        <v>0.47727272700000001</v>
      </c>
      <c r="M940" s="19">
        <v>0.75960000000000005</v>
      </c>
      <c r="N940" s="19">
        <v>0.45450000000000002</v>
      </c>
      <c r="O940" s="19">
        <v>0.73080000000000001</v>
      </c>
      <c r="P940" s="19">
        <v>1</v>
      </c>
      <c r="Q940" s="19"/>
      <c r="R940" s="20">
        <v>60096</v>
      </c>
      <c r="S940" s="21" t="str">
        <f>HYPERLINK("https://www.hendrix.edu/Admission/PriceCalculator/", "$16242")</f>
        <v>$16242</v>
      </c>
      <c r="T940" s="20">
        <v>18645</v>
      </c>
      <c r="U940" s="20">
        <v>22802</v>
      </c>
      <c r="V940" s="20">
        <v>4100</v>
      </c>
      <c r="W940" s="20">
        <v>12142</v>
      </c>
      <c r="Y940" s="19">
        <v>0.23269999999999999</v>
      </c>
      <c r="Z940" s="19">
        <v>0.29759999999999998</v>
      </c>
      <c r="AB940" s="18">
        <v>1233</v>
      </c>
      <c r="AC940" s="18">
        <v>3</v>
      </c>
    </row>
    <row r="941" spans="1:29" ht="15.75" customHeight="1" x14ac:dyDescent="0.2">
      <c r="A941" s="36" t="str">
        <f>HYPERLINK("https://www.hfcc.edu", "Henry Ford College")</f>
        <v>Henry Ford College</v>
      </c>
      <c r="B941" s="18" t="s">
        <v>49</v>
      </c>
      <c r="C941" s="18" t="s">
        <v>226</v>
      </c>
      <c r="D941" s="18" t="s">
        <v>513</v>
      </c>
      <c r="E941" s="18" t="s">
        <v>36</v>
      </c>
      <c r="F941" s="18" t="s">
        <v>36</v>
      </c>
      <c r="J941" s="19"/>
      <c r="K941" s="19">
        <v>7.2000000000000008E-2</v>
      </c>
      <c r="L941" s="19">
        <v>8.6435920999999999E-2</v>
      </c>
      <c r="M941" s="19">
        <v>0.1298</v>
      </c>
      <c r="N941" s="19">
        <v>2.3900000000000001E-2</v>
      </c>
      <c r="O941" s="19">
        <v>2.0400000000000001E-2</v>
      </c>
      <c r="P941" s="19">
        <v>0.16669999999999999</v>
      </c>
      <c r="Q941" s="19">
        <v>6.3522618000000003E-2</v>
      </c>
      <c r="R941" s="20">
        <v>18286</v>
      </c>
      <c r="S941" s="21" t="str">
        <f>HYPERLINK("https://www.hfcc.edu/files/netprice/npcalc.htm", "$12343")</f>
        <v>$12343</v>
      </c>
      <c r="T941" s="20">
        <v>15080</v>
      </c>
      <c r="U941" s="20">
        <v>17078</v>
      </c>
      <c r="V941" s="20">
        <v>3059</v>
      </c>
      <c r="W941" s="20">
        <v>9284.267403314916</v>
      </c>
      <c r="Y941" s="19">
        <v>0.4718</v>
      </c>
      <c r="Z941" s="19">
        <v>0.45739999999999997</v>
      </c>
      <c r="AB941" s="18">
        <v>10935</v>
      </c>
      <c r="AC941" s="18">
        <v>6</v>
      </c>
    </row>
    <row r="942" spans="1:29" ht="15.75" customHeight="1" x14ac:dyDescent="0.2">
      <c r="A942" s="36" t="str">
        <f>HYPERLINK("https://www.herkimer.edu/", "SUNY Herkimer County Community College")</f>
        <v>SUNY Herkimer County Community College</v>
      </c>
      <c r="B942" s="18" t="s">
        <v>49</v>
      </c>
      <c r="C942" s="18" t="s">
        <v>38</v>
      </c>
      <c r="D942" s="18" t="s">
        <v>1411</v>
      </c>
      <c r="E942" s="18" t="s">
        <v>36</v>
      </c>
      <c r="F942" s="18" t="s">
        <v>36</v>
      </c>
      <c r="J942" s="19"/>
      <c r="K942" s="19">
        <v>0.3448</v>
      </c>
      <c r="L942" s="19">
        <v>0.19924812</v>
      </c>
      <c r="M942" s="19">
        <v>0.3775</v>
      </c>
      <c r="N942" s="19">
        <v>0.125</v>
      </c>
      <c r="O942" s="19">
        <v>0.375</v>
      </c>
      <c r="P942" s="19">
        <v>0.57140000000000002</v>
      </c>
      <c r="Q942" s="19">
        <v>6.9480520000000004E-2</v>
      </c>
      <c r="R942" s="20">
        <v>17600</v>
      </c>
      <c r="S942" s="21" t="str">
        <f>HYPERLINK("https://www.suny.edu/howmuch/netpricecalculator.xhtml?id=50&amp;embed=N&amp;headerUrl=www.herkimer.edu/site/images/npc-banner.png&amp;cssUrl=www.herkimer.ed", "$6528")</f>
        <v>$6528</v>
      </c>
      <c r="T942" s="20">
        <v>11667</v>
      </c>
      <c r="U942" s="20">
        <v>13830</v>
      </c>
      <c r="V942" s="20">
        <v>2750</v>
      </c>
      <c r="W942" s="20">
        <v>3778</v>
      </c>
      <c r="Y942" s="19">
        <v>0.4718</v>
      </c>
      <c r="Z942" s="19">
        <v>0.41349999999999998</v>
      </c>
      <c r="AB942" s="18">
        <v>1959</v>
      </c>
      <c r="AC942" s="18">
        <v>6</v>
      </c>
    </row>
    <row r="943" spans="1:29" ht="15.75" customHeight="1" x14ac:dyDescent="0.2">
      <c r="A943" s="36" t="str">
        <f>HYPERLINK("https://www.herzing.edu", "Akron Institute of Herzing University")</f>
        <v>Akron Institute of Herzing University</v>
      </c>
      <c r="B943" s="18" t="s">
        <v>32</v>
      </c>
      <c r="C943" s="18" t="s">
        <v>75</v>
      </c>
      <c r="D943" s="18" t="s">
        <v>882</v>
      </c>
      <c r="E943" s="18" t="s">
        <v>36</v>
      </c>
      <c r="F943" s="18" t="s">
        <v>90</v>
      </c>
      <c r="J943" s="19"/>
      <c r="K943" s="19">
        <v>0.14580000000000001</v>
      </c>
      <c r="L943" s="19">
        <v>0.21912832900000001</v>
      </c>
      <c r="M943" s="19">
        <v>0.20930000000000001</v>
      </c>
      <c r="N943" s="19">
        <v>9.7600000000000006E-2</v>
      </c>
      <c r="O943" s="19">
        <v>0</v>
      </c>
      <c r="P943" s="19" t="s">
        <v>36</v>
      </c>
      <c r="Q943" s="19">
        <v>5.3383963E-2</v>
      </c>
      <c r="R943" s="20">
        <v>29195</v>
      </c>
      <c r="S943" s="21" t="str">
        <f>HYPERLINK("https://www.herzing.edu/tuition-financial-aid/net-price-calculator", "$22449")</f>
        <v>$22449</v>
      </c>
      <c r="T943" s="20">
        <v>26494</v>
      </c>
      <c r="U943" s="20" t="s">
        <v>36</v>
      </c>
      <c r="V943" s="20">
        <v>5526</v>
      </c>
      <c r="W943" s="20">
        <v>16923</v>
      </c>
      <c r="Y943" s="19">
        <v>0.85950000000000004</v>
      </c>
      <c r="Z943" s="19">
        <v>0.55380000000000007</v>
      </c>
      <c r="AB943" s="18">
        <v>493</v>
      </c>
      <c r="AC943" s="18">
        <v>6</v>
      </c>
    </row>
    <row r="944" spans="1:29" ht="15.75" customHeight="1" x14ac:dyDescent="0.2">
      <c r="A944" s="36" t="str">
        <f>HYPERLINK("https://www.herzing.edu", "Herzing University-Kenner")</f>
        <v>Herzing University-Kenner</v>
      </c>
      <c r="B944" s="18" t="s">
        <v>32</v>
      </c>
      <c r="C944" s="18" t="s">
        <v>158</v>
      </c>
      <c r="D944" s="18" t="s">
        <v>1414</v>
      </c>
      <c r="E944" s="18" t="s">
        <v>36</v>
      </c>
      <c r="F944" s="18" t="s">
        <v>90</v>
      </c>
      <c r="J944" s="19"/>
      <c r="K944" s="19">
        <v>0.25</v>
      </c>
      <c r="L944" s="19">
        <v>0.21912832900000001</v>
      </c>
      <c r="M944" s="19">
        <v>0.4375</v>
      </c>
      <c r="N944" s="19">
        <v>0.186</v>
      </c>
      <c r="O944" s="19">
        <v>0</v>
      </c>
      <c r="P944" s="19">
        <v>1</v>
      </c>
      <c r="Q944" s="19">
        <v>5.3383963E-2</v>
      </c>
      <c r="R944" s="20">
        <v>29195</v>
      </c>
      <c r="S944" s="21" t="str">
        <f>HYPERLINK("https://www.herzing.edu/tuition-financial-aid/net-price-calculator", "$24422")</f>
        <v>$24422</v>
      </c>
      <c r="T944" s="20">
        <v>26019</v>
      </c>
      <c r="U944" s="20" t="s">
        <v>36</v>
      </c>
      <c r="V944" s="20">
        <v>5526</v>
      </c>
      <c r="W944" s="20">
        <v>18896</v>
      </c>
      <c r="Y944" s="19">
        <v>0.85619999999999996</v>
      </c>
      <c r="Z944" s="19">
        <v>0.73870000000000002</v>
      </c>
      <c r="AB944" s="18">
        <v>398</v>
      </c>
      <c r="AC944" s="18">
        <v>6</v>
      </c>
    </row>
    <row r="945" spans="1:29" ht="15.75" customHeight="1" x14ac:dyDescent="0.2">
      <c r="A945" s="36" t="str">
        <f>HYPERLINK("https://www.Herzing.edu", "Herzing University-Madison")</f>
        <v>Herzing University-Madison</v>
      </c>
      <c r="B945" s="18" t="s">
        <v>32</v>
      </c>
      <c r="C945" s="18" t="s">
        <v>196</v>
      </c>
      <c r="D945" s="18" t="s">
        <v>295</v>
      </c>
      <c r="E945" s="18" t="s">
        <v>36</v>
      </c>
      <c r="F945" s="18" t="s">
        <v>90</v>
      </c>
      <c r="J945" s="19"/>
      <c r="K945" s="19">
        <v>0.22750000000000001</v>
      </c>
      <c r="L945" s="19">
        <v>0.21912832900000001</v>
      </c>
      <c r="M945" s="19">
        <v>0.23580000000000001</v>
      </c>
      <c r="N945" s="19">
        <v>0.1628</v>
      </c>
      <c r="O945" s="19">
        <v>0.25</v>
      </c>
      <c r="P945" s="19">
        <v>0</v>
      </c>
      <c r="Q945" s="19">
        <v>5.3383963E-2</v>
      </c>
      <c r="R945" s="20">
        <v>29195</v>
      </c>
      <c r="S945" s="21" t="str">
        <f>HYPERLINK("https://www.herzing.edu/tuition-financial-aid/net-price-calculator", "$23189")</f>
        <v>$23189</v>
      </c>
      <c r="T945" s="20">
        <v>22574</v>
      </c>
      <c r="U945" s="20">
        <v>27610</v>
      </c>
      <c r="V945" s="20">
        <v>5526</v>
      </c>
      <c r="W945" s="20">
        <v>17663</v>
      </c>
      <c r="Y945" s="19">
        <v>0.73240000000000005</v>
      </c>
      <c r="Z945" s="19">
        <v>0.52</v>
      </c>
      <c r="AB945" s="18">
        <v>1727</v>
      </c>
      <c r="AC945" s="18">
        <v>6</v>
      </c>
    </row>
    <row r="946" spans="1:29" ht="15.75" customHeight="1" x14ac:dyDescent="0.2">
      <c r="A946" s="36" t="str">
        <f>HYPERLINK("https://www.herzing.edu", "Herzing University-Minneapolis")</f>
        <v>Herzing University-Minneapolis</v>
      </c>
      <c r="B946" s="18" t="s">
        <v>32</v>
      </c>
      <c r="C946" s="18" t="s">
        <v>72</v>
      </c>
      <c r="D946" s="18" t="s">
        <v>1416</v>
      </c>
      <c r="E946" s="18" t="s">
        <v>36</v>
      </c>
      <c r="F946" s="18" t="s">
        <v>90</v>
      </c>
      <c r="J946" s="19"/>
      <c r="K946" s="19">
        <v>0.875</v>
      </c>
      <c r="L946" s="19">
        <v>0.21912832900000001</v>
      </c>
      <c r="M946" s="19">
        <v>1</v>
      </c>
      <c r="N946" s="19">
        <v>0.66669999999999996</v>
      </c>
      <c r="O946" s="19" t="s">
        <v>36</v>
      </c>
      <c r="P946" s="19">
        <v>0.66669999999999996</v>
      </c>
      <c r="Q946" s="19">
        <v>5.3383963E-2</v>
      </c>
      <c r="R946" s="20">
        <v>29195</v>
      </c>
      <c r="S946" s="21" t="str">
        <f>HYPERLINK("https://www.herzing.edu/tuition-financial-aid/net-price-calculator", "$17954")</f>
        <v>$17954</v>
      </c>
      <c r="T946" s="20">
        <v>16512</v>
      </c>
      <c r="U946" s="20">
        <v>24581</v>
      </c>
      <c r="V946" s="20">
        <v>5526</v>
      </c>
      <c r="W946" s="20">
        <v>12428</v>
      </c>
      <c r="Y946" s="19">
        <v>0.60650000000000004</v>
      </c>
      <c r="Z946" s="19">
        <v>0.47039999999999998</v>
      </c>
      <c r="AB946" s="18">
        <v>372</v>
      </c>
      <c r="AC946" s="18">
        <v>6</v>
      </c>
    </row>
    <row r="947" spans="1:29" ht="15.75" customHeight="1" x14ac:dyDescent="0.2">
      <c r="A947" s="36" t="str">
        <f>HYPERLINK("https://www.herzing.edu/", "Herzing University-Toledo")</f>
        <v>Herzing University-Toledo</v>
      </c>
      <c r="B947" s="18" t="s">
        <v>32</v>
      </c>
      <c r="C947" s="18" t="s">
        <v>75</v>
      </c>
      <c r="D947" s="18" t="s">
        <v>1256</v>
      </c>
      <c r="E947" s="18" t="s">
        <v>36</v>
      </c>
      <c r="F947" s="18" t="s">
        <v>90</v>
      </c>
      <c r="J947" s="19"/>
      <c r="K947" s="19">
        <v>8.3299999999999999E-2</v>
      </c>
      <c r="L947" s="19">
        <v>0.21912832900000001</v>
      </c>
      <c r="M947" s="19">
        <v>0.15379999999999999</v>
      </c>
      <c r="N947" s="19">
        <v>0.05</v>
      </c>
      <c r="O947" s="19">
        <v>0</v>
      </c>
      <c r="P947" s="19">
        <v>0</v>
      </c>
      <c r="Q947" s="19">
        <v>5.3383963E-2</v>
      </c>
      <c r="R947" s="20">
        <v>29195</v>
      </c>
      <c r="S947" s="21" t="str">
        <f>HYPERLINK("https://www.herzing.edu/tuition-financial-aid/net-price-calculator", "$20427")</f>
        <v>$20427</v>
      </c>
      <c r="T947" s="20" t="s">
        <v>36</v>
      </c>
      <c r="U947" s="20" t="s">
        <v>36</v>
      </c>
      <c r="V947" s="20">
        <v>5526</v>
      </c>
      <c r="W947" s="20">
        <v>14901</v>
      </c>
      <c r="Y947" s="19">
        <v>0.87619999999999998</v>
      </c>
      <c r="Z947" s="19">
        <v>0.62440000000000007</v>
      </c>
      <c r="AB947" s="18">
        <v>213</v>
      </c>
      <c r="AC947" s="18">
        <v>6</v>
      </c>
    </row>
    <row r="948" spans="1:29" ht="15.75" customHeight="1" x14ac:dyDescent="0.2">
      <c r="A948" s="36" t="str">
        <f>HYPERLINK("https://www.herzing.edu", "Herzing University-Winter Park")</f>
        <v>Herzing University-Winter Park</v>
      </c>
      <c r="B948" s="18" t="s">
        <v>32</v>
      </c>
      <c r="C948" s="18" t="s">
        <v>162</v>
      </c>
      <c r="D948" s="18" t="s">
        <v>240</v>
      </c>
      <c r="E948" s="18" t="s">
        <v>36</v>
      </c>
      <c r="F948" s="18" t="s">
        <v>90</v>
      </c>
      <c r="J948" s="19"/>
      <c r="K948" s="19">
        <v>0.29170000000000001</v>
      </c>
      <c r="L948" s="19">
        <v>0.21912832900000001</v>
      </c>
      <c r="M948" s="19">
        <v>0.4</v>
      </c>
      <c r="N948" s="19">
        <v>0.2</v>
      </c>
      <c r="O948" s="19">
        <v>0.25</v>
      </c>
      <c r="P948" s="19" t="s">
        <v>36</v>
      </c>
      <c r="Q948" s="19">
        <v>5.3383963E-2</v>
      </c>
      <c r="R948" s="20">
        <v>29195</v>
      </c>
      <c r="S948" s="21" t="str">
        <f>HYPERLINK("https://www.herzing.edu/tuition-financial-aid/net-price-calculator", "$21196")</f>
        <v>$21196</v>
      </c>
      <c r="T948" s="20">
        <v>18551</v>
      </c>
      <c r="U948" s="20" t="s">
        <v>36</v>
      </c>
      <c r="V948" s="20">
        <v>5526</v>
      </c>
      <c r="W948" s="20">
        <v>15670</v>
      </c>
      <c r="Y948" s="19">
        <v>0.65200000000000002</v>
      </c>
      <c r="Z948" s="19">
        <v>0.70750000000000002</v>
      </c>
      <c r="AB948" s="18">
        <v>506</v>
      </c>
      <c r="AC948" s="18">
        <v>6</v>
      </c>
    </row>
    <row r="949" spans="1:29" ht="15.75" customHeight="1" x14ac:dyDescent="0.2">
      <c r="A949" s="36" t="str">
        <f>HYPERLINK("https://www.hesston.edu", "Hesston College")</f>
        <v>Hesston College</v>
      </c>
      <c r="B949" s="18" t="s">
        <v>32</v>
      </c>
      <c r="C949" s="18" t="s">
        <v>307</v>
      </c>
      <c r="D949" s="18" t="s">
        <v>1419</v>
      </c>
      <c r="E949" s="18" t="s">
        <v>36</v>
      </c>
      <c r="F949" s="18" t="s">
        <v>36</v>
      </c>
      <c r="J949" s="19"/>
      <c r="K949" s="19">
        <v>0.54869999999999997</v>
      </c>
      <c r="L949" s="19">
        <v>0.517241379</v>
      </c>
      <c r="M949" s="19">
        <v>0.61539999999999995</v>
      </c>
      <c r="N949" s="19">
        <v>0.35709999999999997</v>
      </c>
      <c r="O949" s="19">
        <v>0.1</v>
      </c>
      <c r="P949" s="19">
        <v>0</v>
      </c>
      <c r="Q949" s="19">
        <v>0.10144927500000001</v>
      </c>
      <c r="R949" s="20">
        <v>39096</v>
      </c>
      <c r="S949" s="21" t="str">
        <f>HYPERLINK("https://www.hesston.edu/forms/NetPriceCalculator/npcalc.htm", "$17766")</f>
        <v>$17766</v>
      </c>
      <c r="T949" s="20">
        <v>18555</v>
      </c>
      <c r="U949" s="20">
        <v>19543</v>
      </c>
      <c r="V949" s="20">
        <v>4200</v>
      </c>
      <c r="W949" s="20">
        <v>13566</v>
      </c>
      <c r="Y949" s="19">
        <v>0.3856</v>
      </c>
      <c r="Z949" s="19">
        <v>0.3417</v>
      </c>
      <c r="AB949" s="18">
        <v>439</v>
      </c>
      <c r="AC949" s="18">
        <v>6</v>
      </c>
    </row>
    <row r="950" spans="1:29" ht="15.75" customHeight="1" x14ac:dyDescent="0.2">
      <c r="A950" s="36" t="str">
        <f>HYPERLINK("https://www.hibbing.edu", "Hibbing Community College")</f>
        <v>Hibbing Community College</v>
      </c>
      <c r="B950" s="18" t="s">
        <v>49</v>
      </c>
      <c r="C950" s="18" t="s">
        <v>72</v>
      </c>
      <c r="D950" s="18" t="s">
        <v>1420</v>
      </c>
      <c r="E950" s="18" t="s">
        <v>36</v>
      </c>
      <c r="F950" s="18" t="s">
        <v>36</v>
      </c>
      <c r="J950" s="19"/>
      <c r="K950" s="19">
        <v>0.40500000000000003</v>
      </c>
      <c r="L950" s="19">
        <v>0.296385542</v>
      </c>
      <c r="M950" s="19">
        <v>0.4335</v>
      </c>
      <c r="N950" s="19">
        <v>0.4</v>
      </c>
      <c r="O950" s="19">
        <v>0</v>
      </c>
      <c r="P950" s="19">
        <v>0</v>
      </c>
      <c r="Q950" s="19">
        <v>3.9647577000000003E-2</v>
      </c>
      <c r="R950" s="20">
        <v>17891</v>
      </c>
      <c r="S950" s="21" t="str">
        <f>HYPERLINK("https://www.minnstate.edu/admissions/calculator/hibbing.html", "$11268")</f>
        <v>$11268</v>
      </c>
      <c r="T950" s="20">
        <v>14233</v>
      </c>
      <c r="U950" s="20">
        <v>16089</v>
      </c>
      <c r="V950" s="20">
        <v>5325</v>
      </c>
      <c r="W950" s="20">
        <v>5943.875</v>
      </c>
      <c r="Y950" s="19">
        <v>0.42759999999999998</v>
      </c>
      <c r="Z950" s="19">
        <v>0.17810000000000001</v>
      </c>
      <c r="AB950" s="18">
        <v>893</v>
      </c>
      <c r="AC950" s="18">
        <v>6</v>
      </c>
    </row>
    <row r="951" spans="1:29" ht="15.75" customHeight="1" x14ac:dyDescent="0.2">
      <c r="A951" s="36" t="str">
        <f>HYPERLINK("https://www.hickeycollege.edu", "Hickey College")</f>
        <v>Hickey College</v>
      </c>
      <c r="B951" s="18" t="s">
        <v>368</v>
      </c>
      <c r="C951" s="18" t="s">
        <v>164</v>
      </c>
      <c r="D951" s="18" t="s">
        <v>179</v>
      </c>
      <c r="E951" s="18" t="s">
        <v>36</v>
      </c>
      <c r="F951" s="18" t="s">
        <v>90</v>
      </c>
      <c r="J951" s="19"/>
      <c r="K951" s="19">
        <v>0.80469999999999997</v>
      </c>
      <c r="L951" s="19">
        <v>0.6</v>
      </c>
      <c r="M951" s="19">
        <v>0.80579999999999996</v>
      </c>
      <c r="N951" s="19">
        <v>0.78259999999999996</v>
      </c>
      <c r="O951" s="19">
        <v>1</v>
      </c>
      <c r="P951" s="19">
        <v>1</v>
      </c>
      <c r="Q951" s="19">
        <v>4.9079755000000003E-2</v>
      </c>
      <c r="R951" s="20">
        <v>25356</v>
      </c>
      <c r="S951" s="21" t="str">
        <f>HYPERLINK("https://www.hickeycollege.edu/aid", "$15717")</f>
        <v>$15717</v>
      </c>
      <c r="T951" s="20">
        <v>18811</v>
      </c>
      <c r="U951" s="20">
        <v>21081</v>
      </c>
      <c r="V951" s="20">
        <v>3076</v>
      </c>
      <c r="W951" s="20">
        <v>12641</v>
      </c>
      <c r="Y951" s="19">
        <v>0.65710000000000002</v>
      </c>
      <c r="Z951" s="19">
        <v>0.248</v>
      </c>
      <c r="AB951" s="18">
        <v>246</v>
      </c>
      <c r="AC951" s="18">
        <v>6</v>
      </c>
    </row>
    <row r="952" spans="1:29" ht="15.75" customHeight="1" x14ac:dyDescent="0.2">
      <c r="A952" s="36" t="str">
        <f>HYPERLINK("https://www.highpoint.edu", "High Point University")</f>
        <v>High Point University</v>
      </c>
      <c r="B952" s="18" t="s">
        <v>32</v>
      </c>
      <c r="C952" s="18" t="s">
        <v>103</v>
      </c>
      <c r="D952" s="18" t="s">
        <v>821</v>
      </c>
      <c r="E952" s="18">
        <v>1161</v>
      </c>
      <c r="F952" s="18" t="s">
        <v>115</v>
      </c>
      <c r="J952" s="19"/>
      <c r="K952" s="19">
        <v>0.63400000000000001</v>
      </c>
      <c r="L952" s="19">
        <v>0.37419354799999999</v>
      </c>
      <c r="M952" s="19">
        <v>0.64229999999999998</v>
      </c>
      <c r="N952" s="19">
        <v>0.58330000000000004</v>
      </c>
      <c r="O952" s="19">
        <v>0.64</v>
      </c>
      <c r="P952" s="19">
        <v>0.4375</v>
      </c>
      <c r="Q952" s="19"/>
      <c r="R952" s="20">
        <v>51105</v>
      </c>
      <c r="S952" s="21" t="str">
        <f>HYPERLINK("https://www.highpoint.edu/admissions/net-price-calculator/", "$34299")</f>
        <v>$34299</v>
      </c>
      <c r="T952" s="20">
        <v>35169</v>
      </c>
      <c r="U952" s="20">
        <v>38037</v>
      </c>
      <c r="V952" s="20">
        <v>3750</v>
      </c>
      <c r="W952" s="20">
        <v>30549</v>
      </c>
      <c r="Y952" s="19">
        <v>9.6100000000000005E-2</v>
      </c>
      <c r="Z952" s="19">
        <v>0.22650000000000001</v>
      </c>
      <c r="AB952" s="18">
        <v>4407</v>
      </c>
      <c r="AC952" s="18">
        <v>4</v>
      </c>
    </row>
    <row r="953" spans="1:29" ht="15.75" customHeight="1" x14ac:dyDescent="0.2">
      <c r="A953" s="36" t="str">
        <f>HYPERLINK("https://www.mtech.edu/", "Highlands College of Montana Tech")</f>
        <v>Highlands College of Montana Tech</v>
      </c>
      <c r="B953" s="18" t="s">
        <v>49</v>
      </c>
      <c r="C953" s="18" t="s">
        <v>421</v>
      </c>
      <c r="D953" s="18" t="s">
        <v>987</v>
      </c>
      <c r="E953" s="18" t="s">
        <v>36</v>
      </c>
      <c r="F953" s="18" t="s">
        <v>36</v>
      </c>
      <c r="J953" s="19"/>
      <c r="K953" s="19">
        <v>0.2185</v>
      </c>
      <c r="L953" s="19">
        <v>0.20519480500000001</v>
      </c>
      <c r="M953" s="19">
        <v>0.2117</v>
      </c>
      <c r="N953" s="19">
        <v>0</v>
      </c>
      <c r="O953" s="19">
        <v>1</v>
      </c>
      <c r="P953" s="19">
        <v>0</v>
      </c>
      <c r="Q953" s="19">
        <v>7.2602739999999999E-2</v>
      </c>
      <c r="R953" s="20">
        <v>22773</v>
      </c>
      <c r="S953" s="21" t="str">
        <f>HYPERLINK("https://www.mtech.edu/financial-aid/", "$17304")</f>
        <v>$17304</v>
      </c>
      <c r="T953" s="20">
        <v>19594</v>
      </c>
      <c r="U953" s="20">
        <v>22773</v>
      </c>
      <c r="V953" s="20">
        <v>4510</v>
      </c>
      <c r="W953" s="20">
        <v>12794.0350877193</v>
      </c>
      <c r="Y953" s="19">
        <v>0.3115</v>
      </c>
      <c r="Z953" s="19">
        <v>0.14910000000000001</v>
      </c>
      <c r="AB953" s="18">
        <v>456</v>
      </c>
      <c r="AC953" s="18">
        <v>6</v>
      </c>
    </row>
    <row r="954" spans="1:29" ht="15.75" customHeight="1" x14ac:dyDescent="0.2">
      <c r="A954" s="36" t="str">
        <f>HYPERLINK("https://www.highline.edu", "Highline College")</f>
        <v>Highline College</v>
      </c>
      <c r="B954" s="18" t="s">
        <v>49</v>
      </c>
      <c r="C954" s="18" t="s">
        <v>184</v>
      </c>
      <c r="D954" s="18" t="s">
        <v>348</v>
      </c>
      <c r="E954" s="18" t="s">
        <v>36</v>
      </c>
      <c r="F954" s="18" t="s">
        <v>36</v>
      </c>
      <c r="J954" s="19"/>
      <c r="K954" s="19">
        <v>0.2964</v>
      </c>
      <c r="L954" s="19">
        <v>0.14781965999999999</v>
      </c>
      <c r="M954" s="19">
        <v>0.34239999999999998</v>
      </c>
      <c r="N954" s="19">
        <v>0.13109999999999999</v>
      </c>
      <c r="O954" s="19">
        <v>0.24440000000000001</v>
      </c>
      <c r="P954" s="19">
        <v>0.4355</v>
      </c>
      <c r="Q954" s="19">
        <v>9.5469256000000002E-2</v>
      </c>
      <c r="R954" s="20">
        <v>18908</v>
      </c>
      <c r="S954" s="21" t="str">
        <f>HYPERLINK("https://documents.highline.edu/financialaid/net-price-calc/16-17/npcalc.htm", "$11305")</f>
        <v>$11305</v>
      </c>
      <c r="T954" s="20">
        <v>13897</v>
      </c>
      <c r="U954" s="20">
        <v>15464</v>
      </c>
      <c r="V954" s="20">
        <v>4290</v>
      </c>
      <c r="W954" s="20">
        <v>7015.1844660194183</v>
      </c>
      <c r="Y954" s="19">
        <v>0.22189999999999999</v>
      </c>
      <c r="Z954" s="19">
        <v>0.72330000000000005</v>
      </c>
      <c r="AB954" s="18">
        <v>4860</v>
      </c>
      <c r="AC954" s="18">
        <v>6</v>
      </c>
    </row>
    <row r="955" spans="1:29" ht="15.75" customHeight="1" x14ac:dyDescent="0.2">
      <c r="A955" s="36" t="str">
        <f>HYPERLINK("https://www.hilbert.edu", "Hilbert College")</f>
        <v>Hilbert College</v>
      </c>
      <c r="B955" s="18" t="s">
        <v>32</v>
      </c>
      <c r="C955" s="18" t="s">
        <v>38</v>
      </c>
      <c r="D955" s="18" t="s">
        <v>822</v>
      </c>
      <c r="E955" s="18" t="s">
        <v>36</v>
      </c>
      <c r="F955" s="18" t="s">
        <v>45</v>
      </c>
      <c r="J955" s="19"/>
      <c r="K955" s="19">
        <v>0.50219999999999998</v>
      </c>
      <c r="L955" s="19">
        <v>0.404580153</v>
      </c>
      <c r="M955" s="19">
        <v>0.56059999999999999</v>
      </c>
      <c r="N955" s="19">
        <v>0.3095</v>
      </c>
      <c r="O955" s="19">
        <v>0.44440000000000002</v>
      </c>
      <c r="P955" s="19" t="s">
        <v>36</v>
      </c>
      <c r="Q955" s="19"/>
      <c r="R955" s="20">
        <v>33350</v>
      </c>
      <c r="S955" s="21" t="str">
        <f>HYPERLINK("https://www.hilbert.edu/admissions-financial-aid/financial-aid/net-price-calculator", "$11646")</f>
        <v>$11646</v>
      </c>
      <c r="T955" s="20">
        <v>17064</v>
      </c>
      <c r="U955" s="20">
        <v>18212</v>
      </c>
      <c r="V955" s="20">
        <v>2550</v>
      </c>
      <c r="W955" s="20">
        <v>9096</v>
      </c>
      <c r="Y955" s="19">
        <v>0.47899999999999998</v>
      </c>
      <c r="Z955" s="19">
        <v>0.26060000000000011</v>
      </c>
      <c r="AB955" s="18">
        <v>729</v>
      </c>
      <c r="AC955" s="18">
        <v>4</v>
      </c>
    </row>
    <row r="956" spans="1:29" ht="15.75" customHeight="1" x14ac:dyDescent="0.2">
      <c r="A956" s="36" t="str">
        <f>HYPERLINK("https://www.hillcollege.edu", "Hill College")</f>
        <v>Hill College</v>
      </c>
      <c r="B956" s="18" t="s">
        <v>49</v>
      </c>
      <c r="C956" s="18" t="s">
        <v>146</v>
      </c>
      <c r="D956" s="18" t="s">
        <v>854</v>
      </c>
      <c r="E956" s="18" t="s">
        <v>36</v>
      </c>
      <c r="F956" s="18" t="s">
        <v>36</v>
      </c>
      <c r="J956" s="19"/>
      <c r="K956" s="19">
        <v>0.2074</v>
      </c>
      <c r="L956" s="19">
        <v>0.209150327</v>
      </c>
      <c r="M956" s="19">
        <v>0.20849999999999999</v>
      </c>
      <c r="N956" s="19">
        <v>0.17019999999999999</v>
      </c>
      <c r="O956" s="19">
        <v>0.20830000000000001</v>
      </c>
      <c r="P956" s="19">
        <v>0.5</v>
      </c>
      <c r="Q956" s="19">
        <v>7.6674737999999992E-2</v>
      </c>
      <c r="R956" s="20">
        <v>12220</v>
      </c>
      <c r="S956" s="21" t="str">
        <f>HYPERLINK("https://www.hillcollege.edu/StudentServices/hill/?mdc=finaid", "$5877")</f>
        <v>$5877</v>
      </c>
      <c r="T956" s="20">
        <v>8729</v>
      </c>
      <c r="U956" s="20">
        <v>11305</v>
      </c>
      <c r="V956" s="20">
        <v>5675</v>
      </c>
      <c r="W956" s="20">
        <v>202.3544303797471</v>
      </c>
      <c r="Y956" s="19">
        <v>0.25619999999999998</v>
      </c>
      <c r="Z956" s="19">
        <v>0.37219999999999998</v>
      </c>
      <c r="AB956" s="18">
        <v>2641</v>
      </c>
      <c r="AC956" s="18">
        <v>6</v>
      </c>
    </row>
    <row r="957" spans="1:29" ht="15.75" customHeight="1" x14ac:dyDescent="0.2">
      <c r="A957" s="36" t="str">
        <f>HYPERLINK("https://www.hccfl.edu", "Hillsborough Community College")</f>
        <v>Hillsborough Community College</v>
      </c>
      <c r="B957" s="18" t="s">
        <v>49</v>
      </c>
      <c r="C957" s="18" t="s">
        <v>162</v>
      </c>
      <c r="D957" s="18" t="s">
        <v>1230</v>
      </c>
      <c r="E957" s="18" t="s">
        <v>36</v>
      </c>
      <c r="F957" s="18" t="s">
        <v>36</v>
      </c>
      <c r="J957" s="19"/>
      <c r="K957" s="19">
        <v>0.29770000000000002</v>
      </c>
      <c r="L957" s="19">
        <v>7.9832635999999998E-2</v>
      </c>
      <c r="M957" s="19">
        <v>0.34520000000000001</v>
      </c>
      <c r="N957" s="19">
        <v>0.16389999999999999</v>
      </c>
      <c r="O957" s="19">
        <v>0.28589999999999999</v>
      </c>
      <c r="P957" s="19">
        <v>0.56759999999999999</v>
      </c>
      <c r="Q957" s="19">
        <v>0.13077893800000001</v>
      </c>
      <c r="R957" s="20">
        <v>23271</v>
      </c>
      <c r="S957" s="21" t="str">
        <f>HYPERLINK("https://www.hccfl.edu/FinancialAid/netpricecalculator/npcalc.htm", "$19115")</f>
        <v>$19115</v>
      </c>
      <c r="T957" s="20">
        <v>20375</v>
      </c>
      <c r="U957" s="20">
        <v>22149</v>
      </c>
      <c r="V957" s="20">
        <v>5376</v>
      </c>
      <c r="W957" s="20">
        <v>13739.27843803056</v>
      </c>
      <c r="Y957" s="19">
        <v>0.38900000000000001</v>
      </c>
      <c r="Z957" s="19">
        <v>0.65329999999999999</v>
      </c>
      <c r="AB957" s="18">
        <v>23235</v>
      </c>
      <c r="AC957" s="18">
        <v>6</v>
      </c>
    </row>
    <row r="958" spans="1:29" ht="15.75" customHeight="1" x14ac:dyDescent="0.2">
      <c r="A958" s="36" t="str">
        <f>HYPERLINK("https://WWW.HIRAM.EDU", "Hiram College")</f>
        <v>Hiram College</v>
      </c>
      <c r="B958" s="18" t="s">
        <v>32</v>
      </c>
      <c r="C958" s="18" t="s">
        <v>75</v>
      </c>
      <c r="D958" s="18" t="s">
        <v>373</v>
      </c>
      <c r="E958" s="18">
        <v>1066</v>
      </c>
      <c r="F958" s="18" t="s">
        <v>35</v>
      </c>
      <c r="J958" s="19"/>
      <c r="K958" s="19">
        <v>0.55700000000000005</v>
      </c>
      <c r="L958" s="19">
        <v>0.47474747499999997</v>
      </c>
      <c r="M958" s="19">
        <v>0.59419999999999995</v>
      </c>
      <c r="N958" s="19">
        <v>0.43140000000000001</v>
      </c>
      <c r="O958" s="19">
        <v>0.5</v>
      </c>
      <c r="P958" s="19">
        <v>0.6</v>
      </c>
      <c r="Q958" s="19"/>
      <c r="R958" s="20">
        <v>47757</v>
      </c>
      <c r="S958" s="21" t="str">
        <f>HYPERLINK("https://www.hiram.edu/finaid/netprice/", "$18382")</f>
        <v>$18382</v>
      </c>
      <c r="T958" s="20">
        <v>19064</v>
      </c>
      <c r="U958" s="20">
        <v>25275</v>
      </c>
      <c r="V958" s="20">
        <v>3167</v>
      </c>
      <c r="W958" s="20">
        <v>15215</v>
      </c>
      <c r="Y958" s="19">
        <v>0.4073</v>
      </c>
      <c r="Z958" s="19">
        <v>0.3619</v>
      </c>
      <c r="AB958" s="18">
        <v>967</v>
      </c>
      <c r="AC958" s="18">
        <v>3</v>
      </c>
    </row>
    <row r="959" spans="1:29" ht="15.75" customHeight="1" x14ac:dyDescent="0.2">
      <c r="A959" s="36" t="str">
        <f>HYPERLINK("https://WWW.HWS.EDU", "Hobart William Smith Colleges")</f>
        <v>Hobart William Smith Colleges</v>
      </c>
      <c r="B959" s="18" t="s">
        <v>32</v>
      </c>
      <c r="C959" s="18" t="s">
        <v>38</v>
      </c>
      <c r="D959" s="18" t="s">
        <v>374</v>
      </c>
      <c r="E959" s="18">
        <v>1270</v>
      </c>
      <c r="F959" s="18" t="s">
        <v>115</v>
      </c>
      <c r="G959" s="18" t="s">
        <v>40</v>
      </c>
      <c r="H959" s="18" t="s">
        <v>375</v>
      </c>
      <c r="I959" s="18" t="s">
        <v>376</v>
      </c>
      <c r="J959" s="19"/>
      <c r="K959" s="19">
        <v>0.80879999999999996</v>
      </c>
      <c r="L959" s="19">
        <v>0.83529411799999997</v>
      </c>
      <c r="M959" s="19">
        <v>0.81499999999999995</v>
      </c>
      <c r="N959" s="19">
        <v>0.7429</v>
      </c>
      <c r="O959" s="19">
        <v>0.88239999999999996</v>
      </c>
      <c r="P959" s="19">
        <v>0.57889999999999997</v>
      </c>
      <c r="Q959" s="19"/>
      <c r="R959" s="20">
        <v>69775</v>
      </c>
      <c r="S959" s="21" t="str">
        <f>HYPERLINK("https://hws.studentaidcalculator.com/survey.aspx", "$19539")</f>
        <v>$19539</v>
      </c>
      <c r="T959" s="20">
        <v>24993</v>
      </c>
      <c r="U959" s="20">
        <v>32983</v>
      </c>
      <c r="V959" s="20">
        <v>2000</v>
      </c>
      <c r="W959" s="20">
        <v>17539</v>
      </c>
      <c r="Y959" s="19">
        <v>0.16930000000000001</v>
      </c>
      <c r="Z959" s="19">
        <v>0.25269999999999998</v>
      </c>
      <c r="AB959" s="18">
        <v>2220</v>
      </c>
      <c r="AC959" s="18">
        <v>3</v>
      </c>
    </row>
    <row r="960" spans="1:29" ht="15.75" customHeight="1" x14ac:dyDescent="0.2">
      <c r="A960" s="36" t="str">
        <f>HYPERLINK("https://www.hocking.edu", "Hocking College")</f>
        <v>Hocking College</v>
      </c>
      <c r="B960" s="18" t="s">
        <v>49</v>
      </c>
      <c r="C960" s="18" t="s">
        <v>75</v>
      </c>
      <c r="D960" s="18" t="s">
        <v>1424</v>
      </c>
      <c r="E960" s="18" t="s">
        <v>36</v>
      </c>
      <c r="F960" s="18" t="s">
        <v>36</v>
      </c>
      <c r="J960" s="19"/>
      <c r="K960" s="19">
        <v>0.26719999999999999</v>
      </c>
      <c r="L960" s="19">
        <v>1.2141280000000001E-2</v>
      </c>
      <c r="M960" s="19">
        <v>0.28160000000000002</v>
      </c>
      <c r="N960" s="19">
        <v>0.16669999999999999</v>
      </c>
      <c r="O960" s="19">
        <v>0.21429999999999999</v>
      </c>
      <c r="P960" s="19" t="s">
        <v>36</v>
      </c>
      <c r="Q960" s="19">
        <v>5.2281052000000001E-2</v>
      </c>
      <c r="R960" s="20">
        <v>21874</v>
      </c>
      <c r="S960" s="21" t="str">
        <f>HYPERLINK("https://www.hocking.edu/paying-for-college", "$17559")</f>
        <v>$17559</v>
      </c>
      <c r="T960" s="20">
        <v>20376</v>
      </c>
      <c r="U960" s="20">
        <v>21711</v>
      </c>
      <c r="V960" s="20">
        <v>4334</v>
      </c>
      <c r="W960" s="20">
        <v>13225.25581395349</v>
      </c>
      <c r="Y960" s="19">
        <v>0.49009999999999998</v>
      </c>
      <c r="Z960" s="19">
        <v>0.22339999999999999</v>
      </c>
      <c r="AB960" s="18">
        <v>2511</v>
      </c>
      <c r="AC960" s="18">
        <v>6</v>
      </c>
    </row>
    <row r="961" spans="1:29" ht="15.75" customHeight="1" x14ac:dyDescent="0.2">
      <c r="A961" s="36" t="str">
        <f>HYPERLINK("https://www.hodges.edu", "Hodges University")</f>
        <v>Hodges University</v>
      </c>
      <c r="B961" s="18" t="s">
        <v>32</v>
      </c>
      <c r="C961" s="18" t="s">
        <v>162</v>
      </c>
      <c r="D961" s="18" t="s">
        <v>744</v>
      </c>
      <c r="E961" s="18" t="s">
        <v>36</v>
      </c>
      <c r="F961" s="18" t="s">
        <v>90</v>
      </c>
      <c r="J961" s="19"/>
      <c r="K961" s="19">
        <v>0.2707</v>
      </c>
      <c r="L961" s="19">
        <v>0.21648044699999999</v>
      </c>
      <c r="M961" s="19">
        <v>0.23400000000000001</v>
      </c>
      <c r="N961" s="19">
        <v>0.26669999999999999</v>
      </c>
      <c r="O961" s="19">
        <v>0.2969</v>
      </c>
      <c r="P961" s="19" t="s">
        <v>36</v>
      </c>
      <c r="Q961" s="19"/>
      <c r="R961" s="20">
        <v>30789</v>
      </c>
      <c r="S961" s="21" t="str">
        <f>HYPERLINK("https://webadvisor.hodges.edu/CALCULATOR/npcalc.htm", "$19524")</f>
        <v>$19524</v>
      </c>
      <c r="T961" s="20">
        <v>22060</v>
      </c>
      <c r="U961" s="20">
        <v>23852</v>
      </c>
      <c r="V961" s="20">
        <v>5401</v>
      </c>
      <c r="W961" s="20">
        <v>14123</v>
      </c>
      <c r="Y961" s="19">
        <v>0.5151</v>
      </c>
      <c r="Z961" s="19">
        <v>0.55659999999999998</v>
      </c>
      <c r="AB961" s="18">
        <v>1069</v>
      </c>
      <c r="AC961" s="18">
        <v>5</v>
      </c>
    </row>
    <row r="962" spans="1:29" ht="15.75" customHeight="1" x14ac:dyDescent="0.2">
      <c r="A962" s="36" t="str">
        <f>HYPERLINK("https://www.hofstra.edu", "Hofstra University")</f>
        <v>Hofstra University</v>
      </c>
      <c r="B962" s="18" t="s">
        <v>32</v>
      </c>
      <c r="C962" s="18" t="s">
        <v>38</v>
      </c>
      <c r="D962" s="18" t="s">
        <v>377</v>
      </c>
      <c r="E962" s="18">
        <v>1237</v>
      </c>
      <c r="F962" s="18" t="s">
        <v>115</v>
      </c>
      <c r="G962" s="18" t="s">
        <v>378</v>
      </c>
      <c r="J962" s="19"/>
      <c r="K962" s="19">
        <v>0.63049999999999995</v>
      </c>
      <c r="L962" s="19">
        <v>0.40277777799999998</v>
      </c>
      <c r="M962" s="19">
        <v>0.66020000000000001</v>
      </c>
      <c r="N962" s="19">
        <v>0.52380000000000004</v>
      </c>
      <c r="O962" s="19">
        <v>0.55959999999999999</v>
      </c>
      <c r="P962" s="19">
        <v>0.68610000000000004</v>
      </c>
      <c r="Q962" s="19"/>
      <c r="R962" s="20">
        <v>61260</v>
      </c>
      <c r="S962" s="21" t="str">
        <f>HYPERLINK("https://www.hofstra.edu/admission/adm_netprice.html", "$29345")</f>
        <v>$29345</v>
      </c>
      <c r="T962" s="20">
        <v>33072</v>
      </c>
      <c r="U962" s="20">
        <v>32875</v>
      </c>
      <c r="V962" s="20">
        <v>3050</v>
      </c>
      <c r="W962" s="20">
        <v>26295</v>
      </c>
      <c r="Y962" s="19">
        <v>0.2142</v>
      </c>
      <c r="Z962" s="19">
        <v>0.44019999999999998</v>
      </c>
      <c r="AB962" s="18">
        <v>6783</v>
      </c>
      <c r="AC962" s="18">
        <v>3</v>
      </c>
    </row>
    <row r="963" spans="1:29" ht="15.75" customHeight="1" x14ac:dyDescent="0.2">
      <c r="A963" s="36" t="str">
        <f>HYPERLINK("https://www.hollins.edu", "Hollins University")</f>
        <v>Hollins University</v>
      </c>
      <c r="B963" s="18" t="s">
        <v>32</v>
      </c>
      <c r="C963" s="18" t="s">
        <v>83</v>
      </c>
      <c r="D963" s="18" t="s">
        <v>379</v>
      </c>
      <c r="E963" s="18">
        <v>1212</v>
      </c>
      <c r="F963" s="18" t="s">
        <v>35</v>
      </c>
      <c r="J963" s="19"/>
      <c r="K963" s="19">
        <v>0.62090000000000001</v>
      </c>
      <c r="L963" s="19">
        <v>0.35632183899999997</v>
      </c>
      <c r="M963" s="19">
        <v>0.6613</v>
      </c>
      <c r="N963" s="19">
        <v>0.58819999999999995</v>
      </c>
      <c r="O963" s="19">
        <v>0.23080000000000001</v>
      </c>
      <c r="P963" s="19">
        <v>0.75</v>
      </c>
      <c r="Q963" s="19"/>
      <c r="R963" s="20">
        <v>54205</v>
      </c>
      <c r="S963" s="21" t="str">
        <f>HYPERLINK("https://web1.hollins.edu/finaidcalc/fac/Default.aspx", "$16921")</f>
        <v>$16921</v>
      </c>
      <c r="T963" s="20">
        <v>20045</v>
      </c>
      <c r="U963" s="20">
        <v>21996</v>
      </c>
      <c r="V963" s="20">
        <v>2800</v>
      </c>
      <c r="W963" s="20">
        <v>14121</v>
      </c>
      <c r="Y963" s="19">
        <v>0.4083</v>
      </c>
      <c r="Z963" s="19">
        <v>0.34239999999999998</v>
      </c>
      <c r="AB963" s="18">
        <v>628</v>
      </c>
      <c r="AC963" s="18">
        <v>3</v>
      </c>
    </row>
    <row r="964" spans="1:29" ht="15.75" customHeight="1" x14ac:dyDescent="0.2">
      <c r="A964" s="36" t="str">
        <f>HYPERLINK("https://www.holmescc.edu", "Holmes Community College")</f>
        <v>Holmes Community College</v>
      </c>
      <c r="B964" s="18" t="s">
        <v>49</v>
      </c>
      <c r="C964" s="18" t="s">
        <v>59</v>
      </c>
      <c r="D964" s="18" t="s">
        <v>1425</v>
      </c>
      <c r="E964" s="18" t="s">
        <v>36</v>
      </c>
      <c r="F964" s="18" t="s">
        <v>36</v>
      </c>
      <c r="J964" s="19"/>
      <c r="K964" s="19">
        <v>0.37</v>
      </c>
      <c r="L964" s="19">
        <v>0.17257499000000001</v>
      </c>
      <c r="M964" s="19">
        <v>0.40949999999999998</v>
      </c>
      <c r="N964" s="19">
        <v>0.33260000000000001</v>
      </c>
      <c r="O964" s="19">
        <v>0.5</v>
      </c>
      <c r="P964" s="19">
        <v>0.25</v>
      </c>
      <c r="Q964" s="19">
        <v>6.8462757999999999E-2</v>
      </c>
      <c r="R964" s="20">
        <v>13840</v>
      </c>
      <c r="S964" s="21" t="str">
        <f>HYPERLINK("https://www.holmescc.edu/financial_aid/Net%20Price%20Calculator.htm", "$7460")</f>
        <v>$7460</v>
      </c>
      <c r="T964" s="20">
        <v>9428</v>
      </c>
      <c r="U964" s="20">
        <v>10988</v>
      </c>
      <c r="V964" s="20">
        <v>5100</v>
      </c>
      <c r="W964" s="20">
        <v>2360.9867768595041</v>
      </c>
      <c r="Y964" s="19">
        <v>0.49740000000000001</v>
      </c>
      <c r="Z964" s="19">
        <v>0.52069999999999994</v>
      </c>
      <c r="AB964" s="18">
        <v>4853</v>
      </c>
      <c r="AC964" s="18">
        <v>6</v>
      </c>
    </row>
    <row r="965" spans="1:29" ht="15.75" customHeight="1" x14ac:dyDescent="0.2">
      <c r="A965" s="36" t="str">
        <f>HYPERLINK("https://www.hcc-nd.edu", "Holy Cross College")</f>
        <v>Holy Cross College</v>
      </c>
      <c r="B965" s="18" t="s">
        <v>32</v>
      </c>
      <c r="C965" s="18" t="s">
        <v>148</v>
      </c>
      <c r="D965" s="18" t="s">
        <v>167</v>
      </c>
      <c r="E965" s="18">
        <v>1214</v>
      </c>
      <c r="F965" s="18" t="s">
        <v>35</v>
      </c>
      <c r="J965" s="19"/>
      <c r="K965" s="19">
        <v>0.40160000000000001</v>
      </c>
      <c r="L965" s="19">
        <v>0.239130435</v>
      </c>
      <c r="M965" s="19">
        <v>0.36049999999999999</v>
      </c>
      <c r="N965" s="19">
        <v>0.44440000000000002</v>
      </c>
      <c r="O965" s="19">
        <v>0.5</v>
      </c>
      <c r="P965" s="19" t="s">
        <v>36</v>
      </c>
      <c r="Q965" s="19"/>
      <c r="R965" s="20">
        <v>44244</v>
      </c>
      <c r="S965" s="21" t="str">
        <f>HYPERLINK("https://www.hcc-nd.edu/net-price-calculator/", "$17070")</f>
        <v>$17070</v>
      </c>
      <c r="T965" s="20">
        <v>21005</v>
      </c>
      <c r="U965" s="20">
        <v>22729</v>
      </c>
      <c r="V965" s="20">
        <v>3508</v>
      </c>
      <c r="W965" s="20">
        <v>13562</v>
      </c>
      <c r="Y965" s="19">
        <v>0.30969999999999998</v>
      </c>
      <c r="Z965" s="19">
        <v>0.39529999999999998</v>
      </c>
      <c r="AB965" s="18">
        <v>554</v>
      </c>
      <c r="AC965" s="18">
        <v>4</v>
      </c>
    </row>
    <row r="966" spans="1:29" ht="15.75" customHeight="1" x14ac:dyDescent="0.2">
      <c r="A966" s="36" t="str">
        <f>HYPERLINK("https://www.holyfamily.edu", "Holy Family University")</f>
        <v>Holy Family University</v>
      </c>
      <c r="B966" s="18" t="s">
        <v>32</v>
      </c>
      <c r="C966" s="18" t="s">
        <v>65</v>
      </c>
      <c r="D966" s="18" t="s">
        <v>168</v>
      </c>
      <c r="E966" s="18">
        <v>1005</v>
      </c>
      <c r="F966" s="18" t="s">
        <v>35</v>
      </c>
      <c r="J966" s="19"/>
      <c r="K966" s="19">
        <v>0.55210000000000004</v>
      </c>
      <c r="L966" s="19">
        <v>0.49197860999999998</v>
      </c>
      <c r="M966" s="19">
        <v>0.58850000000000002</v>
      </c>
      <c r="N966" s="19">
        <v>0.1053</v>
      </c>
      <c r="O966" s="19">
        <v>0.52170000000000005</v>
      </c>
      <c r="P966" s="19">
        <v>0.6</v>
      </c>
      <c r="Q966" s="19"/>
      <c r="R966" s="20">
        <v>46850</v>
      </c>
      <c r="S966" s="21" t="str">
        <f>HYPERLINK("https://www.holyfamily.edu/about-holy-family-u/resources/business-office/tuition-fees/net-price-calculator", "$11808")</f>
        <v>$11808</v>
      </c>
      <c r="T966" s="20">
        <v>14648</v>
      </c>
      <c r="U966" s="20">
        <v>16885</v>
      </c>
      <c r="V966" s="20">
        <v>2004</v>
      </c>
      <c r="W966" s="20">
        <v>9804</v>
      </c>
      <c r="Y966" s="19">
        <v>0.34</v>
      </c>
      <c r="Z966" s="19">
        <v>0.37290000000000001</v>
      </c>
      <c r="AB966" s="18">
        <v>1904</v>
      </c>
      <c r="AC966" s="18">
        <v>5</v>
      </c>
    </row>
    <row r="967" spans="1:29" ht="15.75" customHeight="1" x14ac:dyDescent="0.2">
      <c r="A967" s="36" t="str">
        <f>HYPERLINK("https://www.hcc.edu", "Holyoke Community College")</f>
        <v>Holyoke Community College</v>
      </c>
      <c r="B967" s="18" t="s">
        <v>49</v>
      </c>
      <c r="C967" s="18" t="s">
        <v>33</v>
      </c>
      <c r="D967" s="18" t="s">
        <v>1426</v>
      </c>
      <c r="E967" s="18" t="s">
        <v>36</v>
      </c>
      <c r="F967" s="18" t="s">
        <v>36</v>
      </c>
      <c r="J967" s="19"/>
      <c r="K967" s="19">
        <v>0.23089999999999999</v>
      </c>
      <c r="L967" s="19">
        <v>0.21339461600000001</v>
      </c>
      <c r="M967" s="19">
        <v>0.28699999999999998</v>
      </c>
      <c r="N967" s="19">
        <v>0.16980000000000001</v>
      </c>
      <c r="O967" s="19">
        <v>0.14399999999999999</v>
      </c>
      <c r="P967" s="19">
        <v>0.30430000000000001</v>
      </c>
      <c r="Q967" s="19">
        <v>5.9942124999999999E-2</v>
      </c>
      <c r="R967" s="20">
        <v>23416</v>
      </c>
      <c r="S967" s="21" t="str">
        <f>HYPERLINK("https://www.hcc.edu/PreBuilt/NetPriceCalculator/DC2/npcalc.htm", "$17763")</f>
        <v>$17763</v>
      </c>
      <c r="T967" s="20">
        <v>20764</v>
      </c>
      <c r="U967" s="20">
        <v>22534</v>
      </c>
      <c r="V967" s="20">
        <v>6020</v>
      </c>
      <c r="W967" s="20">
        <v>11743.932735426009</v>
      </c>
      <c r="Y967" s="19">
        <v>0.45689999999999997</v>
      </c>
      <c r="Z967" s="19">
        <v>0.42599999999999999</v>
      </c>
      <c r="AB967" s="18">
        <v>5059</v>
      </c>
      <c r="AC967" s="18">
        <v>6</v>
      </c>
    </row>
    <row r="968" spans="1:29" ht="15.75" customHeight="1" x14ac:dyDescent="0.2">
      <c r="A968" s="36" t="str">
        <f>HYPERLINK("https://www.honolulu.hawaii.edu", "Honolulu Community College")</f>
        <v>Honolulu Community College</v>
      </c>
      <c r="B968" s="18" t="s">
        <v>49</v>
      </c>
      <c r="C968" s="18" t="s">
        <v>313</v>
      </c>
      <c r="D968" s="18" t="s">
        <v>510</v>
      </c>
      <c r="E968" s="18" t="s">
        <v>36</v>
      </c>
      <c r="F968" s="18" t="s">
        <v>36</v>
      </c>
      <c r="J968" s="19"/>
      <c r="K968" s="19">
        <v>0.1691</v>
      </c>
      <c r="L968" s="19">
        <v>0.169683258</v>
      </c>
      <c r="M968" s="19">
        <v>0.12</v>
      </c>
      <c r="N968" s="19">
        <v>0</v>
      </c>
      <c r="O968" s="19">
        <v>0.12</v>
      </c>
      <c r="P968" s="19">
        <v>0.2147</v>
      </c>
      <c r="Q968" s="19">
        <v>7.5286415999999995E-2</v>
      </c>
      <c r="R968" s="20">
        <v>27478</v>
      </c>
      <c r="S968" s="21" t="str">
        <f>HYPERLINK("https://www.honolulu.hawaii.edu/sites/www2.honolulu.hawaii.edu/files/npcalc.htm", "$22630")</f>
        <v>$22630</v>
      </c>
      <c r="T968" s="20">
        <v>24719</v>
      </c>
      <c r="U968" s="20">
        <v>27360</v>
      </c>
      <c r="V968" s="20">
        <v>4626</v>
      </c>
      <c r="W968" s="20">
        <v>18004.134615384621</v>
      </c>
      <c r="Y968" s="19">
        <v>0.20860000000000001</v>
      </c>
      <c r="Z968" s="19">
        <v>0.92620000000000002</v>
      </c>
      <c r="AB968" s="18">
        <v>2790</v>
      </c>
      <c r="AC968" s="18">
        <v>6</v>
      </c>
    </row>
    <row r="969" spans="1:29" ht="15.75" customHeight="1" x14ac:dyDescent="0.2">
      <c r="A969" s="36" t="str">
        <f>HYPERLINK("https://www.hood.edu", "Hood College")</f>
        <v>Hood College</v>
      </c>
      <c r="B969" s="18" t="s">
        <v>32</v>
      </c>
      <c r="C969" s="18" t="s">
        <v>124</v>
      </c>
      <c r="D969" s="18" t="s">
        <v>824</v>
      </c>
      <c r="E969" s="18" t="s">
        <v>36</v>
      </c>
      <c r="F969" s="18" t="s">
        <v>90</v>
      </c>
      <c r="J969" s="19"/>
      <c r="K969" s="19">
        <v>0.61040000000000005</v>
      </c>
      <c r="L969" s="19">
        <v>0.62857142899999996</v>
      </c>
      <c r="M969" s="19">
        <v>0.67689999999999995</v>
      </c>
      <c r="N969" s="19">
        <v>0.5</v>
      </c>
      <c r="O969" s="19">
        <v>0.55000000000000004</v>
      </c>
      <c r="P969" s="19">
        <v>0.3</v>
      </c>
      <c r="Q969" s="19"/>
      <c r="R969" s="20">
        <v>54840</v>
      </c>
      <c r="S969" s="21" t="str">
        <f>HYPERLINK("https://www.hood.edu/Financial-Aid/Cost-of-Attendance/Net-Price-Calculator.html", "$15532")</f>
        <v>$15532</v>
      </c>
      <c r="T969" s="20">
        <v>25886</v>
      </c>
      <c r="U969" s="20">
        <v>27604</v>
      </c>
      <c r="V969" s="20">
        <v>4300</v>
      </c>
      <c r="W969" s="20">
        <v>11232</v>
      </c>
      <c r="Y969" s="19">
        <v>0.33650000000000002</v>
      </c>
      <c r="Z969" s="19">
        <v>0.41880000000000001</v>
      </c>
      <c r="AB969" s="18">
        <v>1108</v>
      </c>
      <c r="AC969" s="18">
        <v>4</v>
      </c>
    </row>
    <row r="970" spans="1:29" ht="15.75" customHeight="1" x14ac:dyDescent="0.2">
      <c r="A970" s="36" t="str">
        <f>HYPERLINK("https://www.hope.edu", "Hope College")</f>
        <v>Hope College</v>
      </c>
      <c r="B970" s="18" t="s">
        <v>32</v>
      </c>
      <c r="C970" s="18" t="s">
        <v>226</v>
      </c>
      <c r="D970" s="18" t="s">
        <v>380</v>
      </c>
      <c r="E970" s="18">
        <v>1240</v>
      </c>
      <c r="F970" s="18" t="s">
        <v>35</v>
      </c>
      <c r="J970" s="19"/>
      <c r="K970" s="19">
        <v>0.80289999999999995</v>
      </c>
      <c r="L970" s="19">
        <v>0.65517241400000004</v>
      </c>
      <c r="M970" s="19">
        <v>0.81530000000000002</v>
      </c>
      <c r="N970" s="19">
        <v>0.75</v>
      </c>
      <c r="O970" s="19">
        <v>0.70369999999999999</v>
      </c>
      <c r="P970" s="19">
        <v>0.83330000000000004</v>
      </c>
      <c r="Q970" s="19"/>
      <c r="R970" s="20">
        <v>45410</v>
      </c>
      <c r="S970" s="21" t="str">
        <f>HYPERLINK("https://www.hope.edu/admiss/npc/npcalc.htm", "$15529")</f>
        <v>$15529</v>
      </c>
      <c r="T970" s="20">
        <v>19657</v>
      </c>
      <c r="U970" s="20">
        <v>26190</v>
      </c>
      <c r="V970" s="20">
        <v>2630</v>
      </c>
      <c r="W970" s="20">
        <v>12899</v>
      </c>
      <c r="Y970" s="19">
        <v>0.1827</v>
      </c>
      <c r="Z970" s="19">
        <v>0.17499999999999999</v>
      </c>
      <c r="AB970" s="18">
        <v>3029</v>
      </c>
      <c r="AC970" s="18">
        <v>3</v>
      </c>
    </row>
    <row r="971" spans="1:29" ht="15.75" customHeight="1" x14ac:dyDescent="0.2">
      <c r="A971" s="36" t="str">
        <f>HYPERLINK("https://www.hiu.edu", "Hope International University")</f>
        <v>Hope International University</v>
      </c>
      <c r="B971" s="18" t="s">
        <v>32</v>
      </c>
      <c r="C971" s="18" t="s">
        <v>68</v>
      </c>
      <c r="D971" s="18" t="s">
        <v>607</v>
      </c>
      <c r="E971" s="18">
        <v>1019</v>
      </c>
      <c r="F971" s="18" t="s">
        <v>35</v>
      </c>
      <c r="J971" s="19"/>
      <c r="K971" s="19">
        <v>0.48209999999999997</v>
      </c>
      <c r="L971" s="19">
        <v>0.23958333300000001</v>
      </c>
      <c r="M971" s="19">
        <v>0.53849999999999998</v>
      </c>
      <c r="N971" s="19">
        <v>0</v>
      </c>
      <c r="O971" s="19">
        <v>0.33329999999999999</v>
      </c>
      <c r="P971" s="19">
        <v>1</v>
      </c>
      <c r="Q971" s="19"/>
      <c r="R971" s="20">
        <v>46824</v>
      </c>
      <c r="S971" s="21" t="str">
        <f>HYPERLINK("https://www.hiu.edu/undergrad/finaid/", "$22642")</f>
        <v>$22642</v>
      </c>
      <c r="T971" s="20">
        <v>29839</v>
      </c>
      <c r="U971" s="20">
        <v>25389</v>
      </c>
      <c r="V971" s="20">
        <v>5094</v>
      </c>
      <c r="W971" s="20">
        <v>17548</v>
      </c>
      <c r="Y971" s="19">
        <v>0.43180000000000002</v>
      </c>
      <c r="Z971" s="19">
        <v>0.61070000000000002</v>
      </c>
      <c r="AB971" s="18">
        <v>727</v>
      </c>
      <c r="AC971" s="18">
        <v>4</v>
      </c>
    </row>
    <row r="972" spans="1:29" ht="15.75" customHeight="1" x14ac:dyDescent="0.2">
      <c r="A972" s="36" t="str">
        <f>HYPERLINK("https://www.hgtc.edu", "Horry-Georgetown Technical College")</f>
        <v>Horry-Georgetown Technical College</v>
      </c>
      <c r="B972" s="18" t="s">
        <v>49</v>
      </c>
      <c r="C972" s="18" t="s">
        <v>208</v>
      </c>
      <c r="D972" s="18" t="s">
        <v>372</v>
      </c>
      <c r="E972" s="18" t="s">
        <v>36</v>
      </c>
      <c r="F972" s="18" t="s">
        <v>36</v>
      </c>
      <c r="J972" s="19"/>
      <c r="K972" s="19">
        <v>0.28999999999999998</v>
      </c>
      <c r="L972" s="19">
        <v>0.211548556</v>
      </c>
      <c r="M972" s="19">
        <v>0.29670000000000002</v>
      </c>
      <c r="N972" s="19">
        <v>0.18279999999999999</v>
      </c>
      <c r="O972" s="19">
        <v>0.375</v>
      </c>
      <c r="P972" s="19">
        <v>0.63639999999999997</v>
      </c>
      <c r="Q972" s="19">
        <v>6.0445387000000003E-2</v>
      </c>
      <c r="R972" s="20">
        <v>21982</v>
      </c>
      <c r="S972" s="21" t="str">
        <f>HYPERLINK("https://www.hgtc.edu/admissions/financialaid/collegecalc.html", "$14690")</f>
        <v>$14690</v>
      </c>
      <c r="T972" s="20">
        <v>16327</v>
      </c>
      <c r="U972" s="20">
        <v>18518</v>
      </c>
      <c r="V972" s="20">
        <v>4700</v>
      </c>
      <c r="W972" s="20">
        <v>9990.8031496062995</v>
      </c>
      <c r="Y972" s="19">
        <v>0.47189999999999999</v>
      </c>
      <c r="Z972" s="19">
        <v>0.3216</v>
      </c>
      <c r="AB972" s="18">
        <v>6234</v>
      </c>
      <c r="AC972" s="18">
        <v>6</v>
      </c>
    </row>
    <row r="973" spans="1:29" ht="15.75" customHeight="1" x14ac:dyDescent="0.2">
      <c r="A973" s="36" t="str">
        <f>HYPERLINK("https://www.houghton.edu", "Houghton College")</f>
        <v>Houghton College</v>
      </c>
      <c r="B973" s="18" t="s">
        <v>32</v>
      </c>
      <c r="C973" s="18" t="s">
        <v>38</v>
      </c>
      <c r="D973" s="18" t="s">
        <v>381</v>
      </c>
      <c r="E973" s="18">
        <v>1205</v>
      </c>
      <c r="F973" s="18" t="s">
        <v>115</v>
      </c>
      <c r="J973" s="19"/>
      <c r="K973" s="19">
        <v>0.73280000000000001</v>
      </c>
      <c r="L973" s="19">
        <v>0.41249999999999998</v>
      </c>
      <c r="M973" s="19">
        <v>0.75209999999999999</v>
      </c>
      <c r="N973" s="19">
        <v>0.57140000000000002</v>
      </c>
      <c r="O973" s="19">
        <v>1</v>
      </c>
      <c r="P973" s="19">
        <v>0.5</v>
      </c>
      <c r="Q973" s="19"/>
      <c r="R973" s="20">
        <v>44408</v>
      </c>
      <c r="S973" s="21" t="str">
        <f>HYPERLINK("https://www.houghton.edu/financial-aid/net-price-calculator/", "$19726")</f>
        <v>$19726</v>
      </c>
      <c r="T973" s="20">
        <v>16202</v>
      </c>
      <c r="U973" s="20">
        <v>19330</v>
      </c>
      <c r="V973" s="20">
        <v>3850</v>
      </c>
      <c r="W973" s="20">
        <v>15876</v>
      </c>
      <c r="Y973" s="19">
        <v>0.39789999999999998</v>
      </c>
      <c r="Z973" s="19">
        <v>0.27</v>
      </c>
      <c r="AB973" s="18">
        <v>1026</v>
      </c>
      <c r="AC973" s="18">
        <v>3</v>
      </c>
    </row>
    <row r="974" spans="1:29" ht="15.75" customHeight="1" x14ac:dyDescent="0.2">
      <c r="A974" s="36" t="str">
        <f>HYPERLINK("https://www.hcc.commnet.edu", "Housatonic Community College")</f>
        <v>Housatonic Community College</v>
      </c>
      <c r="B974" s="18" t="s">
        <v>49</v>
      </c>
      <c r="C974" s="18" t="s">
        <v>94</v>
      </c>
      <c r="D974" s="18" t="s">
        <v>886</v>
      </c>
      <c r="E974" s="18" t="s">
        <v>36</v>
      </c>
      <c r="F974" s="18" t="s">
        <v>36</v>
      </c>
      <c r="J974" s="19"/>
      <c r="K974" s="19">
        <v>0.1245</v>
      </c>
      <c r="L974" s="19">
        <v>0.12637828700000001</v>
      </c>
      <c r="M974" s="19">
        <v>0.16889999999999999</v>
      </c>
      <c r="N974" s="19">
        <v>6.6199999999999995E-2</v>
      </c>
      <c r="O974" s="19">
        <v>0.1198</v>
      </c>
      <c r="P974" s="19">
        <v>0.2727</v>
      </c>
      <c r="Q974" s="19">
        <v>6.6977285999999997E-2</v>
      </c>
      <c r="R974" s="20">
        <v>25648</v>
      </c>
      <c r="S974" s="21" t="str">
        <f>HYPERLINK("https://www.hcc.commnet.edu", "$22435")</f>
        <v>$22435</v>
      </c>
      <c r="T974" s="20">
        <v>20248</v>
      </c>
      <c r="U974" s="20" t="s">
        <v>36</v>
      </c>
      <c r="V974" s="20">
        <v>3200</v>
      </c>
      <c r="W974" s="20">
        <v>19235.404814004381</v>
      </c>
      <c r="Y974" s="19">
        <v>0.49869999999999998</v>
      </c>
      <c r="Z974" s="19">
        <v>0.72660000000000002</v>
      </c>
      <c r="AB974" s="18">
        <v>4780</v>
      </c>
      <c r="AC974" s="18">
        <v>6</v>
      </c>
    </row>
    <row r="975" spans="1:29" ht="15.75" customHeight="1" x14ac:dyDescent="0.2">
      <c r="A975" s="36" t="str">
        <f>HYPERLINK("https://www.hbu.edu", "Houston Baptist University")</f>
        <v>Houston Baptist University</v>
      </c>
      <c r="B975" s="18" t="s">
        <v>32</v>
      </c>
      <c r="C975" s="18" t="s">
        <v>146</v>
      </c>
      <c r="D975" s="18" t="s">
        <v>147</v>
      </c>
      <c r="E975" s="18">
        <v>1114</v>
      </c>
      <c r="F975" s="18" t="s">
        <v>35</v>
      </c>
      <c r="J975" s="19"/>
      <c r="K975" s="19">
        <v>0.4819</v>
      </c>
      <c r="L975" s="19">
        <v>0.29194630900000001</v>
      </c>
      <c r="M975" s="19">
        <v>0.52890000000000004</v>
      </c>
      <c r="N975" s="19">
        <v>0.31309999999999999</v>
      </c>
      <c r="O975" s="19">
        <v>0.41010000000000002</v>
      </c>
      <c r="P975" s="19">
        <v>0.64290000000000003</v>
      </c>
      <c r="Q975" s="19"/>
      <c r="R975" s="20">
        <v>45322</v>
      </c>
      <c r="S975" s="21" t="str">
        <f>HYPERLINK("https://www.hbu.edu/estimator", "$19380")</f>
        <v>$19380</v>
      </c>
      <c r="T975" s="20">
        <v>20169</v>
      </c>
      <c r="U975" s="20">
        <v>22030</v>
      </c>
      <c r="V975" s="20">
        <v>5350</v>
      </c>
      <c r="W975" s="20">
        <v>14030</v>
      </c>
      <c r="Y975" s="19">
        <v>0.43440000000000001</v>
      </c>
      <c r="Z975" s="19">
        <v>0.7641</v>
      </c>
      <c r="AB975" s="18">
        <v>2302</v>
      </c>
      <c r="AC975" s="18">
        <v>4</v>
      </c>
    </row>
    <row r="976" spans="1:29" ht="15.75" customHeight="1" x14ac:dyDescent="0.2">
      <c r="A976" s="36" t="str">
        <f>HYPERLINK("https://www.hccs.edu", "Houston Community College")</f>
        <v>Houston Community College</v>
      </c>
      <c r="B976" s="18" t="s">
        <v>49</v>
      </c>
      <c r="C976" s="18" t="s">
        <v>146</v>
      </c>
      <c r="D976" s="18" t="s">
        <v>147</v>
      </c>
      <c r="E976" s="18" t="s">
        <v>36</v>
      </c>
      <c r="F976" s="18" t="s">
        <v>36</v>
      </c>
      <c r="J976" s="19"/>
      <c r="K976" s="19">
        <v>0.18479999999999999</v>
      </c>
      <c r="L976" s="19">
        <v>7.1428570999999996E-2</v>
      </c>
      <c r="M976" s="19">
        <v>0.153</v>
      </c>
      <c r="N976" s="19">
        <v>0.1048</v>
      </c>
      <c r="O976" s="19">
        <v>0.20749999999999999</v>
      </c>
      <c r="P976" s="19">
        <v>0.2059</v>
      </c>
      <c r="Q976" s="19">
        <v>0.114335664</v>
      </c>
      <c r="R976" s="20">
        <v>17986</v>
      </c>
      <c r="S976" s="21" t="str">
        <f>HYPERLINK("https://www.collegeforalltexans.com/apps/CollegeMoney/", "$13251")</f>
        <v>$13251</v>
      </c>
      <c r="T976" s="20">
        <v>15874</v>
      </c>
      <c r="U976" s="20">
        <v>17827</v>
      </c>
      <c r="V976" s="20">
        <v>6420</v>
      </c>
      <c r="W976" s="20">
        <v>6831.3699059561131</v>
      </c>
      <c r="Y976" s="19">
        <v>0.33860000000000001</v>
      </c>
      <c r="Z976" s="19">
        <v>0.8679</v>
      </c>
      <c r="AB976" s="18">
        <v>56976</v>
      </c>
      <c r="AC976" s="18">
        <v>6</v>
      </c>
    </row>
    <row r="977" spans="1:29" ht="15.75" customHeight="1" x14ac:dyDescent="0.2">
      <c r="A977" s="36" t="str">
        <f>HYPERLINK("https://www.howardcollege.edu", "Howard College")</f>
        <v>Howard College</v>
      </c>
      <c r="B977" s="18" t="s">
        <v>49</v>
      </c>
      <c r="C977" s="18" t="s">
        <v>146</v>
      </c>
      <c r="D977" s="18" t="s">
        <v>1428</v>
      </c>
      <c r="E977" s="18" t="s">
        <v>36</v>
      </c>
      <c r="F977" s="18" t="s">
        <v>36</v>
      </c>
      <c r="J977" s="19"/>
      <c r="K977" s="19">
        <v>0.23019999999999999</v>
      </c>
      <c r="L977" s="19">
        <v>0.231884058</v>
      </c>
      <c r="M977" s="19">
        <v>0.255</v>
      </c>
      <c r="N977" s="19">
        <v>9.0899999999999995E-2</v>
      </c>
      <c r="O977" s="19">
        <v>0.21179999999999999</v>
      </c>
      <c r="P977" s="19">
        <v>0.5</v>
      </c>
      <c r="Q977" s="19">
        <v>8.2393754999999999E-2</v>
      </c>
      <c r="R977" s="20">
        <v>14094</v>
      </c>
      <c r="S977" s="21" t="str">
        <f>HYPERLINK("https://www.collegeforalltexans.com/apps/CollegeMoney/", "$7942")</f>
        <v>$7942</v>
      </c>
      <c r="T977" s="20">
        <v>10852</v>
      </c>
      <c r="U977" s="20">
        <v>12905</v>
      </c>
      <c r="V977" s="20">
        <v>3840</v>
      </c>
      <c r="W977" s="20">
        <v>4102.6710526315792</v>
      </c>
      <c r="Y977" s="19">
        <v>0.219</v>
      </c>
      <c r="Z977" s="19">
        <v>0.60389999999999999</v>
      </c>
      <c r="AB977" s="18">
        <v>2093</v>
      </c>
      <c r="AC977" s="18">
        <v>6</v>
      </c>
    </row>
    <row r="978" spans="1:29" ht="15.75" customHeight="1" x14ac:dyDescent="0.2">
      <c r="A978" s="36" t="str">
        <f>HYPERLINK("https://www.howardcc.edu", "Howard Community College")</f>
        <v>Howard Community College</v>
      </c>
      <c r="B978" s="18" t="s">
        <v>49</v>
      </c>
      <c r="C978" s="18" t="s">
        <v>124</v>
      </c>
      <c r="D978" s="18" t="s">
        <v>165</v>
      </c>
      <c r="E978" s="18" t="s">
        <v>36</v>
      </c>
      <c r="F978" s="18" t="s">
        <v>36</v>
      </c>
      <c r="J978" s="19"/>
      <c r="K978" s="19">
        <v>0.192</v>
      </c>
      <c r="L978" s="19">
        <v>0.183505155</v>
      </c>
      <c r="M978" s="19">
        <v>0.26069999999999999</v>
      </c>
      <c r="N978" s="19">
        <v>0.1133</v>
      </c>
      <c r="O978" s="19">
        <v>0.1774</v>
      </c>
      <c r="P978" s="19">
        <v>0.1908</v>
      </c>
      <c r="Q978" s="19">
        <v>0.12956204399999999</v>
      </c>
      <c r="R978" s="20">
        <v>28827</v>
      </c>
      <c r="S978" s="21" t="str">
        <f>HYPERLINK("https://www.howardcc.edu/admissions-aid/pay-for-college/financial-aid/Net_Price_Calculator.html", "$23182")</f>
        <v>$23182</v>
      </c>
      <c r="T978" s="20">
        <v>25451</v>
      </c>
      <c r="U978" s="20">
        <v>27691</v>
      </c>
      <c r="V978" s="20">
        <v>5640</v>
      </c>
      <c r="W978" s="20">
        <v>17542.822404371589</v>
      </c>
      <c r="Y978" s="19">
        <v>0.28920000000000001</v>
      </c>
      <c r="Z978" s="19">
        <v>0.67009999999999992</v>
      </c>
      <c r="AB978" s="18">
        <v>8943</v>
      </c>
      <c r="AC978" s="18">
        <v>6</v>
      </c>
    </row>
    <row r="979" spans="1:29" ht="15.75" customHeight="1" x14ac:dyDescent="0.2">
      <c r="A979" s="36" t="str">
        <f>HYPERLINK("https://www.hputx.edu", "Howard Payne University")</f>
        <v>Howard Payne University</v>
      </c>
      <c r="B979" s="18" t="s">
        <v>32</v>
      </c>
      <c r="C979" s="18" t="s">
        <v>146</v>
      </c>
      <c r="D979" s="18" t="s">
        <v>827</v>
      </c>
      <c r="E979" s="18">
        <v>1036</v>
      </c>
      <c r="F979" s="18" t="s">
        <v>35</v>
      </c>
      <c r="J979" s="19"/>
      <c r="K979" s="19">
        <v>0.4143</v>
      </c>
      <c r="L979" s="19">
        <v>0.31372549</v>
      </c>
      <c r="M979" s="19">
        <v>0.47689999999999999</v>
      </c>
      <c r="N979" s="19">
        <v>0.14710000000000001</v>
      </c>
      <c r="O979" s="19">
        <v>0.36109999999999998</v>
      </c>
      <c r="P979" s="19" t="s">
        <v>36</v>
      </c>
      <c r="Q979" s="19"/>
      <c r="R979" s="20">
        <v>39890</v>
      </c>
      <c r="S979" s="21" t="str">
        <f>HYPERLINK("https://www.hputx.edu/campus-offices/financial-aid/net-price-calculator-external/", "$19433")</f>
        <v>$19433</v>
      </c>
      <c r="T979" s="20">
        <v>22251</v>
      </c>
      <c r="U979" s="20">
        <v>24510</v>
      </c>
      <c r="V979" s="20">
        <v>3896</v>
      </c>
      <c r="W979" s="20">
        <v>15537</v>
      </c>
      <c r="Y979" s="19">
        <v>0.43719999999999998</v>
      </c>
      <c r="Z979" s="19">
        <v>0.44940000000000002</v>
      </c>
      <c r="AB979" s="18">
        <v>919</v>
      </c>
      <c r="AC979" s="18">
        <v>4</v>
      </c>
    </row>
    <row r="980" spans="1:29" ht="15.75" customHeight="1" x14ac:dyDescent="0.2">
      <c r="A980" s="36" t="str">
        <f>HYPERLINK("https://www.howard.edu", "Howard University")</f>
        <v>Howard University</v>
      </c>
      <c r="B980" s="18" t="s">
        <v>32</v>
      </c>
      <c r="C980" s="18" t="s">
        <v>113</v>
      </c>
      <c r="D980" s="18" t="s">
        <v>114</v>
      </c>
      <c r="E980" s="18">
        <v>1201</v>
      </c>
      <c r="F980" s="18" t="s">
        <v>35</v>
      </c>
      <c r="J980" s="19"/>
      <c r="K980" s="19">
        <v>0.63360000000000005</v>
      </c>
      <c r="L980" s="19">
        <v>0.53929121700000004</v>
      </c>
      <c r="M980" s="19">
        <v>0.6</v>
      </c>
      <c r="N980" s="19">
        <v>0.6321</v>
      </c>
      <c r="O980" s="19">
        <v>0.5</v>
      </c>
      <c r="P980" s="19">
        <v>1</v>
      </c>
      <c r="Q980" s="19"/>
      <c r="R980" s="20">
        <v>43201</v>
      </c>
      <c r="S980" s="21" t="str">
        <f>HYPERLINK("https://www.howard.edu/financialaid/netprice/npcalc.htm", "$23505")</f>
        <v>$23505</v>
      </c>
      <c r="T980" s="20">
        <v>26156</v>
      </c>
      <c r="U980" s="20">
        <v>26300</v>
      </c>
      <c r="V980" s="20">
        <v>4000</v>
      </c>
      <c r="W980" s="20">
        <v>19505</v>
      </c>
      <c r="Y980" s="19">
        <v>0.46279999999999999</v>
      </c>
      <c r="Z980" s="19">
        <v>0.98680000000000001</v>
      </c>
      <c r="AB980" s="18">
        <v>6276</v>
      </c>
      <c r="AC980" s="18">
        <v>4</v>
      </c>
    </row>
    <row r="981" spans="1:29" ht="15.75" customHeight="1" x14ac:dyDescent="0.2">
      <c r="A981" s="36" t="str">
        <f>HYPERLINK("https://www.hccc.edu", "SUNY Hudson Valley Community College")</f>
        <v>SUNY Hudson Valley Community College</v>
      </c>
      <c r="B981" s="18" t="s">
        <v>49</v>
      </c>
      <c r="C981" s="18" t="s">
        <v>141</v>
      </c>
      <c r="D981" s="18" t="s">
        <v>1004</v>
      </c>
      <c r="E981" s="18" t="s">
        <v>36</v>
      </c>
      <c r="F981" s="18" t="s">
        <v>36</v>
      </c>
      <c r="J981" s="19"/>
      <c r="K981" s="19">
        <v>0.1002</v>
      </c>
      <c r="L981" s="19">
        <v>0.116394606</v>
      </c>
      <c r="M981" s="19">
        <v>0.12330000000000001</v>
      </c>
      <c r="N981" s="19">
        <v>6.1199999999999997E-2</v>
      </c>
      <c r="O981" s="19">
        <v>0.10299999999999999</v>
      </c>
      <c r="P981" s="19">
        <v>0.16789999999999999</v>
      </c>
      <c r="Q981" s="19">
        <v>6.5074135000000005E-2</v>
      </c>
      <c r="R981" s="20">
        <v>28420</v>
      </c>
      <c r="S981" s="21" t="str">
        <f>HYPERLINK("https://www.hccc.edu/Net_Price_Calculator/", "$22756")</f>
        <v>$22756</v>
      </c>
      <c r="T981" s="20">
        <v>25932</v>
      </c>
      <c r="U981" s="20">
        <v>27125</v>
      </c>
      <c r="V981" s="20">
        <v>4550</v>
      </c>
      <c r="W981" s="20">
        <v>18206.825823223571</v>
      </c>
      <c r="Y981" s="19">
        <v>0.6179</v>
      </c>
      <c r="Z981" s="19">
        <v>0.88449999999999995</v>
      </c>
      <c r="AB981" s="18">
        <v>7984</v>
      </c>
      <c r="AC981" s="18">
        <v>6</v>
      </c>
    </row>
    <row r="982" spans="1:29" ht="15.75" customHeight="1" x14ac:dyDescent="0.2">
      <c r="A982" s="36" t="str">
        <f>HYPERLINK("https://www.hvcc.edu", "Hudson Valley Community College")</f>
        <v>Hudson Valley Community College</v>
      </c>
      <c r="B982" s="18" t="s">
        <v>49</v>
      </c>
      <c r="C982" s="18" t="s">
        <v>38</v>
      </c>
      <c r="D982" s="18" t="s">
        <v>145</v>
      </c>
      <c r="E982" s="18" t="s">
        <v>36</v>
      </c>
      <c r="F982" s="18" t="s">
        <v>36</v>
      </c>
      <c r="G982" s="18" t="s">
        <v>51</v>
      </c>
      <c r="J982" s="19"/>
      <c r="K982" s="19">
        <v>0.28489999999999999</v>
      </c>
      <c r="L982" s="19">
        <v>0.25601750600000001</v>
      </c>
      <c r="M982" s="19">
        <v>0.32350000000000001</v>
      </c>
      <c r="N982" s="19">
        <v>0.1149</v>
      </c>
      <c r="O982" s="19">
        <v>0.15</v>
      </c>
      <c r="P982" s="19">
        <v>0.35289999999999999</v>
      </c>
      <c r="Q982" s="19">
        <v>7.8865979000000003E-2</v>
      </c>
      <c r="R982" s="20" t="s">
        <v>36</v>
      </c>
      <c r="S982" s="21" t="str">
        <f>HYPERLINK("https://www.hvcc.edu/npc/index.html", "$6613")</f>
        <v>$6613</v>
      </c>
      <c r="T982" s="20">
        <v>10847</v>
      </c>
      <c r="U982" s="20">
        <v>12601</v>
      </c>
      <c r="V982" s="20" t="s">
        <v>36</v>
      </c>
      <c r="W982" s="20" t="s">
        <v>36</v>
      </c>
      <c r="Y982" s="19">
        <v>0.2671</v>
      </c>
      <c r="Z982" s="19">
        <v>0.29970000000000002</v>
      </c>
      <c r="AB982" s="18">
        <v>7695</v>
      </c>
      <c r="AC982" s="18">
        <v>6</v>
      </c>
    </row>
    <row r="983" spans="1:29" ht="15.75" customHeight="1" x14ac:dyDescent="0.2">
      <c r="A983" s="36" t="str">
        <f>HYPERLINK("https://www.huertas.edu", "Huertas College")</f>
        <v>Huertas College</v>
      </c>
      <c r="B983" s="18" t="s">
        <v>368</v>
      </c>
      <c r="C983" s="18" t="s">
        <v>284</v>
      </c>
      <c r="D983" s="18" t="s">
        <v>1214</v>
      </c>
      <c r="E983" s="18" t="s">
        <v>36</v>
      </c>
      <c r="F983" s="18" t="s">
        <v>36</v>
      </c>
      <c r="J983" s="19"/>
      <c r="K983" s="19">
        <v>0.4118</v>
      </c>
      <c r="L983" s="19">
        <v>8.2623508999999998E-2</v>
      </c>
      <c r="M983" s="19" t="s">
        <v>36</v>
      </c>
      <c r="N983" s="19" t="s">
        <v>36</v>
      </c>
      <c r="O983" s="19">
        <v>0.4118</v>
      </c>
      <c r="P983" s="19" t="s">
        <v>36</v>
      </c>
      <c r="Q983" s="19">
        <v>6.9892472999999997E-2</v>
      </c>
      <c r="R983" s="20">
        <v>15766</v>
      </c>
      <c r="S983" s="21" t="str">
        <f>HYPERLINK("https://www.huertas.edu", "$8418")</f>
        <v>$8418</v>
      </c>
      <c r="T983" s="20">
        <v>7928</v>
      </c>
      <c r="U983" s="20">
        <v>10065</v>
      </c>
      <c r="V983" s="20">
        <v>4139</v>
      </c>
      <c r="W983" s="20">
        <v>4279</v>
      </c>
      <c r="Y983" s="19">
        <v>0.89249999999999996</v>
      </c>
      <c r="Z983" s="19">
        <v>1</v>
      </c>
      <c r="AB983" s="18">
        <v>727</v>
      </c>
      <c r="AC983" s="18">
        <v>6</v>
      </c>
    </row>
    <row r="984" spans="1:29" ht="15.75" customHeight="1" x14ac:dyDescent="0.2">
      <c r="A984" s="36" t="str">
        <f>HYPERLINK("https://www.hccpr.edu", "Humacao Community College")</f>
        <v>Humacao Community College</v>
      </c>
      <c r="B984" s="18" t="s">
        <v>32</v>
      </c>
      <c r="C984" s="18" t="s">
        <v>284</v>
      </c>
      <c r="D984" s="18" t="s">
        <v>1050</v>
      </c>
      <c r="E984" s="18" t="s">
        <v>36</v>
      </c>
      <c r="F984" s="18" t="s">
        <v>36</v>
      </c>
      <c r="J984" s="19"/>
      <c r="K984" s="19">
        <v>0.67879999999999996</v>
      </c>
      <c r="L984" s="19" t="s">
        <v>36</v>
      </c>
      <c r="M984" s="19" t="s">
        <v>36</v>
      </c>
      <c r="N984" s="19" t="s">
        <v>36</v>
      </c>
      <c r="O984" s="19">
        <v>0.67879999999999996</v>
      </c>
      <c r="P984" s="19" t="s">
        <v>36</v>
      </c>
      <c r="Q984" s="19">
        <v>4.1436463999999999E-2</v>
      </c>
      <c r="R984" s="20">
        <v>11202</v>
      </c>
      <c r="S984" s="21" t="str">
        <f>HYPERLINK("https://www.hccpr.edu", "$3116")</f>
        <v>$3116</v>
      </c>
      <c r="T984" s="20">
        <v>4245</v>
      </c>
      <c r="U984" s="20" t="s">
        <v>36</v>
      </c>
      <c r="V984" s="20">
        <v>3200</v>
      </c>
      <c r="W984" s="20">
        <v>-84</v>
      </c>
      <c r="Y984" s="19">
        <v>0.95540000000000003</v>
      </c>
      <c r="Z984" s="19">
        <v>1</v>
      </c>
      <c r="AB984" s="18">
        <v>468</v>
      </c>
      <c r="AC984" s="18">
        <v>6</v>
      </c>
    </row>
    <row r="985" spans="1:29" ht="15.75" customHeight="1" x14ac:dyDescent="0.2">
      <c r="A985" s="36" t="str">
        <f>HYPERLINK("https://www.humboldt.edu", "Humboldt State University")</f>
        <v>Humboldt State University</v>
      </c>
      <c r="B985" s="18" t="s">
        <v>49</v>
      </c>
      <c r="C985" s="18" t="s">
        <v>68</v>
      </c>
      <c r="D985" s="18" t="s">
        <v>828</v>
      </c>
      <c r="E985" s="18">
        <v>1062</v>
      </c>
      <c r="F985" s="18" t="s">
        <v>35</v>
      </c>
      <c r="J985" s="19"/>
      <c r="K985" s="19">
        <v>0.46589999999999998</v>
      </c>
      <c r="L985" s="19">
        <v>0.49040767400000002</v>
      </c>
      <c r="M985" s="19">
        <v>0.50570000000000004</v>
      </c>
      <c r="N985" s="19">
        <v>0.4</v>
      </c>
      <c r="O985" s="19">
        <v>0.39889999999999998</v>
      </c>
      <c r="P985" s="19">
        <v>0.53059999999999996</v>
      </c>
      <c r="Q985" s="19"/>
      <c r="R985" s="20">
        <v>36601</v>
      </c>
      <c r="S985" s="21" t="str">
        <f>HYPERLINK("https://finaid.humboldt.edu/sites/default/files/calculator/", "$24432")</f>
        <v>$24432</v>
      </c>
      <c r="T985" s="20">
        <v>29191</v>
      </c>
      <c r="U985" s="20">
        <v>32371</v>
      </c>
      <c r="V985" s="20">
        <v>4212</v>
      </c>
      <c r="W985" s="20">
        <v>20220.150183150181</v>
      </c>
      <c r="Y985" s="19">
        <v>0.55730000000000002</v>
      </c>
      <c r="Z985" s="19">
        <v>0.57790000000000008</v>
      </c>
      <c r="AB985" s="18">
        <v>7846</v>
      </c>
      <c r="AC985" s="18">
        <v>4</v>
      </c>
    </row>
    <row r="986" spans="1:29" ht="15.75" customHeight="1" x14ac:dyDescent="0.2">
      <c r="A986" s="36" t="str">
        <f>HYPERLINK("https://humphreys.edu", "Humphreys College-Modesto")</f>
        <v>Humphreys College-Modesto</v>
      </c>
      <c r="B986" s="18" t="s">
        <v>32</v>
      </c>
      <c r="C986" s="18" t="s">
        <v>68</v>
      </c>
      <c r="D986" s="18" t="s">
        <v>745</v>
      </c>
      <c r="E986" s="18" t="s">
        <v>36</v>
      </c>
      <c r="F986" s="18" t="s">
        <v>36</v>
      </c>
      <c r="J986" s="19"/>
      <c r="K986" s="19" t="s">
        <v>36</v>
      </c>
      <c r="L986" s="19">
        <v>0.24418604699999999</v>
      </c>
      <c r="M986" s="19" t="s">
        <v>36</v>
      </c>
      <c r="N986" s="19" t="s">
        <v>36</v>
      </c>
      <c r="O986" s="19" t="s">
        <v>36</v>
      </c>
      <c r="P986" s="19" t="s">
        <v>36</v>
      </c>
      <c r="Q986" s="19"/>
      <c r="R986" s="20" t="s">
        <v>36</v>
      </c>
      <c r="S986" s="35" t="s">
        <v>36</v>
      </c>
      <c r="T986" s="20" t="s">
        <v>36</v>
      </c>
      <c r="U986" s="20" t="s">
        <v>36</v>
      </c>
      <c r="V986" s="20" t="s">
        <v>36</v>
      </c>
      <c r="W986" s="20" t="s">
        <v>36</v>
      </c>
      <c r="Y986" s="19" t="s">
        <v>36</v>
      </c>
      <c r="Z986" s="19" t="s">
        <v>36</v>
      </c>
      <c r="AB986" s="18" t="s">
        <v>36</v>
      </c>
      <c r="AC986" s="18">
        <v>5</v>
      </c>
    </row>
    <row r="987" spans="1:29" ht="15.75" customHeight="1" x14ac:dyDescent="0.2">
      <c r="A987" s="36" t="str">
        <f>HYPERLINK("https://www.humphreys.edu", "Humphreys College-Stockton and Modesto Campuses")</f>
        <v>Humphreys College-Stockton and Modesto Campuses</v>
      </c>
      <c r="B987" s="18" t="s">
        <v>32</v>
      </c>
      <c r="C987" s="18" t="s">
        <v>68</v>
      </c>
      <c r="D987" s="18" t="s">
        <v>528</v>
      </c>
      <c r="E987" s="18" t="s">
        <v>36</v>
      </c>
      <c r="F987" s="18" t="s">
        <v>36</v>
      </c>
      <c r="J987" s="19"/>
      <c r="K987" s="19">
        <v>0.4098</v>
      </c>
      <c r="L987" s="19">
        <v>0.24418604699999999</v>
      </c>
      <c r="M987" s="19">
        <v>0.2727</v>
      </c>
      <c r="N987" s="19">
        <v>0.42859999999999998</v>
      </c>
      <c r="O987" s="19">
        <v>0.42859999999999998</v>
      </c>
      <c r="P987" s="19">
        <v>0.57140000000000002</v>
      </c>
      <c r="Q987" s="19"/>
      <c r="R987" s="20">
        <v>33390</v>
      </c>
      <c r="S987" s="21" t="str">
        <f>HYPERLINK("https://www.humphreys.edu", "$18484")</f>
        <v>$18484</v>
      </c>
      <c r="T987" s="20" t="s">
        <v>36</v>
      </c>
      <c r="U987" s="20">
        <v>25489</v>
      </c>
      <c r="V987" s="20">
        <v>6093</v>
      </c>
      <c r="W987" s="20">
        <v>12391</v>
      </c>
      <c r="Y987" s="19">
        <v>0.65820000000000001</v>
      </c>
      <c r="Z987" s="19">
        <v>0.79310000000000003</v>
      </c>
      <c r="AB987" s="18">
        <v>319</v>
      </c>
      <c r="AC987" s="18">
        <v>5</v>
      </c>
    </row>
    <row r="988" spans="1:29" ht="15.75" customHeight="1" x14ac:dyDescent="0.2">
      <c r="A988" s="36" t="str">
        <f>HYPERLINK("https://hunterbusinessschool.edu", "Hunter Business School")</f>
        <v>Hunter Business School</v>
      </c>
      <c r="B988" s="18" t="s">
        <v>368</v>
      </c>
      <c r="C988" s="18" t="s">
        <v>38</v>
      </c>
      <c r="D988" s="18" t="s">
        <v>1429</v>
      </c>
      <c r="E988" s="18" t="s">
        <v>36</v>
      </c>
      <c r="F988" s="18" t="s">
        <v>36</v>
      </c>
      <c r="J988" s="19"/>
      <c r="K988" s="19">
        <v>0.8327</v>
      </c>
      <c r="L988" s="19">
        <v>0.67802384999999998</v>
      </c>
      <c r="M988" s="19">
        <v>0.84430000000000005</v>
      </c>
      <c r="N988" s="19">
        <v>0.81430000000000002</v>
      </c>
      <c r="O988" s="19">
        <v>0.80689999999999995</v>
      </c>
      <c r="P988" s="19">
        <v>0.875</v>
      </c>
      <c r="Q988" s="19" t="s">
        <v>36</v>
      </c>
      <c r="R988" s="20" t="s">
        <v>36</v>
      </c>
      <c r="S988" s="21" t="str">
        <f>HYPERLINK("https://www.hunterbusinessschool.edu/NetPriceCalculator/npcalc.htm", "$12877")</f>
        <v>$12877</v>
      </c>
      <c r="T988" s="20">
        <v>16433</v>
      </c>
      <c r="U988" s="20">
        <v>18365</v>
      </c>
      <c r="V988" s="20" t="s">
        <v>36</v>
      </c>
      <c r="W988" s="20" t="s">
        <v>36</v>
      </c>
      <c r="Y988" s="19">
        <v>0.67959999999999998</v>
      </c>
      <c r="Z988" s="19">
        <v>0.48020000000000002</v>
      </c>
      <c r="AB988" s="18">
        <v>1008</v>
      </c>
      <c r="AC988" s="18">
        <v>6</v>
      </c>
    </row>
    <row r="989" spans="1:29" ht="15.75" customHeight="1" x14ac:dyDescent="0.2">
      <c r="A989" s="36" t="str">
        <f>HYPERLINK("https://www.huntingdon.edu", "Huntingdon College")</f>
        <v>Huntingdon College</v>
      </c>
      <c r="B989" s="18" t="s">
        <v>32</v>
      </c>
      <c r="C989" s="18" t="s">
        <v>300</v>
      </c>
      <c r="D989" s="18" t="s">
        <v>547</v>
      </c>
      <c r="E989" s="18">
        <v>1085</v>
      </c>
      <c r="F989" s="18" t="s">
        <v>35</v>
      </c>
      <c r="J989" s="19"/>
      <c r="K989" s="19">
        <v>0.36720000000000003</v>
      </c>
      <c r="L989" s="19">
        <v>0.3984375</v>
      </c>
      <c r="M989" s="19">
        <v>0.41620000000000001</v>
      </c>
      <c r="N989" s="19">
        <v>0.22220000000000001</v>
      </c>
      <c r="O989" s="19">
        <v>0.2</v>
      </c>
      <c r="P989" s="19">
        <v>0.5</v>
      </c>
      <c r="Q989" s="19"/>
      <c r="R989" s="20">
        <v>37235</v>
      </c>
      <c r="S989" s="21" t="str">
        <f>HYPERLINK("https://hawk.huntingdon.edu/oiac/netpricecalculator/npcalc.htm", "$16834")</f>
        <v>$16834</v>
      </c>
      <c r="T989" s="20">
        <v>20567</v>
      </c>
      <c r="U989" s="20">
        <v>21698</v>
      </c>
      <c r="V989" s="20">
        <v>1335</v>
      </c>
      <c r="W989" s="20">
        <v>15499</v>
      </c>
      <c r="Y989" s="19">
        <v>0.43120000000000003</v>
      </c>
      <c r="Z989" s="19">
        <v>0.36209999999999998</v>
      </c>
      <c r="AB989" s="18">
        <v>1099</v>
      </c>
      <c r="AC989" s="18">
        <v>4</v>
      </c>
    </row>
    <row r="990" spans="1:29" ht="15.75" customHeight="1" x14ac:dyDescent="0.2">
      <c r="A990" s="36" t="str">
        <f>HYPERLINK("https://www.huntingtonjuniorcollege.edu", "Huntington Junior College")</f>
        <v>Huntington Junior College</v>
      </c>
      <c r="B990" s="18" t="s">
        <v>368</v>
      </c>
      <c r="C990" s="18" t="s">
        <v>574</v>
      </c>
      <c r="D990" s="18" t="s">
        <v>830</v>
      </c>
      <c r="E990" s="18" t="s">
        <v>36</v>
      </c>
      <c r="F990" s="18" t="s">
        <v>36</v>
      </c>
      <c r="J990" s="19"/>
      <c r="K990" s="19">
        <v>0.2455</v>
      </c>
      <c r="L990" s="19">
        <v>0.22736030800000001</v>
      </c>
      <c r="M990" s="19">
        <v>0.2273</v>
      </c>
      <c r="N990" s="19">
        <v>0.33329999999999999</v>
      </c>
      <c r="O990" s="19" t="s">
        <v>36</v>
      </c>
      <c r="P990" s="19" t="s">
        <v>36</v>
      </c>
      <c r="Q990" s="19" t="s">
        <v>36</v>
      </c>
      <c r="R990" s="20">
        <v>14895</v>
      </c>
      <c r="S990" s="21" t="str">
        <f>HYPERLINK("https://www.huntingtonjuniorcollege.edu/Financial-Aid/Net-Price-Calculator.aspx", "$8613")</f>
        <v>$8613</v>
      </c>
      <c r="T990" s="20">
        <v>10837</v>
      </c>
      <c r="U990" s="20">
        <v>11262</v>
      </c>
      <c r="V990" s="20">
        <v>1755</v>
      </c>
      <c r="W990" s="20">
        <v>6858</v>
      </c>
      <c r="Y990" s="19">
        <v>0.71960000000000002</v>
      </c>
      <c r="Z990" s="19">
        <v>0.19450000000000001</v>
      </c>
      <c r="AB990" s="18">
        <v>365</v>
      </c>
      <c r="AC990" s="18">
        <v>6</v>
      </c>
    </row>
    <row r="991" spans="1:29" ht="15.75" customHeight="1" x14ac:dyDescent="0.2">
      <c r="A991" s="36" t="str">
        <f>HYPERLINK("https://www.huntington.edu", "Huntington University")</f>
        <v>Huntington University</v>
      </c>
      <c r="B991" s="18" t="s">
        <v>32</v>
      </c>
      <c r="C991" s="18" t="s">
        <v>148</v>
      </c>
      <c r="D991" s="18" t="s">
        <v>830</v>
      </c>
      <c r="E991" s="18">
        <v>1080</v>
      </c>
      <c r="F991" s="18" t="s">
        <v>35</v>
      </c>
      <c r="J991" s="19"/>
      <c r="K991" s="19">
        <v>0.59919999999999995</v>
      </c>
      <c r="L991" s="19">
        <v>0.44</v>
      </c>
      <c r="M991" s="19">
        <v>0.60650000000000004</v>
      </c>
      <c r="N991" s="19">
        <v>0.375</v>
      </c>
      <c r="O991" s="19">
        <v>0.83330000000000004</v>
      </c>
      <c r="P991" s="19">
        <v>0.66669999999999996</v>
      </c>
      <c r="Q991" s="19"/>
      <c r="R991" s="20">
        <v>37296</v>
      </c>
      <c r="S991" s="21" t="str">
        <f>HYPERLINK("https://www.indianacollegecosts.org/", "$17729")</f>
        <v>$17729</v>
      </c>
      <c r="T991" s="20">
        <v>22810</v>
      </c>
      <c r="U991" s="20">
        <v>24962</v>
      </c>
      <c r="V991" s="20">
        <v>3300</v>
      </c>
      <c r="W991" s="20">
        <v>14429</v>
      </c>
      <c r="Y991" s="19">
        <v>0.32329999999999998</v>
      </c>
      <c r="Z991" s="19">
        <v>0.17390000000000011</v>
      </c>
      <c r="AB991" s="18">
        <v>949</v>
      </c>
      <c r="AC991" s="18">
        <v>4</v>
      </c>
    </row>
    <row r="992" spans="1:29" ht="15.75" customHeight="1" x14ac:dyDescent="0.2">
      <c r="A992" s="36" t="str">
        <f>HYPERLINK("https://www.hbc1.edu", "Huntsville Bible College")</f>
        <v>Huntsville Bible College</v>
      </c>
      <c r="B992" s="18" t="s">
        <v>32</v>
      </c>
      <c r="C992" s="18" t="s">
        <v>300</v>
      </c>
      <c r="D992" s="18" t="s">
        <v>497</v>
      </c>
      <c r="E992" s="18" t="s">
        <v>36</v>
      </c>
      <c r="F992" s="18" t="s">
        <v>36</v>
      </c>
      <c r="J992" s="19"/>
      <c r="K992" s="19">
        <v>1</v>
      </c>
      <c r="L992" s="19" t="s">
        <v>36</v>
      </c>
      <c r="M992" s="19" t="s">
        <v>36</v>
      </c>
      <c r="N992" s="19">
        <v>1</v>
      </c>
      <c r="O992" s="19" t="s">
        <v>36</v>
      </c>
      <c r="P992" s="19" t="s">
        <v>36</v>
      </c>
      <c r="Q992" s="19" t="s">
        <v>36</v>
      </c>
      <c r="R992" s="20">
        <v>17425</v>
      </c>
      <c r="S992" s="21" t="str">
        <f>HYPERLINK("https://huntsvillebiblecollege.org/admissions/net-calculator", "Not reported")</f>
        <v>Not reported</v>
      </c>
      <c r="T992" s="20" t="s">
        <v>36</v>
      </c>
      <c r="U992" s="20" t="s">
        <v>36</v>
      </c>
      <c r="V992" s="20">
        <v>6115</v>
      </c>
      <c r="W992" s="20" t="s">
        <v>36</v>
      </c>
      <c r="Y992" s="19">
        <v>0.74790000000000001</v>
      </c>
      <c r="Z992" s="19">
        <v>0.98309999999999997</v>
      </c>
      <c r="AB992" s="18">
        <v>118</v>
      </c>
      <c r="AC992" s="18">
        <v>6</v>
      </c>
    </row>
    <row r="993" spans="1:29" ht="15.75" customHeight="1" x14ac:dyDescent="0.2">
      <c r="A993" s="36" t="str">
        <f>HYPERLINK("https://www.daymarcollege.edu", "Daymar College-Bowling Green")</f>
        <v>Daymar College-Bowling Green</v>
      </c>
      <c r="B993" s="18" t="s">
        <v>368</v>
      </c>
      <c r="C993" s="18" t="s">
        <v>205</v>
      </c>
      <c r="D993" s="18" t="s">
        <v>585</v>
      </c>
      <c r="E993" s="18" t="s">
        <v>36</v>
      </c>
      <c r="F993" s="18" t="s">
        <v>36</v>
      </c>
      <c r="J993" s="19"/>
      <c r="K993" s="19">
        <v>0.34289999999999998</v>
      </c>
      <c r="L993" s="19">
        <v>0.283942109</v>
      </c>
      <c r="M993" s="19">
        <v>0.3548</v>
      </c>
      <c r="N993" s="19">
        <v>0.5</v>
      </c>
      <c r="O993" s="19" t="s">
        <v>36</v>
      </c>
      <c r="P993" s="19">
        <v>0</v>
      </c>
      <c r="Q993" s="19">
        <v>2.5599129000000002E-2</v>
      </c>
      <c r="R993" s="20">
        <v>26988</v>
      </c>
      <c r="S993" s="21" t="str">
        <f>HYPERLINK("https://www.daymarcollege.edu/admissions/net-price-calculator", "$20826")</f>
        <v>$20826</v>
      </c>
      <c r="T993" s="20" t="s">
        <v>36</v>
      </c>
      <c r="U993" s="20" t="s">
        <v>36</v>
      </c>
      <c r="V993" s="20" t="s">
        <v>36</v>
      </c>
      <c r="W993" s="20" t="s">
        <v>36</v>
      </c>
      <c r="Y993" s="19">
        <v>0.82679999999999998</v>
      </c>
      <c r="Z993" s="19">
        <v>0.33679999999999999</v>
      </c>
      <c r="AB993" s="18">
        <v>288</v>
      </c>
      <c r="AC993" s="18">
        <v>6</v>
      </c>
    </row>
    <row r="994" spans="1:29" ht="15.75" customHeight="1" x14ac:dyDescent="0.2">
      <c r="A994" s="36" t="str">
        <f>HYPERLINK("https://www.daymarcollege.edu/", "Daymar Institute-Clarksville")</f>
        <v>Daymar Institute-Clarksville</v>
      </c>
      <c r="B994" s="18" t="s">
        <v>368</v>
      </c>
      <c r="C994" s="18" t="s">
        <v>174</v>
      </c>
      <c r="D994" s="18" t="s">
        <v>564</v>
      </c>
      <c r="E994" s="18" t="s">
        <v>36</v>
      </c>
      <c r="F994" s="18" t="s">
        <v>36</v>
      </c>
      <c r="J994" s="19"/>
      <c r="K994" s="19">
        <v>0.48570000000000002</v>
      </c>
      <c r="L994" s="19">
        <v>0.283942109</v>
      </c>
      <c r="M994" s="19">
        <v>0.51559999999999995</v>
      </c>
      <c r="N994" s="19">
        <v>0.42859999999999998</v>
      </c>
      <c r="O994" s="19">
        <v>0.44440000000000002</v>
      </c>
      <c r="P994" s="19" t="s">
        <v>36</v>
      </c>
      <c r="Q994" s="19">
        <v>2.5599129000000002E-2</v>
      </c>
      <c r="R994" s="20">
        <v>26988</v>
      </c>
      <c r="S994" s="21" t="str">
        <f>HYPERLINK("https://www.daymarcollege.edu/admissions/net-price-calculator", "$24781")</f>
        <v>$24781</v>
      </c>
      <c r="T994" s="20" t="s">
        <v>36</v>
      </c>
      <c r="U994" s="20" t="s">
        <v>36</v>
      </c>
      <c r="V994" s="20" t="s">
        <v>36</v>
      </c>
      <c r="W994" s="20" t="s">
        <v>36</v>
      </c>
      <c r="Y994" s="19">
        <v>0.76229999999999998</v>
      </c>
      <c r="Z994" s="19">
        <v>0.5776</v>
      </c>
      <c r="AB994" s="18">
        <v>1025</v>
      </c>
      <c r="AC994" s="18">
        <v>6</v>
      </c>
    </row>
    <row r="995" spans="1:29" ht="15.75" customHeight="1" x14ac:dyDescent="0.2">
      <c r="A995" s="36" t="str">
        <f>HYPERLINK("https://www.daymarcollege.edu", "Daymar Institute-Murfreesboro")</f>
        <v>Daymar Institute-Murfreesboro</v>
      </c>
      <c r="B995" s="18" t="s">
        <v>368</v>
      </c>
      <c r="C995" s="18" t="s">
        <v>174</v>
      </c>
      <c r="D995" s="18" t="s">
        <v>964</v>
      </c>
      <c r="E995" s="18" t="s">
        <v>36</v>
      </c>
      <c r="F995" s="18" t="s">
        <v>36</v>
      </c>
      <c r="J995" s="19"/>
      <c r="K995" s="19">
        <v>0.58330000000000004</v>
      </c>
      <c r="L995" s="19">
        <v>0.283942109</v>
      </c>
      <c r="M995" s="19">
        <v>0.65710000000000002</v>
      </c>
      <c r="N995" s="19">
        <v>0.22220000000000001</v>
      </c>
      <c r="O995" s="19">
        <v>1</v>
      </c>
      <c r="P995" s="19" t="s">
        <v>36</v>
      </c>
      <c r="Q995" s="19">
        <v>2.5599129000000002E-2</v>
      </c>
      <c r="R995" s="20">
        <v>26988</v>
      </c>
      <c r="S995" s="21" t="str">
        <f>HYPERLINK("https://www.daymarcollege.edu/admissions/net-price-calculator", "$20698")</f>
        <v>$20698</v>
      </c>
      <c r="T995" s="20" t="s">
        <v>36</v>
      </c>
      <c r="U995" s="20" t="s">
        <v>36</v>
      </c>
      <c r="V995" s="20" t="s">
        <v>36</v>
      </c>
      <c r="W995" s="20" t="s">
        <v>36</v>
      </c>
      <c r="Y995" s="19">
        <v>0.86560000000000004</v>
      </c>
      <c r="Z995" s="19">
        <v>0.50970000000000004</v>
      </c>
      <c r="AB995" s="18">
        <v>206</v>
      </c>
      <c r="AC995" s="18">
        <v>6</v>
      </c>
    </row>
    <row r="996" spans="1:29" ht="15.75" customHeight="1" x14ac:dyDescent="0.2">
      <c r="A996" s="36" t="str">
        <f>HYPERLINK("https://www.daymarcollege.edu", "Daymar Institute-Nashville")</f>
        <v>Daymar Institute-Nashville</v>
      </c>
      <c r="B996" s="18" t="s">
        <v>368</v>
      </c>
      <c r="C996" s="18" t="s">
        <v>174</v>
      </c>
      <c r="D996" s="18" t="s">
        <v>175</v>
      </c>
      <c r="E996" s="18" t="s">
        <v>36</v>
      </c>
      <c r="F996" s="18" t="s">
        <v>36</v>
      </c>
      <c r="J996" s="19"/>
      <c r="K996" s="19">
        <v>0.5</v>
      </c>
      <c r="L996" s="19">
        <v>0.283942109</v>
      </c>
      <c r="M996" s="19">
        <v>0.64290000000000003</v>
      </c>
      <c r="N996" s="19">
        <v>0.25</v>
      </c>
      <c r="O996" s="19">
        <v>1</v>
      </c>
      <c r="P996" s="19" t="s">
        <v>36</v>
      </c>
      <c r="Q996" s="19">
        <v>2.5599129000000002E-2</v>
      </c>
      <c r="R996" s="20">
        <v>26988</v>
      </c>
      <c r="S996" s="21" t="str">
        <f>HYPERLINK("https://www.daymarinstitute.edu/admissions/net-price-calculator", "$21439")</f>
        <v>$21439</v>
      </c>
      <c r="T996" s="20" t="s">
        <v>36</v>
      </c>
      <c r="U996" s="20" t="s">
        <v>36</v>
      </c>
      <c r="V996" s="20" t="s">
        <v>36</v>
      </c>
      <c r="W996" s="20" t="s">
        <v>36</v>
      </c>
      <c r="Y996" s="19">
        <v>0.84160000000000001</v>
      </c>
      <c r="Z996" s="19">
        <v>0.67930000000000001</v>
      </c>
      <c r="AB996" s="18">
        <v>237</v>
      </c>
      <c r="AC996" s="18">
        <v>6</v>
      </c>
    </row>
    <row r="997" spans="1:29" ht="15.75" customHeight="1" x14ac:dyDescent="0.2">
      <c r="A997" s="36" t="str">
        <f>HYPERLINK("https://www.husson.edu", "Husson University")</f>
        <v>Husson University</v>
      </c>
      <c r="B997" s="18" t="s">
        <v>32</v>
      </c>
      <c r="C997" s="18" t="s">
        <v>43</v>
      </c>
      <c r="D997" s="18" t="s">
        <v>750</v>
      </c>
      <c r="E997" s="18">
        <v>1048</v>
      </c>
      <c r="F997" s="18" t="s">
        <v>35</v>
      </c>
      <c r="J997" s="19"/>
      <c r="K997" s="19">
        <v>0.54549999999999998</v>
      </c>
      <c r="L997" s="19">
        <v>0.369649805</v>
      </c>
      <c r="M997" s="19">
        <v>0.57110000000000005</v>
      </c>
      <c r="N997" s="19">
        <v>0.18179999999999999</v>
      </c>
      <c r="O997" s="19">
        <v>0.6</v>
      </c>
      <c r="P997" s="19">
        <v>0.5</v>
      </c>
      <c r="Q997" s="19"/>
      <c r="R997" s="20">
        <v>30209</v>
      </c>
      <c r="S997" s="21" t="str">
        <f>HYPERLINK("https://npc.collegeboard.org/student/app/husson", "$15087")</f>
        <v>$15087</v>
      </c>
      <c r="T997" s="20">
        <v>17809</v>
      </c>
      <c r="U997" s="20">
        <v>22135</v>
      </c>
      <c r="V997" s="20">
        <v>3150</v>
      </c>
      <c r="W997" s="20">
        <v>11937</v>
      </c>
      <c r="Y997" s="19">
        <v>0.4289</v>
      </c>
      <c r="Z997" s="19">
        <v>0.14970000000000011</v>
      </c>
      <c r="AB997" s="18">
        <v>2652</v>
      </c>
      <c r="AC997" s="18">
        <v>5</v>
      </c>
    </row>
    <row r="998" spans="1:29" ht="15.75" customHeight="1" x14ac:dyDescent="0.2">
      <c r="A998" s="36" t="str">
        <f>HYPERLINK("https://www.htu.edu", "Huston-Tillotson University")</f>
        <v>Huston-Tillotson University</v>
      </c>
      <c r="B998" s="18" t="s">
        <v>32</v>
      </c>
      <c r="C998" s="18" t="s">
        <v>146</v>
      </c>
      <c r="D998" s="18" t="s">
        <v>264</v>
      </c>
      <c r="E998" s="18">
        <v>947</v>
      </c>
      <c r="F998" s="18" t="s">
        <v>35</v>
      </c>
      <c r="J998" s="19"/>
      <c r="K998" s="19">
        <v>0.22650000000000001</v>
      </c>
      <c r="L998" s="19">
        <v>0.111111111</v>
      </c>
      <c r="M998" s="19">
        <v>0</v>
      </c>
      <c r="N998" s="19">
        <v>0.21540000000000001</v>
      </c>
      <c r="O998" s="19">
        <v>0.2</v>
      </c>
      <c r="P998" s="19">
        <v>1</v>
      </c>
      <c r="Q998" s="19"/>
      <c r="R998" s="20">
        <v>24414</v>
      </c>
      <c r="S998" s="21" t="str">
        <f>HYPERLINK("https://htu.edu/npcalc.htm", "$16911")</f>
        <v>$16911</v>
      </c>
      <c r="T998" s="20">
        <v>20915</v>
      </c>
      <c r="U998" s="20" t="s">
        <v>36</v>
      </c>
      <c r="V998" s="20">
        <v>2500</v>
      </c>
      <c r="W998" s="20">
        <v>14411</v>
      </c>
      <c r="Y998" s="19">
        <v>0.63319999999999999</v>
      </c>
      <c r="Z998" s="19">
        <v>0.94110000000000005</v>
      </c>
      <c r="AB998" s="18">
        <v>1052</v>
      </c>
      <c r="AC998" s="18">
        <v>4</v>
      </c>
    </row>
    <row r="999" spans="1:29" ht="15.75" customHeight="1" x14ac:dyDescent="0.2">
      <c r="A999" s="36" t="str">
        <f>HYPERLINK("https://www.hutchcc.edu", "Hutchinson Community College")</f>
        <v>Hutchinson Community College</v>
      </c>
      <c r="B999" s="18" t="s">
        <v>49</v>
      </c>
      <c r="C999" s="18" t="s">
        <v>307</v>
      </c>
      <c r="D999" s="18" t="s">
        <v>1430</v>
      </c>
      <c r="E999" s="18" t="s">
        <v>36</v>
      </c>
      <c r="F999" s="18" t="s">
        <v>36</v>
      </c>
      <c r="J999" s="19"/>
      <c r="K999" s="19">
        <v>0.37990000000000002</v>
      </c>
      <c r="L999" s="19">
        <v>0.216467464</v>
      </c>
      <c r="M999" s="19">
        <v>0.41970000000000002</v>
      </c>
      <c r="N999" s="19">
        <v>0.15790000000000001</v>
      </c>
      <c r="O999" s="19">
        <v>0.34410000000000002</v>
      </c>
      <c r="P999" s="19">
        <v>0</v>
      </c>
      <c r="Q999" s="19">
        <v>7.1059432000000006E-2</v>
      </c>
      <c r="R999" s="20">
        <v>15450</v>
      </c>
      <c r="S999" s="21" t="str">
        <f>HYPERLINK("https://www.hutchcc.edu/cost", "$9662")</f>
        <v>$9662</v>
      </c>
      <c r="T999" s="20">
        <v>11275</v>
      </c>
      <c r="U999" s="20">
        <v>13540</v>
      </c>
      <c r="V999" s="20">
        <v>5338</v>
      </c>
      <c r="W999" s="20">
        <v>4324.5393258426957</v>
      </c>
      <c r="Y999" s="19">
        <v>0.26250000000000001</v>
      </c>
      <c r="Z999" s="19">
        <v>0.32579999999999998</v>
      </c>
      <c r="AB999" s="18">
        <v>3739</v>
      </c>
      <c r="AC999" s="18">
        <v>6</v>
      </c>
    </row>
    <row r="1000" spans="1:29" ht="15.75" customHeight="1" x14ac:dyDescent="0.2">
      <c r="A1000" s="36" t="str">
        <f>HYPERLINK("https://www.iticollege.edu", "ITI Technical College")</f>
        <v>ITI Technical College</v>
      </c>
      <c r="B1000" s="18" t="s">
        <v>368</v>
      </c>
      <c r="C1000" s="18" t="s">
        <v>158</v>
      </c>
      <c r="D1000" s="18" t="s">
        <v>398</v>
      </c>
      <c r="E1000" s="18" t="s">
        <v>36</v>
      </c>
      <c r="F1000" s="18" t="s">
        <v>36</v>
      </c>
      <c r="J1000" s="19"/>
      <c r="K1000" s="19">
        <v>0.59570000000000001</v>
      </c>
      <c r="L1000" s="19">
        <v>0.61931818199999999</v>
      </c>
      <c r="M1000" s="19">
        <v>0.67390000000000005</v>
      </c>
      <c r="N1000" s="19">
        <v>0.49440000000000001</v>
      </c>
      <c r="O1000" s="19" t="s">
        <v>36</v>
      </c>
      <c r="P1000" s="19" t="s">
        <v>36</v>
      </c>
      <c r="Q1000" s="19" t="s">
        <v>36</v>
      </c>
      <c r="R1000" s="20">
        <v>26054</v>
      </c>
      <c r="S1000" s="21" t="str">
        <f>HYPERLINK("https://www.iticollege.edu/npcalc.htm", "$18844")</f>
        <v>$18844</v>
      </c>
      <c r="T1000" s="20">
        <v>21278</v>
      </c>
      <c r="U1000" s="20">
        <v>22757</v>
      </c>
      <c r="V1000" s="20">
        <v>10007</v>
      </c>
      <c r="W1000" s="20">
        <v>8837</v>
      </c>
      <c r="Y1000" s="19">
        <v>0.52529999999999999</v>
      </c>
      <c r="Z1000" s="19">
        <v>0.50480000000000003</v>
      </c>
      <c r="AB1000" s="18">
        <v>622</v>
      </c>
      <c r="AC1000" s="18">
        <v>6</v>
      </c>
    </row>
    <row r="1001" spans="1:29" ht="15.75" customHeight="1" x14ac:dyDescent="0.2">
      <c r="A1001" s="36" t="str">
        <f>HYPERLINK("https://www.isu.edu/", "Idaho State University")</f>
        <v>Idaho State University</v>
      </c>
      <c r="B1001" s="18" t="s">
        <v>49</v>
      </c>
      <c r="C1001" s="18" t="s">
        <v>486</v>
      </c>
      <c r="D1001" s="18" t="s">
        <v>832</v>
      </c>
      <c r="E1001" s="18" t="s">
        <v>36</v>
      </c>
      <c r="F1001" s="18" t="s">
        <v>36</v>
      </c>
      <c r="J1001" s="19"/>
      <c r="K1001" s="19">
        <v>0.30320000000000003</v>
      </c>
      <c r="L1001" s="19">
        <v>0.29461585000000001</v>
      </c>
      <c r="M1001" s="19">
        <v>0.31069999999999998</v>
      </c>
      <c r="N1001" s="19">
        <v>0.17649999999999999</v>
      </c>
      <c r="O1001" s="19">
        <v>0.1978</v>
      </c>
      <c r="P1001" s="19">
        <v>0.42859999999999998</v>
      </c>
      <c r="Q1001" s="19"/>
      <c r="R1001" s="20">
        <v>35887</v>
      </c>
      <c r="S1001" s="21" t="str">
        <f>HYPERLINK("https://www.isu.edu/financialaid/consumer-information/net-price-calculator/", "$31115")</f>
        <v>$31115</v>
      </c>
      <c r="T1001" s="20">
        <v>33969</v>
      </c>
      <c r="U1001" s="20">
        <v>35653</v>
      </c>
      <c r="V1001" s="20">
        <v>6921</v>
      </c>
      <c r="W1001" s="20">
        <v>24194.22297297297</v>
      </c>
      <c r="Y1001" s="19">
        <v>0.32569999999999999</v>
      </c>
      <c r="Z1001" s="19">
        <v>0.28649999999999998</v>
      </c>
      <c r="AB1001" s="18">
        <v>7921</v>
      </c>
      <c r="AC1001" s="18">
        <v>4</v>
      </c>
    </row>
    <row r="1002" spans="1:29" ht="15.75" customHeight="1" x14ac:dyDescent="0.2">
      <c r="A1002" s="36" t="str">
        <f>HYPERLINK("https://icc.edu", "Illinois Central College")</f>
        <v>Illinois Central College</v>
      </c>
      <c r="B1002" s="18" t="s">
        <v>49</v>
      </c>
      <c r="C1002" s="18" t="s">
        <v>137</v>
      </c>
      <c r="D1002" s="18" t="s">
        <v>1431</v>
      </c>
      <c r="E1002" s="18" t="s">
        <v>36</v>
      </c>
      <c r="F1002" s="18" t="s">
        <v>36</v>
      </c>
      <c r="J1002" s="19"/>
      <c r="K1002" s="19">
        <v>0.36749999999999999</v>
      </c>
      <c r="L1002" s="19">
        <v>0.14369501500000001</v>
      </c>
      <c r="M1002" s="19">
        <v>0.39650000000000002</v>
      </c>
      <c r="N1002" s="19">
        <v>0.19750000000000001</v>
      </c>
      <c r="O1002" s="19">
        <v>0.23910000000000001</v>
      </c>
      <c r="P1002" s="19">
        <v>0.4375</v>
      </c>
      <c r="Q1002" s="19">
        <v>8.5625000000000007E-2</v>
      </c>
      <c r="R1002" s="20">
        <v>23400</v>
      </c>
      <c r="S1002" s="21" t="str">
        <f>HYPERLINK("https://icc.edu/media/NetPriceCalculator/", "$17371")</f>
        <v>$17371</v>
      </c>
      <c r="T1002" s="20">
        <v>20091</v>
      </c>
      <c r="U1002" s="20">
        <v>22391</v>
      </c>
      <c r="V1002" s="20">
        <v>5400</v>
      </c>
      <c r="W1002" s="20">
        <v>11971.090277777779</v>
      </c>
      <c r="Y1002" s="19">
        <v>0.25380000000000003</v>
      </c>
      <c r="Z1002" s="19">
        <v>0.25729999999999997</v>
      </c>
      <c r="AB1002" s="18">
        <v>6875</v>
      </c>
      <c r="AC1002" s="18">
        <v>6</v>
      </c>
    </row>
    <row r="1003" spans="1:29" ht="15.75" customHeight="1" x14ac:dyDescent="0.2">
      <c r="A1003" s="36" t="str">
        <f>HYPERLINK("https://www.ic.edu", "Illinois College")</f>
        <v>Illinois College</v>
      </c>
      <c r="B1003" s="18" t="s">
        <v>32</v>
      </c>
      <c r="C1003" s="18" t="s">
        <v>137</v>
      </c>
      <c r="D1003" s="18" t="s">
        <v>382</v>
      </c>
      <c r="E1003" s="18" t="s">
        <v>36</v>
      </c>
      <c r="F1003" s="18" t="s">
        <v>90</v>
      </c>
      <c r="J1003" s="19"/>
      <c r="K1003" s="19">
        <v>0.60070000000000001</v>
      </c>
      <c r="L1003" s="19">
        <v>0.60975609799999997</v>
      </c>
      <c r="M1003" s="19">
        <v>0.60619999999999996</v>
      </c>
      <c r="N1003" s="19">
        <v>0.5</v>
      </c>
      <c r="O1003" s="19">
        <v>0.66669999999999996</v>
      </c>
      <c r="P1003" s="19">
        <v>0.33329999999999999</v>
      </c>
      <c r="Q1003" s="19"/>
      <c r="R1003" s="20">
        <v>42830</v>
      </c>
      <c r="S1003" s="21" t="str">
        <f>HYPERLINK("https://www.ic.edu/npc", "$12064")</f>
        <v>$12064</v>
      </c>
      <c r="T1003" s="20">
        <v>15153</v>
      </c>
      <c r="U1003" s="20">
        <v>19717</v>
      </c>
      <c r="V1003" s="20" t="s">
        <v>36</v>
      </c>
      <c r="W1003" s="20" t="s">
        <v>36</v>
      </c>
      <c r="Y1003" s="19">
        <v>0.41339999999999999</v>
      </c>
      <c r="Z1003" s="19">
        <v>0.2883</v>
      </c>
      <c r="AB1003" s="18">
        <v>947</v>
      </c>
      <c r="AC1003" s="18">
        <v>3</v>
      </c>
    </row>
    <row r="1004" spans="1:29" ht="15.75" customHeight="1" x14ac:dyDescent="0.2">
      <c r="A1004" s="36" t="str">
        <f>HYPERLINK("https://web.iit.edu/", "Illinois Institute of Technology")</f>
        <v>Illinois Institute of Technology</v>
      </c>
      <c r="B1004" s="18" t="s">
        <v>32</v>
      </c>
      <c r="C1004" s="18" t="s">
        <v>137</v>
      </c>
      <c r="D1004" s="18" t="s">
        <v>161</v>
      </c>
      <c r="E1004" s="18">
        <v>1323</v>
      </c>
      <c r="F1004" s="18" t="s">
        <v>35</v>
      </c>
      <c r="J1004" s="19"/>
      <c r="K1004" s="19">
        <v>0.72230000000000005</v>
      </c>
      <c r="L1004" s="19">
        <v>0.70531401000000005</v>
      </c>
      <c r="M1004" s="19">
        <v>0.74860000000000004</v>
      </c>
      <c r="N1004" s="19">
        <v>0.60529999999999995</v>
      </c>
      <c r="O1004" s="19">
        <v>0.61109999999999998</v>
      </c>
      <c r="P1004" s="19">
        <v>0.81130000000000002</v>
      </c>
      <c r="Q1004" s="19"/>
      <c r="R1004" s="20">
        <v>63749</v>
      </c>
      <c r="S1004" s="21" t="str">
        <f>HYPERLINK("https://www.collegecostcalculator.org/IIT", "$17434")</f>
        <v>$17434</v>
      </c>
      <c r="T1004" s="20">
        <v>19302</v>
      </c>
      <c r="U1004" s="20">
        <v>25324</v>
      </c>
      <c r="V1004" s="20">
        <v>4878</v>
      </c>
      <c r="W1004" s="20">
        <v>12556</v>
      </c>
      <c r="Y1004" s="19">
        <v>0.31459999999999999</v>
      </c>
      <c r="Z1004" s="19">
        <v>0.65649999999999997</v>
      </c>
      <c r="AB1004" s="18">
        <v>2763</v>
      </c>
      <c r="AC1004" s="18">
        <v>2</v>
      </c>
    </row>
    <row r="1005" spans="1:29" ht="15.75" customHeight="1" x14ac:dyDescent="0.2">
      <c r="A1005" s="36" t="str">
        <f>HYPERLINK("https://illinoisstate.edu/", "Illinois State University")</f>
        <v>Illinois State University</v>
      </c>
      <c r="B1005" s="18" t="s">
        <v>49</v>
      </c>
      <c r="C1005" s="18" t="s">
        <v>137</v>
      </c>
      <c r="D1005" s="18" t="s">
        <v>383</v>
      </c>
      <c r="E1005" s="18">
        <v>1165</v>
      </c>
      <c r="F1005" s="18" t="s">
        <v>35</v>
      </c>
      <c r="J1005" s="19"/>
      <c r="K1005" s="19">
        <v>0.68810000000000004</v>
      </c>
      <c r="L1005" s="19">
        <v>0.60694288899999993</v>
      </c>
      <c r="M1005" s="19">
        <v>0.7137</v>
      </c>
      <c r="N1005" s="19">
        <v>0.52380000000000004</v>
      </c>
      <c r="O1005" s="19">
        <v>0.61499999999999999</v>
      </c>
      <c r="P1005" s="19">
        <v>0.74139999999999995</v>
      </c>
      <c r="Q1005" s="19"/>
      <c r="R1005" s="20">
        <v>40036</v>
      </c>
      <c r="S1005" s="21" t="str">
        <f>HYPERLINK("https://financialaid.illinoisstate.edu/prospective/estimator", "$26498")</f>
        <v>$26498</v>
      </c>
      <c r="T1005" s="20">
        <v>32786</v>
      </c>
      <c r="U1005" s="20">
        <v>37223</v>
      </c>
      <c r="V1005" s="20">
        <v>5018</v>
      </c>
      <c r="W1005" s="20">
        <v>21480.23900118906</v>
      </c>
      <c r="Y1005" s="19">
        <v>0.27550000000000002</v>
      </c>
      <c r="Z1005" s="19">
        <v>0.24979999999999999</v>
      </c>
      <c r="AB1005" s="18">
        <v>18264</v>
      </c>
      <c r="AC1005" s="18">
        <v>3</v>
      </c>
    </row>
    <row r="1006" spans="1:29" ht="15.75" customHeight="1" x14ac:dyDescent="0.2">
      <c r="A1006" s="36" t="str">
        <f>HYPERLINK("https://www.iwu.edu", "Illinois Wesleyan University")</f>
        <v>Illinois Wesleyan University</v>
      </c>
      <c r="B1006" s="18" t="s">
        <v>32</v>
      </c>
      <c r="C1006" s="18" t="s">
        <v>137</v>
      </c>
      <c r="D1006" s="18" t="s">
        <v>225</v>
      </c>
      <c r="E1006" s="18">
        <v>1273</v>
      </c>
      <c r="F1006" s="18" t="s">
        <v>35</v>
      </c>
      <c r="J1006" s="19"/>
      <c r="K1006" s="19">
        <v>0.78390000000000004</v>
      </c>
      <c r="L1006" s="19">
        <v>0.74509803900000005</v>
      </c>
      <c r="M1006" s="19">
        <v>0.80220000000000002</v>
      </c>
      <c r="N1006" s="19">
        <v>0.65</v>
      </c>
      <c r="O1006" s="19">
        <v>0.73680000000000001</v>
      </c>
      <c r="P1006" s="19">
        <v>0.85189999999999999</v>
      </c>
      <c r="Q1006" s="19"/>
      <c r="R1006" s="20">
        <v>58830</v>
      </c>
      <c r="S1006" s="21" t="str">
        <f>HYPERLINK("https://tcc.noellevitz.com/(S(r1k4e0bodv0zsdap0m5xszxz))/Illinois%20Wesleyan%20University/Freshman-Students", "$18322")</f>
        <v>$18322</v>
      </c>
      <c r="T1006" s="20">
        <v>22639</v>
      </c>
      <c r="U1006" s="20">
        <v>28194</v>
      </c>
      <c r="V1006" s="20">
        <v>2400</v>
      </c>
      <c r="W1006" s="20">
        <v>15922</v>
      </c>
      <c r="Y1006" s="19">
        <v>0.19539999999999999</v>
      </c>
      <c r="Z1006" s="19">
        <v>0.30759999999999998</v>
      </c>
      <c r="AB1006" s="18">
        <v>1642</v>
      </c>
      <c r="AC1006" s="18">
        <v>2</v>
      </c>
    </row>
    <row r="1007" spans="1:29" ht="15.75" customHeight="1" x14ac:dyDescent="0.2">
      <c r="A1007" s="36" t="str">
        <f>HYPERLINK("https://www.immaculata.edu", "Immaculata University")</f>
        <v>Immaculata University</v>
      </c>
      <c r="B1007" s="18" t="s">
        <v>32</v>
      </c>
      <c r="C1007" s="18" t="s">
        <v>65</v>
      </c>
      <c r="D1007" s="18" t="s">
        <v>834</v>
      </c>
      <c r="E1007" s="18">
        <v>1053</v>
      </c>
      <c r="F1007" s="18" t="s">
        <v>115</v>
      </c>
      <c r="J1007" s="19"/>
      <c r="K1007" s="19">
        <v>0.62039999999999995</v>
      </c>
      <c r="L1007" s="19">
        <v>0.47887323900000001</v>
      </c>
      <c r="M1007" s="19">
        <v>0.65139999999999998</v>
      </c>
      <c r="N1007" s="19">
        <v>0.48280000000000001</v>
      </c>
      <c r="O1007" s="19">
        <v>0.45</v>
      </c>
      <c r="P1007" s="19">
        <v>1</v>
      </c>
      <c r="Q1007" s="19"/>
      <c r="R1007" s="20">
        <v>45960</v>
      </c>
      <c r="S1007" s="21" t="str">
        <f>HYPERLINK("https://www.immaculata.edu/admissions/tuition-fees/undergraduate-tuition/net-price-calculator/", "$26316")</f>
        <v>$26316</v>
      </c>
      <c r="T1007" s="20">
        <v>28465</v>
      </c>
      <c r="U1007" s="20">
        <v>32775</v>
      </c>
      <c r="V1007" s="20">
        <v>5990</v>
      </c>
      <c r="W1007" s="20">
        <v>20326</v>
      </c>
      <c r="Y1007" s="19">
        <v>0.2591</v>
      </c>
      <c r="Z1007" s="19">
        <v>0.28849999999999998</v>
      </c>
      <c r="AB1007" s="18">
        <v>1383</v>
      </c>
      <c r="AC1007" s="18">
        <v>4</v>
      </c>
    </row>
    <row r="1008" spans="1:29" ht="15.75" customHeight="1" x14ac:dyDescent="0.2">
      <c r="A1008" s="36" t="str">
        <f>HYPERLINK("https://www.imperial.edu", "Imperial Valley College")</f>
        <v>Imperial Valley College</v>
      </c>
      <c r="B1008" s="18" t="s">
        <v>49</v>
      </c>
      <c r="C1008" s="18" t="s">
        <v>68</v>
      </c>
      <c r="D1008" s="18" t="s">
        <v>1432</v>
      </c>
      <c r="E1008" s="18" t="s">
        <v>36</v>
      </c>
      <c r="F1008" s="18" t="s">
        <v>36</v>
      </c>
      <c r="J1008" s="19"/>
      <c r="K1008" s="19">
        <v>0.27289999999999998</v>
      </c>
      <c r="L1008" s="19">
        <v>5.1810237000000002E-2</v>
      </c>
      <c r="M1008" s="19">
        <v>5.7099999999999998E-2</v>
      </c>
      <c r="N1008" s="19">
        <v>0</v>
      </c>
      <c r="O1008" s="19">
        <v>0.27660000000000001</v>
      </c>
      <c r="P1008" s="19" t="s">
        <v>36</v>
      </c>
      <c r="Q1008" s="19">
        <v>8.6483931999999999E-2</v>
      </c>
      <c r="R1008" s="20">
        <v>23612</v>
      </c>
      <c r="S1008" s="21" t="str">
        <f>HYPERLINK("https://www.imperial.edu/students/financial-aid-and-scholarships/cost-of-attendance/", "$15712")</f>
        <v>$15712</v>
      </c>
      <c r="T1008" s="20">
        <v>19108</v>
      </c>
      <c r="U1008" s="20">
        <v>20752</v>
      </c>
      <c r="V1008" s="20">
        <v>6345</v>
      </c>
      <c r="W1008" s="20">
        <v>9367.1166180758009</v>
      </c>
      <c r="Y1008" s="19">
        <v>0.52969999999999995</v>
      </c>
      <c r="Z1008" s="19">
        <v>0.95950000000000002</v>
      </c>
      <c r="AB1008" s="18">
        <v>7360</v>
      </c>
      <c r="AC1008" s="18">
        <v>6</v>
      </c>
    </row>
    <row r="1009" spans="1:29" ht="15.75" customHeight="1" x14ac:dyDescent="0.2">
      <c r="A1009" s="36" t="str">
        <f>HYPERLINK("https://www.indycc.edu", "Independence Community College")</f>
        <v>Independence Community College</v>
      </c>
      <c r="B1009" s="18" t="s">
        <v>49</v>
      </c>
      <c r="C1009" s="18" t="s">
        <v>307</v>
      </c>
      <c r="D1009" s="18" t="s">
        <v>801</v>
      </c>
      <c r="E1009" s="18" t="s">
        <v>36</v>
      </c>
      <c r="F1009" s="18" t="s">
        <v>36</v>
      </c>
      <c r="J1009" s="19"/>
      <c r="K1009" s="19">
        <v>0.2167</v>
      </c>
      <c r="L1009" s="19">
        <v>0.198275862</v>
      </c>
      <c r="M1009" s="19">
        <v>0.20380000000000001</v>
      </c>
      <c r="N1009" s="19">
        <v>0.32650000000000001</v>
      </c>
      <c r="O1009" s="19">
        <v>0</v>
      </c>
      <c r="P1009" s="19" t="s">
        <v>36</v>
      </c>
      <c r="Q1009" s="19">
        <v>0.10218978099999999</v>
      </c>
      <c r="R1009" s="20">
        <v>12288</v>
      </c>
      <c r="S1009" s="21" t="str">
        <f>HYPERLINK("https://www.indycc.edu/financial-aid/files/npc/npcalc.htm", "$6232")</f>
        <v>$6232</v>
      </c>
      <c r="T1009" s="20">
        <v>8068</v>
      </c>
      <c r="U1009" s="20">
        <v>10888</v>
      </c>
      <c r="V1009" s="20">
        <v>2800</v>
      </c>
      <c r="W1009" s="20">
        <v>3432.30303030303</v>
      </c>
      <c r="Y1009" s="19">
        <v>0.34789999999999999</v>
      </c>
      <c r="Z1009" s="19">
        <v>0.47139999999999999</v>
      </c>
      <c r="AB1009" s="18">
        <v>577</v>
      </c>
      <c r="AC1009" s="18">
        <v>6</v>
      </c>
    </row>
    <row r="1010" spans="1:29" ht="15.75" customHeight="1" x14ac:dyDescent="0.2">
      <c r="A1010" s="36" t="str">
        <f>HYPERLINK("https://www.independence.edu", "Independence University")</f>
        <v>Independence University</v>
      </c>
      <c r="B1010" s="18" t="s">
        <v>32</v>
      </c>
      <c r="C1010" s="18" t="s">
        <v>199</v>
      </c>
      <c r="D1010" s="18" t="s">
        <v>525</v>
      </c>
      <c r="E1010" s="18" t="s">
        <v>36</v>
      </c>
      <c r="F1010" s="18" t="s">
        <v>36</v>
      </c>
      <c r="J1010" s="19"/>
      <c r="K1010" s="19">
        <v>0.26069999999999999</v>
      </c>
      <c r="L1010" s="19">
        <v>0.28829685999999999</v>
      </c>
      <c r="M1010" s="19">
        <v>0.31359999999999999</v>
      </c>
      <c r="N1010" s="19">
        <v>0.125</v>
      </c>
      <c r="O1010" s="19">
        <v>0.1</v>
      </c>
      <c r="P1010" s="19">
        <v>0.4</v>
      </c>
      <c r="Q1010" s="19">
        <v>2.5635103999999999E-2</v>
      </c>
      <c r="R1010" s="20">
        <v>33329</v>
      </c>
      <c r="S1010" s="21" t="str">
        <f>HYPERLINK("https://www.independence.edu/net-price-calculator", "$28137")</f>
        <v>$28137</v>
      </c>
      <c r="T1010" s="20">
        <v>30522</v>
      </c>
      <c r="U1010" s="20">
        <v>31492</v>
      </c>
      <c r="V1010" s="20">
        <v>7635</v>
      </c>
      <c r="W1010" s="20">
        <v>20502</v>
      </c>
      <c r="Y1010" s="19">
        <v>0.71440000000000003</v>
      </c>
      <c r="Z1010" s="19">
        <v>0.75570000000000004</v>
      </c>
      <c r="AB1010" s="18">
        <v>8278</v>
      </c>
      <c r="AC1010" s="18">
        <v>6</v>
      </c>
    </row>
    <row r="1011" spans="1:29" ht="15.75" customHeight="1" x14ac:dyDescent="0.2">
      <c r="A1011" s="36" t="str">
        <f>HYPERLINK("https://www.indianhills.edu", "Indian Hills Community College")</f>
        <v>Indian Hills Community College</v>
      </c>
      <c r="B1011" s="18" t="s">
        <v>49</v>
      </c>
      <c r="C1011" s="18" t="s">
        <v>211</v>
      </c>
      <c r="D1011" s="18" t="s">
        <v>1433</v>
      </c>
      <c r="E1011" s="18" t="s">
        <v>36</v>
      </c>
      <c r="F1011" s="18" t="s">
        <v>36</v>
      </c>
      <c r="J1011" s="19"/>
      <c r="K1011" s="19">
        <v>0.34639999999999999</v>
      </c>
      <c r="L1011" s="19">
        <v>2.7591972999999999E-2</v>
      </c>
      <c r="M1011" s="19">
        <v>0.38100000000000001</v>
      </c>
      <c r="N1011" s="19">
        <v>0.1716</v>
      </c>
      <c r="O1011" s="19">
        <v>0.20480000000000001</v>
      </c>
      <c r="P1011" s="19">
        <v>0.375</v>
      </c>
      <c r="Q1011" s="19">
        <v>9.6039604000000001E-2</v>
      </c>
      <c r="R1011" s="20">
        <v>15936</v>
      </c>
      <c r="S1011" s="21" t="str">
        <f>HYPERLINK("https://www.indianhills.edu/payingforcollege/netprice/npcalc.htm", "$10495")</f>
        <v>$10495</v>
      </c>
      <c r="T1011" s="20">
        <v>12488</v>
      </c>
      <c r="U1011" s="20">
        <v>15329</v>
      </c>
      <c r="V1011" s="20">
        <v>4656</v>
      </c>
      <c r="W1011" s="20">
        <v>5839.7619047619046</v>
      </c>
      <c r="Y1011" s="19">
        <v>0.36530000000000001</v>
      </c>
      <c r="Z1011" s="19">
        <v>0.28879999999999989</v>
      </c>
      <c r="AB1011" s="18">
        <v>2143</v>
      </c>
      <c r="AC1011" s="18">
        <v>6</v>
      </c>
    </row>
    <row r="1012" spans="1:29" ht="15.75" customHeight="1" x14ac:dyDescent="0.2">
      <c r="A1012" s="36" t="str">
        <f>HYPERLINK("https://www.irsc.edu", "Indian River State College")</f>
        <v>Indian River State College</v>
      </c>
      <c r="B1012" s="18" t="s">
        <v>49</v>
      </c>
      <c r="C1012" s="18" t="s">
        <v>162</v>
      </c>
      <c r="D1012" s="18" t="s">
        <v>1434</v>
      </c>
      <c r="E1012" s="18" t="s">
        <v>36</v>
      </c>
      <c r="F1012" s="18" t="s">
        <v>36</v>
      </c>
      <c r="J1012" s="19"/>
      <c r="K1012" s="19">
        <v>0.38979999999999998</v>
      </c>
      <c r="L1012" s="19">
        <v>0.13086335800000001</v>
      </c>
      <c r="M1012" s="19">
        <v>0.43380000000000002</v>
      </c>
      <c r="N1012" s="19">
        <v>0.26690000000000003</v>
      </c>
      <c r="O1012" s="19">
        <v>0.39579999999999999</v>
      </c>
      <c r="P1012" s="19">
        <v>0.4</v>
      </c>
      <c r="Q1012" s="19">
        <v>9.3901259000000001E-2</v>
      </c>
      <c r="R1012" s="20">
        <v>17921</v>
      </c>
      <c r="S1012" s="21" t="str">
        <f>HYPERLINK("https://esweb.irsc.edu/Mariner/finaid/netprice/npcalc.htm", "$13018")</f>
        <v>$13018</v>
      </c>
      <c r="T1012" s="20">
        <v>15560</v>
      </c>
      <c r="U1012" s="20">
        <v>17644</v>
      </c>
      <c r="V1012" s="20">
        <v>2020</v>
      </c>
      <c r="W1012" s="20">
        <v>10998.056224899599</v>
      </c>
      <c r="Y1012" s="19">
        <v>0.36880000000000002</v>
      </c>
      <c r="Z1012" s="19">
        <v>0.48680000000000001</v>
      </c>
      <c r="AB1012" s="18">
        <v>13631</v>
      </c>
      <c r="AC1012" s="18">
        <v>6</v>
      </c>
    </row>
    <row r="1013" spans="1:29" ht="15.75" customHeight="1" x14ac:dyDescent="0.2">
      <c r="A1013" s="36" t="str">
        <f>HYPERLINK("https://www.indianatech.edu", "Indiana Institute of Technology")</f>
        <v>Indiana Institute of Technology</v>
      </c>
      <c r="B1013" s="18" t="s">
        <v>32</v>
      </c>
      <c r="C1013" s="18" t="s">
        <v>148</v>
      </c>
      <c r="D1013" s="18" t="s">
        <v>815</v>
      </c>
      <c r="E1013" s="18">
        <v>1034</v>
      </c>
      <c r="F1013" s="18" t="s">
        <v>35</v>
      </c>
      <c r="J1013" s="19"/>
      <c r="K1013" s="19">
        <v>0.33850000000000002</v>
      </c>
      <c r="L1013" s="19">
        <v>0.167487685</v>
      </c>
      <c r="M1013" s="19">
        <v>0.39439999999999997</v>
      </c>
      <c r="N1013" s="19">
        <v>0.25</v>
      </c>
      <c r="O1013" s="19">
        <v>0.34620000000000001</v>
      </c>
      <c r="P1013" s="19">
        <v>0</v>
      </c>
      <c r="Q1013" s="19"/>
      <c r="R1013" s="20">
        <v>40223</v>
      </c>
      <c r="S1013" s="21" t="str">
        <f>HYPERLINK("https://finaid.indianatech.edu/costs/calculator/", "$26485")</f>
        <v>$26485</v>
      </c>
      <c r="T1013" s="20">
        <v>20767</v>
      </c>
      <c r="U1013" s="20">
        <v>23931</v>
      </c>
      <c r="V1013" s="20">
        <v>4033</v>
      </c>
      <c r="W1013" s="20">
        <v>22452</v>
      </c>
      <c r="Y1013" s="19">
        <v>0.6653</v>
      </c>
      <c r="Z1013" s="19">
        <v>0.58939999999999992</v>
      </c>
      <c r="AB1013" s="18">
        <v>6899</v>
      </c>
      <c r="AC1013" s="18">
        <v>4</v>
      </c>
    </row>
    <row r="1014" spans="1:29" ht="15.75" customHeight="1" x14ac:dyDescent="0.2">
      <c r="A1014" s="36" t="str">
        <f>HYPERLINK("https://www.indstate.edu", "Indiana State University")</f>
        <v>Indiana State University</v>
      </c>
      <c r="B1014" s="18" t="s">
        <v>49</v>
      </c>
      <c r="C1014" s="18" t="s">
        <v>148</v>
      </c>
      <c r="D1014" s="18" t="s">
        <v>149</v>
      </c>
      <c r="E1014" s="18">
        <v>1013</v>
      </c>
      <c r="F1014" s="18" t="s">
        <v>35</v>
      </c>
      <c r="J1014" s="19"/>
      <c r="K1014" s="19">
        <v>0.38719999999999999</v>
      </c>
      <c r="L1014" s="19">
        <v>0.201550388</v>
      </c>
      <c r="M1014" s="19">
        <v>0.4244</v>
      </c>
      <c r="N1014" s="19">
        <v>0.26910000000000001</v>
      </c>
      <c r="O1014" s="19">
        <v>0.28889999999999999</v>
      </c>
      <c r="P1014" s="19">
        <v>0.5</v>
      </c>
      <c r="Q1014" s="19"/>
      <c r="R1014" s="20">
        <v>32938</v>
      </c>
      <c r="S1014" s="21" t="str">
        <f>HYPERLINK("https://indstate.studentaidcalculator.com/survey.aspx", "$21265")</f>
        <v>$21265</v>
      </c>
      <c r="T1014" s="20">
        <v>25949</v>
      </c>
      <c r="U1014" s="20">
        <v>30092</v>
      </c>
      <c r="V1014" s="20">
        <v>3498</v>
      </c>
      <c r="W1014" s="20">
        <v>17767.944632768362</v>
      </c>
      <c r="Y1014" s="19">
        <v>0.41389999999999999</v>
      </c>
      <c r="Z1014" s="19">
        <v>0.3458</v>
      </c>
      <c r="AB1014" s="18">
        <v>10817</v>
      </c>
      <c r="AC1014" s="18">
        <v>4</v>
      </c>
    </row>
    <row r="1015" spans="1:29" ht="15.75" customHeight="1" x14ac:dyDescent="0.2">
      <c r="A1015" s="36" t="str">
        <f>HYPERLINK("https://www.iup.edu", "Indiana University of Pennsylvania-Main Campus")</f>
        <v>Indiana University of Pennsylvania-Main Campus</v>
      </c>
      <c r="B1015" s="18" t="s">
        <v>49</v>
      </c>
      <c r="C1015" s="18" t="s">
        <v>65</v>
      </c>
      <c r="D1015" s="18" t="s">
        <v>751</v>
      </c>
      <c r="E1015" s="18">
        <v>1016</v>
      </c>
      <c r="F1015" s="18" t="s">
        <v>35</v>
      </c>
      <c r="J1015" s="19"/>
      <c r="K1015" s="19">
        <v>0.5585</v>
      </c>
      <c r="L1015" s="19">
        <v>0.38009950299999989</v>
      </c>
      <c r="M1015" s="19">
        <v>0.59219999999999995</v>
      </c>
      <c r="N1015" s="19">
        <v>0.43140000000000001</v>
      </c>
      <c r="O1015" s="19">
        <v>0.38829999999999998</v>
      </c>
      <c r="P1015" s="19">
        <v>0.53849999999999998</v>
      </c>
      <c r="Q1015" s="19"/>
      <c r="R1015" s="20">
        <v>32461</v>
      </c>
      <c r="S1015" s="21" t="str">
        <f>HYPERLINK("https://www.passhe.edu/answers/Calculator/IN/npcalc-213020.htm", "$22954")</f>
        <v>$22954</v>
      </c>
      <c r="T1015" s="20">
        <v>27505</v>
      </c>
      <c r="U1015" s="20">
        <v>30652</v>
      </c>
      <c r="V1015" s="20">
        <v>2862</v>
      </c>
      <c r="W1015" s="20">
        <v>20092.431192660551</v>
      </c>
      <c r="Y1015" s="19">
        <v>0.3669</v>
      </c>
      <c r="Z1015" s="19">
        <v>0.26219999999999999</v>
      </c>
      <c r="AB1015" s="18">
        <v>9965</v>
      </c>
      <c r="AC1015" s="18">
        <v>5</v>
      </c>
    </row>
    <row r="1016" spans="1:29" ht="15.75" customHeight="1" x14ac:dyDescent="0.2">
      <c r="A1016" s="36" t="str">
        <f>HYPERLINK("https://www.indiana.edu/", "Indiana University-Bloomington")</f>
        <v>Indiana University-Bloomington</v>
      </c>
      <c r="B1016" s="18" t="s">
        <v>49</v>
      </c>
      <c r="C1016" s="18" t="s">
        <v>148</v>
      </c>
      <c r="D1016" s="18" t="s">
        <v>225</v>
      </c>
      <c r="E1016" s="18">
        <v>1285</v>
      </c>
      <c r="F1016" s="18" t="s">
        <v>35</v>
      </c>
      <c r="J1016" s="19"/>
      <c r="K1016" s="19">
        <v>0.77329999999999999</v>
      </c>
      <c r="L1016" s="19">
        <v>0.34631317299999997</v>
      </c>
      <c r="M1016" s="19">
        <v>0.79139999999999999</v>
      </c>
      <c r="N1016" s="19">
        <v>0.59930000000000005</v>
      </c>
      <c r="O1016" s="19">
        <v>0.72070000000000001</v>
      </c>
      <c r="P1016" s="19">
        <v>0.75880000000000003</v>
      </c>
      <c r="Q1016" s="19"/>
      <c r="R1016" s="20">
        <v>48739</v>
      </c>
      <c r="S1016" s="21" t="str">
        <f>HYPERLINK("https://npc.collegeboard.org/student/app/indiana", "$30261")</f>
        <v>$30261</v>
      </c>
      <c r="T1016" s="20">
        <v>36157</v>
      </c>
      <c r="U1016" s="20">
        <v>43531</v>
      </c>
      <c r="V1016" s="20">
        <v>3636</v>
      </c>
      <c r="W1016" s="20">
        <v>26625.184649610681</v>
      </c>
      <c r="Y1016" s="19">
        <v>0.15160000000000001</v>
      </c>
      <c r="Z1016" s="19">
        <v>0.30399999999999999</v>
      </c>
      <c r="AB1016" s="18">
        <v>33104</v>
      </c>
      <c r="AC1016" s="18">
        <v>2</v>
      </c>
    </row>
    <row r="1017" spans="1:29" ht="15.75" customHeight="1" x14ac:dyDescent="0.2">
      <c r="A1017" s="36" t="str">
        <f>HYPERLINK("https://www.iue.edu/", "Indiana University-East")</f>
        <v>Indiana University-East</v>
      </c>
      <c r="B1017" s="18" t="s">
        <v>49</v>
      </c>
      <c r="C1017" s="18" t="s">
        <v>148</v>
      </c>
      <c r="D1017" s="18" t="s">
        <v>350</v>
      </c>
      <c r="E1017" s="18">
        <v>1035</v>
      </c>
      <c r="F1017" s="18" t="s">
        <v>35</v>
      </c>
      <c r="J1017" s="19"/>
      <c r="K1017" s="19">
        <v>0.35709999999999997</v>
      </c>
      <c r="L1017" s="19">
        <v>0.23560209400000001</v>
      </c>
      <c r="M1017" s="19">
        <v>0.37019999999999997</v>
      </c>
      <c r="N1017" s="19">
        <v>0</v>
      </c>
      <c r="O1017" s="19">
        <v>0.16669999999999999</v>
      </c>
      <c r="P1017" s="19">
        <v>0</v>
      </c>
      <c r="Q1017" s="19"/>
      <c r="R1017" s="20">
        <v>31212</v>
      </c>
      <c r="S1017" s="21" t="str">
        <f>HYPERLINK("https://uirr.iu.edu/doc/compliance/regional-net-price-calculators/index_IU_East_NetPrice_Calculator.html", "$20865")</f>
        <v>$20865</v>
      </c>
      <c r="T1017" s="20">
        <v>25996</v>
      </c>
      <c r="U1017" s="20">
        <v>29635</v>
      </c>
      <c r="V1017" s="20">
        <v>4890</v>
      </c>
      <c r="W1017" s="20">
        <v>15975.589147286821</v>
      </c>
      <c r="Y1017" s="19">
        <v>0.3</v>
      </c>
      <c r="Z1017" s="19">
        <v>0.15429999999999999</v>
      </c>
      <c r="AB1017" s="18">
        <v>2969</v>
      </c>
      <c r="AC1017" s="18">
        <v>5</v>
      </c>
    </row>
    <row r="1018" spans="1:29" ht="15.75" customHeight="1" x14ac:dyDescent="0.2">
      <c r="A1018" s="36" t="str">
        <f>HYPERLINK("https://www.iun.edu", "Indiana University-Northwest")</f>
        <v>Indiana University-Northwest</v>
      </c>
      <c r="B1018" s="18" t="s">
        <v>49</v>
      </c>
      <c r="C1018" s="18" t="s">
        <v>148</v>
      </c>
      <c r="D1018" s="18" t="s">
        <v>753</v>
      </c>
      <c r="E1018" s="18">
        <v>998</v>
      </c>
      <c r="F1018" s="18" t="s">
        <v>35</v>
      </c>
      <c r="J1018" s="19"/>
      <c r="K1018" s="19">
        <v>0.27979999999999999</v>
      </c>
      <c r="L1018" s="19">
        <v>0.16533637400000001</v>
      </c>
      <c r="M1018" s="19">
        <v>0.34770000000000001</v>
      </c>
      <c r="N1018" s="19">
        <v>0.1152</v>
      </c>
      <c r="O1018" s="19">
        <v>0.2697</v>
      </c>
      <c r="P1018" s="19">
        <v>0.55559999999999998</v>
      </c>
      <c r="Q1018" s="19"/>
      <c r="R1018" s="20">
        <v>31424</v>
      </c>
      <c r="S1018" s="21" t="str">
        <f>HYPERLINK("https://uirr.iu.edu/doc/compliance/regional-net-price-calculators/index_IU_Northwest_NetPrice_Calculator.html", "$21650")</f>
        <v>$21650</v>
      </c>
      <c r="T1018" s="20">
        <v>27570</v>
      </c>
      <c r="U1018" s="20">
        <v>30145</v>
      </c>
      <c r="V1018" s="20">
        <v>5102</v>
      </c>
      <c r="W1018" s="20">
        <v>16548.548571428571</v>
      </c>
      <c r="Y1018" s="19">
        <v>0.2984</v>
      </c>
      <c r="Z1018" s="19">
        <v>0.46719999999999989</v>
      </c>
      <c r="AB1018" s="18">
        <v>3549</v>
      </c>
      <c r="AC1018" s="18">
        <v>5</v>
      </c>
    </row>
    <row r="1019" spans="1:29" ht="15.75" customHeight="1" x14ac:dyDescent="0.2">
      <c r="A1019" s="36" t="str">
        <f>HYPERLINK("https://www.iupui.edu", "Indiana University-Purdue University-Indianapolis")</f>
        <v>Indiana University-Purdue University-Indianapolis</v>
      </c>
      <c r="B1019" s="18" t="s">
        <v>49</v>
      </c>
      <c r="C1019" s="18" t="s">
        <v>148</v>
      </c>
      <c r="D1019" s="18" t="s">
        <v>316</v>
      </c>
      <c r="E1019" s="18">
        <v>1104</v>
      </c>
      <c r="F1019" s="18" t="s">
        <v>35</v>
      </c>
      <c r="J1019" s="19"/>
      <c r="K1019" s="19">
        <v>0.44990000000000002</v>
      </c>
      <c r="L1019" s="19">
        <v>0.27484246200000001</v>
      </c>
      <c r="M1019" s="19">
        <v>0.45569999999999999</v>
      </c>
      <c r="N1019" s="19">
        <v>0.31759999999999999</v>
      </c>
      <c r="O1019" s="19">
        <v>0.45179999999999998</v>
      </c>
      <c r="P1019" s="19">
        <v>0.6623</v>
      </c>
      <c r="Q1019" s="19"/>
      <c r="R1019" s="20">
        <v>43022</v>
      </c>
      <c r="S1019" s="21" t="str">
        <f>HYPERLINK("https://npc.collegeboard.org/student/app/iupui", "$29267")</f>
        <v>$29267</v>
      </c>
      <c r="T1019" s="20">
        <v>34791</v>
      </c>
      <c r="U1019" s="20">
        <v>39701</v>
      </c>
      <c r="V1019" s="20">
        <v>3598</v>
      </c>
      <c r="W1019" s="20">
        <v>25669.083712465879</v>
      </c>
      <c r="Y1019" s="19">
        <v>0.36380000000000001</v>
      </c>
      <c r="Z1019" s="19">
        <v>0.3044</v>
      </c>
      <c r="AB1019" s="18">
        <v>20870</v>
      </c>
      <c r="AC1019" s="18">
        <v>4</v>
      </c>
    </row>
    <row r="1020" spans="1:29" ht="15.75" customHeight="1" x14ac:dyDescent="0.2">
      <c r="A1020" s="36" t="str">
        <f>HYPERLINK("https://iusb.edu/", "Indiana University-South Bend")</f>
        <v>Indiana University-South Bend</v>
      </c>
      <c r="B1020" s="18" t="s">
        <v>49</v>
      </c>
      <c r="C1020" s="18" t="s">
        <v>148</v>
      </c>
      <c r="D1020" s="18" t="s">
        <v>755</v>
      </c>
      <c r="E1020" s="18">
        <v>1035</v>
      </c>
      <c r="F1020" s="18" t="s">
        <v>35</v>
      </c>
      <c r="J1020" s="19"/>
      <c r="K1020" s="19">
        <v>0.29239999999999999</v>
      </c>
      <c r="L1020" s="19">
        <v>0.19</v>
      </c>
      <c r="M1020" s="19">
        <v>0.31709999999999999</v>
      </c>
      <c r="N1020" s="19">
        <v>0.1053</v>
      </c>
      <c r="O1020" s="19">
        <v>0.23330000000000001</v>
      </c>
      <c r="P1020" s="19">
        <v>0.4</v>
      </c>
      <c r="Q1020" s="19"/>
      <c r="R1020" s="20">
        <v>31486</v>
      </c>
      <c r="S1020" s="21" t="str">
        <f>HYPERLINK("https://uirr.iu.edu/doc/compliance/regional-net-price-calculators/index_IU_SouthBend_NetPrice_Calculator.html", "$21633")</f>
        <v>$21633</v>
      </c>
      <c r="T1020" s="20">
        <v>25821</v>
      </c>
      <c r="U1020" s="20">
        <v>29746</v>
      </c>
      <c r="V1020" s="20">
        <v>3598</v>
      </c>
      <c r="W1020" s="20">
        <v>18035.074468085109</v>
      </c>
      <c r="Y1020" s="19">
        <v>0.32569999999999999</v>
      </c>
      <c r="Z1020" s="19">
        <v>0.29020000000000001</v>
      </c>
      <c r="AB1020" s="18">
        <v>4790</v>
      </c>
      <c r="AC1020" s="18">
        <v>5</v>
      </c>
    </row>
    <row r="1021" spans="1:29" ht="15.75" customHeight="1" x14ac:dyDescent="0.2">
      <c r="A1021" s="36" t="str">
        <f>HYPERLINK("https://ius.edu/", "Indiana University-Southeast")</f>
        <v>Indiana University-Southeast</v>
      </c>
      <c r="B1021" s="18" t="s">
        <v>49</v>
      </c>
      <c r="C1021" s="18" t="s">
        <v>148</v>
      </c>
      <c r="D1021" s="18" t="s">
        <v>756</v>
      </c>
      <c r="E1021" s="18">
        <v>1021</v>
      </c>
      <c r="F1021" s="18" t="s">
        <v>35</v>
      </c>
      <c r="J1021" s="19"/>
      <c r="K1021" s="19">
        <v>0.31909999999999999</v>
      </c>
      <c r="L1021" s="19">
        <v>0.21964529299999999</v>
      </c>
      <c r="M1021" s="19">
        <v>0.33839999999999998</v>
      </c>
      <c r="N1021" s="19">
        <v>0.12770000000000001</v>
      </c>
      <c r="O1021" s="19">
        <v>0.29409999999999997</v>
      </c>
      <c r="P1021" s="19">
        <v>0.66669999999999996</v>
      </c>
      <c r="Q1021" s="19"/>
      <c r="R1021" s="20">
        <v>32360</v>
      </c>
      <c r="S1021" s="21" t="str">
        <f>HYPERLINK("https://uirr.iu.edu/doc/compliance/regional-net-price-calculators/index_IU_Southeast_NetPrice_Calculator.html", "$22847")</f>
        <v>$22847</v>
      </c>
      <c r="T1021" s="20">
        <v>27361</v>
      </c>
      <c r="U1021" s="20">
        <v>31147</v>
      </c>
      <c r="V1021" s="20">
        <v>3598</v>
      </c>
      <c r="W1021" s="20">
        <v>19249.10921501707</v>
      </c>
      <c r="Y1021" s="19">
        <v>0.35270000000000001</v>
      </c>
      <c r="Z1021" s="19">
        <v>0.16769999999999999</v>
      </c>
      <c r="AB1021" s="18">
        <v>4722</v>
      </c>
      <c r="AC1021" s="18">
        <v>5</v>
      </c>
    </row>
    <row r="1022" spans="1:29" ht="15.75" customHeight="1" x14ac:dyDescent="0.2">
      <c r="A1022" s="36" t="str">
        <f>HYPERLINK("https://www.indwes.edu", "Indiana Wesleyan University-Marion")</f>
        <v>Indiana Wesleyan University-Marion</v>
      </c>
      <c r="B1022" s="18" t="s">
        <v>32</v>
      </c>
      <c r="C1022" s="18" t="s">
        <v>148</v>
      </c>
      <c r="D1022" s="18" t="s">
        <v>841</v>
      </c>
      <c r="E1022" s="18">
        <v>1138</v>
      </c>
      <c r="F1022" s="18" t="s">
        <v>35</v>
      </c>
      <c r="J1022" s="19"/>
      <c r="K1022" s="19">
        <v>0.62819999999999998</v>
      </c>
      <c r="L1022" s="19">
        <v>0.41585639499999999</v>
      </c>
      <c r="M1022" s="19">
        <v>0.64229999999999998</v>
      </c>
      <c r="N1022" s="19">
        <v>0.3</v>
      </c>
      <c r="O1022" s="19">
        <v>0.58620000000000005</v>
      </c>
      <c r="P1022" s="19">
        <v>1</v>
      </c>
      <c r="Q1022" s="19"/>
      <c r="R1022" s="20">
        <v>37760</v>
      </c>
      <c r="S1022" s="21" t="str">
        <f>HYPERLINK("https://secure2.indwes.edu/Financial-Aid/Estimator/CAS/", "$14900")</f>
        <v>$14900</v>
      </c>
      <c r="T1022" s="20">
        <v>17610</v>
      </c>
      <c r="U1022" s="20">
        <v>20299</v>
      </c>
      <c r="V1022" s="20">
        <v>3468</v>
      </c>
      <c r="W1022" s="20">
        <v>11432</v>
      </c>
      <c r="Y1022" s="19">
        <v>0.28970000000000001</v>
      </c>
      <c r="Z1022" s="19">
        <v>0.1583</v>
      </c>
      <c r="AB1022" s="18">
        <v>2685</v>
      </c>
      <c r="AC1022" s="18">
        <v>4</v>
      </c>
    </row>
    <row r="1023" spans="1:29" ht="15.75" customHeight="1" x14ac:dyDescent="0.2">
      <c r="A1023" s="36" t="str">
        <f>HYPERLINK("https://www.ipr.edu", "Institute of Production and Recording")</f>
        <v>Institute of Production and Recording</v>
      </c>
      <c r="B1023" s="18" t="s">
        <v>368</v>
      </c>
      <c r="C1023" s="18" t="s">
        <v>72</v>
      </c>
      <c r="D1023" s="18" t="s">
        <v>283</v>
      </c>
      <c r="E1023" s="18" t="s">
        <v>36</v>
      </c>
      <c r="F1023" s="18" t="s">
        <v>36</v>
      </c>
      <c r="J1023" s="19"/>
      <c r="K1023" s="19">
        <v>0.61819999999999997</v>
      </c>
      <c r="L1023" s="19">
        <v>0.50476190499999996</v>
      </c>
      <c r="M1023" s="19">
        <v>0.63160000000000005</v>
      </c>
      <c r="N1023" s="19">
        <v>0.4</v>
      </c>
      <c r="O1023" s="19">
        <v>0.66669999999999996</v>
      </c>
      <c r="P1023" s="19" t="s">
        <v>36</v>
      </c>
      <c r="Q1023" s="19" t="s">
        <v>36</v>
      </c>
      <c r="R1023" s="20">
        <v>34170</v>
      </c>
      <c r="S1023" s="21" t="str">
        <f>HYPERLINK("https://www.ipr.edu/tuition/net-price-calculator/", "$22320")</f>
        <v>$22320</v>
      </c>
      <c r="T1023" s="20">
        <v>22631</v>
      </c>
      <c r="U1023" s="20">
        <v>28236</v>
      </c>
      <c r="V1023" s="20">
        <v>9558</v>
      </c>
      <c r="W1023" s="20">
        <v>12762</v>
      </c>
      <c r="Y1023" s="19">
        <v>0.21129999999999999</v>
      </c>
      <c r="Z1023" s="19">
        <v>0.25979999999999998</v>
      </c>
      <c r="AB1023" s="18">
        <v>204</v>
      </c>
      <c r="AC1023" s="18">
        <v>6</v>
      </c>
    </row>
    <row r="1024" spans="1:29" ht="15.75" customHeight="1" x14ac:dyDescent="0.2">
      <c r="A1024" s="36" t="str">
        <f>HYPERLINK("https://www.de.gobierno.pr/", "Instituto Tecnologico de Puerto Rico-Recinto de Guayama")</f>
        <v>Instituto Tecnologico de Puerto Rico-Recinto de Guayama</v>
      </c>
      <c r="B1024" s="18" t="s">
        <v>49</v>
      </c>
      <c r="C1024" s="18" t="s">
        <v>284</v>
      </c>
      <c r="D1024" s="18" t="s">
        <v>1435</v>
      </c>
      <c r="E1024" s="18" t="s">
        <v>36</v>
      </c>
      <c r="F1024" s="18" t="s">
        <v>36</v>
      </c>
      <c r="J1024" s="19"/>
      <c r="K1024" s="19">
        <v>0.95620000000000005</v>
      </c>
      <c r="L1024" s="19" t="s">
        <v>36</v>
      </c>
      <c r="M1024" s="19" t="s">
        <v>36</v>
      </c>
      <c r="N1024" s="19" t="s">
        <v>36</v>
      </c>
      <c r="O1024" s="19">
        <v>0.95620000000000005</v>
      </c>
      <c r="P1024" s="19" t="s">
        <v>36</v>
      </c>
      <c r="Q1024" s="19">
        <v>0.109986505</v>
      </c>
      <c r="R1024" s="20">
        <v>9125</v>
      </c>
      <c r="S1024" s="21" t="str">
        <f>HYPERLINK("https://www.itecguayama.com", "$5882")</f>
        <v>$5882</v>
      </c>
      <c r="T1024" s="20">
        <v>9047</v>
      </c>
      <c r="U1024" s="20" t="s">
        <v>36</v>
      </c>
      <c r="V1024" s="20">
        <v>5500</v>
      </c>
      <c r="W1024" s="20">
        <v>382.23076923076951</v>
      </c>
      <c r="Y1024" s="19">
        <v>0.76629999999999998</v>
      </c>
      <c r="Z1024" s="19">
        <v>1</v>
      </c>
      <c r="AB1024" s="18">
        <v>622</v>
      </c>
      <c r="AC1024" s="18">
        <v>6</v>
      </c>
    </row>
    <row r="1025" spans="1:29" ht="15.75" customHeight="1" x14ac:dyDescent="0.2">
      <c r="A1025" s="36" t="str">
        <f>HYPERLINK("https://itec.pr/ITPR-Joomla/", "Instituto Tecnologico de Puerto Rico-Recinto de Manati")</f>
        <v>Instituto Tecnologico de Puerto Rico-Recinto de Manati</v>
      </c>
      <c r="B1025" s="18" t="s">
        <v>49</v>
      </c>
      <c r="C1025" s="18" t="s">
        <v>284</v>
      </c>
      <c r="D1025" s="18" t="s">
        <v>925</v>
      </c>
      <c r="E1025" s="18" t="s">
        <v>36</v>
      </c>
      <c r="F1025" s="18" t="s">
        <v>45</v>
      </c>
      <c r="J1025" s="19"/>
      <c r="K1025" s="19">
        <v>0.64219999999999999</v>
      </c>
      <c r="L1025" s="19" t="s">
        <v>36</v>
      </c>
      <c r="M1025" s="19" t="s">
        <v>36</v>
      </c>
      <c r="N1025" s="19" t="s">
        <v>36</v>
      </c>
      <c r="O1025" s="19">
        <v>0.64219999999999999</v>
      </c>
      <c r="P1025" s="19" t="s">
        <v>36</v>
      </c>
      <c r="Q1025" s="19">
        <v>0.109986505</v>
      </c>
      <c r="R1025" s="20">
        <v>7025</v>
      </c>
      <c r="S1025" s="21" t="str">
        <f>HYPERLINK("https://itec.pr", "$5167")</f>
        <v>$5167</v>
      </c>
      <c r="T1025" s="20">
        <v>5482</v>
      </c>
      <c r="U1025" s="20" t="s">
        <v>36</v>
      </c>
      <c r="V1025" s="20">
        <v>2800</v>
      </c>
      <c r="W1025" s="20">
        <v>2367.0176678445232</v>
      </c>
      <c r="Y1025" s="19">
        <v>0.8992</v>
      </c>
      <c r="Z1025" s="19">
        <v>1</v>
      </c>
      <c r="AB1025" s="18">
        <v>647</v>
      </c>
      <c r="AC1025" s="18">
        <v>6</v>
      </c>
    </row>
    <row r="1026" spans="1:29" ht="15.75" customHeight="1" x14ac:dyDescent="0.2">
      <c r="A1026" s="36" t="str">
        <f>HYPERLINK("https://itec.dde.pr", "Instituto Tecnologico de Puerto Rico-Recinto de Ponce")</f>
        <v>Instituto Tecnologico de Puerto Rico-Recinto de Ponce</v>
      </c>
      <c r="B1026" s="18" t="s">
        <v>49</v>
      </c>
      <c r="C1026" s="18" t="s">
        <v>284</v>
      </c>
      <c r="D1026" s="18" t="s">
        <v>1332</v>
      </c>
      <c r="E1026" s="18" t="s">
        <v>36</v>
      </c>
      <c r="F1026" s="18" t="s">
        <v>45</v>
      </c>
      <c r="J1026" s="19"/>
      <c r="K1026" s="19">
        <v>0.74470000000000003</v>
      </c>
      <c r="L1026" s="19" t="s">
        <v>36</v>
      </c>
      <c r="M1026" s="19" t="s">
        <v>36</v>
      </c>
      <c r="N1026" s="19" t="s">
        <v>36</v>
      </c>
      <c r="O1026" s="19">
        <v>0.74470000000000003</v>
      </c>
      <c r="P1026" s="19" t="s">
        <v>36</v>
      </c>
      <c r="Q1026" s="19">
        <v>0.109986505</v>
      </c>
      <c r="R1026" s="20">
        <v>8330</v>
      </c>
      <c r="S1026" s="21" t="str">
        <f>HYPERLINK("https://itec.dde.pr", "$6472")</f>
        <v>$6472</v>
      </c>
      <c r="T1026" s="20">
        <v>6787</v>
      </c>
      <c r="U1026" s="20" t="s">
        <v>36</v>
      </c>
      <c r="V1026" s="20">
        <v>5100</v>
      </c>
      <c r="W1026" s="20">
        <v>1372.1103678929769</v>
      </c>
      <c r="Y1026" s="19">
        <v>0.89900000000000002</v>
      </c>
      <c r="Z1026" s="19">
        <v>1</v>
      </c>
      <c r="AB1026" s="18">
        <v>349</v>
      </c>
      <c r="AC1026" s="18">
        <v>6</v>
      </c>
    </row>
    <row r="1027" spans="1:29" ht="15.75" customHeight="1" x14ac:dyDescent="0.2">
      <c r="A1027" s="36" t="str">
        <f>HYPERLINK("https://itec.pr/ITPR-Joomla/index.php?option=com_content&amp;view=article&amp;id=97&amp;Itemid=112", "Instituto Tecnologico de Puerto Rico-Recinto de San Juan")</f>
        <v>Instituto Tecnologico de Puerto Rico-Recinto de San Juan</v>
      </c>
      <c r="B1027" s="18" t="s">
        <v>49</v>
      </c>
      <c r="C1027" s="18" t="s">
        <v>284</v>
      </c>
      <c r="D1027" s="18" t="s">
        <v>285</v>
      </c>
      <c r="E1027" s="18" t="s">
        <v>36</v>
      </c>
      <c r="F1027" s="18" t="s">
        <v>45</v>
      </c>
      <c r="J1027" s="19"/>
      <c r="K1027" s="19">
        <v>0.64419999999999999</v>
      </c>
      <c r="L1027" s="19" t="s">
        <v>36</v>
      </c>
      <c r="M1027" s="19" t="s">
        <v>36</v>
      </c>
      <c r="N1027" s="19" t="s">
        <v>36</v>
      </c>
      <c r="O1027" s="19">
        <v>0.64419999999999999</v>
      </c>
      <c r="P1027" s="19" t="s">
        <v>36</v>
      </c>
      <c r="Q1027" s="19">
        <v>0.109986505</v>
      </c>
      <c r="R1027" s="20">
        <v>5605</v>
      </c>
      <c r="S1027" s="21" t="str">
        <f>HYPERLINK("https://itec.pr/ITPR-Joomla/index.php?option=com_content&amp;view=article&amp;id=97&amp;Itemid=112", "$1584")</f>
        <v>$1584</v>
      </c>
      <c r="T1027" s="20">
        <v>4305</v>
      </c>
      <c r="U1027" s="20" t="s">
        <v>36</v>
      </c>
      <c r="V1027" s="20">
        <v>2000</v>
      </c>
      <c r="W1027" s="20">
        <v>-415.57575757575751</v>
      </c>
      <c r="Y1027" s="19">
        <v>0.72599999999999998</v>
      </c>
      <c r="Z1027" s="19">
        <v>1</v>
      </c>
      <c r="AB1027" s="18">
        <v>636</v>
      </c>
      <c r="AC1027" s="18">
        <v>6</v>
      </c>
    </row>
    <row r="1028" spans="1:29" ht="15.75" customHeight="1" x14ac:dyDescent="0.2">
      <c r="A1028" s="36" t="str">
        <f>HYPERLINK("https://www.IntelliTecCollege.com", "Intellitec College-Colorado Springs")</f>
        <v>Intellitec College-Colorado Springs</v>
      </c>
      <c r="B1028" s="18" t="s">
        <v>368</v>
      </c>
      <c r="C1028" s="18" t="s">
        <v>87</v>
      </c>
      <c r="D1028" s="18" t="s">
        <v>88</v>
      </c>
      <c r="E1028" s="18" t="s">
        <v>36</v>
      </c>
      <c r="F1028" s="18" t="s">
        <v>36</v>
      </c>
      <c r="J1028" s="19"/>
      <c r="K1028" s="19">
        <v>0.5726</v>
      </c>
      <c r="L1028" s="19">
        <v>0.47546012300000001</v>
      </c>
      <c r="M1028" s="19">
        <v>0.59009999999999996</v>
      </c>
      <c r="N1028" s="19">
        <v>0.51349999999999996</v>
      </c>
      <c r="O1028" s="19">
        <v>0.5161</v>
      </c>
      <c r="P1028" s="19">
        <v>1</v>
      </c>
      <c r="Q1028" s="19" t="s">
        <v>36</v>
      </c>
      <c r="R1028" s="20" t="s">
        <v>36</v>
      </c>
      <c r="S1028" s="21" t="str">
        <f>HYPERLINK("https://www.intelliteccollege.com/your-right-to-know/institution_netpricecalculator_cs/npcalc.htm", "$17407")</f>
        <v>$17407</v>
      </c>
      <c r="T1028" s="20">
        <v>17504</v>
      </c>
      <c r="U1028" s="20">
        <v>20503</v>
      </c>
      <c r="V1028" s="20" t="s">
        <v>36</v>
      </c>
      <c r="W1028" s="20" t="s">
        <v>36</v>
      </c>
      <c r="Y1028" s="19">
        <v>0.45319999999999999</v>
      </c>
      <c r="Z1028" s="19">
        <v>0.43309999999999998</v>
      </c>
      <c r="AB1028" s="18">
        <v>635</v>
      </c>
      <c r="AC1028" s="18">
        <v>6</v>
      </c>
    </row>
    <row r="1029" spans="1:29" ht="15.75" customHeight="1" x14ac:dyDescent="0.2">
      <c r="A1029" s="36" t="str">
        <f>HYPERLINK("https://www.ict.edu/pasadena-colleges-in-pasadena-tx/", "Interactive College of Technology")</f>
        <v>Interactive College of Technology</v>
      </c>
      <c r="B1029" s="18" t="s">
        <v>368</v>
      </c>
      <c r="C1029" s="18" t="s">
        <v>146</v>
      </c>
      <c r="D1029" s="18" t="s">
        <v>69</v>
      </c>
      <c r="E1029" s="18" t="s">
        <v>36</v>
      </c>
      <c r="F1029" s="18" t="s">
        <v>36</v>
      </c>
      <c r="J1029" s="19"/>
      <c r="K1029" s="19">
        <v>0.33329999999999999</v>
      </c>
      <c r="L1029" s="19" t="s">
        <v>36</v>
      </c>
      <c r="M1029" s="19" t="s">
        <v>36</v>
      </c>
      <c r="N1029" s="19">
        <v>0</v>
      </c>
      <c r="O1029" s="19">
        <v>0.36359999999999998</v>
      </c>
      <c r="P1029" s="19" t="s">
        <v>36</v>
      </c>
      <c r="Q1029" s="19" t="s">
        <v>36</v>
      </c>
      <c r="R1029" s="20">
        <v>19214</v>
      </c>
      <c r="S1029" s="21" t="str">
        <f>HYPERLINK("https://www.ict.edu/net-price-calculator/", "$8786")</f>
        <v>$8786</v>
      </c>
      <c r="T1029" s="20" t="s">
        <v>36</v>
      </c>
      <c r="U1029" s="20" t="s">
        <v>36</v>
      </c>
      <c r="V1029" s="20">
        <v>4700</v>
      </c>
      <c r="W1029" s="20">
        <v>4086</v>
      </c>
      <c r="Y1029" s="19">
        <v>0.78129999999999999</v>
      </c>
      <c r="Z1029" s="19">
        <v>0.88239999999999996</v>
      </c>
      <c r="AB1029" s="18">
        <v>17</v>
      </c>
      <c r="AC1029" s="18">
        <v>6</v>
      </c>
    </row>
    <row r="1030" spans="1:29" ht="15.75" customHeight="1" x14ac:dyDescent="0.2">
      <c r="A1030" s="36" t="str">
        <f>HYPERLINK("https://idi.edu", "Interior Designers Institute")</f>
        <v>Interior Designers Institute</v>
      </c>
      <c r="B1030" s="18" t="s">
        <v>368</v>
      </c>
      <c r="C1030" s="18" t="s">
        <v>68</v>
      </c>
      <c r="D1030" s="18" t="s">
        <v>1436</v>
      </c>
      <c r="E1030" s="18" t="s">
        <v>36</v>
      </c>
      <c r="F1030" s="18" t="s">
        <v>36</v>
      </c>
      <c r="J1030" s="19"/>
      <c r="K1030" s="19" t="s">
        <v>36</v>
      </c>
      <c r="L1030" s="19" t="s">
        <v>36</v>
      </c>
      <c r="M1030" s="19" t="s">
        <v>36</v>
      </c>
      <c r="N1030" s="19" t="s">
        <v>36</v>
      </c>
      <c r="O1030" s="19" t="s">
        <v>36</v>
      </c>
      <c r="P1030" s="19" t="s">
        <v>36</v>
      </c>
      <c r="Q1030" s="19" t="s">
        <v>36</v>
      </c>
      <c r="R1030" s="20">
        <v>37292</v>
      </c>
      <c r="S1030" s="21" t="str">
        <f>HYPERLINK("https://idi.edu/NetPriceCalculator/npcalc.htm", "Not reported")</f>
        <v>Not reported</v>
      </c>
      <c r="T1030" s="20" t="s">
        <v>36</v>
      </c>
      <c r="U1030" s="20" t="s">
        <v>36</v>
      </c>
      <c r="V1030" s="20">
        <v>5749</v>
      </c>
      <c r="W1030" s="20" t="s">
        <v>36</v>
      </c>
      <c r="Y1030" s="19">
        <v>0.23580000000000001</v>
      </c>
      <c r="Z1030" s="19">
        <v>0.30289999999999989</v>
      </c>
      <c r="AB1030" s="18">
        <v>208</v>
      </c>
      <c r="AC1030" s="18">
        <v>6</v>
      </c>
    </row>
    <row r="1031" spans="1:29" ht="15.75" customHeight="1" x14ac:dyDescent="0.2">
      <c r="A1031" s="36" t="str">
        <f>HYPERLINK("https://www.ibcfortwayne.edu", "International Business College-Fort Wayne")</f>
        <v>International Business College-Fort Wayne</v>
      </c>
      <c r="B1031" s="18" t="s">
        <v>368</v>
      </c>
      <c r="C1031" s="18" t="s">
        <v>148</v>
      </c>
      <c r="D1031" s="18" t="s">
        <v>815</v>
      </c>
      <c r="E1031" s="18" t="s">
        <v>36</v>
      </c>
      <c r="F1031" s="18" t="s">
        <v>45</v>
      </c>
      <c r="J1031" s="19"/>
      <c r="K1031" s="19">
        <v>0.71550000000000002</v>
      </c>
      <c r="L1031" s="19">
        <v>0.68524590200000002</v>
      </c>
      <c r="M1031" s="19">
        <v>0.73370000000000002</v>
      </c>
      <c r="N1031" s="19">
        <v>0.75</v>
      </c>
      <c r="O1031" s="19">
        <v>0.5</v>
      </c>
      <c r="P1031" s="19" t="s">
        <v>36</v>
      </c>
      <c r="Q1031" s="19">
        <v>1.7133955999999999E-2</v>
      </c>
      <c r="R1031" s="20">
        <v>24746</v>
      </c>
      <c r="S1031" s="21" t="str">
        <f>HYPERLINK("https://www.ibcfortwayne.edu/aid", "$14800")</f>
        <v>$14800</v>
      </c>
      <c r="T1031" s="20">
        <v>18800</v>
      </c>
      <c r="U1031" s="20">
        <v>21319</v>
      </c>
      <c r="V1031" s="20">
        <v>2406</v>
      </c>
      <c r="W1031" s="20">
        <v>12394</v>
      </c>
      <c r="Y1031" s="19">
        <v>0.5595</v>
      </c>
      <c r="Z1031" s="19">
        <v>0.20080000000000001</v>
      </c>
      <c r="AB1031" s="18">
        <v>244</v>
      </c>
      <c r="AC1031" s="18">
        <v>6</v>
      </c>
    </row>
    <row r="1032" spans="1:29" ht="15.75" customHeight="1" x14ac:dyDescent="0.2">
      <c r="A1032" s="36" t="str">
        <f>HYPERLINK("https://www.ibcindianapolis.edu", "International Business College-Indianapolis")</f>
        <v>International Business College-Indianapolis</v>
      </c>
      <c r="B1032" s="18" t="s">
        <v>368</v>
      </c>
      <c r="C1032" s="18" t="s">
        <v>148</v>
      </c>
      <c r="D1032" s="18" t="s">
        <v>316</v>
      </c>
      <c r="E1032" s="18" t="s">
        <v>36</v>
      </c>
      <c r="F1032" s="18" t="s">
        <v>45</v>
      </c>
      <c r="J1032" s="19"/>
      <c r="K1032" s="19">
        <v>0.7944</v>
      </c>
      <c r="L1032" s="19">
        <v>0.68524590200000002</v>
      </c>
      <c r="M1032" s="19">
        <v>0.79449999999999998</v>
      </c>
      <c r="N1032" s="19">
        <v>0.69230000000000003</v>
      </c>
      <c r="O1032" s="19">
        <v>1</v>
      </c>
      <c r="P1032" s="19" t="s">
        <v>36</v>
      </c>
      <c r="Q1032" s="19">
        <v>1.7133955999999999E-2</v>
      </c>
      <c r="R1032" s="20">
        <v>25815</v>
      </c>
      <c r="S1032" s="21" t="str">
        <f>HYPERLINK("https://www.ibcindianapolis.edu/aid", "$13011")</f>
        <v>$13011</v>
      </c>
      <c r="T1032" s="20">
        <v>17495</v>
      </c>
      <c r="U1032" s="20">
        <v>20468</v>
      </c>
      <c r="V1032" s="20">
        <v>2635</v>
      </c>
      <c r="W1032" s="20">
        <v>10376</v>
      </c>
      <c r="Y1032" s="19">
        <v>0.61670000000000003</v>
      </c>
      <c r="Z1032" s="19">
        <v>0.26329999999999998</v>
      </c>
      <c r="AB1032" s="18">
        <v>319</v>
      </c>
      <c r="AC1032" s="18">
        <v>6</v>
      </c>
    </row>
    <row r="1033" spans="1:29" ht="15.75" customHeight="1" x14ac:dyDescent="0.2">
      <c r="A1033" s="36" t="str">
        <f>HYPERLINK("https://www.icb.edu", "International College of Broadcasting")</f>
        <v>International College of Broadcasting</v>
      </c>
      <c r="B1033" s="18" t="s">
        <v>368</v>
      </c>
      <c r="C1033" s="18" t="s">
        <v>75</v>
      </c>
      <c r="D1033" s="18" t="s">
        <v>506</v>
      </c>
      <c r="E1033" s="18" t="s">
        <v>36</v>
      </c>
      <c r="F1033" s="18" t="s">
        <v>36</v>
      </c>
      <c r="J1033" s="19"/>
      <c r="K1033" s="19">
        <v>0.75</v>
      </c>
      <c r="L1033" s="19">
        <v>0.52238806000000004</v>
      </c>
      <c r="M1033" s="19">
        <v>1</v>
      </c>
      <c r="N1033" s="19">
        <v>0.5</v>
      </c>
      <c r="O1033" s="19" t="s">
        <v>36</v>
      </c>
      <c r="P1033" s="19" t="s">
        <v>36</v>
      </c>
      <c r="Q1033" s="19" t="s">
        <v>36</v>
      </c>
      <c r="R1033" s="20">
        <v>24628</v>
      </c>
      <c r="S1033" s="21" t="str">
        <f>HYPERLINK("https://www.icb.edu", "$18517")</f>
        <v>$18517</v>
      </c>
      <c r="T1033" s="20" t="s">
        <v>36</v>
      </c>
      <c r="U1033" s="20" t="s">
        <v>36</v>
      </c>
      <c r="V1033" s="20">
        <v>4870</v>
      </c>
      <c r="W1033" s="20">
        <v>13647</v>
      </c>
      <c r="Y1033" s="19">
        <v>0.80359999999999998</v>
      </c>
      <c r="Z1033" s="19">
        <v>0.44440000000000002</v>
      </c>
      <c r="AB1033" s="18">
        <v>54</v>
      </c>
      <c r="AC1033" s="18">
        <v>6</v>
      </c>
    </row>
    <row r="1034" spans="1:29" ht="15.75" customHeight="1" x14ac:dyDescent="0.2">
      <c r="A1034" s="36" t="str">
        <f>HYPERLINK("https://www.inverhills.edu", "Inver Hills Community College")</f>
        <v>Inver Hills Community College</v>
      </c>
      <c r="B1034" s="18" t="s">
        <v>49</v>
      </c>
      <c r="C1034" s="18" t="s">
        <v>72</v>
      </c>
      <c r="D1034" s="18" t="s">
        <v>1437</v>
      </c>
      <c r="E1034" s="18" t="s">
        <v>36</v>
      </c>
      <c r="F1034" s="18" t="s">
        <v>36</v>
      </c>
      <c r="J1034" s="19"/>
      <c r="K1034" s="19">
        <v>0.24679999999999999</v>
      </c>
      <c r="L1034" s="19">
        <v>0.24793388399999999</v>
      </c>
      <c r="M1034" s="19">
        <v>0.26479999999999998</v>
      </c>
      <c r="N1034" s="19">
        <v>0.13109999999999999</v>
      </c>
      <c r="O1034" s="19">
        <v>0.22</v>
      </c>
      <c r="P1034" s="19">
        <v>0.1724</v>
      </c>
      <c r="Q1034" s="19">
        <v>0.100108814</v>
      </c>
      <c r="R1034" s="20">
        <v>19848</v>
      </c>
      <c r="S1034" s="21" t="str">
        <f>HYPERLINK("https://www.inverhills.edu/FinancialAid/CostofAttendance.aspx", "$14702")</f>
        <v>$14702</v>
      </c>
      <c r="T1034" s="20">
        <v>17098</v>
      </c>
      <c r="U1034" s="20">
        <v>19228</v>
      </c>
      <c r="V1034" s="20">
        <v>7532</v>
      </c>
      <c r="W1034" s="20">
        <v>7170.4311926605506</v>
      </c>
      <c r="Y1034" s="19">
        <v>0.26910000000000001</v>
      </c>
      <c r="Z1034" s="19">
        <v>0.372</v>
      </c>
      <c r="AB1034" s="18">
        <v>3269</v>
      </c>
      <c r="AC1034" s="18">
        <v>6</v>
      </c>
    </row>
    <row r="1035" spans="1:29" ht="15.75" customHeight="1" x14ac:dyDescent="0.2">
      <c r="A1035" s="36" t="str">
        <f>HYPERLINK("https://www.iona.edu", "Iona College")</f>
        <v>Iona College</v>
      </c>
      <c r="B1035" s="18" t="s">
        <v>32</v>
      </c>
      <c r="C1035" s="18" t="s">
        <v>38</v>
      </c>
      <c r="D1035" s="18" t="s">
        <v>842</v>
      </c>
      <c r="E1035" s="18">
        <v>1090</v>
      </c>
      <c r="F1035" s="18" t="s">
        <v>35</v>
      </c>
      <c r="J1035" s="19"/>
      <c r="K1035" s="19">
        <v>0.64410000000000001</v>
      </c>
      <c r="L1035" s="19">
        <v>0.52564102600000007</v>
      </c>
      <c r="M1035" s="19">
        <v>0.69510000000000005</v>
      </c>
      <c r="N1035" s="19">
        <v>0.5484</v>
      </c>
      <c r="O1035" s="19">
        <v>0.56100000000000005</v>
      </c>
      <c r="P1035" s="19">
        <v>0.57140000000000002</v>
      </c>
      <c r="Q1035" s="19"/>
      <c r="R1035" s="20">
        <v>55864</v>
      </c>
      <c r="S1035" s="21" t="str">
        <f>HYPERLINK("https://iona.studentaidcalculator.com/welcome.aspx", "$23082")</f>
        <v>$23082</v>
      </c>
      <c r="T1035" s="20">
        <v>27259</v>
      </c>
      <c r="U1035" s="20">
        <v>29618</v>
      </c>
      <c r="V1035" s="20">
        <v>3350</v>
      </c>
      <c r="W1035" s="20">
        <v>19732</v>
      </c>
      <c r="Y1035" s="19">
        <v>0.30280000000000001</v>
      </c>
      <c r="Z1035" s="19">
        <v>0.44500000000000001</v>
      </c>
      <c r="AB1035" s="18">
        <v>2989</v>
      </c>
      <c r="AC1035" s="18">
        <v>4</v>
      </c>
    </row>
    <row r="1036" spans="1:29" ht="15.75" customHeight="1" x14ac:dyDescent="0.2">
      <c r="A1036" s="36" t="str">
        <f>HYPERLINK("https://www.iowacentral.edu", "Iowa Central Community College")</f>
        <v>Iowa Central Community College</v>
      </c>
      <c r="B1036" s="18" t="s">
        <v>49</v>
      </c>
      <c r="C1036" s="18" t="s">
        <v>211</v>
      </c>
      <c r="D1036" s="18" t="s">
        <v>1438</v>
      </c>
      <c r="E1036" s="18" t="s">
        <v>36</v>
      </c>
      <c r="F1036" s="18" t="s">
        <v>36</v>
      </c>
      <c r="J1036" s="19"/>
      <c r="K1036" s="19">
        <v>0.31609999999999999</v>
      </c>
      <c r="L1036" s="19">
        <v>0.17589285700000001</v>
      </c>
      <c r="M1036" s="19">
        <v>0.3921</v>
      </c>
      <c r="N1036" s="19">
        <v>9.3000000000000013E-2</v>
      </c>
      <c r="O1036" s="19">
        <v>0.2414</v>
      </c>
      <c r="P1036" s="19">
        <v>0.33329999999999999</v>
      </c>
      <c r="Q1036" s="19">
        <v>5.5152395E-2</v>
      </c>
      <c r="R1036" s="20">
        <v>18276</v>
      </c>
      <c r="S1036" s="21" t="str">
        <f>HYPERLINK("https://www.iowacentral.edu/", "$13019")</f>
        <v>$13019</v>
      </c>
      <c r="T1036" s="20">
        <v>15119</v>
      </c>
      <c r="U1036" s="20">
        <v>16935</v>
      </c>
      <c r="V1036" s="20">
        <v>3861</v>
      </c>
      <c r="W1036" s="20">
        <v>9158.3663366336623</v>
      </c>
      <c r="Y1036" s="19">
        <v>0.32040000000000002</v>
      </c>
      <c r="Z1036" s="19">
        <v>0.33889999999999998</v>
      </c>
      <c r="AB1036" s="18">
        <v>3523</v>
      </c>
      <c r="AC1036" s="18">
        <v>6</v>
      </c>
    </row>
    <row r="1037" spans="1:29" ht="15.75" customHeight="1" x14ac:dyDescent="0.2">
      <c r="A1037" s="36" t="str">
        <f>HYPERLINK("https://www.iowalakes.edu", "Iowa Lakes Community College")</f>
        <v>Iowa Lakes Community College</v>
      </c>
      <c r="B1037" s="18" t="s">
        <v>49</v>
      </c>
      <c r="C1037" s="18" t="s">
        <v>211</v>
      </c>
      <c r="D1037" s="18" t="s">
        <v>1439</v>
      </c>
      <c r="E1037" s="18" t="s">
        <v>36</v>
      </c>
      <c r="F1037" s="18" t="s">
        <v>36</v>
      </c>
      <c r="J1037" s="19"/>
      <c r="K1037" s="19">
        <v>0.54569999999999996</v>
      </c>
      <c r="L1037" s="19">
        <v>0.122516556</v>
      </c>
      <c r="M1037" s="19">
        <v>0.63970000000000005</v>
      </c>
      <c r="N1037" s="19">
        <v>0.1739</v>
      </c>
      <c r="O1037" s="19">
        <v>0.32429999999999998</v>
      </c>
      <c r="P1037" s="19">
        <v>0</v>
      </c>
      <c r="Q1037" s="19">
        <v>9.6660808000000001E-2</v>
      </c>
      <c r="R1037" s="20">
        <v>17334</v>
      </c>
      <c r="S1037" s="21" t="str">
        <f>HYPERLINK("https://www.iowalakes.edu/financial-aid/net-price-calculator/", "$10503")</f>
        <v>$10503</v>
      </c>
      <c r="T1037" s="20">
        <v>13490</v>
      </c>
      <c r="U1037" s="20">
        <v>14967</v>
      </c>
      <c r="V1037" s="20">
        <v>4556</v>
      </c>
      <c r="W1037" s="20">
        <v>5947.4482758620688</v>
      </c>
      <c r="Y1037" s="19">
        <v>0.2616</v>
      </c>
      <c r="Z1037" s="19">
        <v>0.24339999999999989</v>
      </c>
      <c r="AB1037" s="18">
        <v>1134</v>
      </c>
      <c r="AC1037" s="18">
        <v>6</v>
      </c>
    </row>
    <row r="1038" spans="1:29" ht="15.75" customHeight="1" x14ac:dyDescent="0.2">
      <c r="A1038" s="36" t="str">
        <f>HYPERLINK("https://www.iastate.edu", "Iowa State University")</f>
        <v>Iowa State University</v>
      </c>
      <c r="B1038" s="18" t="s">
        <v>49</v>
      </c>
      <c r="C1038" s="18" t="s">
        <v>211</v>
      </c>
      <c r="D1038" s="18" t="s">
        <v>843</v>
      </c>
      <c r="E1038" s="18">
        <v>1221</v>
      </c>
      <c r="F1038" s="18" t="s">
        <v>35</v>
      </c>
      <c r="J1038" s="19"/>
      <c r="K1038" s="19">
        <v>0.73429999999999995</v>
      </c>
      <c r="L1038" s="19">
        <v>0.57929104499999995</v>
      </c>
      <c r="M1038" s="19">
        <v>0.75309999999999999</v>
      </c>
      <c r="N1038" s="19">
        <v>0.5282</v>
      </c>
      <c r="O1038" s="19">
        <v>0.69200000000000006</v>
      </c>
      <c r="P1038" s="19">
        <v>0.71940000000000004</v>
      </c>
      <c r="Q1038" s="19"/>
      <c r="R1038" s="20">
        <v>34442</v>
      </c>
      <c r="S1038" s="21" t="str">
        <f>HYPERLINK("https://www.financialaid.iastate.edu/cost/net-price-calculator.php", "$23745")</f>
        <v>$23745</v>
      </c>
      <c r="T1038" s="20">
        <v>27483</v>
      </c>
      <c r="U1038" s="20">
        <v>30935</v>
      </c>
      <c r="V1038" s="20">
        <v>3424</v>
      </c>
      <c r="W1038" s="20">
        <v>20321.635458167329</v>
      </c>
      <c r="Y1038" s="19">
        <v>0.2054</v>
      </c>
      <c r="Z1038" s="19">
        <v>0.25860000000000011</v>
      </c>
      <c r="AB1038" s="18">
        <v>30116</v>
      </c>
      <c r="AC1038" s="18">
        <v>4</v>
      </c>
    </row>
    <row r="1039" spans="1:29" ht="15.75" customHeight="1" x14ac:dyDescent="0.2">
      <c r="A1039" s="36" t="str">
        <f>HYPERLINK("https://www.iw.edu", "Iowa Wesleyan University")</f>
        <v>Iowa Wesleyan University</v>
      </c>
      <c r="B1039" s="18" t="s">
        <v>32</v>
      </c>
      <c r="C1039" s="18" t="s">
        <v>211</v>
      </c>
      <c r="D1039" s="18" t="s">
        <v>639</v>
      </c>
      <c r="E1039" s="18">
        <v>995</v>
      </c>
      <c r="F1039" s="18" t="s">
        <v>35</v>
      </c>
      <c r="J1039" s="19"/>
      <c r="K1039" s="19">
        <v>0.26550000000000001</v>
      </c>
      <c r="L1039" s="19">
        <v>0.21641790999999999</v>
      </c>
      <c r="M1039" s="19">
        <v>0.30359999999999998</v>
      </c>
      <c r="N1039" s="19">
        <v>0.1429</v>
      </c>
      <c r="O1039" s="19">
        <v>0.18179999999999999</v>
      </c>
      <c r="P1039" s="19" t="s">
        <v>36</v>
      </c>
      <c r="Q1039" s="19"/>
      <c r="R1039" s="20">
        <v>46073</v>
      </c>
      <c r="S1039" s="21" t="str">
        <f>HYPERLINK("https://www.iw.edu/scholarship-calculator/", "$24466")</f>
        <v>$24466</v>
      </c>
      <c r="T1039" s="20">
        <v>34755</v>
      </c>
      <c r="U1039" s="20" t="s">
        <v>36</v>
      </c>
      <c r="V1039" s="20">
        <v>4613</v>
      </c>
      <c r="W1039" s="20">
        <v>19853</v>
      </c>
      <c r="Y1039" s="19">
        <v>0.49230000000000002</v>
      </c>
      <c r="Z1039" s="19">
        <v>0.59970000000000001</v>
      </c>
      <c r="AB1039" s="18">
        <v>602</v>
      </c>
      <c r="AC1039" s="18">
        <v>5</v>
      </c>
    </row>
    <row r="1040" spans="1:29" ht="15.75" customHeight="1" x14ac:dyDescent="0.2">
      <c r="A1040" s="36" t="str">
        <f>HYPERLINK("https://www.iwcc.edu/", "Iowa Western Community College")</f>
        <v>Iowa Western Community College</v>
      </c>
      <c r="B1040" s="18" t="s">
        <v>49</v>
      </c>
      <c r="C1040" s="18" t="s">
        <v>211</v>
      </c>
      <c r="D1040" s="18" t="s">
        <v>1440</v>
      </c>
      <c r="E1040" s="18" t="s">
        <v>36</v>
      </c>
      <c r="F1040" s="18" t="s">
        <v>36</v>
      </c>
      <c r="J1040" s="19"/>
      <c r="K1040" s="19">
        <v>0.2132</v>
      </c>
      <c r="L1040" s="19">
        <v>0.22621184899999999</v>
      </c>
      <c r="M1040" s="19">
        <v>0.24560000000000001</v>
      </c>
      <c r="N1040" s="19">
        <v>0.10390000000000001</v>
      </c>
      <c r="O1040" s="19">
        <v>0.23580000000000001</v>
      </c>
      <c r="P1040" s="19">
        <v>0.29409999999999997</v>
      </c>
      <c r="Q1040" s="19">
        <v>7.4492099000000006E-2</v>
      </c>
      <c r="R1040" s="20">
        <v>19150</v>
      </c>
      <c r="S1040" s="21" t="str">
        <f>HYPERLINK("https://www.iwcc.edu/future_student/financial_aid/npcalc.asp", "$12397")</f>
        <v>$12397</v>
      </c>
      <c r="T1040" s="20">
        <v>14277</v>
      </c>
      <c r="U1040" s="20">
        <v>17632</v>
      </c>
      <c r="V1040" s="20">
        <v>4826</v>
      </c>
      <c r="W1040" s="20">
        <v>7571.9359605911341</v>
      </c>
      <c r="Y1040" s="19">
        <v>0.35060000000000002</v>
      </c>
      <c r="Z1040" s="19">
        <v>0.30030000000000001</v>
      </c>
      <c r="AB1040" s="18">
        <v>4033</v>
      </c>
      <c r="AC1040" s="18">
        <v>6</v>
      </c>
    </row>
    <row r="1041" spans="1:29" ht="15.75" customHeight="1" x14ac:dyDescent="0.2">
      <c r="A1041" s="36" t="str">
        <f>HYPERLINK("https://www.idti.edu", "Island Drafting and Technical Institute")</f>
        <v>Island Drafting and Technical Institute</v>
      </c>
      <c r="B1041" s="18" t="s">
        <v>368</v>
      </c>
      <c r="C1041" s="18" t="s">
        <v>38</v>
      </c>
      <c r="D1041" s="18" t="s">
        <v>1441</v>
      </c>
      <c r="E1041" s="18" t="s">
        <v>36</v>
      </c>
      <c r="F1041" s="18" t="s">
        <v>36</v>
      </c>
      <c r="J1041" s="19"/>
      <c r="K1041" s="19">
        <v>0.92859999999999998</v>
      </c>
      <c r="L1041" s="19">
        <v>0.58139534900000001</v>
      </c>
      <c r="M1041" s="19">
        <v>0.9355</v>
      </c>
      <c r="N1041" s="19">
        <v>0.77780000000000005</v>
      </c>
      <c r="O1041" s="19">
        <v>1</v>
      </c>
      <c r="P1041" s="19" t="s">
        <v>36</v>
      </c>
      <c r="Q1041" s="19" t="s">
        <v>36</v>
      </c>
      <c r="R1041" s="20">
        <v>37683</v>
      </c>
      <c r="S1041" s="21" t="str">
        <f>HYPERLINK("https://www.idti.edu", "$18659")</f>
        <v>$18659</v>
      </c>
      <c r="T1041" s="20">
        <v>21306</v>
      </c>
      <c r="U1041" s="20">
        <v>26536</v>
      </c>
      <c r="V1041" s="20">
        <v>10638</v>
      </c>
      <c r="W1041" s="20">
        <v>8021</v>
      </c>
      <c r="Y1041" s="19">
        <v>0.57550000000000001</v>
      </c>
      <c r="Z1041" s="19">
        <v>0.42220000000000002</v>
      </c>
      <c r="AB1041" s="18">
        <v>90</v>
      </c>
      <c r="AC1041" s="18">
        <v>6</v>
      </c>
    </row>
    <row r="1042" spans="1:29" ht="15.75" customHeight="1" x14ac:dyDescent="0.2">
      <c r="A1042" s="36" t="str">
        <f>HYPERLINK("https://www.itascacc.edu/", "Itasca Community College")</f>
        <v>Itasca Community College</v>
      </c>
      <c r="B1042" s="18" t="s">
        <v>49</v>
      </c>
      <c r="C1042" s="18" t="s">
        <v>72</v>
      </c>
      <c r="D1042" s="18" t="s">
        <v>321</v>
      </c>
      <c r="E1042" s="18" t="s">
        <v>36</v>
      </c>
      <c r="F1042" s="18" t="s">
        <v>36</v>
      </c>
      <c r="J1042" s="19"/>
      <c r="K1042" s="19">
        <v>0.31819999999999998</v>
      </c>
      <c r="L1042" s="19">
        <v>0.24719101099999999</v>
      </c>
      <c r="M1042" s="19">
        <v>0.37590000000000001</v>
      </c>
      <c r="N1042" s="19">
        <v>0.3</v>
      </c>
      <c r="O1042" s="19">
        <v>0.2</v>
      </c>
      <c r="P1042" s="19" t="s">
        <v>36</v>
      </c>
      <c r="Q1042" s="19">
        <v>9.7165991999999993E-2</v>
      </c>
      <c r="R1042" s="20">
        <v>18393</v>
      </c>
      <c r="S1042" s="21" t="str">
        <f>HYPERLINK("https://www.minnstate.edu/admissions/calculator/itasca.html", "$11628")</f>
        <v>$11628</v>
      </c>
      <c r="T1042" s="20">
        <v>13962</v>
      </c>
      <c r="U1042" s="20">
        <v>17098</v>
      </c>
      <c r="V1042" s="20">
        <v>4504</v>
      </c>
      <c r="W1042" s="20">
        <v>7124.875</v>
      </c>
      <c r="Y1042" s="19">
        <v>0.36780000000000002</v>
      </c>
      <c r="Z1042" s="19">
        <v>0.19410000000000011</v>
      </c>
      <c r="AB1042" s="18">
        <v>845</v>
      </c>
      <c r="AC1042" s="18">
        <v>6</v>
      </c>
    </row>
    <row r="1043" spans="1:29" ht="15.75" customHeight="1" x14ac:dyDescent="0.2">
      <c r="A1043" s="36" t="str">
        <f>HYPERLINK("https://www.iccms.edu", "Itawamba Community College")</f>
        <v>Itawamba Community College</v>
      </c>
      <c r="B1043" s="18" t="s">
        <v>49</v>
      </c>
      <c r="C1043" s="18" t="s">
        <v>59</v>
      </c>
      <c r="D1043" s="18" t="s">
        <v>539</v>
      </c>
      <c r="E1043" s="18" t="s">
        <v>36</v>
      </c>
      <c r="F1043" s="18" t="s">
        <v>36</v>
      </c>
      <c r="J1043" s="19"/>
      <c r="K1043" s="19">
        <v>0.4279</v>
      </c>
      <c r="L1043" s="19">
        <v>0.16032608700000001</v>
      </c>
      <c r="M1043" s="19">
        <v>0.47210000000000002</v>
      </c>
      <c r="N1043" s="19">
        <v>0.32979999999999998</v>
      </c>
      <c r="O1043" s="19">
        <v>0.4783</v>
      </c>
      <c r="P1043" s="19">
        <v>0.75</v>
      </c>
      <c r="Q1043" s="19">
        <v>4.5039740999999987E-2</v>
      </c>
      <c r="R1043" s="20">
        <v>12855</v>
      </c>
      <c r="S1043" s="21" t="str">
        <f>HYPERLINK("https://www.iccms.edu/code/netcalc/npcalc.htm", "$7280")</f>
        <v>$7280</v>
      </c>
      <c r="T1043" s="20">
        <v>9411</v>
      </c>
      <c r="U1043" s="20">
        <v>10192</v>
      </c>
      <c r="V1043" s="20">
        <v>4240</v>
      </c>
      <c r="W1043" s="20">
        <v>3040.494505494506</v>
      </c>
      <c r="Y1043" s="19">
        <v>0.48980000000000001</v>
      </c>
      <c r="Z1043" s="19">
        <v>0.32879999999999998</v>
      </c>
      <c r="AB1043" s="18">
        <v>4358</v>
      </c>
      <c r="AC1043" s="18">
        <v>6</v>
      </c>
    </row>
    <row r="1044" spans="1:29" ht="15.75" customHeight="1" x14ac:dyDescent="0.2">
      <c r="A1044" s="36" t="str">
        <f>HYPERLINK("https://www.ithaca.edu", "Ithaca College")</f>
        <v>Ithaca College</v>
      </c>
      <c r="B1044" s="18" t="s">
        <v>32</v>
      </c>
      <c r="C1044" s="18" t="s">
        <v>38</v>
      </c>
      <c r="D1044" s="18" t="s">
        <v>97</v>
      </c>
      <c r="E1044" s="18" t="s">
        <v>36</v>
      </c>
      <c r="F1044" s="18" t="s">
        <v>45</v>
      </c>
      <c r="G1044" s="18" t="s">
        <v>40</v>
      </c>
      <c r="H1044" s="18" t="s">
        <v>384</v>
      </c>
      <c r="I1044" s="18" t="s">
        <v>385</v>
      </c>
      <c r="J1044" s="19"/>
      <c r="K1044" s="19">
        <v>0.76029999999999998</v>
      </c>
      <c r="L1044" s="19">
        <v>0.70033669999999992</v>
      </c>
      <c r="M1044" s="19">
        <v>0.78459999999999996</v>
      </c>
      <c r="N1044" s="19">
        <v>0.77500000000000002</v>
      </c>
      <c r="O1044" s="19">
        <v>0.68220000000000003</v>
      </c>
      <c r="P1044" s="19">
        <v>0.61819999999999997</v>
      </c>
      <c r="Q1044" s="19"/>
      <c r="R1044" s="20">
        <v>61339</v>
      </c>
      <c r="S1044" s="21" t="str">
        <f>HYPERLINK("https://www.ithaca.edu/finaid/aid/need/", "$22604")</f>
        <v>$22604</v>
      </c>
      <c r="T1044" s="20">
        <v>29740</v>
      </c>
      <c r="U1044" s="20">
        <v>34570</v>
      </c>
      <c r="V1044" s="20">
        <v>3181</v>
      </c>
      <c r="W1044" s="20">
        <v>19423</v>
      </c>
      <c r="Y1044" s="19">
        <v>0.1943</v>
      </c>
      <c r="Z1044" s="19">
        <v>0.26989999999999997</v>
      </c>
      <c r="AA1044" s="18" t="s">
        <v>37</v>
      </c>
      <c r="AB1044" s="18">
        <v>6021</v>
      </c>
      <c r="AC1044" s="18">
        <v>3</v>
      </c>
    </row>
    <row r="1045" spans="1:29" ht="15.75" customHeight="1" x14ac:dyDescent="0.2">
      <c r="A1045" s="36" t="str">
        <f>HYPERLINK("https://www.reynolds.edu", "J Sargeant Reynolds Community College")</f>
        <v>J Sargeant Reynolds Community College</v>
      </c>
      <c r="B1045" s="18" t="s">
        <v>49</v>
      </c>
      <c r="C1045" s="18" t="s">
        <v>83</v>
      </c>
      <c r="D1045" s="18" t="s">
        <v>350</v>
      </c>
      <c r="E1045" s="18" t="s">
        <v>36</v>
      </c>
      <c r="F1045" s="18" t="s">
        <v>36</v>
      </c>
      <c r="J1045" s="19"/>
      <c r="K1045" s="19">
        <v>0.18260000000000001</v>
      </c>
      <c r="L1045" s="19">
        <v>0.14161219999999999</v>
      </c>
      <c r="M1045" s="19">
        <v>0.2205</v>
      </c>
      <c r="N1045" s="19">
        <v>9.8000000000000004E-2</v>
      </c>
      <c r="O1045" s="19">
        <v>0.24490000000000001</v>
      </c>
      <c r="P1045" s="19">
        <v>0.27660000000000001</v>
      </c>
      <c r="Q1045" s="19">
        <v>8.0412370999999996E-2</v>
      </c>
      <c r="R1045" s="20">
        <v>23154</v>
      </c>
      <c r="S1045" s="21" t="str">
        <f>HYPERLINK("https://www.vawizard.org/wizard/financing-college", "$17892")</f>
        <v>$17892</v>
      </c>
      <c r="T1045" s="20">
        <v>19531</v>
      </c>
      <c r="U1045" s="20">
        <v>22482</v>
      </c>
      <c r="V1045" s="20">
        <v>5000</v>
      </c>
      <c r="W1045" s="20">
        <v>12892.1328125</v>
      </c>
      <c r="Y1045" s="19">
        <v>0.36299999999999999</v>
      </c>
      <c r="Z1045" s="19">
        <v>0.53449999999999998</v>
      </c>
      <c r="AB1045" s="18">
        <v>7343</v>
      </c>
      <c r="AC1045" s="18">
        <v>6</v>
      </c>
    </row>
    <row r="1046" spans="1:29" ht="15.75" customHeight="1" x14ac:dyDescent="0.2">
      <c r="A1046" s="36" t="str">
        <f>HYPERLINK("https://www.jccmi.edu", "Jackson College")</f>
        <v>Jackson College</v>
      </c>
      <c r="B1046" s="18" t="s">
        <v>49</v>
      </c>
      <c r="C1046" s="18" t="s">
        <v>226</v>
      </c>
      <c r="D1046" s="18" t="s">
        <v>419</v>
      </c>
      <c r="E1046" s="18" t="s">
        <v>36</v>
      </c>
      <c r="F1046" s="18" t="s">
        <v>36</v>
      </c>
      <c r="J1046" s="19"/>
      <c r="K1046" s="19">
        <v>0.1022</v>
      </c>
      <c r="L1046" s="19" t="s">
        <v>36</v>
      </c>
      <c r="M1046" s="19">
        <v>9.9599999999999994E-2</v>
      </c>
      <c r="N1046" s="19">
        <v>0.13250000000000001</v>
      </c>
      <c r="O1046" s="19">
        <v>9.6199999999999994E-2</v>
      </c>
      <c r="P1046" s="19">
        <v>0</v>
      </c>
      <c r="Q1046" s="19">
        <v>7.3817761999999995E-2</v>
      </c>
      <c r="R1046" s="20">
        <v>23328</v>
      </c>
      <c r="S1046" s="21" t="str">
        <f>HYPERLINK("https://www.jccmi.edu/financial-aid/net-price-calculator/", "$15903")</f>
        <v>$15903</v>
      </c>
      <c r="T1046" s="20">
        <v>19559</v>
      </c>
      <c r="U1046" s="20">
        <v>21727</v>
      </c>
      <c r="V1046" s="20">
        <v>4744</v>
      </c>
      <c r="W1046" s="20">
        <v>11159.197860962569</v>
      </c>
      <c r="Y1046" s="19">
        <v>0.46239999999999998</v>
      </c>
      <c r="Z1046" s="19">
        <v>0.30159999999999998</v>
      </c>
      <c r="AB1046" s="18">
        <v>3962</v>
      </c>
      <c r="AC1046" s="18">
        <v>6</v>
      </c>
    </row>
    <row r="1047" spans="1:29" ht="15.75" customHeight="1" x14ac:dyDescent="0.2">
      <c r="A1047" s="36" t="str">
        <f>HYPERLINK("https://www.jscc.edu", "Jackson State Community College")</f>
        <v>Jackson State Community College</v>
      </c>
      <c r="B1047" s="18" t="s">
        <v>49</v>
      </c>
      <c r="C1047" s="18" t="s">
        <v>174</v>
      </c>
      <c r="D1047" s="18" t="s">
        <v>419</v>
      </c>
      <c r="E1047" s="18" t="s">
        <v>36</v>
      </c>
      <c r="F1047" s="18" t="s">
        <v>36</v>
      </c>
      <c r="J1047" s="19"/>
      <c r="K1047" s="19">
        <v>0.159</v>
      </c>
      <c r="L1047" s="19">
        <v>0.14231063499999999</v>
      </c>
      <c r="M1047" s="19">
        <v>0.17649999999999999</v>
      </c>
      <c r="N1047" s="19">
        <v>9.6799999999999997E-2</v>
      </c>
      <c r="O1047" s="19">
        <v>0.21049999999999999</v>
      </c>
      <c r="P1047" s="19">
        <v>0.22220000000000001</v>
      </c>
      <c r="Q1047" s="19">
        <v>6.4553314000000001E-2</v>
      </c>
      <c r="R1047" s="20">
        <v>32907</v>
      </c>
      <c r="S1047" s="21" t="str">
        <f>HYPERLINK("https://www.jscc.edu/calculator/", "$26121")</f>
        <v>$26121</v>
      </c>
      <c r="T1047" s="20">
        <v>28012</v>
      </c>
      <c r="U1047" s="20">
        <v>28527</v>
      </c>
      <c r="V1047" s="20">
        <v>5920</v>
      </c>
      <c r="W1047" s="20">
        <v>20201.078859060399</v>
      </c>
      <c r="Y1047" s="19">
        <v>0.39200000000000002</v>
      </c>
      <c r="Z1047" s="19">
        <v>0.27060000000000001</v>
      </c>
      <c r="AB1047" s="18">
        <v>3208</v>
      </c>
      <c r="AC1047" s="18">
        <v>6</v>
      </c>
    </row>
    <row r="1048" spans="1:29" ht="15.75" customHeight="1" x14ac:dyDescent="0.2">
      <c r="A1048" s="36" t="str">
        <f>HYPERLINK("https://www.jsums.edu", "Jackson State University")</f>
        <v>Jackson State University</v>
      </c>
      <c r="B1048" s="18" t="s">
        <v>49</v>
      </c>
      <c r="C1048" s="18" t="s">
        <v>59</v>
      </c>
      <c r="D1048" s="18" t="s">
        <v>419</v>
      </c>
      <c r="E1048" s="18">
        <v>990</v>
      </c>
      <c r="F1048" s="18" t="s">
        <v>35</v>
      </c>
      <c r="J1048" s="19"/>
      <c r="K1048" s="19">
        <v>0.34110000000000001</v>
      </c>
      <c r="L1048" s="19">
        <v>0.37541254099999999</v>
      </c>
      <c r="M1048" s="19">
        <v>0.31580000000000003</v>
      </c>
      <c r="N1048" s="19">
        <v>0.33</v>
      </c>
      <c r="O1048" s="19">
        <v>0.28570000000000001</v>
      </c>
      <c r="P1048" s="19">
        <v>1</v>
      </c>
      <c r="Q1048" s="19"/>
      <c r="R1048" s="20">
        <v>33789</v>
      </c>
      <c r="S1048" s="21" t="str">
        <f>HYPERLINK("https://www.jsums.edu/npc/npcalc.htm", "$25949")</f>
        <v>$25949</v>
      </c>
      <c r="T1048" s="20">
        <v>28681</v>
      </c>
      <c r="U1048" s="20">
        <v>30757</v>
      </c>
      <c r="V1048" s="20">
        <v>6523</v>
      </c>
      <c r="W1048" s="20">
        <v>19426.543771043769</v>
      </c>
      <c r="Y1048" s="19">
        <v>0.60760000000000003</v>
      </c>
      <c r="Z1048" s="19">
        <v>0.96240000000000003</v>
      </c>
      <c r="AB1048" s="18">
        <v>6467</v>
      </c>
      <c r="AC1048" s="18">
        <v>4</v>
      </c>
    </row>
    <row r="1049" spans="1:29" ht="15.75" customHeight="1" x14ac:dyDescent="0.2">
      <c r="A1049" s="36" t="str">
        <f>HYPERLINK("https://www.jacksonville-college.edu", "Jacksonville College-Main Campus")</f>
        <v>Jacksonville College-Main Campus</v>
      </c>
      <c r="B1049" s="18" t="s">
        <v>32</v>
      </c>
      <c r="C1049" s="18" t="s">
        <v>146</v>
      </c>
      <c r="D1049" s="18" t="s">
        <v>382</v>
      </c>
      <c r="E1049" s="18" t="s">
        <v>36</v>
      </c>
      <c r="F1049" s="18" t="s">
        <v>36</v>
      </c>
      <c r="J1049" s="19"/>
      <c r="K1049" s="19">
        <v>0.31819999999999998</v>
      </c>
      <c r="L1049" s="19" t="s">
        <v>36</v>
      </c>
      <c r="M1049" s="19">
        <v>0.29409999999999997</v>
      </c>
      <c r="N1049" s="19">
        <v>0.38100000000000001</v>
      </c>
      <c r="O1049" s="19">
        <v>0.29630000000000001</v>
      </c>
      <c r="P1049" s="19">
        <v>0</v>
      </c>
      <c r="Q1049" s="19">
        <v>0.26241134799999999</v>
      </c>
      <c r="R1049" s="20">
        <v>17702</v>
      </c>
      <c r="S1049" s="21" t="str">
        <f>HYPERLINK("https://www.collegeforalltexans.com/apps/collegemoney/", "$10095")</f>
        <v>$10095</v>
      </c>
      <c r="T1049" s="20">
        <v>12610</v>
      </c>
      <c r="U1049" s="20">
        <v>12676</v>
      </c>
      <c r="V1049" s="20">
        <v>3302</v>
      </c>
      <c r="W1049" s="20">
        <v>6793</v>
      </c>
      <c r="Y1049" s="19">
        <v>0.37030000000000002</v>
      </c>
      <c r="Z1049" s="19">
        <v>0.63939999999999997</v>
      </c>
      <c r="AB1049" s="18">
        <v>269</v>
      </c>
      <c r="AC1049" s="18">
        <v>6</v>
      </c>
    </row>
    <row r="1050" spans="1:29" ht="15.75" customHeight="1" x14ac:dyDescent="0.2">
      <c r="A1050" s="36" t="str">
        <f>HYPERLINK("https://www.jsu.edu/", "Jacksonville State University")</f>
        <v>Jacksonville State University</v>
      </c>
      <c r="B1050" s="18" t="s">
        <v>49</v>
      </c>
      <c r="C1050" s="18" t="s">
        <v>300</v>
      </c>
      <c r="D1050" s="18" t="s">
        <v>382</v>
      </c>
      <c r="E1050" s="18">
        <v>1121</v>
      </c>
      <c r="F1050" s="18" t="s">
        <v>35</v>
      </c>
      <c r="J1050" s="19"/>
      <c r="K1050" s="19">
        <v>0.37209999999999999</v>
      </c>
      <c r="L1050" s="19">
        <v>0.32840236699999997</v>
      </c>
      <c r="M1050" s="19">
        <v>0.43219999999999997</v>
      </c>
      <c r="N1050" s="19">
        <v>0.2482</v>
      </c>
      <c r="O1050" s="19">
        <v>0.25</v>
      </c>
      <c r="P1050" s="19">
        <v>0.5</v>
      </c>
      <c r="Q1050" s="19"/>
      <c r="R1050" s="20">
        <v>27976</v>
      </c>
      <c r="S1050" s="21" t="str">
        <f>HYPERLINK("https://www.jsu.edu/finaid/", "$23034")</f>
        <v>$23034</v>
      </c>
      <c r="T1050" s="20">
        <v>26655</v>
      </c>
      <c r="U1050" s="20">
        <v>27833</v>
      </c>
      <c r="V1050" s="20">
        <v>4496</v>
      </c>
      <c r="W1050" s="20">
        <v>18538.44164759725</v>
      </c>
      <c r="Y1050" s="19">
        <v>0.3785</v>
      </c>
      <c r="Z1050" s="19">
        <v>0.28060000000000002</v>
      </c>
      <c r="AB1050" s="18">
        <v>6622</v>
      </c>
      <c r="AC1050" s="18">
        <v>5</v>
      </c>
    </row>
    <row r="1051" spans="1:29" ht="15.75" customHeight="1" x14ac:dyDescent="0.2">
      <c r="A1051" s="36" t="str">
        <f>HYPERLINK("https://www.ju.edu/index.php", "Jacksonville University")</f>
        <v>Jacksonville University</v>
      </c>
      <c r="B1051" s="18" t="s">
        <v>32</v>
      </c>
      <c r="C1051" s="18" t="s">
        <v>162</v>
      </c>
      <c r="D1051" s="18" t="s">
        <v>382</v>
      </c>
      <c r="E1051" s="18">
        <v>1147</v>
      </c>
      <c r="F1051" s="18" t="s">
        <v>115</v>
      </c>
      <c r="J1051" s="19"/>
      <c r="K1051" s="19">
        <v>0.43080000000000002</v>
      </c>
      <c r="L1051" s="19">
        <v>0.41523341499999999</v>
      </c>
      <c r="M1051" s="19">
        <v>0.44629999999999997</v>
      </c>
      <c r="N1051" s="19">
        <v>0.36959999999999998</v>
      </c>
      <c r="O1051" s="19">
        <v>0.38300000000000001</v>
      </c>
      <c r="P1051" s="19">
        <v>0.25</v>
      </c>
      <c r="Q1051" s="19"/>
      <c r="R1051" s="20">
        <v>53150</v>
      </c>
      <c r="S1051" s="21" t="str">
        <f>HYPERLINK("https://ju.studentaidcalculator.com/survey.aspx", "$22915")</f>
        <v>$22915</v>
      </c>
      <c r="T1051" s="20">
        <v>26150</v>
      </c>
      <c r="U1051" s="20">
        <v>30211</v>
      </c>
      <c r="V1051" s="20">
        <v>3940</v>
      </c>
      <c r="W1051" s="20">
        <v>18975</v>
      </c>
      <c r="Y1051" s="19">
        <v>0.27989999999999998</v>
      </c>
      <c r="Z1051" s="19">
        <v>0.43409999999999999</v>
      </c>
      <c r="AB1051" s="18">
        <v>2829</v>
      </c>
      <c r="AC1051" s="18">
        <v>4</v>
      </c>
    </row>
    <row r="1052" spans="1:29" ht="15.75" customHeight="1" x14ac:dyDescent="0.2">
      <c r="A1052" s="36" t="str">
        <f>HYPERLINK("https://www.rhodesstate.edu", "James A Rhodes State College")</f>
        <v>James A Rhodes State College</v>
      </c>
      <c r="B1052" s="18" t="s">
        <v>49</v>
      </c>
      <c r="C1052" s="18" t="s">
        <v>75</v>
      </c>
      <c r="D1052" s="18" t="s">
        <v>1442</v>
      </c>
      <c r="E1052" s="18" t="s">
        <v>36</v>
      </c>
      <c r="F1052" s="18" t="s">
        <v>36</v>
      </c>
      <c r="J1052" s="19"/>
      <c r="K1052" s="19">
        <v>0.45579999999999998</v>
      </c>
      <c r="L1052" s="19">
        <v>0.17499999999999999</v>
      </c>
      <c r="M1052" s="19">
        <v>0.50560000000000005</v>
      </c>
      <c r="N1052" s="19">
        <v>0.1</v>
      </c>
      <c r="O1052" s="19">
        <v>0.33329999999999999</v>
      </c>
      <c r="P1052" s="19">
        <v>0.33329999999999999</v>
      </c>
      <c r="Q1052" s="19">
        <v>4.1953663000000002E-2</v>
      </c>
      <c r="R1052" s="20">
        <v>19997</v>
      </c>
      <c r="S1052" s="21" t="str">
        <f>HYPERLINK("https://www.rhodesstate.edu/en/About%20Rhodes/College%20Offices%20and%20Departments/Financial%20Aid/Net%20Price%20Calculator.aspx", "$17488")</f>
        <v>$17488</v>
      </c>
      <c r="T1052" s="20">
        <v>18706</v>
      </c>
      <c r="U1052" s="20">
        <v>19645</v>
      </c>
      <c r="V1052" s="20">
        <v>5000</v>
      </c>
      <c r="W1052" s="20">
        <v>12488.95275590551</v>
      </c>
      <c r="Y1052" s="19">
        <v>0.246</v>
      </c>
      <c r="Z1052" s="19">
        <v>0.13260000000000011</v>
      </c>
      <c r="AB1052" s="18">
        <v>1991</v>
      </c>
      <c r="AC1052" s="18">
        <v>6</v>
      </c>
    </row>
    <row r="1053" spans="1:29" ht="15.75" customHeight="1" x14ac:dyDescent="0.2">
      <c r="A1053" s="36" t="str">
        <f>HYPERLINK("https://www.jmu.edu/", "James Madison University")</f>
        <v>James Madison University</v>
      </c>
      <c r="B1053" s="18" t="s">
        <v>49</v>
      </c>
      <c r="C1053" s="18" t="s">
        <v>83</v>
      </c>
      <c r="D1053" s="18" t="s">
        <v>351</v>
      </c>
      <c r="E1053" s="18">
        <v>1194</v>
      </c>
      <c r="F1053" s="18" t="s">
        <v>115</v>
      </c>
      <c r="J1053" s="19"/>
      <c r="K1053" s="19">
        <v>0.82579999999999998</v>
      </c>
      <c r="L1053" s="19">
        <v>0.69971671400000002</v>
      </c>
      <c r="M1053" s="19">
        <v>0.83720000000000006</v>
      </c>
      <c r="N1053" s="19">
        <v>0.69799999999999995</v>
      </c>
      <c r="O1053" s="19">
        <v>0.76549999999999996</v>
      </c>
      <c r="P1053" s="19">
        <v>0.84150000000000003</v>
      </c>
      <c r="Q1053" s="19"/>
      <c r="R1053" s="20">
        <v>42522</v>
      </c>
      <c r="S1053" s="21" t="str">
        <f>HYPERLINK("https://www.jmu.edu/financialaid/calculators/index.shtml", "$30710")</f>
        <v>$30710</v>
      </c>
      <c r="T1053" s="20">
        <v>34966</v>
      </c>
      <c r="U1053" s="20">
        <v>40191</v>
      </c>
      <c r="V1053" s="20">
        <v>5180</v>
      </c>
      <c r="W1053" s="20">
        <v>25530.712643678158</v>
      </c>
      <c r="Y1053" s="19">
        <v>0.14560000000000001</v>
      </c>
      <c r="Z1053" s="19">
        <v>0.25269999999999998</v>
      </c>
      <c r="AB1053" s="18">
        <v>19666</v>
      </c>
      <c r="AC1053" s="18">
        <v>3</v>
      </c>
    </row>
    <row r="1054" spans="1:29" ht="15.75" customHeight="1" x14ac:dyDescent="0.2">
      <c r="A1054" s="36" t="str">
        <f>HYPERLINK("https://www.jamessprunt.edu", "James Sprunt Community College")</f>
        <v>James Sprunt Community College</v>
      </c>
      <c r="B1054" s="18" t="s">
        <v>49</v>
      </c>
      <c r="C1054" s="18" t="s">
        <v>103</v>
      </c>
      <c r="D1054" s="18" t="s">
        <v>1443</v>
      </c>
      <c r="E1054" s="18" t="s">
        <v>36</v>
      </c>
      <c r="F1054" s="18" t="s">
        <v>36</v>
      </c>
      <c r="J1054" s="19"/>
      <c r="K1054" s="19">
        <v>0.21149999999999999</v>
      </c>
      <c r="L1054" s="19">
        <v>0.25</v>
      </c>
      <c r="M1054" s="19">
        <v>0.2712</v>
      </c>
      <c r="N1054" s="19">
        <v>0.1176</v>
      </c>
      <c r="O1054" s="19">
        <v>0.16669999999999999</v>
      </c>
      <c r="P1054" s="19" t="s">
        <v>36</v>
      </c>
      <c r="Q1054" s="19">
        <v>0.05</v>
      </c>
      <c r="R1054" s="20">
        <v>20904</v>
      </c>
      <c r="S1054" s="21" t="str">
        <f>HYPERLINK("https://www.jamessprunt.edu/net-price-calculator", "$15769")</f>
        <v>$15769</v>
      </c>
      <c r="T1054" s="20">
        <v>16473</v>
      </c>
      <c r="U1054" s="20" t="s">
        <v>36</v>
      </c>
      <c r="V1054" s="20">
        <v>6926</v>
      </c>
      <c r="W1054" s="20">
        <v>8843.4117647058811</v>
      </c>
      <c r="Y1054" s="19">
        <v>0.60750000000000004</v>
      </c>
      <c r="Z1054" s="19">
        <v>0.57329999999999992</v>
      </c>
      <c r="AB1054" s="18">
        <v>1043</v>
      </c>
      <c r="AC1054" s="18">
        <v>6</v>
      </c>
    </row>
    <row r="1055" spans="1:29" ht="15.75" customHeight="1" x14ac:dyDescent="0.2">
      <c r="A1055" s="36" t="str">
        <f>HYPERLINK("https://www.jbc.edu", "Jamestown Business College")</f>
        <v>Jamestown Business College</v>
      </c>
      <c r="B1055" s="18" t="s">
        <v>368</v>
      </c>
      <c r="C1055" s="18" t="s">
        <v>38</v>
      </c>
      <c r="D1055" s="18" t="s">
        <v>1276</v>
      </c>
      <c r="E1055" s="18" t="s">
        <v>36</v>
      </c>
      <c r="F1055" s="18" t="s">
        <v>45</v>
      </c>
      <c r="J1055" s="19"/>
      <c r="K1055" s="19">
        <v>0.43659999999999999</v>
      </c>
      <c r="L1055" s="19">
        <v>0.5</v>
      </c>
      <c r="M1055" s="19">
        <v>0.4627</v>
      </c>
      <c r="N1055" s="19" t="s">
        <v>36</v>
      </c>
      <c r="O1055" s="19">
        <v>0</v>
      </c>
      <c r="P1055" s="19" t="s">
        <v>36</v>
      </c>
      <c r="Q1055" s="19" t="s">
        <v>36</v>
      </c>
      <c r="R1055" s="20">
        <v>23700</v>
      </c>
      <c r="S1055" s="21" t="str">
        <f>HYPERLINK("https://www.jbc.edu", "$7624")</f>
        <v>$7624</v>
      </c>
      <c r="T1055" s="20">
        <v>8459</v>
      </c>
      <c r="U1055" s="20">
        <v>10423</v>
      </c>
      <c r="V1055" s="20">
        <v>5770</v>
      </c>
      <c r="W1055" s="20">
        <v>1854</v>
      </c>
      <c r="Y1055" s="19">
        <v>0.73629999999999995</v>
      </c>
      <c r="Z1055" s="19">
        <v>0.30649999999999999</v>
      </c>
      <c r="AB1055" s="18">
        <v>323</v>
      </c>
      <c r="AC1055" s="18">
        <v>6</v>
      </c>
    </row>
    <row r="1056" spans="1:29" ht="15.75" customHeight="1" x14ac:dyDescent="0.2">
      <c r="A1056" s="36" t="str">
        <f>HYPERLINK("https://www.sunyjcc.edu", "SUNY Jamestown Community College")</f>
        <v>SUNY Jamestown Community College</v>
      </c>
      <c r="B1056" s="18" t="s">
        <v>49</v>
      </c>
      <c r="C1056" s="18" t="s">
        <v>38</v>
      </c>
      <c r="D1056" s="18" t="s">
        <v>1276</v>
      </c>
      <c r="E1056" s="18" t="s">
        <v>36</v>
      </c>
      <c r="F1056" s="18" t="s">
        <v>36</v>
      </c>
      <c r="J1056" s="19"/>
      <c r="K1056" s="19">
        <v>0.3478</v>
      </c>
      <c r="L1056" s="19">
        <v>0.230429989</v>
      </c>
      <c r="M1056" s="19">
        <v>0.38129999999999997</v>
      </c>
      <c r="N1056" s="19">
        <v>0.16669999999999999</v>
      </c>
      <c r="O1056" s="19">
        <v>0.2099</v>
      </c>
      <c r="P1056" s="19">
        <v>0.3</v>
      </c>
      <c r="Q1056" s="19">
        <v>6.7256637000000008E-2</v>
      </c>
      <c r="R1056" s="20">
        <v>18970</v>
      </c>
      <c r="S1056" s="21" t="str">
        <f>HYPERLINK("https://www.sunyjcc.edu/net-price-calculator", "$6593")</f>
        <v>$6593</v>
      </c>
      <c r="T1056" s="20">
        <v>10928</v>
      </c>
      <c r="U1056" s="20">
        <v>13356</v>
      </c>
      <c r="V1056" s="20">
        <v>2750</v>
      </c>
      <c r="W1056" s="20">
        <v>3843</v>
      </c>
      <c r="Y1056" s="19">
        <v>0.34260000000000002</v>
      </c>
      <c r="Z1056" s="19">
        <v>0.19020000000000001</v>
      </c>
      <c r="AB1056" s="18">
        <v>2492</v>
      </c>
      <c r="AC1056" s="18">
        <v>6</v>
      </c>
    </row>
    <row r="1057" spans="1:29" ht="15.75" customHeight="1" x14ac:dyDescent="0.2">
      <c r="A1057" s="36" t="str">
        <f>HYPERLINK("https://www.jarvis.edu", "Jarvis Christian College")</f>
        <v>Jarvis Christian College</v>
      </c>
      <c r="B1057" s="18" t="s">
        <v>32</v>
      </c>
      <c r="C1057" s="18" t="s">
        <v>146</v>
      </c>
      <c r="D1057" s="18" t="s">
        <v>759</v>
      </c>
      <c r="E1057" s="18" t="s">
        <v>36</v>
      </c>
      <c r="F1057" s="18" t="s">
        <v>36</v>
      </c>
      <c r="J1057" s="19"/>
      <c r="K1057" s="19">
        <v>0.2069</v>
      </c>
      <c r="L1057" s="19">
        <v>0.23076923099999999</v>
      </c>
      <c r="M1057" s="19">
        <v>0</v>
      </c>
      <c r="N1057" s="19">
        <v>0.22500000000000001</v>
      </c>
      <c r="O1057" s="19">
        <v>0</v>
      </c>
      <c r="P1057" s="19" t="s">
        <v>36</v>
      </c>
      <c r="Q1057" s="19"/>
      <c r="R1057" s="20">
        <v>23840</v>
      </c>
      <c r="S1057" s="21" t="str">
        <f>HYPERLINK("https://www.collegeforalltexans.com/apps/CollegeMoney/", "$14663")</f>
        <v>$14663</v>
      </c>
      <c r="T1057" s="20">
        <v>12081</v>
      </c>
      <c r="U1057" s="20">
        <v>14147</v>
      </c>
      <c r="V1057" s="20">
        <v>3680</v>
      </c>
      <c r="W1057" s="20">
        <v>10983</v>
      </c>
      <c r="Y1057" s="19">
        <v>0.9758</v>
      </c>
      <c r="Z1057" s="19">
        <v>0.9617</v>
      </c>
      <c r="AB1057" s="18">
        <v>861</v>
      </c>
      <c r="AC1057" s="18">
        <v>5</v>
      </c>
    </row>
    <row r="1058" spans="1:29" ht="15.75" customHeight="1" x14ac:dyDescent="0.2">
      <c r="A1058" s="36" t="str">
        <f>HYPERLINK("https://www.philau.edu", "Philadelphia University")</f>
        <v>Philadelphia University</v>
      </c>
      <c r="B1058" s="18" t="s">
        <v>32</v>
      </c>
      <c r="C1058" s="18" t="s">
        <v>65</v>
      </c>
      <c r="D1058" s="18" t="s">
        <v>168</v>
      </c>
      <c r="E1058" s="18">
        <v>1136</v>
      </c>
      <c r="F1058" s="18" t="s">
        <v>35</v>
      </c>
      <c r="J1058" s="19"/>
      <c r="K1058" s="19">
        <v>0.66099999999999992</v>
      </c>
      <c r="L1058" s="19">
        <v>0.55555555600000006</v>
      </c>
      <c r="M1058" s="19">
        <v>0.71389999999999998</v>
      </c>
      <c r="N1058" s="19">
        <v>0.42420000000000002</v>
      </c>
      <c r="O1058" s="19">
        <v>0.55259999999999998</v>
      </c>
      <c r="P1058" s="19">
        <v>0.75680000000000003</v>
      </c>
      <c r="Q1058" s="19"/>
      <c r="R1058" s="20">
        <v>57931</v>
      </c>
      <c r="S1058" s="21" t="str">
        <f>HYPERLINK("https://philau.studentaidcalculator.com", "$21242")</f>
        <v>$21242</v>
      </c>
      <c r="T1058" s="20">
        <v>24250</v>
      </c>
      <c r="U1058" s="20">
        <v>27992</v>
      </c>
      <c r="V1058" s="20">
        <v>5646</v>
      </c>
      <c r="W1058" s="20">
        <v>15596</v>
      </c>
      <c r="Y1058" s="19">
        <v>0.32540000000000002</v>
      </c>
      <c r="Z1058" s="19">
        <v>0.46679999999999999</v>
      </c>
      <c r="AB1058" s="18">
        <v>2669</v>
      </c>
      <c r="AC1058" s="18">
        <v>4</v>
      </c>
    </row>
    <row r="1059" spans="1:29" ht="15.75" customHeight="1" x14ac:dyDescent="0.2">
      <c r="A1059" s="36" t="str">
        <f>HYPERLINK("https://www.jeffco.edu", "Jefferson College")</f>
        <v>Jefferson College</v>
      </c>
      <c r="B1059" s="18" t="s">
        <v>49</v>
      </c>
      <c r="C1059" s="18" t="s">
        <v>164</v>
      </c>
      <c r="D1059" s="18" t="s">
        <v>854</v>
      </c>
      <c r="E1059" s="18" t="s">
        <v>36</v>
      </c>
      <c r="F1059" s="18" t="s">
        <v>36</v>
      </c>
      <c r="J1059" s="19"/>
      <c r="K1059" s="19">
        <v>0.2606</v>
      </c>
      <c r="L1059" s="19">
        <v>0.15290806800000001</v>
      </c>
      <c r="M1059" s="19">
        <v>0.25559999999999999</v>
      </c>
      <c r="N1059" s="19">
        <v>0.41670000000000001</v>
      </c>
      <c r="O1059" s="19">
        <v>0.5</v>
      </c>
      <c r="P1059" s="19">
        <v>0.25</v>
      </c>
      <c r="Q1059" s="19">
        <v>8.4161003999999998E-2</v>
      </c>
      <c r="R1059" s="20">
        <v>16407</v>
      </c>
      <c r="S1059" s="21" t="str">
        <f>HYPERLINK("https://www.jeffco.edu/future-students/financial-aid/how-apply-financial-aid/net-price-calculator#.W2sfANVKhpg", "$11438")</f>
        <v>$11438</v>
      </c>
      <c r="T1059" s="20">
        <v>13392</v>
      </c>
      <c r="U1059" s="20">
        <v>15022</v>
      </c>
      <c r="V1059" s="20">
        <v>4031</v>
      </c>
      <c r="W1059" s="20">
        <v>7407.5470588235294</v>
      </c>
      <c r="Y1059" s="19">
        <v>0.36980000000000002</v>
      </c>
      <c r="Z1059" s="19">
        <v>0.1236</v>
      </c>
      <c r="AB1059" s="18">
        <v>4182</v>
      </c>
      <c r="AC1059" s="18">
        <v>6</v>
      </c>
    </row>
    <row r="1060" spans="1:29" ht="15.75" customHeight="1" x14ac:dyDescent="0.2">
      <c r="A1060" s="36" t="str">
        <f>HYPERLINK("https://www.sunyjefferson.edu", "SUNY Jefferson Community College")</f>
        <v>SUNY Jefferson Community College</v>
      </c>
      <c r="B1060" s="18" t="s">
        <v>49</v>
      </c>
      <c r="C1060" s="18" t="s">
        <v>38</v>
      </c>
      <c r="D1060" s="18" t="s">
        <v>1444</v>
      </c>
      <c r="E1060" s="18" t="s">
        <v>36</v>
      </c>
      <c r="F1060" s="18" t="s">
        <v>36</v>
      </c>
      <c r="G1060" s="18" t="s">
        <v>51</v>
      </c>
      <c r="I1060" s="18" t="s">
        <v>849</v>
      </c>
      <c r="J1060" s="19"/>
      <c r="K1060" s="19">
        <v>0.26860000000000001</v>
      </c>
      <c r="L1060" s="19">
        <v>0.206258891</v>
      </c>
      <c r="M1060" s="19">
        <v>0.30430000000000001</v>
      </c>
      <c r="N1060" s="19">
        <v>0.16950000000000001</v>
      </c>
      <c r="O1060" s="19">
        <v>0.129</v>
      </c>
      <c r="P1060" s="19">
        <v>0.28570000000000001</v>
      </c>
      <c r="Q1060" s="19">
        <v>8.3135392000000002E-2</v>
      </c>
      <c r="R1060" s="20">
        <v>21423</v>
      </c>
      <c r="S1060" s="21" t="str">
        <f>HYPERLINK("https://www.sunyjefferson.edu/tuition-financial-aid/net-price-calculator", "$9755")</f>
        <v>$9755</v>
      </c>
      <c r="T1060" s="20">
        <v>14269</v>
      </c>
      <c r="U1060" s="20">
        <v>16112</v>
      </c>
      <c r="V1060" s="20">
        <v>3850</v>
      </c>
      <c r="W1060" s="20">
        <v>5905</v>
      </c>
      <c r="Y1060" s="19">
        <v>0.43809999999999999</v>
      </c>
      <c r="Z1060" s="19">
        <v>0.30570000000000003</v>
      </c>
      <c r="AB1060" s="18">
        <v>2614</v>
      </c>
      <c r="AC1060" s="18">
        <v>6</v>
      </c>
    </row>
    <row r="1061" spans="1:29" ht="15.75" customHeight="1" x14ac:dyDescent="0.2">
      <c r="A1061" s="36" t="str">
        <f>HYPERLINK("https://www.jeffersonstate.edu/", "Jefferson State Community College")</f>
        <v>Jefferson State Community College</v>
      </c>
      <c r="B1061" s="18" t="s">
        <v>49</v>
      </c>
      <c r="C1061" s="18" t="s">
        <v>300</v>
      </c>
      <c r="D1061" s="18" t="s">
        <v>311</v>
      </c>
      <c r="E1061" s="18" t="s">
        <v>36</v>
      </c>
      <c r="F1061" s="18" t="s">
        <v>36</v>
      </c>
      <c r="J1061" s="19"/>
      <c r="K1061" s="19">
        <v>8.7599999999999997E-2</v>
      </c>
      <c r="L1061" s="19">
        <v>0.15334773199999999</v>
      </c>
      <c r="M1061" s="19">
        <v>0.1061</v>
      </c>
      <c r="N1061" s="19">
        <v>4.1700000000000001E-2</v>
      </c>
      <c r="O1061" s="19">
        <v>0.1111</v>
      </c>
      <c r="P1061" s="19">
        <v>3.5700000000000003E-2</v>
      </c>
      <c r="Q1061" s="19">
        <v>0.12583967800000001</v>
      </c>
      <c r="R1061" s="20">
        <v>27872</v>
      </c>
      <c r="S1061" s="21" t="str">
        <f>HYPERLINK("https://www.jeffersonstate.edu/financial-aid/net-price-calculator/", "$22787")</f>
        <v>$22787</v>
      </c>
      <c r="T1061" s="20">
        <v>25277</v>
      </c>
      <c r="U1061" s="20">
        <v>27254</v>
      </c>
      <c r="V1061" s="20">
        <v>6760</v>
      </c>
      <c r="W1061" s="20">
        <v>16027.5625</v>
      </c>
      <c r="Y1061" s="19">
        <v>0.28029999999999999</v>
      </c>
      <c r="Z1061" s="19">
        <v>0.37949999999999989</v>
      </c>
      <c r="AB1061" s="18">
        <v>7052</v>
      </c>
      <c r="AC1061" s="18">
        <v>6</v>
      </c>
    </row>
    <row r="1062" spans="1:29" ht="15.75" customHeight="1" x14ac:dyDescent="0.2">
      <c r="A1062" s="36" t="str">
        <f>HYPERLINK("https://www.jerseycollege.edu", "Jersey College")</f>
        <v>Jersey College</v>
      </c>
      <c r="B1062" s="18" t="s">
        <v>368</v>
      </c>
      <c r="C1062" s="18" t="s">
        <v>141</v>
      </c>
      <c r="D1062" s="18" t="s">
        <v>1445</v>
      </c>
      <c r="E1062" s="18" t="s">
        <v>36</v>
      </c>
      <c r="F1062" s="18" t="s">
        <v>90</v>
      </c>
      <c r="J1062" s="19"/>
      <c r="K1062" s="19">
        <v>0.32779999999999998</v>
      </c>
      <c r="L1062" s="19">
        <v>0.72972972999999997</v>
      </c>
      <c r="M1062" s="19">
        <v>0.377</v>
      </c>
      <c r="N1062" s="19">
        <v>0.32069999999999999</v>
      </c>
      <c r="O1062" s="19">
        <v>0.27029999999999998</v>
      </c>
      <c r="P1062" s="19">
        <v>0.35289999999999999</v>
      </c>
      <c r="Q1062" s="19">
        <v>3.4013605000000002E-2</v>
      </c>
      <c r="R1062" s="20" t="s">
        <v>36</v>
      </c>
      <c r="S1062" s="21" t="str">
        <f>HYPERLINK("https://www.jerseycollege.edu/financial-aid/netprice/", "$24309")</f>
        <v>$24309</v>
      </c>
      <c r="T1062" s="20">
        <v>24947</v>
      </c>
      <c r="U1062" s="20">
        <v>27643</v>
      </c>
      <c r="V1062" s="20" t="s">
        <v>36</v>
      </c>
      <c r="W1062" s="20" t="s">
        <v>36</v>
      </c>
      <c r="Y1062" s="19">
        <v>0.63290000000000002</v>
      </c>
      <c r="Z1062" s="19">
        <v>0.84540000000000004</v>
      </c>
      <c r="AB1062" s="18">
        <v>2968</v>
      </c>
      <c r="AC1062" s="18">
        <v>6</v>
      </c>
    </row>
    <row r="1063" spans="1:29" ht="15.75" customHeight="1" x14ac:dyDescent="0.2">
      <c r="A1063" s="36" t="str">
        <f>HYPERLINK("https://www.guptoncollege.edu", "John A Gupton College")</f>
        <v>John A Gupton College</v>
      </c>
      <c r="B1063" s="18" t="s">
        <v>32</v>
      </c>
      <c r="C1063" s="18" t="s">
        <v>174</v>
      </c>
      <c r="D1063" s="18" t="s">
        <v>175</v>
      </c>
      <c r="E1063" s="18" t="s">
        <v>36</v>
      </c>
      <c r="F1063" s="18" t="s">
        <v>35</v>
      </c>
      <c r="J1063" s="19"/>
      <c r="K1063" s="19">
        <v>0.58330000000000004</v>
      </c>
      <c r="L1063" s="19">
        <v>0.30952381000000001</v>
      </c>
      <c r="M1063" s="19">
        <v>0.6</v>
      </c>
      <c r="N1063" s="19">
        <v>0.66669999999999996</v>
      </c>
      <c r="O1063" s="19">
        <v>0</v>
      </c>
      <c r="P1063" s="19" t="s">
        <v>36</v>
      </c>
      <c r="Q1063" s="19" t="s">
        <v>36</v>
      </c>
      <c r="R1063" s="20">
        <v>22870</v>
      </c>
      <c r="S1063" s="21" t="str">
        <f>HYPERLINK("https://guptoncollege.edu/financial-aid-2/net-price-calculator/", "$11713")</f>
        <v>$11713</v>
      </c>
      <c r="T1063" s="20">
        <v>15394</v>
      </c>
      <c r="U1063" s="20">
        <v>13543</v>
      </c>
      <c r="V1063" s="20">
        <v>3800</v>
      </c>
      <c r="W1063" s="20">
        <v>7913</v>
      </c>
      <c r="Y1063" s="19">
        <v>0.52329999999999999</v>
      </c>
      <c r="Z1063" s="19">
        <v>0.21819999999999989</v>
      </c>
      <c r="AB1063" s="18">
        <v>110</v>
      </c>
      <c r="AC1063" s="18">
        <v>6</v>
      </c>
    </row>
    <row r="1064" spans="1:29" ht="15.75" customHeight="1" x14ac:dyDescent="0.2">
      <c r="A1064" s="36" t="str">
        <f>HYPERLINK("https://www.jalc.edu", "John A Logan College")</f>
        <v>John A Logan College</v>
      </c>
      <c r="B1064" s="18" t="s">
        <v>49</v>
      </c>
      <c r="C1064" s="18" t="s">
        <v>137</v>
      </c>
      <c r="D1064" s="18" t="s">
        <v>1446</v>
      </c>
      <c r="E1064" s="18" t="s">
        <v>36</v>
      </c>
      <c r="F1064" s="18" t="s">
        <v>36</v>
      </c>
      <c r="J1064" s="19"/>
      <c r="K1064" s="19">
        <v>0.23730000000000001</v>
      </c>
      <c r="L1064" s="19">
        <v>0.15527950300000001</v>
      </c>
      <c r="M1064" s="19">
        <v>0.27650000000000002</v>
      </c>
      <c r="N1064" s="19">
        <v>0.1014</v>
      </c>
      <c r="O1064" s="19">
        <v>0.29170000000000001</v>
      </c>
      <c r="P1064" s="19">
        <v>0.33329999999999999</v>
      </c>
      <c r="Q1064" s="19">
        <v>7.9365079000000005E-2</v>
      </c>
      <c r="R1064" s="20">
        <v>18270</v>
      </c>
      <c r="S1064" s="21" t="str">
        <f>HYPERLINK("https://www.jalc.edu/net-price-calculator", "$13017")</f>
        <v>$13017</v>
      </c>
      <c r="T1064" s="20">
        <v>14580</v>
      </c>
      <c r="U1064" s="20">
        <v>17161</v>
      </c>
      <c r="V1064" s="20">
        <v>6636</v>
      </c>
      <c r="W1064" s="20">
        <v>6381.7102040816317</v>
      </c>
      <c r="Y1064" s="19">
        <v>0.31940000000000002</v>
      </c>
      <c r="Z1064" s="19">
        <v>0.21149999999999999</v>
      </c>
      <c r="AB1064" s="18">
        <v>3049</v>
      </c>
      <c r="AC1064" s="18">
        <v>6</v>
      </c>
    </row>
    <row r="1065" spans="1:29" ht="15.75" customHeight="1" x14ac:dyDescent="0.2">
      <c r="A1065" s="36" t="str">
        <f>HYPERLINK("https://www.jbu.edu", "John Brown University")</f>
        <v>John Brown University</v>
      </c>
      <c r="B1065" s="18" t="s">
        <v>32</v>
      </c>
      <c r="C1065" s="18" t="s">
        <v>371</v>
      </c>
      <c r="D1065" s="18" t="s">
        <v>386</v>
      </c>
      <c r="E1065" s="18">
        <v>1256</v>
      </c>
      <c r="F1065" s="18" t="s">
        <v>35</v>
      </c>
      <c r="J1065" s="19"/>
      <c r="K1065" s="19">
        <v>0.73060000000000003</v>
      </c>
      <c r="L1065" s="19">
        <v>0.53012048200000006</v>
      </c>
      <c r="M1065" s="19">
        <v>0.72950000000000004</v>
      </c>
      <c r="N1065" s="19">
        <v>0.4</v>
      </c>
      <c r="O1065" s="19">
        <v>0.77780000000000005</v>
      </c>
      <c r="P1065" s="19">
        <v>0.5</v>
      </c>
      <c r="Q1065" s="19"/>
      <c r="R1065" s="20">
        <v>38834</v>
      </c>
      <c r="S1065" s="21" t="str">
        <f>HYPERLINK("https://info.eaglenet.jbu.edu/npc", "$18399")</f>
        <v>$18399</v>
      </c>
      <c r="T1065" s="20">
        <v>21610</v>
      </c>
      <c r="U1065" s="20">
        <v>23590</v>
      </c>
      <c r="V1065" s="20">
        <v>3650</v>
      </c>
      <c r="W1065" s="20">
        <v>14749</v>
      </c>
      <c r="Y1065" s="19">
        <v>0.2747</v>
      </c>
      <c r="Z1065" s="19">
        <v>0.25340000000000001</v>
      </c>
      <c r="AB1065" s="18">
        <v>1606</v>
      </c>
      <c r="AC1065" s="18">
        <v>3</v>
      </c>
    </row>
    <row r="1066" spans="1:29" ht="15.75" customHeight="1" x14ac:dyDescent="0.2">
      <c r="A1066" s="36" t="str">
        <f>HYPERLINK("https://calhoun.edu/", "John C Calhoun State Community College")</f>
        <v>John C Calhoun State Community College</v>
      </c>
      <c r="B1066" s="18" t="s">
        <v>49</v>
      </c>
      <c r="C1066" s="18" t="s">
        <v>300</v>
      </c>
      <c r="D1066" s="18" t="s">
        <v>1447</v>
      </c>
      <c r="E1066" s="18" t="s">
        <v>36</v>
      </c>
      <c r="F1066" s="18" t="s">
        <v>36</v>
      </c>
      <c r="J1066" s="19"/>
      <c r="K1066" s="19">
        <v>0.25419999999999998</v>
      </c>
      <c r="L1066" s="19">
        <v>0.11512027499999999</v>
      </c>
      <c r="M1066" s="19">
        <v>0.27629999999999999</v>
      </c>
      <c r="N1066" s="19">
        <v>0.1822</v>
      </c>
      <c r="O1066" s="19">
        <v>0.1636</v>
      </c>
      <c r="P1066" s="19">
        <v>0.32350000000000001</v>
      </c>
      <c r="Q1066" s="19">
        <v>0.107812938</v>
      </c>
      <c r="R1066" s="20">
        <v>17290</v>
      </c>
      <c r="S1066" s="21" t="str">
        <f>HYPERLINK("https://calhoun.edu/student-services/financial-aid/net-price-calculator/", "$11550")</f>
        <v>$11550</v>
      </c>
      <c r="T1066" s="20">
        <v>14404</v>
      </c>
      <c r="U1066" s="20">
        <v>16390</v>
      </c>
      <c r="V1066" s="20">
        <v>4700</v>
      </c>
      <c r="W1066" s="20">
        <v>6850.267515923566</v>
      </c>
      <c r="Y1066" s="19">
        <v>0.33100000000000002</v>
      </c>
      <c r="Z1066" s="19">
        <v>0.34920000000000001</v>
      </c>
      <c r="AB1066" s="18">
        <v>8247</v>
      </c>
      <c r="AC1066" s="18">
        <v>6</v>
      </c>
    </row>
    <row r="1067" spans="1:29" ht="15.75" customHeight="1" x14ac:dyDescent="0.2">
      <c r="A1067" s="36" t="str">
        <f>HYPERLINK("https://sites.jcu.edu/", "John Carroll University")</f>
        <v>John Carroll University</v>
      </c>
      <c r="B1067" s="18" t="s">
        <v>32</v>
      </c>
      <c r="C1067" s="18" t="s">
        <v>75</v>
      </c>
      <c r="D1067" s="18" t="s">
        <v>853</v>
      </c>
      <c r="E1067" s="18">
        <v>1161</v>
      </c>
      <c r="F1067" s="18" t="s">
        <v>35</v>
      </c>
      <c r="J1067" s="19"/>
      <c r="K1067" s="19">
        <v>0.77900000000000003</v>
      </c>
      <c r="L1067" s="19">
        <v>0.66091953999999997</v>
      </c>
      <c r="M1067" s="19">
        <v>0.77529999999999999</v>
      </c>
      <c r="N1067" s="19">
        <v>0.74070000000000003</v>
      </c>
      <c r="O1067" s="19">
        <v>0.84619999999999995</v>
      </c>
      <c r="P1067" s="19">
        <v>0.52939999999999998</v>
      </c>
      <c r="Q1067" s="19"/>
      <c r="R1067" s="20">
        <v>55820</v>
      </c>
      <c r="S1067" s="21" t="str">
        <f>HYPERLINK("https://jcu.studentaidcalculator.com/survey.aspx", "$17374")</f>
        <v>$17374</v>
      </c>
      <c r="T1067" s="20">
        <v>24028</v>
      </c>
      <c r="U1067" s="20">
        <v>26269</v>
      </c>
      <c r="V1067" s="20">
        <v>4250</v>
      </c>
      <c r="W1067" s="20">
        <v>13124</v>
      </c>
      <c r="Y1067" s="19">
        <v>0.20749999999999999</v>
      </c>
      <c r="Z1067" s="19">
        <v>0.1615</v>
      </c>
      <c r="AB1067" s="18">
        <v>2972</v>
      </c>
      <c r="AC1067" s="18">
        <v>4</v>
      </c>
    </row>
    <row r="1068" spans="1:29" ht="15.75" customHeight="1" x14ac:dyDescent="0.2">
      <c r="A1068" s="36" t="str">
        <f>HYPERLINK("https://jtcc.edu", "John Tyler Community College")</f>
        <v>John Tyler Community College</v>
      </c>
      <c r="B1068" s="18" t="s">
        <v>49</v>
      </c>
      <c r="C1068" s="18" t="s">
        <v>83</v>
      </c>
      <c r="D1068" s="18" t="s">
        <v>1417</v>
      </c>
      <c r="E1068" s="18" t="s">
        <v>36</v>
      </c>
      <c r="F1068" s="18" t="s">
        <v>36</v>
      </c>
      <c r="J1068" s="19"/>
      <c r="K1068" s="19">
        <v>0.2283</v>
      </c>
      <c r="L1068" s="19">
        <v>0.14169741699999999</v>
      </c>
      <c r="M1068" s="19">
        <v>0.26800000000000002</v>
      </c>
      <c r="N1068" s="19">
        <v>0.13450000000000001</v>
      </c>
      <c r="O1068" s="19">
        <v>0.19769999999999999</v>
      </c>
      <c r="P1068" s="19">
        <v>0.36</v>
      </c>
      <c r="Q1068" s="19">
        <v>9.0271691999999987E-2</v>
      </c>
      <c r="R1068" s="20">
        <v>24016</v>
      </c>
      <c r="S1068" s="21" t="str">
        <f>HYPERLINK("https://www.vawizard.org/wizard/home?404url=/vccs/finaid.action", "$18712")</f>
        <v>$18712</v>
      </c>
      <c r="T1068" s="20">
        <v>20278</v>
      </c>
      <c r="U1068" s="20">
        <v>23002</v>
      </c>
      <c r="V1068" s="20">
        <v>5420</v>
      </c>
      <c r="W1068" s="20">
        <v>13292.947761194029</v>
      </c>
      <c r="Y1068" s="19">
        <v>0.24210000000000001</v>
      </c>
      <c r="Z1068" s="19">
        <v>0.45479999999999998</v>
      </c>
      <c r="AB1068" s="18">
        <v>6216</v>
      </c>
      <c r="AC1068" s="18">
        <v>6</v>
      </c>
    </row>
    <row r="1069" spans="1:29" ht="15.75" customHeight="1" x14ac:dyDescent="0.2">
      <c r="A1069" s="36" t="str">
        <f>HYPERLINK("https://www.jwcc.edu", "John Wood Community College")</f>
        <v>John Wood Community College</v>
      </c>
      <c r="B1069" s="18" t="s">
        <v>49</v>
      </c>
      <c r="C1069" s="18" t="s">
        <v>137</v>
      </c>
      <c r="D1069" s="18" t="s">
        <v>716</v>
      </c>
      <c r="E1069" s="18" t="s">
        <v>36</v>
      </c>
      <c r="F1069" s="18" t="s">
        <v>36</v>
      </c>
      <c r="J1069" s="19"/>
      <c r="K1069" s="19">
        <v>0.39040000000000002</v>
      </c>
      <c r="L1069" s="19">
        <v>0.22735346400000001</v>
      </c>
      <c r="M1069" s="19">
        <v>0.40060000000000001</v>
      </c>
      <c r="N1069" s="19">
        <v>0</v>
      </c>
      <c r="O1069" s="19">
        <v>0.42859999999999998</v>
      </c>
      <c r="P1069" s="19">
        <v>0.66669999999999996</v>
      </c>
      <c r="Q1069" s="19">
        <v>5.5084745999999997E-2</v>
      </c>
      <c r="R1069" s="20">
        <v>19350</v>
      </c>
      <c r="S1069" s="21" t="str">
        <f>HYPERLINK("https://www.jwcc.edu/financial-aid/net-price-calculator/", "$13664")</f>
        <v>$13664</v>
      </c>
      <c r="T1069" s="20">
        <v>16367</v>
      </c>
      <c r="U1069" s="20">
        <v>18717</v>
      </c>
      <c r="V1069" s="20">
        <v>4450</v>
      </c>
      <c r="W1069" s="20">
        <v>9214.4666666666672</v>
      </c>
      <c r="Y1069" s="19">
        <v>0.439</v>
      </c>
      <c r="Z1069" s="19">
        <v>9.6099999999999963E-2</v>
      </c>
      <c r="AB1069" s="18">
        <v>1519</v>
      </c>
      <c r="AC1069" s="18">
        <v>6</v>
      </c>
    </row>
    <row r="1070" spans="1:29" ht="15.75" customHeight="1" x14ac:dyDescent="0.2">
      <c r="A1070" s="36" t="str">
        <f>HYPERLINK("https://www.jhu.edu", "Johns Hopkins University")</f>
        <v>Johns Hopkins University</v>
      </c>
      <c r="B1070" s="18" t="s">
        <v>32</v>
      </c>
      <c r="C1070" s="18" t="s">
        <v>124</v>
      </c>
      <c r="D1070" s="18" t="s">
        <v>125</v>
      </c>
      <c r="E1070" s="18">
        <v>1524</v>
      </c>
      <c r="F1070" s="18" t="s">
        <v>35</v>
      </c>
      <c r="J1070" s="19"/>
      <c r="K1070" s="19">
        <v>0.92679999999999996</v>
      </c>
      <c r="L1070" s="19">
        <v>0.77725118500000001</v>
      </c>
      <c r="M1070" s="19">
        <v>0.93289999999999995</v>
      </c>
      <c r="N1070" s="19">
        <v>0.89390000000000003</v>
      </c>
      <c r="O1070" s="19">
        <v>0.88890000000000002</v>
      </c>
      <c r="P1070" s="19">
        <v>0.94469999999999998</v>
      </c>
      <c r="Q1070" s="19"/>
      <c r="R1070" s="20">
        <v>69863</v>
      </c>
      <c r="S1070" s="21" t="str">
        <f>HYPERLINK("https://npc.collegeboard.org/student/app/jhu", "$11496")</f>
        <v>$11496</v>
      </c>
      <c r="T1070" s="20">
        <v>13448</v>
      </c>
      <c r="U1070" s="20">
        <v>17858</v>
      </c>
      <c r="V1070" s="20">
        <v>2283</v>
      </c>
      <c r="W1070" s="20">
        <v>9213</v>
      </c>
      <c r="X1070" s="18" t="s">
        <v>37</v>
      </c>
      <c r="Y1070" s="19">
        <v>0.1235</v>
      </c>
      <c r="Z1070" s="19">
        <v>0.66500000000000004</v>
      </c>
      <c r="AB1070" s="18">
        <v>5663</v>
      </c>
      <c r="AC1070" s="18">
        <v>1</v>
      </c>
    </row>
    <row r="1071" spans="1:29" ht="15.75" customHeight="1" x14ac:dyDescent="0.2">
      <c r="A1071" s="36" t="str">
        <f>HYPERLINK("https://www.jwu.edu/campuses/charlotte/index.html", "Johnson &amp; Wales University-Charlotte")</f>
        <v>Johnson &amp; Wales University-Charlotte</v>
      </c>
      <c r="B1071" s="18" t="s">
        <v>32</v>
      </c>
      <c r="C1071" s="18" t="s">
        <v>103</v>
      </c>
      <c r="D1071" s="18" t="s">
        <v>447</v>
      </c>
      <c r="E1071" s="18" t="s">
        <v>36</v>
      </c>
      <c r="F1071" s="18" t="s">
        <v>90</v>
      </c>
      <c r="J1071" s="19"/>
      <c r="K1071" s="19">
        <v>0.5665</v>
      </c>
      <c r="L1071" s="19">
        <v>0.42224953900000001</v>
      </c>
      <c r="M1071" s="19">
        <v>0.63490000000000002</v>
      </c>
      <c r="N1071" s="19">
        <v>0.52969999999999995</v>
      </c>
      <c r="O1071" s="19">
        <v>0.40539999999999998</v>
      </c>
      <c r="P1071" s="19">
        <v>0.63639999999999997</v>
      </c>
      <c r="Q1071" s="19">
        <v>6.2797928000000003E-2</v>
      </c>
      <c r="R1071" s="20">
        <v>48530</v>
      </c>
      <c r="S1071" s="21" t="str">
        <f>HYPERLINK("https://jwu-charlotte.studentaidcalculator.com/survey.aspx", "$24327")</f>
        <v>$24327</v>
      </c>
      <c r="T1071" s="20">
        <v>27630</v>
      </c>
      <c r="U1071" s="20">
        <v>30223</v>
      </c>
      <c r="V1071" s="20">
        <v>4188</v>
      </c>
      <c r="W1071" s="20">
        <v>20139</v>
      </c>
      <c r="Y1071" s="19">
        <v>0.55120000000000002</v>
      </c>
      <c r="Z1071" s="19">
        <v>0.64060000000000006</v>
      </c>
      <c r="AB1071" s="18">
        <v>1892</v>
      </c>
      <c r="AC1071" s="18">
        <v>6</v>
      </c>
    </row>
    <row r="1072" spans="1:29" ht="15.75" customHeight="1" x14ac:dyDescent="0.2">
      <c r="A1072" s="36" t="str">
        <f>HYPERLINK("https://www.jwu.edu/campuses/denver/index.html", "Johnson &amp; Wales University-Denver")</f>
        <v>Johnson &amp; Wales University-Denver</v>
      </c>
      <c r="B1072" s="18" t="s">
        <v>32</v>
      </c>
      <c r="C1072" s="18" t="s">
        <v>87</v>
      </c>
      <c r="D1072" s="18" t="s">
        <v>508</v>
      </c>
      <c r="E1072" s="18" t="s">
        <v>36</v>
      </c>
      <c r="F1072" s="18" t="s">
        <v>90</v>
      </c>
      <c r="J1072" s="19"/>
      <c r="K1072" s="19">
        <v>0.56930000000000003</v>
      </c>
      <c r="L1072" s="19">
        <v>0.42224953900000001</v>
      </c>
      <c r="M1072" s="19">
        <v>0.59760000000000002</v>
      </c>
      <c r="N1072" s="19">
        <v>0.375</v>
      </c>
      <c r="O1072" s="19">
        <v>0.55420000000000003</v>
      </c>
      <c r="P1072" s="19">
        <v>0.66669999999999996</v>
      </c>
      <c r="Q1072" s="19">
        <v>6.2797928000000003E-2</v>
      </c>
      <c r="R1072" s="20">
        <v>47252</v>
      </c>
      <c r="S1072" s="21" t="str">
        <f>HYPERLINK("https://jwu-denver.studentaidcalculator.com/survey.aspx", "$20532")</f>
        <v>$20532</v>
      </c>
      <c r="T1072" s="20">
        <v>23485</v>
      </c>
      <c r="U1072" s="20">
        <v>25570</v>
      </c>
      <c r="V1072" s="20">
        <v>3909</v>
      </c>
      <c r="W1072" s="20">
        <v>16623</v>
      </c>
      <c r="Y1072" s="19">
        <v>0.41970000000000002</v>
      </c>
      <c r="Z1072" s="19">
        <v>0.47689999999999999</v>
      </c>
      <c r="AB1072" s="18">
        <v>1105</v>
      </c>
      <c r="AC1072" s="18">
        <v>6</v>
      </c>
    </row>
    <row r="1073" spans="1:29" ht="15.75" customHeight="1" x14ac:dyDescent="0.2">
      <c r="A1073" s="36" t="str">
        <f>HYPERLINK("https://www.jwu.edu/campuses/north-miami/index.html", "Johnson &amp; Wales University-North Miami")</f>
        <v>Johnson &amp; Wales University-North Miami</v>
      </c>
      <c r="B1073" s="18" t="s">
        <v>32</v>
      </c>
      <c r="C1073" s="18" t="s">
        <v>162</v>
      </c>
      <c r="D1073" s="18" t="s">
        <v>856</v>
      </c>
      <c r="E1073" s="18" t="s">
        <v>36</v>
      </c>
      <c r="F1073" s="18" t="s">
        <v>90</v>
      </c>
      <c r="J1073" s="19"/>
      <c r="K1073" s="19">
        <v>0.49669999999999997</v>
      </c>
      <c r="L1073" s="19">
        <v>0.42224953900000001</v>
      </c>
      <c r="M1073" s="19">
        <v>0.5</v>
      </c>
      <c r="N1073" s="19">
        <v>0.51090000000000002</v>
      </c>
      <c r="O1073" s="19">
        <v>0.45390000000000003</v>
      </c>
      <c r="P1073" s="19">
        <v>0.77780000000000005</v>
      </c>
      <c r="Q1073" s="19"/>
      <c r="R1073" s="20">
        <v>47252</v>
      </c>
      <c r="S1073" s="21" t="str">
        <f>HYPERLINK("https://jwu-miami.studentaidcalculator.com/survey.aspx", "$22540")</f>
        <v>$22540</v>
      </c>
      <c r="T1073" s="20">
        <v>26209</v>
      </c>
      <c r="U1073" s="20">
        <v>27826</v>
      </c>
      <c r="V1073" s="20">
        <v>3909</v>
      </c>
      <c r="W1073" s="20">
        <v>18631</v>
      </c>
      <c r="Y1073" s="19">
        <v>0.5766</v>
      </c>
      <c r="Z1073" s="19">
        <v>0.8</v>
      </c>
      <c r="AB1073" s="18">
        <v>1450</v>
      </c>
      <c r="AC1073" s="18">
        <v>4</v>
      </c>
    </row>
    <row r="1074" spans="1:29" ht="15.75" customHeight="1" x14ac:dyDescent="0.2">
      <c r="A1074" s="36" t="str">
        <f>HYPERLINK("https://online.jwu.edu/?_ga=2.244666885.1432107725.1502198571-1382828486.1499961993", "Johnson &amp; Wales University-Online")</f>
        <v>Johnson &amp; Wales University-Online</v>
      </c>
      <c r="B1074" s="18" t="s">
        <v>32</v>
      </c>
      <c r="C1074" s="18" t="s">
        <v>63</v>
      </c>
      <c r="D1074" s="18" t="s">
        <v>64</v>
      </c>
      <c r="E1074" s="18" t="s">
        <v>36</v>
      </c>
      <c r="F1074" s="18" t="s">
        <v>90</v>
      </c>
      <c r="J1074" s="19"/>
      <c r="K1074" s="19" t="s">
        <v>36</v>
      </c>
      <c r="L1074" s="19">
        <v>0.42224953900000001</v>
      </c>
      <c r="M1074" s="19" t="s">
        <v>36</v>
      </c>
      <c r="N1074" s="19" t="s">
        <v>36</v>
      </c>
      <c r="O1074" s="19" t="s">
        <v>36</v>
      </c>
      <c r="P1074" s="19" t="s">
        <v>36</v>
      </c>
      <c r="Q1074" s="19"/>
      <c r="R1074" s="20">
        <v>24274</v>
      </c>
      <c r="S1074" s="21" t="str">
        <f>HYPERLINK("https://jwu-online.studentaidcalculator.com/survey.aspx", "$17559")</f>
        <v>$17559</v>
      </c>
      <c r="T1074" s="20" t="s">
        <v>36</v>
      </c>
      <c r="U1074" s="20">
        <v>20228</v>
      </c>
      <c r="V1074" s="20">
        <v>3909</v>
      </c>
      <c r="W1074" s="20">
        <v>13650</v>
      </c>
      <c r="Y1074" s="19">
        <v>0.46710000000000002</v>
      </c>
      <c r="Z1074" s="19">
        <v>0.48749999999999999</v>
      </c>
      <c r="AB1074" s="18">
        <v>681</v>
      </c>
      <c r="AC1074" s="18">
        <v>4</v>
      </c>
    </row>
    <row r="1075" spans="1:29" ht="15.75" customHeight="1" x14ac:dyDescent="0.2">
      <c r="A1075" s="36" t="str">
        <f>HYPERLINK("https://www.jwu.edu/campuses/providence/index.html", "Johnson &amp; Wales University-Online")</f>
        <v>Johnson &amp; Wales University-Online</v>
      </c>
      <c r="B1075" s="18" t="s">
        <v>32</v>
      </c>
      <c r="C1075" s="18" t="s">
        <v>63</v>
      </c>
      <c r="D1075" s="18" t="s">
        <v>64</v>
      </c>
      <c r="E1075" s="18" t="s">
        <v>36</v>
      </c>
      <c r="F1075" s="18" t="s">
        <v>90</v>
      </c>
      <c r="J1075" s="19"/>
      <c r="K1075" s="19">
        <v>0.63349999999999995</v>
      </c>
      <c r="L1075" s="19">
        <v>0.42224953900000001</v>
      </c>
      <c r="M1075" s="19">
        <v>0.65799999999999992</v>
      </c>
      <c r="N1075" s="19">
        <v>0.55430000000000001</v>
      </c>
      <c r="O1075" s="19">
        <v>0.57609999999999995</v>
      </c>
      <c r="P1075" s="19">
        <v>0.64149999999999996</v>
      </c>
      <c r="Q1075" s="19"/>
      <c r="R1075" s="20">
        <v>49226</v>
      </c>
      <c r="S1075" s="21" t="str">
        <f>HYPERLINK("https://jwu-providence.studentaidcalculator.com/survey.aspx", "$22333")</f>
        <v>$22333</v>
      </c>
      <c r="T1075" s="20">
        <v>25189</v>
      </c>
      <c r="U1075" s="20">
        <v>27243</v>
      </c>
      <c r="V1075" s="20">
        <v>3909</v>
      </c>
      <c r="W1075" s="20">
        <v>18424</v>
      </c>
      <c r="Y1075" s="19">
        <v>0.3619</v>
      </c>
      <c r="Z1075" s="19">
        <v>0.44929999999999998</v>
      </c>
      <c r="AB1075" s="18">
        <v>7500</v>
      </c>
      <c r="AC1075" s="18">
        <v>4</v>
      </c>
    </row>
    <row r="1076" spans="1:29" ht="15.75" customHeight="1" x14ac:dyDescent="0.2">
      <c r="A1076" s="36" t="str">
        <f>HYPERLINK("https://www.jcsu.edu", "Johnson C Smith University")</f>
        <v>Johnson C Smith University</v>
      </c>
      <c r="B1076" s="18" t="s">
        <v>32</v>
      </c>
      <c r="C1076" s="18" t="s">
        <v>103</v>
      </c>
      <c r="D1076" s="18" t="s">
        <v>447</v>
      </c>
      <c r="E1076" s="18">
        <v>868</v>
      </c>
      <c r="F1076" s="18" t="s">
        <v>35</v>
      </c>
      <c r="J1076" s="19"/>
      <c r="K1076" s="19">
        <v>0.4355</v>
      </c>
      <c r="L1076" s="19">
        <v>0.39810426500000001</v>
      </c>
      <c r="M1076" s="19">
        <v>0</v>
      </c>
      <c r="N1076" s="19">
        <v>0.43</v>
      </c>
      <c r="O1076" s="19">
        <v>0.80769999999999997</v>
      </c>
      <c r="P1076" s="19" t="s">
        <v>36</v>
      </c>
      <c r="Q1076" s="19"/>
      <c r="R1076" s="20">
        <v>32136</v>
      </c>
      <c r="S1076" s="21" t="str">
        <f>HYPERLINK("https://www.jcsu.edu/admissions/future_students/net-price-calculator", "$17889")</f>
        <v>$17889</v>
      </c>
      <c r="T1076" s="20">
        <v>22672</v>
      </c>
      <c r="U1076" s="20">
        <v>24363</v>
      </c>
      <c r="V1076" s="20">
        <v>6800</v>
      </c>
      <c r="W1076" s="20">
        <v>11089</v>
      </c>
      <c r="Y1076" s="19">
        <v>0.73080000000000001</v>
      </c>
      <c r="Z1076" s="19">
        <v>0.98850000000000005</v>
      </c>
      <c r="AB1076" s="18">
        <v>1392</v>
      </c>
      <c r="AC1076" s="18">
        <v>4</v>
      </c>
    </row>
    <row r="1077" spans="1:29" ht="15.75" customHeight="1" x14ac:dyDescent="0.2">
      <c r="A1077" s="36" t="str">
        <f>HYPERLINK("https://www.johnson.edu", "Johnson College")</f>
        <v>Johnson College</v>
      </c>
      <c r="B1077" s="18" t="s">
        <v>32</v>
      </c>
      <c r="C1077" s="18" t="s">
        <v>65</v>
      </c>
      <c r="D1077" s="18" t="s">
        <v>524</v>
      </c>
      <c r="E1077" s="18" t="s">
        <v>36</v>
      </c>
      <c r="F1077" s="18" t="s">
        <v>90</v>
      </c>
      <c r="J1077" s="19"/>
      <c r="K1077" s="19">
        <v>0.64290000000000003</v>
      </c>
      <c r="L1077" s="19">
        <v>0.77380952400000003</v>
      </c>
      <c r="M1077" s="19">
        <v>0.67459999999999998</v>
      </c>
      <c r="N1077" s="19">
        <v>0.33329999999999999</v>
      </c>
      <c r="O1077" s="19">
        <v>0.5</v>
      </c>
      <c r="P1077" s="19" t="s">
        <v>36</v>
      </c>
      <c r="Q1077" s="19" t="s">
        <v>36</v>
      </c>
      <c r="R1077" s="20">
        <v>32447</v>
      </c>
      <c r="S1077" s="21" t="str">
        <f>HYPERLINK("https://www.johnson.edu/net-price-calculator/", "$16031")</f>
        <v>$16031</v>
      </c>
      <c r="T1077" s="20">
        <v>18864</v>
      </c>
      <c r="U1077" s="20">
        <v>21827</v>
      </c>
      <c r="V1077" s="20">
        <v>4000</v>
      </c>
      <c r="W1077" s="20">
        <v>12031</v>
      </c>
      <c r="Y1077" s="19">
        <v>0.49559999999999998</v>
      </c>
      <c r="Z1077" s="19">
        <v>0.1278</v>
      </c>
      <c r="AB1077" s="18">
        <v>446</v>
      </c>
      <c r="AC1077" s="18">
        <v>6</v>
      </c>
    </row>
    <row r="1078" spans="1:29" ht="15.75" customHeight="1" x14ac:dyDescent="0.2">
      <c r="A1078" s="36" t="str">
        <f>HYPERLINK("https://www.jccc.edu", "Johnson County Community College")</f>
        <v>Johnson County Community College</v>
      </c>
      <c r="B1078" s="18" t="s">
        <v>49</v>
      </c>
      <c r="C1078" s="18" t="s">
        <v>307</v>
      </c>
      <c r="D1078" s="18" t="s">
        <v>1448</v>
      </c>
      <c r="E1078" s="18" t="s">
        <v>36</v>
      </c>
      <c r="F1078" s="18" t="s">
        <v>36</v>
      </c>
      <c r="J1078" s="19"/>
      <c r="K1078" s="19">
        <v>0.21909999999999999</v>
      </c>
      <c r="L1078" s="19">
        <v>0.17793765</v>
      </c>
      <c r="M1078" s="19">
        <v>0.24759999999999999</v>
      </c>
      <c r="N1078" s="19">
        <v>0.13969999999999999</v>
      </c>
      <c r="O1078" s="19">
        <v>0.15820000000000001</v>
      </c>
      <c r="P1078" s="19">
        <v>0.25369999999999998</v>
      </c>
      <c r="Q1078" s="19">
        <v>0.148456639</v>
      </c>
      <c r="R1078" s="20">
        <v>25990</v>
      </c>
      <c r="S1078" s="21" t="str">
        <f>HYPERLINK("https://www.jccc.edu/admissions/financial-aid/net-price-calculator/npcalc-050318.htm", "$20998")</f>
        <v>$20998</v>
      </c>
      <c r="T1078" s="20">
        <v>23397</v>
      </c>
      <c r="U1078" s="20">
        <v>25374</v>
      </c>
      <c r="V1078" s="20">
        <v>9940</v>
      </c>
      <c r="W1078" s="20">
        <v>11058.005571030641</v>
      </c>
      <c r="Y1078" s="19">
        <v>0.1158</v>
      </c>
      <c r="Z1078" s="19">
        <v>0.37169999999999997</v>
      </c>
      <c r="AB1078" s="18">
        <v>11418</v>
      </c>
      <c r="AC1078" s="18">
        <v>6</v>
      </c>
    </row>
    <row r="1079" spans="1:29" ht="15.75" customHeight="1" x14ac:dyDescent="0.2">
      <c r="A1079" s="36" t="str">
        <f>HYPERLINK("https://www.johnstoncc.edu", "Johnston Community College")</f>
        <v>Johnston Community College</v>
      </c>
      <c r="B1079" s="18" t="s">
        <v>49</v>
      </c>
      <c r="C1079" s="18" t="s">
        <v>103</v>
      </c>
      <c r="D1079" s="18" t="s">
        <v>315</v>
      </c>
      <c r="E1079" s="18" t="s">
        <v>36</v>
      </c>
      <c r="F1079" s="18" t="s">
        <v>36</v>
      </c>
      <c r="J1079" s="19"/>
      <c r="K1079" s="19">
        <v>0.37390000000000001</v>
      </c>
      <c r="L1079" s="19">
        <v>0.201581028</v>
      </c>
      <c r="M1079" s="19">
        <v>0.40629999999999999</v>
      </c>
      <c r="N1079" s="19">
        <v>0.32840000000000003</v>
      </c>
      <c r="O1079" s="19">
        <v>0.32429999999999998</v>
      </c>
      <c r="P1079" s="19">
        <v>0.66669999999999996</v>
      </c>
      <c r="Q1079" s="19">
        <v>6.5404475000000004E-2</v>
      </c>
      <c r="R1079" s="20">
        <v>25100</v>
      </c>
      <c r="S1079" s="21" t="str">
        <f>HYPERLINK("https://www.johnstoncc.edu/payingforcollege/netpricecalculator.aspx", "$19418")</f>
        <v>$19418</v>
      </c>
      <c r="T1079" s="20">
        <v>20436</v>
      </c>
      <c r="U1079" s="20">
        <v>19562</v>
      </c>
      <c r="V1079" s="20">
        <v>12508</v>
      </c>
      <c r="W1079" s="20">
        <v>6910.0256410256407</v>
      </c>
      <c r="Y1079" s="19">
        <v>0.34820000000000001</v>
      </c>
      <c r="Z1079" s="19">
        <v>0.39</v>
      </c>
      <c r="AB1079" s="18">
        <v>2718</v>
      </c>
      <c r="AC1079" s="18">
        <v>6</v>
      </c>
    </row>
    <row r="1080" spans="1:29" ht="15.75" customHeight="1" x14ac:dyDescent="0.2">
      <c r="A1080" s="36" t="str">
        <f>HYPERLINK("https://www.jjc.edu", "Joliet Junior College")</f>
        <v>Joliet Junior College</v>
      </c>
      <c r="B1080" s="18" t="s">
        <v>49</v>
      </c>
      <c r="C1080" s="18" t="s">
        <v>137</v>
      </c>
      <c r="D1080" s="18" t="s">
        <v>1346</v>
      </c>
      <c r="E1080" s="18" t="s">
        <v>36</v>
      </c>
      <c r="F1080" s="18" t="s">
        <v>36</v>
      </c>
      <c r="J1080" s="19"/>
      <c r="K1080" s="19">
        <v>0.1633</v>
      </c>
      <c r="L1080" s="19">
        <v>0.11489899000000001</v>
      </c>
      <c r="M1080" s="19">
        <v>0.215</v>
      </c>
      <c r="N1080" s="19">
        <v>8.1299999999999997E-2</v>
      </c>
      <c r="O1080" s="19">
        <v>0.1232</v>
      </c>
      <c r="P1080" s="19">
        <v>0.16669999999999999</v>
      </c>
      <c r="Q1080" s="19">
        <v>0.111880467</v>
      </c>
      <c r="R1080" s="20">
        <v>23568</v>
      </c>
      <c r="S1080" s="21" t="str">
        <f>HYPERLINK("https://www3.jjc.edu/NetPriceCalc/npcalc.htm", "$18634")</f>
        <v>$18634</v>
      </c>
      <c r="T1080" s="20">
        <v>21132</v>
      </c>
      <c r="U1080" s="20">
        <v>23270</v>
      </c>
      <c r="V1080" s="20">
        <v>3118</v>
      </c>
      <c r="W1080" s="20">
        <v>15516.49826989619</v>
      </c>
      <c r="Y1080" s="19">
        <v>0.189</v>
      </c>
      <c r="Z1080" s="19">
        <v>0.43630000000000002</v>
      </c>
      <c r="AB1080" s="18">
        <v>11632</v>
      </c>
      <c r="AC1080" s="18">
        <v>6</v>
      </c>
    </row>
    <row r="1081" spans="1:29" ht="15.75" customHeight="1" x14ac:dyDescent="0.2">
      <c r="A1081" s="36" t="str">
        <f>HYPERLINK("https://www.jcjc.edu", "Jones County Junior College")</f>
        <v>Jones County Junior College</v>
      </c>
      <c r="B1081" s="18" t="s">
        <v>49</v>
      </c>
      <c r="C1081" s="18" t="s">
        <v>59</v>
      </c>
      <c r="D1081" s="18" t="s">
        <v>1449</v>
      </c>
      <c r="E1081" s="18" t="s">
        <v>36</v>
      </c>
      <c r="F1081" s="18" t="s">
        <v>36</v>
      </c>
      <c r="J1081" s="19"/>
      <c r="K1081" s="19">
        <v>0.33450000000000002</v>
      </c>
      <c r="L1081" s="19">
        <v>0.22761194000000001</v>
      </c>
      <c r="M1081" s="19">
        <v>0.3871</v>
      </c>
      <c r="N1081" s="19">
        <v>0.26190000000000002</v>
      </c>
      <c r="O1081" s="19">
        <v>0.25</v>
      </c>
      <c r="P1081" s="19">
        <v>0.5</v>
      </c>
      <c r="Q1081" s="19">
        <v>5.0913115999999987E-2</v>
      </c>
      <c r="R1081" s="20">
        <v>13220</v>
      </c>
      <c r="S1081" s="21" t="str">
        <f>HYPERLINK("https://www.jcjc.edu/netprice/", "$8082")</f>
        <v>$8082</v>
      </c>
      <c r="T1081" s="20">
        <v>10375</v>
      </c>
      <c r="U1081" s="20">
        <v>11853</v>
      </c>
      <c r="V1081" s="20">
        <v>4808</v>
      </c>
      <c r="W1081" s="20">
        <v>3274.216887417218</v>
      </c>
      <c r="Y1081" s="19">
        <v>0.44230000000000003</v>
      </c>
      <c r="Z1081" s="19">
        <v>0.38240000000000002</v>
      </c>
      <c r="AB1081" s="18">
        <v>4025</v>
      </c>
      <c r="AC1081" s="18">
        <v>6</v>
      </c>
    </row>
    <row r="1082" spans="1:29" ht="15.75" customHeight="1" x14ac:dyDescent="0.2">
      <c r="A1082" s="36" t="str">
        <f>HYPERLINK("https://www.judsonu.edu", "Judson University")</f>
        <v>Judson University</v>
      </c>
      <c r="B1082" s="18" t="s">
        <v>32</v>
      </c>
      <c r="C1082" s="18" t="s">
        <v>137</v>
      </c>
      <c r="D1082" s="18" t="s">
        <v>863</v>
      </c>
      <c r="E1082" s="18">
        <v>1084</v>
      </c>
      <c r="F1082" s="18" t="s">
        <v>35</v>
      </c>
      <c r="J1082" s="19"/>
      <c r="K1082" s="19">
        <v>0.54479999999999995</v>
      </c>
      <c r="L1082" s="19">
        <v>0.43119266099999998</v>
      </c>
      <c r="M1082" s="19">
        <v>0.52249999999999996</v>
      </c>
      <c r="N1082" s="19">
        <v>0</v>
      </c>
      <c r="O1082" s="19">
        <v>0.71430000000000005</v>
      </c>
      <c r="P1082" s="19">
        <v>1</v>
      </c>
      <c r="Q1082" s="19"/>
      <c r="R1082" s="20">
        <v>42794</v>
      </c>
      <c r="S1082" s="21" t="str">
        <f>HYPERLINK("https://www.judsonu.edu/NetPriceCalculator/", "$16463")</f>
        <v>$16463</v>
      </c>
      <c r="T1082" s="20">
        <v>22094</v>
      </c>
      <c r="U1082" s="20">
        <v>21083</v>
      </c>
      <c r="V1082" s="20">
        <v>3520</v>
      </c>
      <c r="W1082" s="20">
        <v>12943</v>
      </c>
      <c r="Y1082" s="19">
        <v>0.37309999999999999</v>
      </c>
      <c r="Z1082" s="19">
        <v>0.52560000000000007</v>
      </c>
      <c r="AB1082" s="18">
        <v>1037</v>
      </c>
      <c r="AC1082" s="18">
        <v>4</v>
      </c>
    </row>
    <row r="1083" spans="1:29" ht="15.75" customHeight="1" x14ac:dyDescent="0.2">
      <c r="A1083" s="36" t="str">
        <f>HYPERLINK("https://www.juniata.edu", "Juniata College")</f>
        <v>Juniata College</v>
      </c>
      <c r="B1083" s="18" t="s">
        <v>32</v>
      </c>
      <c r="C1083" s="18" t="s">
        <v>65</v>
      </c>
      <c r="D1083" s="18" t="s">
        <v>387</v>
      </c>
      <c r="E1083" s="18" t="s">
        <v>36</v>
      </c>
      <c r="F1083" s="18" t="s">
        <v>90</v>
      </c>
      <c r="J1083" s="19"/>
      <c r="K1083" s="19">
        <v>0.83750000000000002</v>
      </c>
      <c r="L1083" s="19">
        <v>0.60784313700000003</v>
      </c>
      <c r="M1083" s="19">
        <v>0.85450000000000004</v>
      </c>
      <c r="N1083" s="19">
        <v>0.8</v>
      </c>
      <c r="O1083" s="19">
        <v>0.6875</v>
      </c>
      <c r="P1083" s="19">
        <v>0.9</v>
      </c>
      <c r="Q1083" s="19"/>
      <c r="R1083" s="20">
        <v>58165</v>
      </c>
      <c r="S1083" s="21" t="str">
        <f>HYPERLINK("https://more.juniata.edu/admission/aid-calculator/index.php", "$19211")</f>
        <v>$19211</v>
      </c>
      <c r="T1083" s="20">
        <v>21254</v>
      </c>
      <c r="U1083" s="20">
        <v>25445</v>
      </c>
      <c r="V1083" s="20">
        <v>2250</v>
      </c>
      <c r="W1083" s="20">
        <v>16961</v>
      </c>
      <c r="Y1083" s="19">
        <v>0.24679999999999999</v>
      </c>
      <c r="Z1083" s="19">
        <v>0.24579999999999999</v>
      </c>
      <c r="AB1083" s="18">
        <v>1371</v>
      </c>
      <c r="AC1083" s="18">
        <v>3</v>
      </c>
    </row>
    <row r="1084" spans="1:29" ht="15.75" customHeight="1" x14ac:dyDescent="0.2">
      <c r="A1084" s="36" t="str">
        <f>HYPERLINK("https://www.KDSTUDIO.COM", "KD Conservatory College of Film and Dramatic Arts")</f>
        <v>KD Conservatory College of Film and Dramatic Arts</v>
      </c>
      <c r="B1084" s="18" t="s">
        <v>368</v>
      </c>
      <c r="C1084" s="18" t="s">
        <v>146</v>
      </c>
      <c r="D1084" s="18" t="s">
        <v>152</v>
      </c>
      <c r="E1084" s="18" t="s">
        <v>36</v>
      </c>
      <c r="F1084" s="18" t="s">
        <v>45</v>
      </c>
      <c r="J1084" s="19"/>
      <c r="K1084" s="19">
        <v>0.64859999999999995</v>
      </c>
      <c r="L1084" s="19">
        <v>0.571428571</v>
      </c>
      <c r="M1084" s="19">
        <v>0.8</v>
      </c>
      <c r="N1084" s="19">
        <v>0.7</v>
      </c>
      <c r="O1084" s="19">
        <v>0.16669999999999999</v>
      </c>
      <c r="P1084" s="19">
        <v>0.66669999999999996</v>
      </c>
      <c r="Q1084" s="19" t="s">
        <v>36</v>
      </c>
      <c r="R1084" s="20">
        <v>26911</v>
      </c>
      <c r="S1084" s="21" t="str">
        <f>HYPERLINK("https://www.kdstudio.com/wp-content/themes/kdc/netpricecalculator/npcalc.htm", "$14555")</f>
        <v>$14555</v>
      </c>
      <c r="T1084" s="20">
        <v>20257</v>
      </c>
      <c r="U1084" s="20" t="s">
        <v>36</v>
      </c>
      <c r="V1084" s="20" t="s">
        <v>36</v>
      </c>
      <c r="W1084" s="20" t="s">
        <v>36</v>
      </c>
      <c r="Y1084" s="19">
        <v>0.63249999999999995</v>
      </c>
      <c r="Z1084" s="19">
        <v>0.75350000000000006</v>
      </c>
      <c r="AB1084" s="18">
        <v>142</v>
      </c>
      <c r="AC1084" s="18">
        <v>6</v>
      </c>
    </row>
    <row r="1085" spans="1:29" ht="15.75" customHeight="1" x14ac:dyDescent="0.2">
      <c r="A1085" s="36" t="str">
        <f>HYPERLINK("https://www.kzoo.edu", "Kalamazoo College")</f>
        <v>Kalamazoo College</v>
      </c>
      <c r="B1085" s="18" t="s">
        <v>32</v>
      </c>
      <c r="C1085" s="18" t="s">
        <v>226</v>
      </c>
      <c r="D1085" s="18" t="s">
        <v>227</v>
      </c>
      <c r="E1085" s="18">
        <v>1306</v>
      </c>
      <c r="F1085" s="18" t="s">
        <v>115</v>
      </c>
      <c r="J1085" s="19"/>
      <c r="K1085" s="19">
        <v>0.85870000000000002</v>
      </c>
      <c r="L1085" s="19" t="s">
        <v>36</v>
      </c>
      <c r="M1085" s="19">
        <v>0.85270000000000001</v>
      </c>
      <c r="N1085" s="19">
        <v>0.88890000000000002</v>
      </c>
      <c r="O1085" s="19">
        <v>0.81820000000000004</v>
      </c>
      <c r="P1085" s="19">
        <v>1</v>
      </c>
      <c r="Q1085" s="19"/>
      <c r="R1085" s="20">
        <v>59267</v>
      </c>
      <c r="S1085" s="21" t="str">
        <f>HYPERLINK("https://www.kzoo.edu/admission/index.php?p=npc", "$12802")</f>
        <v>$12802</v>
      </c>
      <c r="T1085" s="20">
        <v>18168</v>
      </c>
      <c r="U1085" s="20">
        <v>25310</v>
      </c>
      <c r="V1085" s="20">
        <v>3037</v>
      </c>
      <c r="W1085" s="20">
        <v>9765</v>
      </c>
      <c r="Y1085" s="19">
        <v>0.21410000000000001</v>
      </c>
      <c r="Z1085" s="19">
        <v>0.4304</v>
      </c>
      <c r="AB1085" s="18">
        <v>1415</v>
      </c>
      <c r="AC1085" s="18">
        <v>2</v>
      </c>
    </row>
    <row r="1086" spans="1:29" ht="15.75" customHeight="1" x14ac:dyDescent="0.2">
      <c r="A1086" s="36" t="str">
        <f>HYPERLINK("https://www.kvcc.edu", "Kalamazoo Valley Community College")</f>
        <v>Kalamazoo Valley Community College</v>
      </c>
      <c r="B1086" s="18" t="s">
        <v>49</v>
      </c>
      <c r="C1086" s="18" t="s">
        <v>226</v>
      </c>
      <c r="D1086" s="18" t="s">
        <v>227</v>
      </c>
      <c r="E1086" s="18" t="s">
        <v>36</v>
      </c>
      <c r="F1086" s="18" t="s">
        <v>36</v>
      </c>
      <c r="J1086" s="19"/>
      <c r="K1086" s="19">
        <v>0.15379999999999999</v>
      </c>
      <c r="L1086" s="19">
        <v>0.12373907200000001</v>
      </c>
      <c r="M1086" s="19">
        <v>0.17879999999999999</v>
      </c>
      <c r="N1086" s="19">
        <v>4.1700000000000001E-2</v>
      </c>
      <c r="O1086" s="19">
        <v>0.122</v>
      </c>
      <c r="P1086" s="19">
        <v>0.33329999999999999</v>
      </c>
      <c r="Q1086" s="19">
        <v>8.6749078000000007E-2</v>
      </c>
      <c r="R1086" s="20">
        <v>15817</v>
      </c>
      <c r="S1086" s="21" t="str">
        <f>HYPERLINK("https://www.kvcc.edu/NetPrice/npcalc.htm", "$9990")</f>
        <v>$9990</v>
      </c>
      <c r="T1086" s="20">
        <v>12369</v>
      </c>
      <c r="U1086" s="20">
        <v>14812</v>
      </c>
      <c r="V1086" s="20">
        <v>3712</v>
      </c>
      <c r="W1086" s="20">
        <v>6278.1139240506327</v>
      </c>
      <c r="Y1086" s="19">
        <v>0.35199999999999998</v>
      </c>
      <c r="Z1086" s="19">
        <v>0.29459999999999997</v>
      </c>
      <c r="AB1086" s="18">
        <v>6911</v>
      </c>
      <c r="AC1086" s="18">
        <v>6</v>
      </c>
    </row>
    <row r="1087" spans="1:29" ht="15.75" customHeight="1" x14ac:dyDescent="0.2">
      <c r="A1087" s="36" t="str">
        <f>HYPERLINK("https://www.kansaschristian.edu", "Kansas Christian College")</f>
        <v>Kansas Christian College</v>
      </c>
      <c r="B1087" s="18" t="s">
        <v>32</v>
      </c>
      <c r="C1087" s="18" t="s">
        <v>307</v>
      </c>
      <c r="D1087" s="18" t="s">
        <v>1448</v>
      </c>
      <c r="E1087" s="18" t="s">
        <v>36</v>
      </c>
      <c r="F1087" s="18" t="s">
        <v>36</v>
      </c>
      <c r="J1087" s="19"/>
      <c r="K1087" s="19">
        <v>0</v>
      </c>
      <c r="L1087" s="19" t="s">
        <v>36</v>
      </c>
      <c r="M1087" s="19">
        <v>0</v>
      </c>
      <c r="N1087" s="19" t="s">
        <v>36</v>
      </c>
      <c r="O1087" s="19" t="s">
        <v>36</v>
      </c>
      <c r="P1087" s="19" t="s">
        <v>36</v>
      </c>
      <c r="Q1087" s="19" t="s">
        <v>36</v>
      </c>
      <c r="R1087" s="20">
        <v>17488</v>
      </c>
      <c r="S1087" s="21" t="str">
        <f>HYPERLINK("https://kccbs.vfao.com/default.aspx", "$12882")</f>
        <v>$12882</v>
      </c>
      <c r="T1087" s="20">
        <v>12631</v>
      </c>
      <c r="U1087" s="20" t="s">
        <v>36</v>
      </c>
      <c r="V1087" s="20">
        <v>2948</v>
      </c>
      <c r="W1087" s="20">
        <v>9934</v>
      </c>
      <c r="Y1087" s="19">
        <v>0.70589999999999997</v>
      </c>
      <c r="Z1087" s="19">
        <v>0.66670000000000007</v>
      </c>
      <c r="AB1087" s="18">
        <v>135</v>
      </c>
      <c r="AC1087" s="18">
        <v>6</v>
      </c>
    </row>
    <row r="1088" spans="1:29" ht="15.75" customHeight="1" x14ac:dyDescent="0.2">
      <c r="A1088" s="36" t="str">
        <f>HYPERLINK("https://www.kcai.edu", "Kansas City Art Institute")</f>
        <v>Kansas City Art Institute</v>
      </c>
      <c r="B1088" s="18" t="s">
        <v>32</v>
      </c>
      <c r="C1088" s="18" t="s">
        <v>164</v>
      </c>
      <c r="D1088" s="18" t="s">
        <v>515</v>
      </c>
      <c r="E1088" s="18">
        <v>1158</v>
      </c>
      <c r="F1088" s="18" t="s">
        <v>35</v>
      </c>
      <c r="J1088" s="19"/>
      <c r="K1088" s="19">
        <v>0.54449999999999998</v>
      </c>
      <c r="L1088" s="19">
        <v>0.62666666700000007</v>
      </c>
      <c r="M1088" s="19">
        <v>0.56589999999999996</v>
      </c>
      <c r="N1088" s="19">
        <v>0.72729999999999995</v>
      </c>
      <c r="O1088" s="19">
        <v>0.69230000000000003</v>
      </c>
      <c r="P1088" s="19" t="s">
        <v>36</v>
      </c>
      <c r="Q1088" s="19"/>
      <c r="R1088" s="20">
        <v>54450</v>
      </c>
      <c r="S1088" s="21" t="str">
        <f>HYPERLINK("https://www.kcai.edu/financial-aid-scholarships/net-price-calculator/", "$27313")</f>
        <v>$27313</v>
      </c>
      <c r="T1088" s="20">
        <v>28997</v>
      </c>
      <c r="U1088" s="20">
        <v>33056</v>
      </c>
      <c r="V1088" s="20">
        <v>6250</v>
      </c>
      <c r="W1088" s="20">
        <v>21063</v>
      </c>
      <c r="Y1088" s="19">
        <v>0.42930000000000001</v>
      </c>
      <c r="Z1088" s="19">
        <v>0.37630000000000002</v>
      </c>
      <c r="AB1088" s="18">
        <v>659</v>
      </c>
      <c r="AC1088" s="18">
        <v>4</v>
      </c>
    </row>
    <row r="1089" spans="1:29" ht="15.75" customHeight="1" x14ac:dyDescent="0.2">
      <c r="A1089" s="36" t="str">
        <f>HYPERLINK("https://www.k-state.edu", "Kansas State University")</f>
        <v>Kansas State University</v>
      </c>
      <c r="B1089" s="18" t="s">
        <v>49</v>
      </c>
      <c r="C1089" s="18" t="s">
        <v>307</v>
      </c>
      <c r="D1089" s="18" t="s">
        <v>388</v>
      </c>
      <c r="E1089" s="18" t="s">
        <v>36</v>
      </c>
      <c r="F1089" s="18" t="s">
        <v>90</v>
      </c>
      <c r="J1089" s="19"/>
      <c r="K1089" s="19">
        <v>0.62660000000000005</v>
      </c>
      <c r="L1089" s="19">
        <v>0.44150559499999997</v>
      </c>
      <c r="M1089" s="19">
        <v>0.66790000000000005</v>
      </c>
      <c r="N1089" s="19">
        <v>0.32179999999999997</v>
      </c>
      <c r="O1089" s="19">
        <v>0.52200000000000002</v>
      </c>
      <c r="P1089" s="19">
        <v>0.57379999999999998</v>
      </c>
      <c r="Q1089" s="19"/>
      <c r="R1089" s="20">
        <v>39696</v>
      </c>
      <c r="S1089" s="21" t="str">
        <f>HYPERLINK("https://tcc.noellevitz.com/(S(dajhe443p0hn3gev2eljho1r))/Kansas%20State%20University/Net-Price-Calculator", "$30848")</f>
        <v>$30848</v>
      </c>
      <c r="T1089" s="20">
        <v>33082</v>
      </c>
      <c r="U1089" s="20">
        <v>35836</v>
      </c>
      <c r="V1089" s="20">
        <v>4774</v>
      </c>
      <c r="W1089" s="20">
        <v>26074.348780487799</v>
      </c>
      <c r="Y1089" s="19">
        <v>0.22900000000000001</v>
      </c>
      <c r="Z1089" s="19">
        <v>0.21700000000000011</v>
      </c>
      <c r="AB1089" s="18">
        <v>18171</v>
      </c>
      <c r="AC1089" s="18">
        <v>3</v>
      </c>
    </row>
    <row r="1090" spans="1:29" ht="15.75" customHeight="1" x14ac:dyDescent="0.2">
      <c r="A1090" s="36" t="str">
        <f>HYPERLINK("https://www.kwu.edu", "Kansas Wesleyan University")</f>
        <v>Kansas Wesleyan University</v>
      </c>
      <c r="B1090" s="18" t="s">
        <v>32</v>
      </c>
      <c r="C1090" s="18" t="s">
        <v>307</v>
      </c>
      <c r="D1090" s="18" t="s">
        <v>867</v>
      </c>
      <c r="E1090" s="18">
        <v>1065</v>
      </c>
      <c r="F1090" s="18" t="s">
        <v>35</v>
      </c>
      <c r="J1090" s="19"/>
      <c r="K1090" s="19">
        <v>0.32119999999999999</v>
      </c>
      <c r="L1090" s="19">
        <v>0.36363636399999999</v>
      </c>
      <c r="M1090" s="19">
        <v>0.35199999999999998</v>
      </c>
      <c r="N1090" s="19">
        <v>0.15379999999999999</v>
      </c>
      <c r="O1090" s="19">
        <v>0.33329999999999999</v>
      </c>
      <c r="P1090" s="19">
        <v>0</v>
      </c>
      <c r="Q1090" s="19"/>
      <c r="R1090" s="20">
        <v>42904</v>
      </c>
      <c r="S1090" s="21" t="str">
        <f>HYPERLINK("https://www.kwu.edu/admissions/net-price-calculator", "$23924")</f>
        <v>$23924</v>
      </c>
      <c r="T1090" s="20">
        <v>26824</v>
      </c>
      <c r="U1090" s="20">
        <v>26232</v>
      </c>
      <c r="V1090" s="20">
        <v>4974</v>
      </c>
      <c r="W1090" s="20">
        <v>18950</v>
      </c>
      <c r="Y1090" s="19">
        <v>0.46029999999999999</v>
      </c>
      <c r="Z1090" s="19">
        <v>0.38</v>
      </c>
      <c r="AB1090" s="18">
        <v>671</v>
      </c>
      <c r="AC1090" s="18">
        <v>4</v>
      </c>
    </row>
    <row r="1091" spans="1:29" ht="15.75" customHeight="1" x14ac:dyDescent="0.2">
      <c r="A1091" s="36" t="str">
        <f>HYPERLINK("https://www.kapiolani.hawaii.edu", "Kapiolani Community College")</f>
        <v>Kapiolani Community College</v>
      </c>
      <c r="B1091" s="18" t="s">
        <v>49</v>
      </c>
      <c r="C1091" s="18" t="s">
        <v>313</v>
      </c>
      <c r="D1091" s="18" t="s">
        <v>510</v>
      </c>
      <c r="E1091" s="18" t="s">
        <v>36</v>
      </c>
      <c r="F1091" s="18" t="s">
        <v>36</v>
      </c>
      <c r="J1091" s="19"/>
      <c r="K1091" s="19">
        <v>0.20030000000000001</v>
      </c>
      <c r="L1091" s="19">
        <v>0.21316166</v>
      </c>
      <c r="M1091" s="19">
        <v>7.6899999999999996E-2</v>
      </c>
      <c r="N1091" s="19">
        <v>0.1</v>
      </c>
      <c r="O1091" s="19">
        <v>0.127</v>
      </c>
      <c r="P1091" s="19">
        <v>0.19520000000000001</v>
      </c>
      <c r="Q1091" s="19">
        <v>0.15794306699999999</v>
      </c>
      <c r="R1091" s="20">
        <v>27508</v>
      </c>
      <c r="S1091" s="21" t="str">
        <f>HYPERLINK("https://www.kapiolani.hawaii.edu/paying-for-college/financial-aid/net-price-calculator/", "$22098")</f>
        <v>$22098</v>
      </c>
      <c r="T1091" s="20">
        <v>24539</v>
      </c>
      <c r="U1091" s="20">
        <v>26472</v>
      </c>
      <c r="V1091" s="20">
        <v>4626</v>
      </c>
      <c r="W1091" s="20">
        <v>17472.296296296299</v>
      </c>
      <c r="Y1091" s="19">
        <v>0.18029999999999999</v>
      </c>
      <c r="Z1091" s="19">
        <v>0.91069999999999995</v>
      </c>
      <c r="AB1091" s="18">
        <v>5030</v>
      </c>
      <c r="AC1091" s="18">
        <v>6</v>
      </c>
    </row>
    <row r="1092" spans="1:29" ht="15.75" customHeight="1" x14ac:dyDescent="0.2">
      <c r="A1092" s="36" t="str">
        <f>HYPERLINK("https://www.kaskaskia.edu", "Kaskaskia College")</f>
        <v>Kaskaskia College</v>
      </c>
      <c r="B1092" s="18" t="s">
        <v>49</v>
      </c>
      <c r="C1092" s="18" t="s">
        <v>137</v>
      </c>
      <c r="D1092" s="18" t="s">
        <v>1450</v>
      </c>
      <c r="E1092" s="18" t="s">
        <v>36</v>
      </c>
      <c r="F1092" s="18" t="s">
        <v>36</v>
      </c>
      <c r="J1092" s="19"/>
      <c r="K1092" s="19">
        <v>0.30380000000000001</v>
      </c>
      <c r="L1092" s="19">
        <v>0.242647059</v>
      </c>
      <c r="M1092" s="19">
        <v>0.33829999999999999</v>
      </c>
      <c r="N1092" s="19">
        <v>0.1176</v>
      </c>
      <c r="O1092" s="19">
        <v>0</v>
      </c>
      <c r="P1092" s="19" t="s">
        <v>36</v>
      </c>
      <c r="Q1092" s="19">
        <v>4.5528455000000002E-2</v>
      </c>
      <c r="R1092" s="20">
        <v>24843</v>
      </c>
      <c r="S1092" s="21" t="str">
        <f>HYPERLINK("https://www.kaskaskia.edu/admissions/financial-aid/net-price-calculator/", "$20235")</f>
        <v>$20235</v>
      </c>
      <c r="T1092" s="20">
        <v>21600</v>
      </c>
      <c r="U1092" s="20" t="s">
        <v>36</v>
      </c>
      <c r="V1092" s="20">
        <v>4441</v>
      </c>
      <c r="W1092" s="20">
        <v>15794</v>
      </c>
      <c r="Y1092" s="19">
        <v>0.25459999999999999</v>
      </c>
      <c r="Z1092" s="19">
        <v>8.77E-2</v>
      </c>
      <c r="AB1092" s="18">
        <v>1847</v>
      </c>
      <c r="AC1092" s="18">
        <v>6</v>
      </c>
    </row>
    <row r="1093" spans="1:29" ht="15.75" customHeight="1" x14ac:dyDescent="0.2">
      <c r="A1093" s="36" t="str">
        <f>HYPERLINK("https://www.kean.edu", "Kean University")</f>
        <v>Kean University</v>
      </c>
      <c r="B1093" s="18" t="s">
        <v>49</v>
      </c>
      <c r="C1093" s="18" t="s">
        <v>141</v>
      </c>
      <c r="D1093" s="18" t="s">
        <v>870</v>
      </c>
      <c r="E1093" s="18">
        <v>977</v>
      </c>
      <c r="F1093" s="18" t="s">
        <v>35</v>
      </c>
      <c r="J1093" s="19"/>
      <c r="K1093" s="19">
        <v>0.48630000000000001</v>
      </c>
      <c r="L1093" s="19">
        <v>0.50546249100000007</v>
      </c>
      <c r="M1093" s="19">
        <v>0.55299999999999994</v>
      </c>
      <c r="N1093" s="19">
        <v>0.42120000000000002</v>
      </c>
      <c r="O1093" s="19">
        <v>0.4425</v>
      </c>
      <c r="P1093" s="19">
        <v>0.5575</v>
      </c>
      <c r="Q1093" s="19"/>
      <c r="R1093" s="20">
        <v>36163</v>
      </c>
      <c r="S1093" s="21" t="str">
        <f>HYPERLINK("https://www.kean.edu/NetPriceCalculator/npcalc.html", "$26288")</f>
        <v>$26288</v>
      </c>
      <c r="T1093" s="20">
        <v>32109</v>
      </c>
      <c r="U1093" s="20">
        <v>35612</v>
      </c>
      <c r="V1093" s="20">
        <v>3641</v>
      </c>
      <c r="W1093" s="20">
        <v>22647.384615384621</v>
      </c>
      <c r="Y1093" s="19">
        <v>0.44340000000000002</v>
      </c>
      <c r="Z1093" s="19">
        <v>0.66789999999999994</v>
      </c>
      <c r="AB1093" s="18">
        <v>11761</v>
      </c>
      <c r="AC1093" s="18">
        <v>4</v>
      </c>
    </row>
    <row r="1094" spans="1:29" ht="15.75" customHeight="1" x14ac:dyDescent="0.2">
      <c r="A1094" s="36" t="str">
        <f>HYPERLINK("https://www.keene.edu", "Keene State College")</f>
        <v>Keene State College</v>
      </c>
      <c r="B1094" s="18" t="s">
        <v>49</v>
      </c>
      <c r="C1094" s="18" t="s">
        <v>101</v>
      </c>
      <c r="D1094" s="18" t="s">
        <v>845</v>
      </c>
      <c r="E1094" s="18">
        <v>1038</v>
      </c>
      <c r="F1094" s="18" t="s">
        <v>115</v>
      </c>
      <c r="J1094" s="19"/>
      <c r="K1094" s="19">
        <v>0.62360000000000004</v>
      </c>
      <c r="L1094" s="19">
        <v>0.60199005000000005</v>
      </c>
      <c r="M1094" s="19">
        <v>0.63319999999999999</v>
      </c>
      <c r="N1094" s="19">
        <v>0.33329999999999999</v>
      </c>
      <c r="O1094" s="19">
        <v>0.47920000000000001</v>
      </c>
      <c r="P1094" s="19">
        <v>0.625</v>
      </c>
      <c r="Q1094" s="19"/>
      <c r="R1094" s="20">
        <v>36030</v>
      </c>
      <c r="S1094" s="21" t="str">
        <f>HYPERLINK("https://npc.collegeboard.org/student/app/keene", "$26166")</f>
        <v>$26166</v>
      </c>
      <c r="T1094" s="20">
        <v>28021</v>
      </c>
      <c r="U1094" s="20">
        <v>30279</v>
      </c>
      <c r="V1094" s="20">
        <v>2750</v>
      </c>
      <c r="W1094" s="20">
        <v>23416.791666666661</v>
      </c>
      <c r="Y1094" s="19">
        <v>0.22950000000000001</v>
      </c>
      <c r="Z1094" s="19">
        <v>0.13769999999999999</v>
      </c>
      <c r="AB1094" s="18">
        <v>3688</v>
      </c>
      <c r="AC1094" s="18">
        <v>4</v>
      </c>
    </row>
    <row r="1095" spans="1:29" ht="15.75" customHeight="1" x14ac:dyDescent="0.2">
      <c r="A1095" s="36" t="str">
        <f>HYPERLINK("https://www.keiseruniversity.edu", "Keiser University-Ft Lauderdale")</f>
        <v>Keiser University-Ft Lauderdale</v>
      </c>
      <c r="B1095" s="18" t="s">
        <v>32</v>
      </c>
      <c r="C1095" s="18" t="s">
        <v>162</v>
      </c>
      <c r="D1095" s="18" t="s">
        <v>433</v>
      </c>
      <c r="E1095" s="18" t="s">
        <v>36</v>
      </c>
      <c r="F1095" s="18" t="s">
        <v>36</v>
      </c>
      <c r="J1095" s="19"/>
      <c r="K1095" s="19">
        <v>0.58819999999999995</v>
      </c>
      <c r="L1095" s="19">
        <v>0.38683443299999998</v>
      </c>
      <c r="M1095" s="19">
        <v>0.66010000000000002</v>
      </c>
      <c r="N1095" s="19">
        <v>0.47770000000000001</v>
      </c>
      <c r="O1095" s="19">
        <v>0.5615</v>
      </c>
      <c r="P1095" s="19">
        <v>0.76470000000000005</v>
      </c>
      <c r="Q1095" s="19">
        <v>5.1115910999999993E-2</v>
      </c>
      <c r="R1095" s="20">
        <v>40202</v>
      </c>
      <c r="S1095" s="21" t="str">
        <f>HYPERLINK("https://enroll.keiseruniversity.edu/Npc", "$28874")</f>
        <v>$28874</v>
      </c>
      <c r="T1095" s="20">
        <v>30854</v>
      </c>
      <c r="U1095" s="20">
        <v>32056</v>
      </c>
      <c r="V1095" s="20">
        <v>10726</v>
      </c>
      <c r="W1095" s="20">
        <v>18148</v>
      </c>
      <c r="Y1095" s="19">
        <v>0.61</v>
      </c>
      <c r="Z1095" s="19">
        <v>0.6411</v>
      </c>
      <c r="AB1095" s="18">
        <v>16625</v>
      </c>
      <c r="AC1095" s="18">
        <v>6</v>
      </c>
    </row>
    <row r="1096" spans="1:29" ht="15.75" customHeight="1" x14ac:dyDescent="0.2">
      <c r="A1096" s="36" t="str">
        <f>HYPERLINK("https://www.kellogg.edu", "Kellogg Community College")</f>
        <v>Kellogg Community College</v>
      </c>
      <c r="B1096" s="18" t="s">
        <v>49</v>
      </c>
      <c r="C1096" s="18" t="s">
        <v>226</v>
      </c>
      <c r="D1096" s="18" t="s">
        <v>1451</v>
      </c>
      <c r="E1096" s="18" t="s">
        <v>36</v>
      </c>
      <c r="F1096" s="18" t="s">
        <v>36</v>
      </c>
      <c r="J1096" s="19"/>
      <c r="K1096" s="19">
        <v>0.15490000000000001</v>
      </c>
      <c r="L1096" s="19">
        <v>6.6903914999999994E-2</v>
      </c>
      <c r="M1096" s="19">
        <v>0.19900000000000001</v>
      </c>
      <c r="N1096" s="19">
        <v>6.9800000000000001E-2</v>
      </c>
      <c r="O1096" s="19">
        <v>5.5599999999999997E-2</v>
      </c>
      <c r="P1096" s="19">
        <v>0.16669999999999999</v>
      </c>
      <c r="Q1096" s="19">
        <v>6.3448275999999998E-2</v>
      </c>
      <c r="R1096" s="20">
        <v>19012</v>
      </c>
      <c r="S1096" s="21" t="str">
        <f>HYPERLINK("https://www.kellogg.edu/admissions/financial-aid/general-information/net-price-calculator/", "$12736")</f>
        <v>$12736</v>
      </c>
      <c r="T1096" s="20">
        <v>15850</v>
      </c>
      <c r="U1096" s="20">
        <v>19012</v>
      </c>
      <c r="V1096" s="20">
        <v>5062</v>
      </c>
      <c r="W1096" s="20">
        <v>7674.5217391304359</v>
      </c>
      <c r="Y1096" s="19">
        <v>0.27710000000000001</v>
      </c>
      <c r="Z1096" s="19">
        <v>0.29170000000000001</v>
      </c>
      <c r="AB1096" s="18">
        <v>3497</v>
      </c>
      <c r="AC1096" s="18">
        <v>6</v>
      </c>
    </row>
    <row r="1097" spans="1:29" ht="15.75" customHeight="1" x14ac:dyDescent="0.2">
      <c r="A1097" s="36" t="str">
        <f>HYPERLINK("https://www.nl.edu", "Kendall College")</f>
        <v>Kendall College</v>
      </c>
      <c r="B1097" s="18" t="s">
        <v>368</v>
      </c>
      <c r="C1097" s="18" t="s">
        <v>137</v>
      </c>
      <c r="D1097" s="18" t="s">
        <v>161</v>
      </c>
      <c r="E1097" s="18" t="s">
        <v>36</v>
      </c>
      <c r="F1097" s="18" t="s">
        <v>90</v>
      </c>
      <c r="J1097" s="19"/>
      <c r="K1097" s="19">
        <v>0.3826</v>
      </c>
      <c r="L1097" s="19">
        <v>0.21955403100000001</v>
      </c>
      <c r="M1097" s="19">
        <v>0.49120000000000003</v>
      </c>
      <c r="N1097" s="19">
        <v>0.1176</v>
      </c>
      <c r="O1097" s="19">
        <v>0.18179999999999999</v>
      </c>
      <c r="P1097" s="19">
        <v>1</v>
      </c>
      <c r="Q1097" s="19"/>
      <c r="R1097" s="20">
        <v>40213</v>
      </c>
      <c r="S1097" s="21" t="str">
        <f>HYPERLINK("https://www.nl.edu/financialaid/netpricecalculator/", "$28485")</f>
        <v>$28485</v>
      </c>
      <c r="T1097" s="20">
        <v>34349</v>
      </c>
      <c r="U1097" s="20">
        <v>31195</v>
      </c>
      <c r="V1097" s="20">
        <v>9300</v>
      </c>
      <c r="W1097" s="20">
        <v>19185</v>
      </c>
      <c r="Y1097" s="19">
        <v>0.375</v>
      </c>
      <c r="Z1097" s="19">
        <v>0.59260000000000002</v>
      </c>
      <c r="AB1097" s="18">
        <v>977</v>
      </c>
      <c r="AC1097" s="18">
        <v>5</v>
      </c>
    </row>
    <row r="1098" spans="1:29" ht="15.75" customHeight="1" x14ac:dyDescent="0.2">
      <c r="A1098" s="36" t="str">
        <f>HYPERLINK("https://www.kvcc.me.edu", "Kennebec Valley Community College")</f>
        <v>Kennebec Valley Community College</v>
      </c>
      <c r="B1098" s="18" t="s">
        <v>49</v>
      </c>
      <c r="C1098" s="18" t="s">
        <v>43</v>
      </c>
      <c r="D1098" s="18" t="s">
        <v>356</v>
      </c>
      <c r="E1098" s="18" t="s">
        <v>36</v>
      </c>
      <c r="F1098" s="18" t="s">
        <v>36</v>
      </c>
      <c r="J1098" s="19"/>
      <c r="K1098" s="19">
        <v>0.44719999999999999</v>
      </c>
      <c r="L1098" s="19">
        <v>0.38043478299999989</v>
      </c>
      <c r="M1098" s="19">
        <v>0.46</v>
      </c>
      <c r="N1098" s="19">
        <v>0</v>
      </c>
      <c r="O1098" s="19">
        <v>0</v>
      </c>
      <c r="P1098" s="19" t="s">
        <v>36</v>
      </c>
      <c r="Q1098" s="19">
        <v>3.5450517000000001E-2</v>
      </c>
      <c r="R1098" s="20">
        <v>19727</v>
      </c>
      <c r="S1098" s="21" t="str">
        <f>HYPERLINK("https://my.kvcc.me.edu/ICS/Finances/Finances_Homepage.jnz?portlet=Net_Price_Calculator", "$13397")</f>
        <v>$13397</v>
      </c>
      <c r="T1098" s="20">
        <v>17185</v>
      </c>
      <c r="U1098" s="20">
        <v>19290</v>
      </c>
      <c r="V1098" s="20">
        <v>6833</v>
      </c>
      <c r="W1098" s="20">
        <v>6564.9178082191793</v>
      </c>
      <c r="Y1098" s="19">
        <v>0.35570000000000002</v>
      </c>
      <c r="Z1098" s="19">
        <v>6.9400000000000017E-2</v>
      </c>
      <c r="AB1098" s="18">
        <v>1599</v>
      </c>
      <c r="AC1098" s="18">
        <v>6</v>
      </c>
    </row>
    <row r="1099" spans="1:29" ht="15.75" customHeight="1" x14ac:dyDescent="0.2">
      <c r="A1099" s="36" t="str">
        <f>HYPERLINK("https://www.kennesaw.edu", "Kennesaw State University")</f>
        <v>Kennesaw State University</v>
      </c>
      <c r="B1099" s="18" t="s">
        <v>49</v>
      </c>
      <c r="C1099" s="18" t="s">
        <v>107</v>
      </c>
      <c r="D1099" s="18" t="s">
        <v>389</v>
      </c>
      <c r="E1099" s="18">
        <v>1163</v>
      </c>
      <c r="F1099" s="18" t="s">
        <v>35</v>
      </c>
      <c r="J1099" s="19"/>
      <c r="K1099" s="19">
        <v>0.41739999999999999</v>
      </c>
      <c r="L1099" s="19">
        <v>0.41452805599999998</v>
      </c>
      <c r="M1099" s="19">
        <v>0.42349999999999999</v>
      </c>
      <c r="N1099" s="19">
        <v>0.41320000000000001</v>
      </c>
      <c r="O1099" s="19">
        <v>0.42509999999999998</v>
      </c>
      <c r="P1099" s="19">
        <v>0.41670000000000001</v>
      </c>
      <c r="Q1099" s="19"/>
      <c r="R1099" s="20">
        <v>36755</v>
      </c>
      <c r="S1099" s="21" t="str">
        <f>HYPERLINK("https://financialaid.kennesaw.edu/npcalc/npcalc.htm", "$28408")</f>
        <v>$28408</v>
      </c>
      <c r="T1099" s="20">
        <v>31824</v>
      </c>
      <c r="U1099" s="20">
        <v>33229</v>
      </c>
      <c r="V1099" s="20">
        <v>7959</v>
      </c>
      <c r="W1099" s="20">
        <v>20449.525117739398</v>
      </c>
      <c r="Y1099" s="19">
        <v>0.36759999999999998</v>
      </c>
      <c r="Z1099" s="19">
        <v>0.44429999999999997</v>
      </c>
      <c r="AB1099" s="18">
        <v>32309</v>
      </c>
      <c r="AC1099" s="18">
        <v>3</v>
      </c>
    </row>
    <row r="1100" spans="1:29" ht="15.75" customHeight="1" x14ac:dyDescent="0.2">
      <c r="A1100" s="36" t="str">
        <f>HYPERLINK("https://www.kent.edu/ashtabula", "Kent State University at Ashtabula")</f>
        <v>Kent State University at Ashtabula</v>
      </c>
      <c r="B1100" s="18" t="s">
        <v>49</v>
      </c>
      <c r="C1100" s="18" t="s">
        <v>75</v>
      </c>
      <c r="D1100" s="18" t="s">
        <v>1452</v>
      </c>
      <c r="E1100" s="18" t="s">
        <v>36</v>
      </c>
      <c r="F1100" s="18" t="s">
        <v>36</v>
      </c>
      <c r="J1100" s="19"/>
      <c r="K1100" s="19">
        <v>0.24529999999999999</v>
      </c>
      <c r="L1100" s="19">
        <v>0.275610313</v>
      </c>
      <c r="M1100" s="19">
        <v>0.26819999999999999</v>
      </c>
      <c r="N1100" s="19">
        <v>0</v>
      </c>
      <c r="O1100" s="19">
        <v>0.2</v>
      </c>
      <c r="P1100" s="19">
        <v>0.66669999999999996</v>
      </c>
      <c r="Q1100" s="19">
        <v>6.5695661000000002E-2</v>
      </c>
      <c r="R1100" s="20">
        <v>27060</v>
      </c>
      <c r="S1100" s="21" t="str">
        <f>HYPERLINK("https://www.kent.edu/financialaid/calculator", "$22118")</f>
        <v>$22118</v>
      </c>
      <c r="T1100" s="20">
        <v>24760</v>
      </c>
      <c r="U1100" s="20">
        <v>26216</v>
      </c>
      <c r="V1100" s="20">
        <v>5004</v>
      </c>
      <c r="W1100" s="20">
        <v>17114.466666666671</v>
      </c>
      <c r="Y1100" s="19">
        <v>0.47620000000000001</v>
      </c>
      <c r="Z1100" s="19">
        <v>0.17889999999999989</v>
      </c>
      <c r="AB1100" s="18">
        <v>1789</v>
      </c>
      <c r="AC1100" s="18">
        <v>6</v>
      </c>
    </row>
    <row r="1101" spans="1:29" ht="15.75" customHeight="1" x14ac:dyDescent="0.2">
      <c r="A1101" s="36" t="str">
        <f>HYPERLINK("https://www.kent.edu/columbiana", "Kent State University at East Liverpool")</f>
        <v>Kent State University at East Liverpool</v>
      </c>
      <c r="B1101" s="18" t="s">
        <v>49</v>
      </c>
      <c r="C1101" s="18" t="s">
        <v>75</v>
      </c>
      <c r="D1101" s="18" t="s">
        <v>1453</v>
      </c>
      <c r="E1101" s="18" t="s">
        <v>36</v>
      </c>
      <c r="F1101" s="18" t="s">
        <v>36</v>
      </c>
      <c r="J1101" s="19"/>
      <c r="K1101" s="19">
        <v>0.29599999999999999</v>
      </c>
      <c r="L1101" s="19">
        <v>0.275610313</v>
      </c>
      <c r="M1101" s="19">
        <v>0.28179999999999999</v>
      </c>
      <c r="N1101" s="19">
        <v>0.42859999999999998</v>
      </c>
      <c r="O1101" s="19">
        <v>0.25</v>
      </c>
      <c r="P1101" s="19" t="s">
        <v>36</v>
      </c>
      <c r="Q1101" s="19">
        <v>6.5695661000000002E-2</v>
      </c>
      <c r="R1101" s="20">
        <v>27060</v>
      </c>
      <c r="S1101" s="21" t="str">
        <f>HYPERLINK("https://www.kent.edu/financialaid/calculator", "$22217")</f>
        <v>$22217</v>
      </c>
      <c r="T1101" s="20">
        <v>24932</v>
      </c>
      <c r="U1101" s="20">
        <v>26408</v>
      </c>
      <c r="V1101" s="20">
        <v>5004</v>
      </c>
      <c r="W1101" s="20">
        <v>17213.599999999999</v>
      </c>
      <c r="Y1101" s="19">
        <v>0.44950000000000001</v>
      </c>
      <c r="Z1101" s="19">
        <v>0.15989999999999999</v>
      </c>
      <c r="AB1101" s="18">
        <v>1057</v>
      </c>
      <c r="AC1101" s="18">
        <v>6</v>
      </c>
    </row>
    <row r="1102" spans="1:29" ht="15.75" customHeight="1" x14ac:dyDescent="0.2">
      <c r="A1102" s="36" t="str">
        <f>HYPERLINK("https://www.kent.edu/geauga", "Kent State University at Geauga")</f>
        <v>Kent State University at Geauga</v>
      </c>
      <c r="B1102" s="18" t="s">
        <v>49</v>
      </c>
      <c r="C1102" s="18" t="s">
        <v>75</v>
      </c>
      <c r="D1102" s="18" t="s">
        <v>1454</v>
      </c>
      <c r="E1102" s="18" t="s">
        <v>36</v>
      </c>
      <c r="F1102" s="18" t="s">
        <v>36</v>
      </c>
      <c r="J1102" s="19"/>
      <c r="K1102" s="19">
        <v>0.29799999999999999</v>
      </c>
      <c r="L1102" s="19">
        <v>0.275610313</v>
      </c>
      <c r="M1102" s="19">
        <v>0.35170000000000001</v>
      </c>
      <c r="N1102" s="19">
        <v>9.6799999999999997E-2</v>
      </c>
      <c r="O1102" s="19">
        <v>0.28570000000000001</v>
      </c>
      <c r="P1102" s="19">
        <v>0</v>
      </c>
      <c r="Q1102" s="19">
        <v>6.5695661000000002E-2</v>
      </c>
      <c r="R1102" s="20">
        <v>27060</v>
      </c>
      <c r="S1102" s="21" t="str">
        <f>HYPERLINK("https://www.kent.edu/financialaid/calculator", "$22314")</f>
        <v>$22314</v>
      </c>
      <c r="T1102" s="20">
        <v>24912</v>
      </c>
      <c r="U1102" s="20">
        <v>26855</v>
      </c>
      <c r="V1102" s="20">
        <v>5004</v>
      </c>
      <c r="W1102" s="20">
        <v>17310.365591397851</v>
      </c>
      <c r="Y1102" s="19">
        <v>0.32990000000000003</v>
      </c>
      <c r="Z1102" s="19">
        <v>0.23319999999999999</v>
      </c>
      <c r="AB1102" s="18">
        <v>1955</v>
      </c>
      <c r="AC1102" s="18">
        <v>6</v>
      </c>
    </row>
    <row r="1103" spans="1:29" ht="15.75" customHeight="1" x14ac:dyDescent="0.2">
      <c r="A1103" s="36" t="str">
        <f>HYPERLINK("https://www.kent.edu", "Kent State University at Kent")</f>
        <v>Kent State University at Kent</v>
      </c>
      <c r="B1103" s="18" t="s">
        <v>49</v>
      </c>
      <c r="C1103" s="18" t="s">
        <v>75</v>
      </c>
      <c r="D1103" s="18" t="s">
        <v>872</v>
      </c>
      <c r="E1103" s="18">
        <v>1142</v>
      </c>
      <c r="F1103" s="18" t="s">
        <v>35</v>
      </c>
      <c r="J1103" s="19"/>
      <c r="K1103" s="19">
        <v>0.57700000000000007</v>
      </c>
      <c r="L1103" s="19">
        <v>0.275610313</v>
      </c>
      <c r="M1103" s="19">
        <v>0.60489999999999999</v>
      </c>
      <c r="N1103" s="19">
        <v>0.44490000000000002</v>
      </c>
      <c r="O1103" s="19">
        <v>0.51349999999999996</v>
      </c>
      <c r="P1103" s="19">
        <v>0.7</v>
      </c>
      <c r="Q1103" s="19"/>
      <c r="R1103" s="20">
        <v>34046</v>
      </c>
      <c r="S1103" s="21" t="str">
        <f>HYPERLINK("https://www.kent.edu/financialaid/calculator", "$24325")</f>
        <v>$24325</v>
      </c>
      <c r="T1103" s="20">
        <v>28770</v>
      </c>
      <c r="U1103" s="20">
        <v>30828</v>
      </c>
      <c r="V1103" s="20">
        <v>4586</v>
      </c>
      <c r="W1103" s="20">
        <v>19739.760095011879</v>
      </c>
      <c r="Y1103" s="19">
        <v>0.30149999999999999</v>
      </c>
      <c r="Z1103" s="19">
        <v>0.25259999999999999</v>
      </c>
      <c r="AB1103" s="18">
        <v>22403</v>
      </c>
      <c r="AC1103" s="18">
        <v>4</v>
      </c>
    </row>
    <row r="1104" spans="1:29" ht="15.75" customHeight="1" x14ac:dyDescent="0.2">
      <c r="A1104" s="36" t="str">
        <f>HYPERLINK("https://www.kent.edu/columbiana", "Kent State University at Salem")</f>
        <v>Kent State University at Salem</v>
      </c>
      <c r="B1104" s="18" t="s">
        <v>49</v>
      </c>
      <c r="C1104" s="18" t="s">
        <v>75</v>
      </c>
      <c r="D1104" s="18" t="s">
        <v>343</v>
      </c>
      <c r="E1104" s="18" t="s">
        <v>36</v>
      </c>
      <c r="F1104" s="18" t="s">
        <v>36</v>
      </c>
      <c r="J1104" s="19"/>
      <c r="K1104" s="19">
        <v>0.27979999999999999</v>
      </c>
      <c r="L1104" s="19">
        <v>0.275610313</v>
      </c>
      <c r="M1104" s="19">
        <v>0.27310000000000001</v>
      </c>
      <c r="N1104" s="19">
        <v>0.28570000000000001</v>
      </c>
      <c r="O1104" s="19">
        <v>0</v>
      </c>
      <c r="P1104" s="19" t="s">
        <v>36</v>
      </c>
      <c r="Q1104" s="19">
        <v>6.5695661000000002E-2</v>
      </c>
      <c r="R1104" s="20">
        <v>27060</v>
      </c>
      <c r="S1104" s="21" t="str">
        <f>HYPERLINK("https://www.kent.edu/financialaid/calculator", "$22525")</f>
        <v>$22525</v>
      </c>
      <c r="T1104" s="20">
        <v>24976</v>
      </c>
      <c r="U1104" s="20">
        <v>26636</v>
      </c>
      <c r="V1104" s="20">
        <v>5004</v>
      </c>
      <c r="W1104" s="20">
        <v>17521.138888888891</v>
      </c>
      <c r="Y1104" s="19">
        <v>0.43030000000000002</v>
      </c>
      <c r="Z1104" s="19">
        <v>0.12970000000000001</v>
      </c>
      <c r="AB1104" s="18">
        <v>1403</v>
      </c>
      <c r="AC1104" s="18">
        <v>6</v>
      </c>
    </row>
    <row r="1105" spans="1:29" ht="15.75" customHeight="1" x14ac:dyDescent="0.2">
      <c r="A1105" s="36" t="str">
        <f>HYPERLINK("https://www.kent.edu/stark", "Kent State University at Stark")</f>
        <v>Kent State University at Stark</v>
      </c>
      <c r="B1105" s="18" t="s">
        <v>49</v>
      </c>
      <c r="C1105" s="18" t="s">
        <v>75</v>
      </c>
      <c r="D1105" s="18" t="s">
        <v>249</v>
      </c>
      <c r="E1105" s="18" t="s">
        <v>36</v>
      </c>
      <c r="F1105" s="18" t="s">
        <v>36</v>
      </c>
      <c r="J1105" s="19"/>
      <c r="K1105" s="19">
        <v>0.31890000000000002</v>
      </c>
      <c r="L1105" s="19">
        <v>0.275610313</v>
      </c>
      <c r="M1105" s="19">
        <v>0.34100000000000003</v>
      </c>
      <c r="N1105" s="19">
        <v>0.21049999999999999</v>
      </c>
      <c r="O1105" s="19">
        <v>0.2</v>
      </c>
      <c r="P1105" s="19">
        <v>0</v>
      </c>
      <c r="Q1105" s="19">
        <v>6.5695661000000002E-2</v>
      </c>
      <c r="R1105" s="20">
        <v>27060</v>
      </c>
      <c r="S1105" s="21" t="str">
        <f>HYPERLINK("https://www.kent.edu/financialaid/calculator", "$22621")</f>
        <v>$22621</v>
      </c>
      <c r="T1105" s="20">
        <v>24531</v>
      </c>
      <c r="U1105" s="20">
        <v>26460</v>
      </c>
      <c r="V1105" s="20">
        <v>5004</v>
      </c>
      <c r="W1105" s="20">
        <v>17617.081632653058</v>
      </c>
      <c r="Y1105" s="19">
        <v>0.40189999999999998</v>
      </c>
      <c r="Z1105" s="19">
        <v>0.1754</v>
      </c>
      <c r="AB1105" s="18">
        <v>4235</v>
      </c>
      <c r="AC1105" s="18">
        <v>6</v>
      </c>
    </row>
    <row r="1106" spans="1:29" ht="15.75" customHeight="1" x14ac:dyDescent="0.2">
      <c r="A1106" s="36" t="str">
        <f>HYPERLINK("https://www.kent.edu/trumbull", "Kent State University at Trumbull")</f>
        <v>Kent State University at Trumbull</v>
      </c>
      <c r="B1106" s="18" t="s">
        <v>49</v>
      </c>
      <c r="C1106" s="18" t="s">
        <v>75</v>
      </c>
      <c r="D1106" s="18" t="s">
        <v>713</v>
      </c>
      <c r="E1106" s="18" t="s">
        <v>36</v>
      </c>
      <c r="F1106" s="18" t="s">
        <v>36</v>
      </c>
      <c r="J1106" s="19"/>
      <c r="K1106" s="19">
        <v>0.20200000000000001</v>
      </c>
      <c r="L1106" s="19">
        <v>0.275610313</v>
      </c>
      <c r="M1106" s="19">
        <v>0.24</v>
      </c>
      <c r="N1106" s="19">
        <v>7.4999999999999997E-2</v>
      </c>
      <c r="O1106" s="19">
        <v>0.25</v>
      </c>
      <c r="P1106" s="19">
        <v>1</v>
      </c>
      <c r="Q1106" s="19">
        <v>6.5695661000000002E-2</v>
      </c>
      <c r="R1106" s="20">
        <v>27060</v>
      </c>
      <c r="S1106" s="21" t="str">
        <f>HYPERLINK("https://www.kent.edu/financialaid/calculator", "$22133")</f>
        <v>$22133</v>
      </c>
      <c r="T1106" s="20">
        <v>24569</v>
      </c>
      <c r="U1106" s="20">
        <v>25918</v>
      </c>
      <c r="V1106" s="20">
        <v>5004</v>
      </c>
      <c r="W1106" s="20">
        <v>17129.009433962259</v>
      </c>
      <c r="Y1106" s="19">
        <v>0.50760000000000005</v>
      </c>
      <c r="Z1106" s="19">
        <v>0.18540000000000001</v>
      </c>
      <c r="AB1106" s="18">
        <v>2055</v>
      </c>
      <c r="AC1106" s="18">
        <v>6</v>
      </c>
    </row>
    <row r="1107" spans="1:29" ht="15.75" customHeight="1" x14ac:dyDescent="0.2">
      <c r="A1107" s="36" t="str">
        <f>HYPERLINK("https://www.kent.edu/tusc", "Kent State University at Tuscarawas")</f>
        <v>Kent State University at Tuscarawas</v>
      </c>
      <c r="B1107" s="18" t="s">
        <v>49</v>
      </c>
      <c r="C1107" s="18" t="s">
        <v>75</v>
      </c>
      <c r="D1107" s="18" t="s">
        <v>1455</v>
      </c>
      <c r="E1107" s="18" t="s">
        <v>36</v>
      </c>
      <c r="F1107" s="18" t="s">
        <v>36</v>
      </c>
      <c r="J1107" s="19"/>
      <c r="K1107" s="19">
        <v>0.3281</v>
      </c>
      <c r="L1107" s="19">
        <v>0.275610313</v>
      </c>
      <c r="M1107" s="19">
        <v>0.33439999999999998</v>
      </c>
      <c r="N1107" s="19">
        <v>0.5</v>
      </c>
      <c r="O1107" s="19" t="s">
        <v>36</v>
      </c>
      <c r="P1107" s="19">
        <v>0</v>
      </c>
      <c r="Q1107" s="19">
        <v>6.5695661000000002E-2</v>
      </c>
      <c r="R1107" s="20">
        <v>27060</v>
      </c>
      <c r="S1107" s="21" t="str">
        <f>HYPERLINK("https://www.kent.edu/financialaid/calculator", "$22486")</f>
        <v>$22486</v>
      </c>
      <c r="T1107" s="20">
        <v>24913</v>
      </c>
      <c r="U1107" s="20">
        <v>26613</v>
      </c>
      <c r="V1107" s="20">
        <v>5004</v>
      </c>
      <c r="W1107" s="20">
        <v>17482.987804878048</v>
      </c>
      <c r="Y1107" s="19">
        <v>0.37990000000000002</v>
      </c>
      <c r="Z1107" s="19">
        <v>0.12540000000000001</v>
      </c>
      <c r="AB1107" s="18">
        <v>1762</v>
      </c>
      <c r="AC1107" s="18">
        <v>6</v>
      </c>
    </row>
    <row r="1108" spans="1:29" ht="15.75" customHeight="1" x14ac:dyDescent="0.2">
      <c r="A1108" s="36" t="str">
        <f>HYPERLINK("https://www.kysu.edu", "Kentucky State University")</f>
        <v>Kentucky State University</v>
      </c>
      <c r="B1108" s="18" t="s">
        <v>49</v>
      </c>
      <c r="C1108" s="18" t="s">
        <v>205</v>
      </c>
      <c r="D1108" s="18" t="s">
        <v>761</v>
      </c>
      <c r="E1108" s="18">
        <v>982</v>
      </c>
      <c r="F1108" s="18" t="s">
        <v>35</v>
      </c>
      <c r="J1108" s="19"/>
      <c r="K1108" s="19">
        <v>0.20419999999999999</v>
      </c>
      <c r="L1108" s="19">
        <v>0.19444444399999999</v>
      </c>
      <c r="M1108" s="19">
        <v>0.42220000000000002</v>
      </c>
      <c r="N1108" s="19">
        <v>0.20130000000000001</v>
      </c>
      <c r="O1108" s="19">
        <v>0.33329999999999999</v>
      </c>
      <c r="P1108" s="19" t="s">
        <v>36</v>
      </c>
      <c r="Q1108" s="19"/>
      <c r="R1108" s="20">
        <v>30621</v>
      </c>
      <c r="S1108" s="21" t="str">
        <f>HYPERLINK("https://kysu.studentaidcalculator.com/survey.aspx", "$20699")</f>
        <v>$20699</v>
      </c>
      <c r="T1108" s="20">
        <v>21764</v>
      </c>
      <c r="U1108" s="20">
        <v>21724</v>
      </c>
      <c r="V1108" s="20">
        <v>4293</v>
      </c>
      <c r="W1108" s="20">
        <v>16406.627118644072</v>
      </c>
      <c r="Y1108" s="19">
        <v>0.52490000000000003</v>
      </c>
      <c r="Z1108" s="19">
        <v>0.76280000000000003</v>
      </c>
      <c r="AB1108" s="18">
        <v>1349</v>
      </c>
      <c r="AC1108" s="18">
        <v>5</v>
      </c>
    </row>
    <row r="1109" spans="1:29" ht="15.75" customHeight="1" x14ac:dyDescent="0.2">
      <c r="A1109" s="36" t="str">
        <f>HYPERLINK("https://www.kenyon.edu/", "Kenyon College")</f>
        <v>Kenyon College</v>
      </c>
      <c r="B1109" s="18" t="s">
        <v>32</v>
      </c>
      <c r="C1109" s="18" t="s">
        <v>75</v>
      </c>
      <c r="D1109" s="18" t="s">
        <v>126</v>
      </c>
      <c r="E1109" s="18">
        <v>1403</v>
      </c>
      <c r="F1109" s="18" t="s">
        <v>35</v>
      </c>
      <c r="J1109" s="19"/>
      <c r="K1109" s="19">
        <v>0.90559999999999996</v>
      </c>
      <c r="L1109" s="19" t="s">
        <v>36</v>
      </c>
      <c r="M1109" s="19">
        <v>0.89690000000000003</v>
      </c>
      <c r="N1109" s="19">
        <v>1</v>
      </c>
      <c r="O1109" s="19">
        <v>0.95830000000000004</v>
      </c>
      <c r="P1109" s="19">
        <v>0.89739999999999998</v>
      </c>
      <c r="Q1109" s="19"/>
      <c r="R1109" s="20">
        <v>69180</v>
      </c>
      <c r="S1109" s="21" t="str">
        <f>HYPERLINK("https://www.kenyon.edu/admissions-aid/financial-aid/cost-breakdown-by-semester/kenyon-net-price-calculator/", "$13105")</f>
        <v>$13105</v>
      </c>
      <c r="T1109" s="20">
        <v>14788</v>
      </c>
      <c r="U1109" s="20">
        <v>18598</v>
      </c>
      <c r="V1109" s="20">
        <v>3340</v>
      </c>
      <c r="W1109" s="20">
        <v>9765</v>
      </c>
      <c r="X1109" s="18" t="s">
        <v>37</v>
      </c>
      <c r="Y1109" s="19">
        <v>9.1800000000000007E-2</v>
      </c>
      <c r="Z1109" s="19">
        <v>0.28180000000000011</v>
      </c>
      <c r="AB1109" s="18">
        <v>1661</v>
      </c>
      <c r="AC1109" s="18">
        <v>1</v>
      </c>
    </row>
    <row r="1110" spans="1:29" ht="15.75" customHeight="1" x14ac:dyDescent="0.2">
      <c r="A1110" s="36" t="str">
        <f>HYPERLINK("https://www.kettering.edu/", "Kettering University")</f>
        <v>Kettering University</v>
      </c>
      <c r="B1110" s="18" t="s">
        <v>32</v>
      </c>
      <c r="C1110" s="18" t="s">
        <v>226</v>
      </c>
      <c r="D1110" s="18" t="s">
        <v>228</v>
      </c>
      <c r="E1110" s="18">
        <v>1270</v>
      </c>
      <c r="F1110" s="18" t="s">
        <v>35</v>
      </c>
      <c r="J1110" s="19"/>
      <c r="K1110" s="19">
        <v>0.6109</v>
      </c>
      <c r="L1110" s="19">
        <v>0.271186441</v>
      </c>
      <c r="M1110" s="19">
        <v>0.60370000000000001</v>
      </c>
      <c r="N1110" s="19">
        <v>0.5333</v>
      </c>
      <c r="O1110" s="19">
        <v>0.54549999999999998</v>
      </c>
      <c r="P1110" s="19">
        <v>1</v>
      </c>
      <c r="Q1110" s="19"/>
      <c r="R1110" s="20">
        <v>59227</v>
      </c>
      <c r="S1110" s="21" t="str">
        <f>HYPERLINK("https://www.kettering.edu/undergraduate-admissions/financial-aid", "$29965")</f>
        <v>$29965</v>
      </c>
      <c r="T1110" s="20">
        <v>36266</v>
      </c>
      <c r="U1110" s="20">
        <v>37577</v>
      </c>
      <c r="V1110" s="20">
        <v>8697</v>
      </c>
      <c r="W1110" s="20">
        <v>21268</v>
      </c>
      <c r="Y1110" s="19">
        <v>0.20119999999999999</v>
      </c>
      <c r="Z1110" s="19">
        <v>0.24490000000000001</v>
      </c>
      <c r="AB1110" s="18">
        <v>1850</v>
      </c>
      <c r="AC1110" s="18">
        <v>2</v>
      </c>
    </row>
    <row r="1111" spans="1:29" ht="15.75" customHeight="1" x14ac:dyDescent="0.2">
      <c r="A1111" s="36" t="str">
        <f>HYPERLINK("https://www.keuka.edu", "Keuka College")</f>
        <v>Keuka College</v>
      </c>
      <c r="B1111" s="18" t="s">
        <v>32</v>
      </c>
      <c r="C1111" s="18" t="s">
        <v>38</v>
      </c>
      <c r="D1111" s="18" t="s">
        <v>873</v>
      </c>
      <c r="E1111" s="18">
        <v>1066</v>
      </c>
      <c r="F1111" s="18" t="s">
        <v>115</v>
      </c>
      <c r="G1111" s="18" t="s">
        <v>40</v>
      </c>
      <c r="H1111" s="18" t="s">
        <v>874</v>
      </c>
      <c r="I1111" s="18" t="s">
        <v>424</v>
      </c>
      <c r="J1111" s="19"/>
      <c r="K1111" s="19">
        <v>0.5736</v>
      </c>
      <c r="L1111" s="19">
        <v>0.409090909</v>
      </c>
      <c r="M1111" s="19">
        <v>0.60850000000000004</v>
      </c>
      <c r="N1111" s="19">
        <v>0.33329999999999999</v>
      </c>
      <c r="O1111" s="19">
        <v>0.16669999999999999</v>
      </c>
      <c r="P1111" s="19">
        <v>0.25</v>
      </c>
      <c r="Q1111" s="19"/>
      <c r="R1111" s="20">
        <v>47488</v>
      </c>
      <c r="S1111" s="21" t="str">
        <f>HYPERLINK("https://www.keuka.edu/npc", "$21959")</f>
        <v>$21959</v>
      </c>
      <c r="T1111" s="20">
        <v>26504</v>
      </c>
      <c r="U1111" s="20">
        <v>27777</v>
      </c>
      <c r="V1111" s="20">
        <v>5090</v>
      </c>
      <c r="W1111" s="20">
        <v>16869</v>
      </c>
      <c r="Y1111" s="19">
        <v>0.46339999999999998</v>
      </c>
      <c r="Z1111" s="19">
        <v>0.22739999999999999</v>
      </c>
      <c r="AB1111" s="18">
        <v>1640</v>
      </c>
      <c r="AC1111" s="18">
        <v>4</v>
      </c>
    </row>
    <row r="1112" spans="1:29" ht="15.75" customHeight="1" x14ac:dyDescent="0.2">
      <c r="A1112" s="36" t="str">
        <f>HYPERLINK("https://www.keycollege.edu", "Key College")</f>
        <v>Key College</v>
      </c>
      <c r="B1112" s="18" t="s">
        <v>368</v>
      </c>
      <c r="C1112" s="18" t="s">
        <v>162</v>
      </c>
      <c r="D1112" s="18" t="s">
        <v>433</v>
      </c>
      <c r="E1112" s="18" t="s">
        <v>36</v>
      </c>
      <c r="F1112" s="18" t="s">
        <v>115</v>
      </c>
      <c r="J1112" s="19"/>
      <c r="K1112" s="19">
        <v>0.45829999999999999</v>
      </c>
      <c r="L1112" s="19" t="s">
        <v>36</v>
      </c>
      <c r="M1112" s="19">
        <v>0.5</v>
      </c>
      <c r="N1112" s="19">
        <v>0.6</v>
      </c>
      <c r="O1112" s="19">
        <v>0.4</v>
      </c>
      <c r="P1112" s="19" t="s">
        <v>36</v>
      </c>
      <c r="Q1112" s="19" t="s">
        <v>36</v>
      </c>
      <c r="R1112" s="20">
        <v>26530</v>
      </c>
      <c r="S1112" s="21" t="str">
        <f>HYPERLINK("https://www.keycollege.edu", "$16882")</f>
        <v>$16882</v>
      </c>
      <c r="T1112" s="20">
        <v>19856</v>
      </c>
      <c r="U1112" s="20">
        <v>19856</v>
      </c>
      <c r="V1112" s="20">
        <v>6049</v>
      </c>
      <c r="W1112" s="20">
        <v>10833</v>
      </c>
      <c r="Y1112" s="19">
        <v>0.45100000000000001</v>
      </c>
      <c r="Z1112" s="19">
        <v>0.36670000000000003</v>
      </c>
      <c r="AB1112" s="18">
        <v>60</v>
      </c>
      <c r="AC1112" s="18">
        <v>6</v>
      </c>
    </row>
    <row r="1113" spans="1:29" ht="15.75" customHeight="1" x14ac:dyDescent="0.2">
      <c r="A1113" s="36" t="str">
        <f>HYPERLINK("https://www.keystone.edu", "Keystone College")</f>
        <v>Keystone College</v>
      </c>
      <c r="B1113" s="18" t="s">
        <v>32</v>
      </c>
      <c r="C1113" s="18" t="s">
        <v>65</v>
      </c>
      <c r="D1113" s="18" t="s">
        <v>763</v>
      </c>
      <c r="E1113" s="18" t="s">
        <v>36</v>
      </c>
      <c r="F1113" s="18" t="s">
        <v>115</v>
      </c>
      <c r="J1113" s="19"/>
      <c r="K1113" s="19">
        <v>0.38840000000000002</v>
      </c>
      <c r="L1113" s="19">
        <v>0.27572016500000002</v>
      </c>
      <c r="M1113" s="19">
        <v>0.4652</v>
      </c>
      <c r="N1113" s="19">
        <v>0.1071</v>
      </c>
      <c r="O1113" s="19">
        <v>0.3125</v>
      </c>
      <c r="P1113" s="19">
        <v>0.5</v>
      </c>
      <c r="Q1113" s="19"/>
      <c r="R1113" s="20">
        <v>42120</v>
      </c>
      <c r="S1113" s="21" t="str">
        <f>HYPERLINK("https://www.keystone.edu/admissions/tuition-aid/calculator/", "$14726")</f>
        <v>$14726</v>
      </c>
      <c r="T1113" s="20">
        <v>20626</v>
      </c>
      <c r="U1113" s="20">
        <v>23279</v>
      </c>
      <c r="V1113" s="20">
        <v>4750</v>
      </c>
      <c r="W1113" s="20">
        <v>9976</v>
      </c>
      <c r="Y1113" s="19">
        <v>0.45960000000000001</v>
      </c>
      <c r="Z1113" s="19">
        <v>0.28649999999999998</v>
      </c>
      <c r="AB1113" s="18">
        <v>1274</v>
      </c>
      <c r="AC1113" s="18">
        <v>5</v>
      </c>
    </row>
    <row r="1114" spans="1:29" ht="15.75" customHeight="1" x14ac:dyDescent="0.2">
      <c r="A1114" s="36" t="str">
        <f>HYPERLINK("https://www.kilgore.edu", "Kilgore College")</f>
        <v>Kilgore College</v>
      </c>
      <c r="B1114" s="18" t="s">
        <v>49</v>
      </c>
      <c r="C1114" s="18" t="s">
        <v>146</v>
      </c>
      <c r="D1114" s="18" t="s">
        <v>1456</v>
      </c>
      <c r="E1114" s="18" t="s">
        <v>36</v>
      </c>
      <c r="F1114" s="18" t="s">
        <v>36</v>
      </c>
      <c r="J1114" s="19"/>
      <c r="K1114" s="19">
        <v>0.2601</v>
      </c>
      <c r="L1114" s="19">
        <v>0.21679284200000001</v>
      </c>
      <c r="M1114" s="19">
        <v>0.2838</v>
      </c>
      <c r="N1114" s="19">
        <v>0.15079999999999999</v>
      </c>
      <c r="O1114" s="19">
        <v>0.30709999999999998</v>
      </c>
      <c r="P1114" s="19">
        <v>1</v>
      </c>
      <c r="Q1114" s="19">
        <v>6.6636028999999999E-2</v>
      </c>
      <c r="R1114" s="20">
        <v>18743</v>
      </c>
      <c r="S1114" s="21" t="str">
        <f>HYPERLINK("https://www.kilgore.edu/tuition_fees.asp", "$12292")</f>
        <v>$12292</v>
      </c>
      <c r="T1114" s="20">
        <v>14379</v>
      </c>
      <c r="U1114" s="20">
        <v>16927</v>
      </c>
      <c r="V1114" s="20">
        <v>8181</v>
      </c>
      <c r="W1114" s="20">
        <v>4111.1214470284249</v>
      </c>
      <c r="Y1114" s="19">
        <v>0.42349999999999999</v>
      </c>
      <c r="Z1114" s="19">
        <v>0.49299999999999999</v>
      </c>
      <c r="AB1114" s="18">
        <v>5680</v>
      </c>
      <c r="AC1114" s="18">
        <v>6</v>
      </c>
    </row>
    <row r="1115" spans="1:29" ht="15.75" customHeight="1" x14ac:dyDescent="0.2">
      <c r="A1115" s="36" t="str">
        <f>HYPERLINK("https://www.king.edu", "King University")</f>
        <v>King University</v>
      </c>
      <c r="B1115" s="18" t="s">
        <v>32</v>
      </c>
      <c r="C1115" s="18" t="s">
        <v>174</v>
      </c>
      <c r="D1115" s="18" t="s">
        <v>390</v>
      </c>
      <c r="E1115" s="18">
        <v>1084</v>
      </c>
      <c r="F1115" s="18" t="s">
        <v>115</v>
      </c>
      <c r="J1115" s="19"/>
      <c r="K1115" s="19">
        <v>0.5202</v>
      </c>
      <c r="L1115" s="19">
        <v>0.52604166699999999</v>
      </c>
      <c r="M1115" s="19">
        <v>0.58679999999999999</v>
      </c>
      <c r="N1115" s="19">
        <v>0.375</v>
      </c>
      <c r="O1115" s="19">
        <v>0.5</v>
      </c>
      <c r="P1115" s="19" t="s">
        <v>36</v>
      </c>
      <c r="Q1115" s="19"/>
      <c r="R1115" s="20">
        <v>41936</v>
      </c>
      <c r="S1115" s="21" t="str">
        <f>HYPERLINK("https://www.king.edu/financialaid/net-price-calculator.aspx", "$16768")</f>
        <v>$16768</v>
      </c>
      <c r="T1115" s="20">
        <v>19341</v>
      </c>
      <c r="U1115" s="20">
        <v>18685</v>
      </c>
      <c r="V1115" s="20">
        <v>4940</v>
      </c>
      <c r="W1115" s="20">
        <v>11828</v>
      </c>
      <c r="Y1115" s="19">
        <v>0.44690000000000002</v>
      </c>
      <c r="Z1115" s="19">
        <v>0.20100000000000001</v>
      </c>
      <c r="AB1115" s="18">
        <v>1736</v>
      </c>
      <c r="AC1115" s="18">
        <v>3</v>
      </c>
    </row>
    <row r="1116" spans="1:29" ht="15.75" customHeight="1" x14ac:dyDescent="0.2">
      <c r="A1116" s="36" t="str">
        <f>HYPERLINK("https://www.kingscollegecharlotte.edu", "King's College")</f>
        <v>King's College</v>
      </c>
      <c r="B1116" s="18" t="s">
        <v>368</v>
      </c>
      <c r="C1116" s="18" t="s">
        <v>103</v>
      </c>
      <c r="D1116" s="18" t="s">
        <v>447</v>
      </c>
      <c r="E1116" s="18" t="s">
        <v>36</v>
      </c>
      <c r="F1116" s="18" t="s">
        <v>45</v>
      </c>
      <c r="J1116" s="19"/>
      <c r="K1116" s="19">
        <v>0.79500000000000004</v>
      </c>
      <c r="L1116" s="19">
        <v>0.73040752400000009</v>
      </c>
      <c r="M1116" s="19">
        <v>0.80599999999999994</v>
      </c>
      <c r="N1116" s="19">
        <v>0.68630000000000002</v>
      </c>
      <c r="O1116" s="19">
        <v>0.96550000000000002</v>
      </c>
      <c r="P1116" s="19">
        <v>0.8</v>
      </c>
      <c r="Q1116" s="19" t="s">
        <v>36</v>
      </c>
      <c r="R1116" s="20">
        <v>26358</v>
      </c>
      <c r="S1116" s="21" t="str">
        <f>HYPERLINK("https://www.kingscollegecharlotte.edu", "$15386")</f>
        <v>$15386</v>
      </c>
      <c r="T1116" s="20">
        <v>18666</v>
      </c>
      <c r="U1116" s="20">
        <v>20614</v>
      </c>
      <c r="V1116" s="20">
        <v>3058</v>
      </c>
      <c r="W1116" s="20">
        <v>12328</v>
      </c>
      <c r="Y1116" s="19">
        <v>0.77439999999999998</v>
      </c>
      <c r="Z1116" s="19">
        <v>0.64650000000000007</v>
      </c>
      <c r="AB1116" s="18">
        <v>314</v>
      </c>
      <c r="AC1116" s="18">
        <v>6</v>
      </c>
    </row>
    <row r="1117" spans="1:29" ht="15.75" customHeight="1" x14ac:dyDescent="0.2">
      <c r="A1117" s="36" t="str">
        <f>HYPERLINK("https://www.kings.edu", "King's College")</f>
        <v>King's College</v>
      </c>
      <c r="B1117" s="18" t="s">
        <v>32</v>
      </c>
      <c r="C1117" s="18" t="s">
        <v>65</v>
      </c>
      <c r="D1117" s="18" t="s">
        <v>875</v>
      </c>
      <c r="E1117" s="18" t="s">
        <v>36</v>
      </c>
      <c r="F1117" s="18" t="s">
        <v>90</v>
      </c>
      <c r="J1117" s="19"/>
      <c r="K1117" s="19">
        <v>0.6673</v>
      </c>
      <c r="L1117" s="19">
        <v>0.563953488</v>
      </c>
      <c r="M1117" s="19">
        <v>0.6895</v>
      </c>
      <c r="N1117" s="19">
        <v>0.45829999999999999</v>
      </c>
      <c r="O1117" s="19">
        <v>0.55559999999999998</v>
      </c>
      <c r="P1117" s="19">
        <v>0.81820000000000004</v>
      </c>
      <c r="Q1117" s="19"/>
      <c r="R1117" s="20">
        <v>52030</v>
      </c>
      <c r="S1117" s="21" t="str">
        <f>HYPERLINK("https://collegecostcalculator.org/KingsCollege", "$21181")</f>
        <v>$21181</v>
      </c>
      <c r="T1117" s="20">
        <v>24204</v>
      </c>
      <c r="U1117" s="20">
        <v>25995</v>
      </c>
      <c r="V1117" s="20">
        <v>3790</v>
      </c>
      <c r="W1117" s="20">
        <v>17391</v>
      </c>
      <c r="Y1117" s="19">
        <v>0.24829999999999999</v>
      </c>
      <c r="Z1117" s="19">
        <v>0.27260000000000001</v>
      </c>
      <c r="AB1117" s="18">
        <v>2065</v>
      </c>
      <c r="AC1117" s="18">
        <v>4</v>
      </c>
    </row>
    <row r="1118" spans="1:29" ht="15.75" customHeight="1" x14ac:dyDescent="0.2">
      <c r="A1118" s="36" t="str">
        <f>HYPERLINK("https://www.kirkwood.edu", "Kirkwood Community College")</f>
        <v>Kirkwood Community College</v>
      </c>
      <c r="B1118" s="18" t="s">
        <v>49</v>
      </c>
      <c r="C1118" s="18" t="s">
        <v>211</v>
      </c>
      <c r="D1118" s="18" t="s">
        <v>333</v>
      </c>
      <c r="E1118" s="18" t="s">
        <v>36</v>
      </c>
      <c r="F1118" s="18" t="s">
        <v>36</v>
      </c>
      <c r="J1118" s="19"/>
      <c r="K1118" s="19">
        <v>0.29289999999999999</v>
      </c>
      <c r="L1118" s="19">
        <v>0.146554622</v>
      </c>
      <c r="M1118" s="19">
        <v>0.33589999999999998</v>
      </c>
      <c r="N1118" s="19">
        <v>7.8399999999999997E-2</v>
      </c>
      <c r="O1118" s="19">
        <v>0.16800000000000001</v>
      </c>
      <c r="P1118" s="19">
        <v>0.23530000000000001</v>
      </c>
      <c r="Q1118" s="19">
        <v>8.5768963000000004E-2</v>
      </c>
      <c r="R1118" s="20">
        <v>16991</v>
      </c>
      <c r="S1118" s="21" t="str">
        <f>HYPERLINK("https://www.kirkwood.edu/site/index.php?p=35072", "$10958")</f>
        <v>$10958</v>
      </c>
      <c r="T1118" s="20">
        <v>13932</v>
      </c>
      <c r="U1118" s="20">
        <v>15930</v>
      </c>
      <c r="V1118" s="20">
        <v>5822</v>
      </c>
      <c r="W1118" s="20">
        <v>5136.2823712948521</v>
      </c>
      <c r="Y1118" s="19">
        <v>0.27360000000000001</v>
      </c>
      <c r="Z1118" s="19">
        <v>0.30249999999999999</v>
      </c>
      <c r="AB1118" s="18">
        <v>8958</v>
      </c>
      <c r="AC1118" s="18">
        <v>6</v>
      </c>
    </row>
    <row r="1119" spans="1:29" ht="15.75" customHeight="1" x14ac:dyDescent="0.2">
      <c r="A1119" s="36" t="str">
        <f>HYPERLINK("https://www.kirtland.edu", "Kirtland Community College")</f>
        <v>Kirtland Community College</v>
      </c>
      <c r="B1119" s="18" t="s">
        <v>49</v>
      </c>
      <c r="C1119" s="18" t="s">
        <v>226</v>
      </c>
      <c r="D1119" s="18" t="s">
        <v>1457</v>
      </c>
      <c r="E1119" s="18" t="s">
        <v>36</v>
      </c>
      <c r="F1119" s="18" t="s">
        <v>36</v>
      </c>
      <c r="J1119" s="19"/>
      <c r="K1119" s="19">
        <v>0.2157</v>
      </c>
      <c r="L1119" s="19">
        <v>0.16576576600000001</v>
      </c>
      <c r="M1119" s="19">
        <v>0.20619999999999999</v>
      </c>
      <c r="N1119" s="19" t="s">
        <v>36</v>
      </c>
      <c r="O1119" s="19">
        <v>0.66669999999999996</v>
      </c>
      <c r="P1119" s="19" t="s">
        <v>36</v>
      </c>
      <c r="Q1119" s="19">
        <v>4.3428570999999999E-2</v>
      </c>
      <c r="R1119" s="20">
        <v>21372</v>
      </c>
      <c r="S1119" s="21" t="str">
        <f>HYPERLINK("https://www.kirtland.edu/static/net-price-calculator", "$14977")</f>
        <v>$14977</v>
      </c>
      <c r="T1119" s="20">
        <v>16443</v>
      </c>
      <c r="U1119" s="20">
        <v>19872</v>
      </c>
      <c r="V1119" s="20">
        <v>3550</v>
      </c>
      <c r="W1119" s="20">
        <v>11427.6</v>
      </c>
      <c r="Y1119" s="19">
        <v>0.43690000000000001</v>
      </c>
      <c r="Z1119" s="19">
        <v>8.0099999999999949E-2</v>
      </c>
      <c r="AB1119" s="18">
        <v>1098</v>
      </c>
      <c r="AC1119" s="18">
        <v>6</v>
      </c>
    </row>
    <row r="1120" spans="1:29" ht="15.75" customHeight="1" x14ac:dyDescent="0.2">
      <c r="A1120" s="36" t="str">
        <f>HYPERLINK("https://www.kish.edu", "Kishwaukee College")</f>
        <v>Kishwaukee College</v>
      </c>
      <c r="B1120" s="18" t="s">
        <v>49</v>
      </c>
      <c r="C1120" s="18" t="s">
        <v>137</v>
      </c>
      <c r="D1120" s="18" t="s">
        <v>1458</v>
      </c>
      <c r="E1120" s="18" t="s">
        <v>36</v>
      </c>
      <c r="F1120" s="18" t="s">
        <v>36</v>
      </c>
      <c r="J1120" s="19"/>
      <c r="K1120" s="19">
        <v>0.29310000000000003</v>
      </c>
      <c r="L1120" s="19">
        <v>0.15575620800000001</v>
      </c>
      <c r="M1120" s="19">
        <v>0.3654</v>
      </c>
      <c r="N1120" s="19">
        <v>6.5799999999999997E-2</v>
      </c>
      <c r="O1120" s="19">
        <v>0.2326</v>
      </c>
      <c r="P1120" s="19">
        <v>0.28570000000000001</v>
      </c>
      <c r="Q1120" s="19">
        <v>8.3214794000000009E-2</v>
      </c>
      <c r="R1120" s="20">
        <v>24225</v>
      </c>
      <c r="S1120" s="21" t="str">
        <f>HYPERLINK("https://www.kish.edu/admissions-financial/cost-attendance", "$17779")</f>
        <v>$17779</v>
      </c>
      <c r="T1120" s="20">
        <v>21579</v>
      </c>
      <c r="U1120" s="20">
        <v>23311</v>
      </c>
      <c r="V1120" s="20">
        <v>4830</v>
      </c>
      <c r="W1120" s="20">
        <v>12949.28888888889</v>
      </c>
      <c r="Y1120" s="19">
        <v>0.3301</v>
      </c>
      <c r="Z1120" s="19">
        <v>0.3952</v>
      </c>
      <c r="AB1120" s="18">
        <v>2518</v>
      </c>
      <c r="AC1120" s="18">
        <v>6</v>
      </c>
    </row>
    <row r="1121" spans="1:29" ht="15.75" customHeight="1" x14ac:dyDescent="0.2">
      <c r="A1121" s="36" t="str">
        <f>HYPERLINK("https://www.klamathcc.edu", "Klamath Community College")</f>
        <v>Klamath Community College</v>
      </c>
      <c r="B1121" s="18" t="s">
        <v>49</v>
      </c>
      <c r="C1121" s="18" t="s">
        <v>143</v>
      </c>
      <c r="D1121" s="18" t="s">
        <v>1037</v>
      </c>
      <c r="E1121" s="18" t="s">
        <v>36</v>
      </c>
      <c r="F1121" s="18" t="s">
        <v>36</v>
      </c>
      <c r="J1121" s="19"/>
      <c r="K1121" s="19">
        <v>0.21360000000000001</v>
      </c>
      <c r="L1121" s="19" t="s">
        <v>36</v>
      </c>
      <c r="M1121" s="19">
        <v>0.18179999999999999</v>
      </c>
      <c r="N1121" s="19">
        <v>0</v>
      </c>
      <c r="O1121" s="19">
        <v>0.33329999999999999</v>
      </c>
      <c r="P1121" s="19" t="s">
        <v>36</v>
      </c>
      <c r="Q1121" s="19">
        <v>7.4766355000000007E-2</v>
      </c>
      <c r="R1121" s="20">
        <v>22740</v>
      </c>
      <c r="S1121" s="21" t="str">
        <f>HYPERLINK("https://www.klamathcc.edu/Admissions/Financial-Aid/Net-Price-Calculator.aspx", "$17102")</f>
        <v>$17102</v>
      </c>
      <c r="T1121" s="20">
        <v>19272</v>
      </c>
      <c r="U1121" s="20">
        <v>21664</v>
      </c>
      <c r="V1121" s="20">
        <v>5061</v>
      </c>
      <c r="W1121" s="20">
        <v>12041.222222222221</v>
      </c>
      <c r="Y1121" s="19">
        <v>0.5101</v>
      </c>
      <c r="Z1121" s="19">
        <v>0.36240000000000011</v>
      </c>
      <c r="AB1121" s="18">
        <v>1181</v>
      </c>
      <c r="AC1121" s="18">
        <v>6</v>
      </c>
    </row>
    <row r="1122" spans="1:29" ht="15.75" customHeight="1" x14ac:dyDescent="0.2">
      <c r="A1122" s="36" t="str">
        <f>HYPERLINK("https://www.knox.edu", "Knox College")</f>
        <v>Knox College</v>
      </c>
      <c r="B1122" s="18" t="s">
        <v>32</v>
      </c>
      <c r="C1122" s="18" t="s">
        <v>137</v>
      </c>
      <c r="D1122" s="18" t="s">
        <v>391</v>
      </c>
      <c r="E1122" s="18" t="s">
        <v>36</v>
      </c>
      <c r="F1122" s="18" t="s">
        <v>90</v>
      </c>
      <c r="J1122" s="19"/>
      <c r="K1122" s="19">
        <v>0.76090000000000002</v>
      </c>
      <c r="L1122" s="19">
        <v>0.61016949200000004</v>
      </c>
      <c r="M1122" s="19">
        <v>0.79679999999999995</v>
      </c>
      <c r="N1122" s="19">
        <v>0.625</v>
      </c>
      <c r="O1122" s="19">
        <v>0.65310000000000001</v>
      </c>
      <c r="P1122" s="19">
        <v>0.81820000000000004</v>
      </c>
      <c r="Q1122" s="19"/>
      <c r="R1122" s="20">
        <v>56554</v>
      </c>
      <c r="S1122" s="21" t="str">
        <f>HYPERLINK("https://www.collegecostcalculator.org/KnoxCollege", "$18779")</f>
        <v>$18779</v>
      </c>
      <c r="T1122" s="20">
        <v>19938</v>
      </c>
      <c r="U1122" s="20">
        <v>23730</v>
      </c>
      <c r="V1122" s="20">
        <v>1900</v>
      </c>
      <c r="W1122" s="20">
        <v>16879</v>
      </c>
      <c r="Y1122" s="19">
        <v>0.32519999999999999</v>
      </c>
      <c r="Z1122" s="19">
        <v>0.53170000000000006</v>
      </c>
      <c r="AB1122" s="18">
        <v>1341</v>
      </c>
      <c r="AC1122" s="18">
        <v>3</v>
      </c>
    </row>
    <row r="1123" spans="1:29" ht="15.75" customHeight="1" x14ac:dyDescent="0.2">
      <c r="A1123" s="36" t="str">
        <f>HYPERLINK("https://www.kutztown.edu/", "Kutztown University of Pennsylvania")</f>
        <v>Kutztown University of Pennsylvania</v>
      </c>
      <c r="B1123" s="18" t="s">
        <v>49</v>
      </c>
      <c r="C1123" s="18" t="s">
        <v>65</v>
      </c>
      <c r="D1123" s="18" t="s">
        <v>765</v>
      </c>
      <c r="E1123" s="18">
        <v>1056</v>
      </c>
      <c r="F1123" s="18" t="s">
        <v>35</v>
      </c>
      <c r="J1123" s="19"/>
      <c r="K1123" s="19">
        <v>0.53049999999999997</v>
      </c>
      <c r="L1123" s="19">
        <v>0.47079037800000001</v>
      </c>
      <c r="M1123" s="19">
        <v>0.56920000000000004</v>
      </c>
      <c r="N1123" s="19">
        <v>0.30209999999999998</v>
      </c>
      <c r="O1123" s="19">
        <v>0.41860000000000003</v>
      </c>
      <c r="P1123" s="19">
        <v>0.30769999999999997</v>
      </c>
      <c r="Q1123" s="19"/>
      <c r="R1123" s="20">
        <v>31019</v>
      </c>
      <c r="S1123" s="21" t="str">
        <f>HYPERLINK("https://www.passhe.edu/answers/Calculator/KU/npcalc-213349.htm", "$22091")</f>
        <v>$22091</v>
      </c>
      <c r="T1123" s="20">
        <v>25527</v>
      </c>
      <c r="U1123" s="20">
        <v>29085</v>
      </c>
      <c r="V1123" s="20">
        <v>5734</v>
      </c>
      <c r="W1123" s="20">
        <v>16357.020833333339</v>
      </c>
      <c r="Y1123" s="19">
        <v>0.33660000000000001</v>
      </c>
      <c r="Z1123" s="19">
        <v>0.23630000000000001</v>
      </c>
      <c r="AB1123" s="18">
        <v>7443</v>
      </c>
      <c r="AC1123" s="18">
        <v>5</v>
      </c>
    </row>
    <row r="1124" spans="1:29" ht="15.75" customHeight="1" x14ac:dyDescent="0.2">
      <c r="A1124" s="36" t="str">
        <f>HYPERLINK("https://www.ldsbc.edu", "Latter-day Saints Business College")</f>
        <v>Latter-day Saints Business College</v>
      </c>
      <c r="B1124" s="18" t="s">
        <v>32</v>
      </c>
      <c r="C1124" s="18" t="s">
        <v>199</v>
      </c>
      <c r="D1124" s="18" t="s">
        <v>525</v>
      </c>
      <c r="E1124" s="18" t="s">
        <v>36</v>
      </c>
      <c r="F1124" s="18" t="s">
        <v>36</v>
      </c>
      <c r="J1124" s="19"/>
      <c r="K1124" s="19">
        <v>0.2898</v>
      </c>
      <c r="L1124" s="19">
        <v>0.36704119899999998</v>
      </c>
      <c r="M1124" s="19">
        <v>0.17349999999999999</v>
      </c>
      <c r="N1124" s="19" t="s">
        <v>36</v>
      </c>
      <c r="O1124" s="19">
        <v>0.30359999999999998</v>
      </c>
      <c r="P1124" s="19">
        <v>0</v>
      </c>
      <c r="Q1124" s="19">
        <v>0.13601532599999999</v>
      </c>
      <c r="R1124" s="20">
        <v>12248</v>
      </c>
      <c r="S1124" s="21" t="str">
        <f>HYPERLINK("https://www.ldsbc.edu/index.php?option=com_content&amp;view=article&amp;id=1103&amp;Itemid=1104", "$6960")</f>
        <v>$6960</v>
      </c>
      <c r="T1124" s="20">
        <v>10787</v>
      </c>
      <c r="U1124" s="20" t="s">
        <v>36</v>
      </c>
      <c r="V1124" s="20">
        <v>3604</v>
      </c>
      <c r="W1124" s="20">
        <v>3356</v>
      </c>
      <c r="Y1124" s="19">
        <v>0.30249999999999999</v>
      </c>
      <c r="Z1124" s="19">
        <v>0.46629999999999999</v>
      </c>
      <c r="AB1124" s="18">
        <v>2033</v>
      </c>
      <c r="AC1124" s="18">
        <v>6</v>
      </c>
    </row>
    <row r="1125" spans="1:29" ht="15.75" customHeight="1" x14ac:dyDescent="0.2">
      <c r="A1125" s="36" t="str">
        <f>HYPERLINK("https://www.limcollege.edu", "LIM College")</f>
        <v>LIM College</v>
      </c>
      <c r="B1125" s="18" t="s">
        <v>368</v>
      </c>
      <c r="C1125" s="18" t="s">
        <v>38</v>
      </c>
      <c r="D1125" s="18" t="s">
        <v>39</v>
      </c>
      <c r="E1125" s="18">
        <v>1032</v>
      </c>
      <c r="F1125" s="18" t="s">
        <v>115</v>
      </c>
      <c r="J1125" s="19"/>
      <c r="K1125" s="19">
        <v>0.47239999999999999</v>
      </c>
      <c r="L1125" s="19">
        <v>0.3984375</v>
      </c>
      <c r="M1125" s="19">
        <v>0.52580000000000005</v>
      </c>
      <c r="N1125" s="19">
        <v>0.3538</v>
      </c>
      <c r="O1125" s="19">
        <v>0.43180000000000002</v>
      </c>
      <c r="P1125" s="19">
        <v>0.41670000000000001</v>
      </c>
      <c r="Q1125" s="19"/>
      <c r="R1125" s="20">
        <v>50345</v>
      </c>
      <c r="S1125" s="21" t="str">
        <f>HYPERLINK("https://npc.collegeboard.org/student/app/limcollege", "$32505")</f>
        <v>$32505</v>
      </c>
      <c r="T1125" s="20">
        <v>35994</v>
      </c>
      <c r="U1125" s="20">
        <v>40080</v>
      </c>
      <c r="V1125" s="20">
        <v>3600</v>
      </c>
      <c r="W1125" s="20">
        <v>28905</v>
      </c>
      <c r="Y1125" s="19">
        <v>0.31490000000000001</v>
      </c>
      <c r="Z1125" s="19">
        <v>0.47860000000000003</v>
      </c>
      <c r="AB1125" s="18">
        <v>1427</v>
      </c>
      <c r="AC1125" s="18">
        <v>5</v>
      </c>
    </row>
    <row r="1126" spans="1:29" ht="15.75" customHeight="1" x14ac:dyDescent="0.2">
      <c r="A1126" s="36" t="str">
        <f>HYPERLINK("https://liu.edu/Brentwood", "LIU Brentwood")</f>
        <v>LIU Brentwood</v>
      </c>
      <c r="B1126" s="18" t="s">
        <v>32</v>
      </c>
      <c r="C1126" s="18" t="s">
        <v>38</v>
      </c>
      <c r="D1126" s="18" t="s">
        <v>877</v>
      </c>
      <c r="E1126" s="18" t="s">
        <v>36</v>
      </c>
      <c r="F1126" s="18" t="s">
        <v>36</v>
      </c>
      <c r="J1126" s="19"/>
      <c r="K1126" s="19" t="s">
        <v>36</v>
      </c>
      <c r="L1126" s="19">
        <v>0.33462033499999999</v>
      </c>
      <c r="M1126" s="19" t="s">
        <v>36</v>
      </c>
      <c r="N1126" s="19" t="s">
        <v>36</v>
      </c>
      <c r="O1126" s="19" t="s">
        <v>36</v>
      </c>
      <c r="P1126" s="19" t="s">
        <v>36</v>
      </c>
      <c r="Q1126" s="19"/>
      <c r="R1126" s="20" t="s">
        <v>36</v>
      </c>
      <c r="S1126" s="21" t="str">
        <f>HYPERLINK("https://webapps2.liu.edu/netpricecalc/Calculator.aspx?campus=P", "Not reported")</f>
        <v>Not reported</v>
      </c>
      <c r="T1126" s="20" t="s">
        <v>36</v>
      </c>
      <c r="U1126" s="20" t="s">
        <v>36</v>
      </c>
      <c r="V1126" s="20" t="s">
        <v>36</v>
      </c>
      <c r="W1126" s="20" t="s">
        <v>36</v>
      </c>
      <c r="Y1126" s="19">
        <v>0.4</v>
      </c>
      <c r="Z1126" s="19">
        <v>0</v>
      </c>
      <c r="AB1126" s="18">
        <v>1</v>
      </c>
      <c r="AC1126" s="18">
        <v>4</v>
      </c>
    </row>
    <row r="1127" spans="1:29" ht="15.75" customHeight="1" x14ac:dyDescent="0.2">
      <c r="A1127" s="36" t="str">
        <f>HYPERLINK("https://liu.edu/Brooklyn", "LIU Brooklyn")</f>
        <v>LIU Brooklyn</v>
      </c>
      <c r="B1127" s="18" t="s">
        <v>32</v>
      </c>
      <c r="C1127" s="18" t="s">
        <v>38</v>
      </c>
      <c r="D1127" s="18" t="s">
        <v>593</v>
      </c>
      <c r="E1127" s="18">
        <v>1124</v>
      </c>
      <c r="F1127" s="18" t="s">
        <v>35</v>
      </c>
      <c r="J1127" s="19"/>
      <c r="K1127" s="19">
        <v>0.35199999999999998</v>
      </c>
      <c r="L1127" s="19">
        <v>0.33462033499999999</v>
      </c>
      <c r="M1127" s="19">
        <v>0.49730000000000002</v>
      </c>
      <c r="N1127" s="19">
        <v>0.26989999999999997</v>
      </c>
      <c r="O1127" s="19">
        <v>0.27560000000000001</v>
      </c>
      <c r="P1127" s="19">
        <v>0.4698</v>
      </c>
      <c r="Q1127" s="19"/>
      <c r="R1127" s="20">
        <v>55198</v>
      </c>
      <c r="S1127" s="21" t="str">
        <f>HYPERLINK("https://webapps2.liu.edu/netpricecalc/Calculator.aspx?campus=B", "$23280")</f>
        <v>$23280</v>
      </c>
      <c r="T1127" s="20">
        <v>30357</v>
      </c>
      <c r="U1127" s="20">
        <v>33293</v>
      </c>
      <c r="V1127" s="20">
        <v>4500</v>
      </c>
      <c r="W1127" s="20">
        <v>18780</v>
      </c>
      <c r="Y1127" s="19">
        <v>0.51439999999999997</v>
      </c>
      <c r="Z1127" s="19">
        <v>0.77800000000000002</v>
      </c>
      <c r="AB1127" s="18">
        <v>3748</v>
      </c>
      <c r="AC1127" s="18">
        <v>4</v>
      </c>
    </row>
    <row r="1128" spans="1:29" ht="15.75" customHeight="1" x14ac:dyDescent="0.2">
      <c r="A1128" s="36" t="str">
        <f>HYPERLINK("https://liu.edu/Riverhead", "LIU Riverhead")</f>
        <v>LIU Riverhead</v>
      </c>
      <c r="B1128" s="18" t="s">
        <v>32</v>
      </c>
      <c r="C1128" s="18" t="s">
        <v>38</v>
      </c>
      <c r="D1128" s="18" t="s">
        <v>881</v>
      </c>
      <c r="E1128" s="18" t="s">
        <v>36</v>
      </c>
      <c r="F1128" s="18" t="s">
        <v>36</v>
      </c>
      <c r="J1128" s="19"/>
      <c r="K1128" s="19" t="s">
        <v>36</v>
      </c>
      <c r="L1128" s="19">
        <v>0.33462033499999999</v>
      </c>
      <c r="M1128" s="19" t="s">
        <v>36</v>
      </c>
      <c r="N1128" s="19" t="s">
        <v>36</v>
      </c>
      <c r="O1128" s="19" t="s">
        <v>36</v>
      </c>
      <c r="P1128" s="19" t="s">
        <v>36</v>
      </c>
      <c r="Q1128" s="19"/>
      <c r="R1128" s="20" t="s">
        <v>36</v>
      </c>
      <c r="S1128" s="21" t="str">
        <f>HYPERLINK("https://webapps2.liu.edu/netpricecalc/Calculator.aspx?campus=P", "Not reported")</f>
        <v>Not reported</v>
      </c>
      <c r="T1128" s="20" t="s">
        <v>36</v>
      </c>
      <c r="U1128" s="20" t="s">
        <v>36</v>
      </c>
      <c r="V1128" s="20" t="s">
        <v>36</v>
      </c>
      <c r="W1128" s="20" t="s">
        <v>36</v>
      </c>
      <c r="Y1128" s="19">
        <v>0.55259999999999998</v>
      </c>
      <c r="Z1128" s="19">
        <v>0.53570000000000007</v>
      </c>
      <c r="AB1128" s="18">
        <v>28</v>
      </c>
      <c r="AC1128" s="18">
        <v>4</v>
      </c>
    </row>
    <row r="1129" spans="1:29" ht="15.75" customHeight="1" x14ac:dyDescent="0.2">
      <c r="A1129" s="36" t="str">
        <f>HYPERLINK("https://www.laroche.edu", "La Roche College")</f>
        <v>La Roche College</v>
      </c>
      <c r="B1129" s="18" t="s">
        <v>32</v>
      </c>
      <c r="C1129" s="18" t="s">
        <v>65</v>
      </c>
      <c r="D1129" s="18" t="s">
        <v>74</v>
      </c>
      <c r="E1129" s="18">
        <v>1045</v>
      </c>
      <c r="F1129" s="18" t="s">
        <v>35</v>
      </c>
      <c r="J1129" s="19"/>
      <c r="K1129" s="19">
        <v>0.50380000000000003</v>
      </c>
      <c r="L1129" s="19">
        <v>0.5390625</v>
      </c>
      <c r="M1129" s="19">
        <v>0.57630000000000003</v>
      </c>
      <c r="N1129" s="19">
        <v>0.23680000000000001</v>
      </c>
      <c r="O1129" s="19">
        <v>0.2</v>
      </c>
      <c r="P1129" s="19">
        <v>0.33329999999999999</v>
      </c>
      <c r="Q1129" s="19"/>
      <c r="R1129" s="20">
        <v>42570</v>
      </c>
      <c r="S1129" s="21" t="str">
        <f>HYPERLINK("https://www.laroche.edu/Financial_Aid/Net_Price_Calculator/", "$16595")</f>
        <v>$16595</v>
      </c>
      <c r="T1129" s="20">
        <v>19431</v>
      </c>
      <c r="U1129" s="20">
        <v>25061</v>
      </c>
      <c r="V1129" s="20">
        <v>3630</v>
      </c>
      <c r="W1129" s="20">
        <v>12965</v>
      </c>
      <c r="Y1129" s="19">
        <v>0.3236</v>
      </c>
      <c r="Z1129" s="19">
        <v>0.36890000000000001</v>
      </c>
      <c r="AB1129" s="18">
        <v>1312</v>
      </c>
      <c r="AC1129" s="18">
        <v>5</v>
      </c>
    </row>
    <row r="1130" spans="1:29" ht="15.75" customHeight="1" x14ac:dyDescent="0.2">
      <c r="A1130" s="36" t="str">
        <f>HYPERLINK("https://www.lasalle.edu", "La Salle University")</f>
        <v>La Salle University</v>
      </c>
      <c r="B1130" s="18" t="s">
        <v>32</v>
      </c>
      <c r="C1130" s="18" t="s">
        <v>65</v>
      </c>
      <c r="D1130" s="18" t="s">
        <v>168</v>
      </c>
      <c r="E1130" s="18" t="s">
        <v>36</v>
      </c>
      <c r="F1130" s="18" t="s">
        <v>90</v>
      </c>
      <c r="J1130" s="19"/>
      <c r="K1130" s="19">
        <v>0.66949999999999998</v>
      </c>
      <c r="L1130" s="19">
        <v>0.46469248299999999</v>
      </c>
      <c r="M1130" s="19">
        <v>0.74670000000000003</v>
      </c>
      <c r="N1130" s="19">
        <v>0.5</v>
      </c>
      <c r="O1130" s="19">
        <v>0.625</v>
      </c>
      <c r="P1130" s="19">
        <v>0.64580000000000004</v>
      </c>
      <c r="Q1130" s="19"/>
      <c r="R1130" s="20">
        <v>45476</v>
      </c>
      <c r="S1130" s="21" t="str">
        <f>HYPERLINK("https://lasalle.studentaidcalculator.com/survey.aspx", "$24709")</f>
        <v>$24709</v>
      </c>
      <c r="T1130" s="20">
        <v>23117</v>
      </c>
      <c r="U1130" s="20">
        <v>25800</v>
      </c>
      <c r="V1130" s="20">
        <v>2000</v>
      </c>
      <c r="W1130" s="20">
        <v>22709</v>
      </c>
      <c r="Y1130" s="19">
        <v>0.4022</v>
      </c>
      <c r="Z1130" s="19">
        <v>0.49890000000000001</v>
      </c>
      <c r="AB1130" s="18">
        <v>3708</v>
      </c>
      <c r="AC1130" s="18">
        <v>4</v>
      </c>
    </row>
    <row r="1131" spans="1:29" ht="15.75" customHeight="1" x14ac:dyDescent="0.2">
      <c r="A1131" s="36" t="str">
        <f>HYPERLINK("https://lasierra.edu", "La Sierra University")</f>
        <v>La Sierra University</v>
      </c>
      <c r="B1131" s="18" t="s">
        <v>32</v>
      </c>
      <c r="C1131" s="18" t="s">
        <v>68</v>
      </c>
      <c r="D1131" s="18" t="s">
        <v>392</v>
      </c>
      <c r="E1131" s="18">
        <v>994</v>
      </c>
      <c r="F1131" s="18" t="s">
        <v>35</v>
      </c>
      <c r="J1131" s="19"/>
      <c r="K1131" s="19">
        <v>0.47420000000000001</v>
      </c>
      <c r="L1131" s="19">
        <v>0.36507936499999999</v>
      </c>
      <c r="M1131" s="19">
        <v>0.41299999999999998</v>
      </c>
      <c r="N1131" s="19">
        <v>0.2273</v>
      </c>
      <c r="O1131" s="19">
        <v>0.38009999999999999</v>
      </c>
      <c r="P1131" s="19">
        <v>0.71230000000000004</v>
      </c>
      <c r="Q1131" s="19"/>
      <c r="R1131" s="20">
        <v>45402</v>
      </c>
      <c r="S1131" s="21" t="str">
        <f>HYPERLINK("https://lasierra.edu/sfs/scholarships/", "$21327")</f>
        <v>$21327</v>
      </c>
      <c r="T1131" s="20">
        <v>24824</v>
      </c>
      <c r="U1131" s="20">
        <v>27690</v>
      </c>
      <c r="V1131" s="20">
        <v>5022</v>
      </c>
      <c r="W1131" s="20">
        <v>16305</v>
      </c>
      <c r="Y1131" s="19">
        <v>0.4834</v>
      </c>
      <c r="Z1131" s="19">
        <v>0.86309999999999998</v>
      </c>
      <c r="AB1131" s="18">
        <v>1929</v>
      </c>
      <c r="AC1131" s="18">
        <v>3</v>
      </c>
    </row>
    <row r="1132" spans="1:29" ht="15.75" customHeight="1" x14ac:dyDescent="0.2">
      <c r="A1132" s="36" t="str">
        <f>HYPERLINK("https://www.lagrange.edu", "LaGrange College")</f>
        <v>LaGrange College</v>
      </c>
      <c r="B1132" s="18" t="s">
        <v>32</v>
      </c>
      <c r="C1132" s="18" t="s">
        <v>107</v>
      </c>
      <c r="D1132" s="18" t="s">
        <v>883</v>
      </c>
      <c r="E1132" s="18">
        <v>1100</v>
      </c>
      <c r="F1132" s="18" t="s">
        <v>35</v>
      </c>
      <c r="J1132" s="19"/>
      <c r="K1132" s="19">
        <v>0.40970000000000001</v>
      </c>
      <c r="L1132" s="19">
        <v>0.436363636</v>
      </c>
      <c r="M1132" s="19">
        <v>0.4551</v>
      </c>
      <c r="N1132" s="19">
        <v>0.25580000000000003</v>
      </c>
      <c r="O1132" s="19">
        <v>0.5</v>
      </c>
      <c r="P1132" s="19">
        <v>0</v>
      </c>
      <c r="Q1132" s="19"/>
      <c r="R1132" s="20">
        <v>45160</v>
      </c>
      <c r="S1132" s="21" t="str">
        <f>HYPERLINK("https://www.lagrange.edu/admission-and-aid/financial-aid/net-price-calculator/index.html", "$18192")</f>
        <v>$18192</v>
      </c>
      <c r="T1132" s="20">
        <v>20660</v>
      </c>
      <c r="U1132" s="20">
        <v>21566</v>
      </c>
      <c r="V1132" s="20">
        <v>3850</v>
      </c>
      <c r="W1132" s="20">
        <v>14342</v>
      </c>
      <c r="Y1132" s="19">
        <v>0.41170000000000001</v>
      </c>
      <c r="Z1132" s="19">
        <v>0.27200000000000002</v>
      </c>
      <c r="AB1132" s="18">
        <v>930</v>
      </c>
      <c r="AC1132" s="18">
        <v>4</v>
      </c>
    </row>
    <row r="1133" spans="1:29" ht="15.75" customHeight="1" x14ac:dyDescent="0.2">
      <c r="A1133" s="36" t="str">
        <f>HYPERLINK("https://www.labette.edu", "Labette Community College")</f>
        <v>Labette Community College</v>
      </c>
      <c r="B1133" s="18" t="s">
        <v>49</v>
      </c>
      <c r="C1133" s="18" t="s">
        <v>307</v>
      </c>
      <c r="D1133" s="18" t="s">
        <v>1459</v>
      </c>
      <c r="E1133" s="18" t="s">
        <v>36</v>
      </c>
      <c r="F1133" s="18" t="s">
        <v>36</v>
      </c>
      <c r="J1133" s="19"/>
      <c r="K1133" s="19">
        <v>0.2228</v>
      </c>
      <c r="L1133" s="19">
        <v>0.14671814699999999</v>
      </c>
      <c r="M1133" s="19">
        <v>0.2727</v>
      </c>
      <c r="N1133" s="19">
        <v>8.3299999999999999E-2</v>
      </c>
      <c r="O1133" s="19">
        <v>0.1429</v>
      </c>
      <c r="P1133" s="19">
        <v>0</v>
      </c>
      <c r="Q1133" s="19">
        <v>0.119909502</v>
      </c>
      <c r="R1133" s="20">
        <v>16240</v>
      </c>
      <c r="S1133" s="21" t="str">
        <f>HYPERLINK("https://www.labette.edu/financialaid/netprice/npcalc.htm", "$10948")</f>
        <v>$10948</v>
      </c>
      <c r="T1133" s="20">
        <v>12523</v>
      </c>
      <c r="U1133" s="20">
        <v>14363</v>
      </c>
      <c r="V1133" s="20">
        <v>3550</v>
      </c>
      <c r="W1133" s="20">
        <v>7398</v>
      </c>
      <c r="Y1133" s="19">
        <v>0.2787</v>
      </c>
      <c r="Z1133" s="19">
        <v>0.2407</v>
      </c>
      <c r="AB1133" s="18">
        <v>1566</v>
      </c>
      <c r="AC1133" s="18">
        <v>6</v>
      </c>
    </row>
    <row r="1134" spans="1:29" ht="15.75" customHeight="1" x14ac:dyDescent="0.2">
      <c r="A1134" s="36" t="str">
        <f>HYPERLINK("https://www.laboure.edu/about-labour-", "Laboure College")</f>
        <v>Laboure College</v>
      </c>
      <c r="B1134" s="18" t="s">
        <v>32</v>
      </c>
      <c r="C1134" s="18" t="s">
        <v>33</v>
      </c>
      <c r="D1134" s="18" t="s">
        <v>689</v>
      </c>
      <c r="E1134" s="18" t="s">
        <v>36</v>
      </c>
      <c r="F1134" s="18" t="s">
        <v>115</v>
      </c>
      <c r="J1134" s="19"/>
      <c r="K1134" s="19">
        <v>1</v>
      </c>
      <c r="L1134" s="19">
        <v>0.53012048200000006</v>
      </c>
      <c r="M1134" s="19">
        <v>1</v>
      </c>
      <c r="N1134" s="19" t="s">
        <v>36</v>
      </c>
      <c r="O1134" s="19" t="s">
        <v>36</v>
      </c>
      <c r="P1134" s="19" t="s">
        <v>36</v>
      </c>
      <c r="Q1134" s="19" t="s">
        <v>36</v>
      </c>
      <c r="R1134" s="20">
        <v>51303</v>
      </c>
      <c r="S1134" s="21" t="str">
        <f>HYPERLINK("https://www.laboure.edu/tuition-financial-aid/net-price-calculator", "Not reported")</f>
        <v>Not reported</v>
      </c>
      <c r="T1134" s="20" t="s">
        <v>36</v>
      </c>
      <c r="U1134" s="20" t="s">
        <v>36</v>
      </c>
      <c r="V1134" s="20">
        <v>3200</v>
      </c>
      <c r="W1134" s="20" t="s">
        <v>36</v>
      </c>
      <c r="Y1134" s="19">
        <v>0.63729999999999998</v>
      </c>
      <c r="Z1134" s="19">
        <v>0.51439999999999997</v>
      </c>
      <c r="AB1134" s="18">
        <v>869</v>
      </c>
      <c r="AC1134" s="18">
        <v>6</v>
      </c>
    </row>
    <row r="1135" spans="1:29" ht="15.75" customHeight="1" x14ac:dyDescent="0.2">
      <c r="A1135" s="36" t="str">
        <f>HYPERLINK("https://www.lco.edu", "Lac Courte Oreilles Ojibwa Community College")</f>
        <v>Lac Courte Oreilles Ojibwa Community College</v>
      </c>
      <c r="B1135" s="18" t="s">
        <v>49</v>
      </c>
      <c r="C1135" s="18" t="s">
        <v>196</v>
      </c>
      <c r="D1135" s="18" t="s">
        <v>606</v>
      </c>
      <c r="E1135" s="18" t="s">
        <v>36</v>
      </c>
      <c r="F1135" s="18" t="s">
        <v>36</v>
      </c>
      <c r="J1135" s="19"/>
      <c r="K1135" s="19">
        <v>4.3499999999999997E-2</v>
      </c>
      <c r="L1135" s="19" t="s">
        <v>36</v>
      </c>
      <c r="M1135" s="19">
        <v>0</v>
      </c>
      <c r="N1135" s="19" t="s">
        <v>36</v>
      </c>
      <c r="O1135" s="19">
        <v>0</v>
      </c>
      <c r="P1135" s="19" t="s">
        <v>36</v>
      </c>
      <c r="Q1135" s="19" t="s">
        <v>36</v>
      </c>
      <c r="R1135" s="20">
        <v>18690</v>
      </c>
      <c r="S1135" s="21" t="str">
        <f>HYPERLINK("https://www.lco.edu", "Not reported")</f>
        <v>Not reported</v>
      </c>
      <c r="T1135" s="20" t="s">
        <v>36</v>
      </c>
      <c r="U1135" s="20" t="s">
        <v>36</v>
      </c>
      <c r="V1135" s="20">
        <v>5100</v>
      </c>
      <c r="W1135" s="20" t="s">
        <v>36</v>
      </c>
      <c r="Y1135" s="19">
        <v>0.59019999999999995</v>
      </c>
      <c r="Z1135" s="19">
        <v>0.84150000000000003</v>
      </c>
      <c r="AB1135" s="18">
        <v>183</v>
      </c>
      <c r="AC1135" s="18">
        <v>6</v>
      </c>
    </row>
    <row r="1136" spans="1:29" ht="15.75" customHeight="1" x14ac:dyDescent="0.2">
      <c r="A1136" s="36" t="str">
        <f>HYPERLINK("https://www.lackawanna.edu", "Lackawanna College")</f>
        <v>Lackawanna College</v>
      </c>
      <c r="B1136" s="18" t="s">
        <v>32</v>
      </c>
      <c r="C1136" s="18" t="s">
        <v>65</v>
      </c>
      <c r="D1136" s="18" t="s">
        <v>524</v>
      </c>
      <c r="E1136" s="18" t="s">
        <v>36</v>
      </c>
      <c r="F1136" s="18" t="s">
        <v>36</v>
      </c>
      <c r="J1136" s="19"/>
      <c r="K1136" s="19">
        <v>0.26879999999999998</v>
      </c>
      <c r="L1136" s="19">
        <v>0.21333333300000001</v>
      </c>
      <c r="M1136" s="19">
        <v>0.37559999999999999</v>
      </c>
      <c r="N1136" s="19">
        <v>0.16900000000000001</v>
      </c>
      <c r="O1136" s="19">
        <v>7.4999999999999997E-2</v>
      </c>
      <c r="P1136" s="19">
        <v>0.5</v>
      </c>
      <c r="Q1136" s="19">
        <v>8.2853855000000004E-2</v>
      </c>
      <c r="R1136" s="20">
        <v>28770</v>
      </c>
      <c r="S1136" s="21" t="str">
        <f>HYPERLINK("https://www.lackawanna.edu/admissions/financial-aid/net-price-calculator/", "$16389")</f>
        <v>$16389</v>
      </c>
      <c r="T1136" s="20">
        <v>18938</v>
      </c>
      <c r="U1136" s="20">
        <v>20632</v>
      </c>
      <c r="V1136" s="20">
        <v>4110</v>
      </c>
      <c r="W1136" s="20">
        <v>12279</v>
      </c>
      <c r="Y1136" s="19">
        <v>0.57689999999999997</v>
      </c>
      <c r="Z1136" s="19">
        <v>0.38250000000000001</v>
      </c>
      <c r="AB1136" s="18">
        <v>1506</v>
      </c>
      <c r="AC1136" s="18">
        <v>6</v>
      </c>
    </row>
    <row r="1137" spans="1:29" ht="15.75" customHeight="1" x14ac:dyDescent="0.2">
      <c r="A1137" s="36" t="str">
        <f>HYPERLINK("https://www.lafayette.edu/", "Lafayette College")</f>
        <v>Lafayette College</v>
      </c>
      <c r="B1137" s="18" t="s">
        <v>32</v>
      </c>
      <c r="C1137" s="18" t="s">
        <v>65</v>
      </c>
      <c r="D1137" s="18" t="s">
        <v>128</v>
      </c>
      <c r="E1137" s="18">
        <v>1363</v>
      </c>
      <c r="F1137" s="18" t="s">
        <v>35</v>
      </c>
      <c r="J1137" s="19"/>
      <c r="K1137" s="19">
        <v>0.89949999999999997</v>
      </c>
      <c r="L1137" s="19" t="s">
        <v>36</v>
      </c>
      <c r="M1137" s="19">
        <v>0.91559999999999997</v>
      </c>
      <c r="N1137" s="19">
        <v>0.88460000000000005</v>
      </c>
      <c r="O1137" s="19">
        <v>0.81820000000000004</v>
      </c>
      <c r="P1137" s="19">
        <v>0.78259999999999996</v>
      </c>
      <c r="Q1137" s="19"/>
      <c r="R1137" s="20">
        <v>68640</v>
      </c>
      <c r="S1137" s="21" t="str">
        <f>HYPERLINK("https://npc.collegeboard.org/student/app/lafayette", "$11442")</f>
        <v>$11442</v>
      </c>
      <c r="T1137" s="20">
        <v>20677</v>
      </c>
      <c r="U1137" s="20">
        <v>23615</v>
      </c>
      <c r="V1137" s="20">
        <v>2000</v>
      </c>
      <c r="W1137" s="20">
        <v>9442</v>
      </c>
      <c r="X1137" s="18" t="s">
        <v>37</v>
      </c>
      <c r="Y1137" s="19">
        <v>9.06E-2</v>
      </c>
      <c r="Z1137" s="19">
        <v>0.33929999999999999</v>
      </c>
      <c r="AA1137" s="18" t="s">
        <v>37</v>
      </c>
      <c r="AB1137" s="18">
        <v>2567</v>
      </c>
      <c r="AC1137" s="18">
        <v>1</v>
      </c>
    </row>
    <row r="1138" spans="1:29" ht="15.75" customHeight="1" x14ac:dyDescent="0.2">
      <c r="A1138" s="36" t="str">
        <f>HYPERLINK("https://www.lakeareatech.edu", "Lake Area Technical Institute")</f>
        <v>Lake Area Technical Institute</v>
      </c>
      <c r="B1138" s="18" t="s">
        <v>49</v>
      </c>
      <c r="C1138" s="18" t="s">
        <v>302</v>
      </c>
      <c r="D1138" s="18" t="s">
        <v>1444</v>
      </c>
      <c r="E1138" s="18" t="s">
        <v>36</v>
      </c>
      <c r="F1138" s="18" t="s">
        <v>36</v>
      </c>
      <c r="J1138" s="19"/>
      <c r="K1138" s="19">
        <v>0.71650000000000003</v>
      </c>
      <c r="L1138" s="19">
        <v>0.58928571399999996</v>
      </c>
      <c r="M1138" s="19">
        <v>0.72550000000000003</v>
      </c>
      <c r="N1138" s="19">
        <v>1</v>
      </c>
      <c r="O1138" s="19">
        <v>0.5</v>
      </c>
      <c r="P1138" s="19">
        <v>1</v>
      </c>
      <c r="Q1138" s="19">
        <v>1.8838305E-2</v>
      </c>
      <c r="R1138" s="20">
        <v>16264</v>
      </c>
      <c r="S1138" s="21" t="str">
        <f>HYPERLINK("https://www.lakeareatech.edu", "$10904")</f>
        <v>$10904</v>
      </c>
      <c r="T1138" s="20">
        <v>13938</v>
      </c>
      <c r="U1138" s="20">
        <v>15690</v>
      </c>
      <c r="V1138" s="20">
        <v>4150</v>
      </c>
      <c r="W1138" s="20">
        <v>6754.3333333333321</v>
      </c>
      <c r="Y1138" s="19">
        <v>0.34010000000000001</v>
      </c>
      <c r="Z1138" s="19">
        <v>8.9799999999999991E-2</v>
      </c>
      <c r="AB1138" s="18">
        <v>1782</v>
      </c>
      <c r="AC1138" s="18">
        <v>6</v>
      </c>
    </row>
    <row r="1139" spans="1:29" ht="15.75" customHeight="1" x14ac:dyDescent="0.2">
      <c r="A1139" s="36" t="str">
        <f>HYPERLINK("https://www.lec.edu", "Lake Erie College")</f>
        <v>Lake Erie College</v>
      </c>
      <c r="B1139" s="18" t="s">
        <v>32</v>
      </c>
      <c r="C1139" s="18" t="s">
        <v>75</v>
      </c>
      <c r="D1139" s="18" t="s">
        <v>885</v>
      </c>
      <c r="E1139" s="18">
        <v>1036</v>
      </c>
      <c r="F1139" s="18" t="s">
        <v>115</v>
      </c>
      <c r="J1139" s="19"/>
      <c r="K1139" s="19">
        <v>0.46410000000000001</v>
      </c>
      <c r="L1139" s="19">
        <v>0.48936170200000001</v>
      </c>
      <c r="M1139" s="19">
        <v>0.49359999999999998</v>
      </c>
      <c r="N1139" s="19">
        <v>0.31819999999999998</v>
      </c>
      <c r="O1139" s="19">
        <v>0.33329999999999999</v>
      </c>
      <c r="P1139" s="19">
        <v>0.5</v>
      </c>
      <c r="Q1139" s="19"/>
      <c r="R1139" s="20">
        <v>44732</v>
      </c>
      <c r="S1139" s="21" t="str">
        <f>HYPERLINK("https://lec.studentaidcalculator.com/survey.aspx", "$16859")</f>
        <v>$16859</v>
      </c>
      <c r="T1139" s="20">
        <v>18990</v>
      </c>
      <c r="U1139" s="20">
        <v>21288</v>
      </c>
      <c r="V1139" s="20">
        <v>4410</v>
      </c>
      <c r="W1139" s="20">
        <v>12449</v>
      </c>
      <c r="Y1139" s="19">
        <v>0.30680000000000002</v>
      </c>
      <c r="Z1139" s="19">
        <v>0.30270000000000002</v>
      </c>
      <c r="AB1139" s="18">
        <v>750</v>
      </c>
      <c r="AC1139" s="18">
        <v>4</v>
      </c>
    </row>
    <row r="1140" spans="1:29" ht="15.75" customHeight="1" x14ac:dyDescent="0.2">
      <c r="A1140" s="36" t="str">
        <f>HYPERLINK("https://www.lakeforest.edu", "Lake Forest College")</f>
        <v>Lake Forest College</v>
      </c>
      <c r="B1140" s="18" t="s">
        <v>32</v>
      </c>
      <c r="C1140" s="18" t="s">
        <v>137</v>
      </c>
      <c r="D1140" s="18" t="s">
        <v>393</v>
      </c>
      <c r="E1140" s="18" t="s">
        <v>36</v>
      </c>
      <c r="F1140" s="18" t="s">
        <v>90</v>
      </c>
      <c r="J1140" s="19"/>
      <c r="K1140" s="19">
        <v>0.72409999999999997</v>
      </c>
      <c r="L1140" s="19">
        <v>0.73958333300000001</v>
      </c>
      <c r="M1140" s="19">
        <v>0.69200000000000006</v>
      </c>
      <c r="N1140" s="19">
        <v>0.72409999999999997</v>
      </c>
      <c r="O1140" s="19">
        <v>0.73080000000000001</v>
      </c>
      <c r="P1140" s="19">
        <v>0.61539999999999995</v>
      </c>
      <c r="Q1140" s="19"/>
      <c r="R1140" s="20">
        <v>58675</v>
      </c>
      <c r="S1140" s="21" t="str">
        <f>HYPERLINK("https://www.lakeforest.edu/admissions/finaid/price/", "$17099")</f>
        <v>$17099</v>
      </c>
      <c r="T1140" s="20">
        <v>20206</v>
      </c>
      <c r="U1140" s="20">
        <v>26650</v>
      </c>
      <c r="V1140" s="20">
        <v>3075</v>
      </c>
      <c r="W1140" s="20">
        <v>14024</v>
      </c>
      <c r="Y1140" s="19">
        <v>0.34810000000000002</v>
      </c>
      <c r="Z1140" s="19">
        <v>0.4214</v>
      </c>
      <c r="AB1140" s="18">
        <v>1483</v>
      </c>
      <c r="AC1140" s="18">
        <v>3</v>
      </c>
    </row>
    <row r="1141" spans="1:29" ht="15.75" customHeight="1" x14ac:dyDescent="0.2">
      <c r="A1141" s="36" t="str">
        <f>HYPERLINK("https://www.lakemichigancollege.edu", "Lake Michigan College")</f>
        <v>Lake Michigan College</v>
      </c>
      <c r="B1141" s="18" t="s">
        <v>49</v>
      </c>
      <c r="C1141" s="18" t="s">
        <v>226</v>
      </c>
      <c r="D1141" s="18" t="s">
        <v>1460</v>
      </c>
      <c r="E1141" s="18" t="s">
        <v>36</v>
      </c>
      <c r="F1141" s="18" t="s">
        <v>36</v>
      </c>
      <c r="J1141" s="19"/>
      <c r="K1141" s="19">
        <v>0.14230000000000001</v>
      </c>
      <c r="L1141" s="19">
        <v>0.11421725200000001</v>
      </c>
      <c r="M1141" s="19">
        <v>0.17199999999999999</v>
      </c>
      <c r="N1141" s="19">
        <v>6.3200000000000006E-2</v>
      </c>
      <c r="O1141" s="19">
        <v>0.1143</v>
      </c>
      <c r="P1141" s="19">
        <v>0.1111</v>
      </c>
      <c r="Q1141" s="19">
        <v>6.1707035999999993E-2</v>
      </c>
      <c r="R1141" s="20">
        <v>19305</v>
      </c>
      <c r="S1141" s="21" t="str">
        <f>HYPERLINK("https://www.lakemichigancollege.edu/NetPrice/npcalc.htm", "$12987")</f>
        <v>$12987</v>
      </c>
      <c r="T1141" s="20">
        <v>15954</v>
      </c>
      <c r="U1141" s="20">
        <v>17941</v>
      </c>
      <c r="V1141" s="20">
        <v>3200</v>
      </c>
      <c r="W1141" s="20">
        <v>9787.4536082474224</v>
      </c>
      <c r="Y1141" s="19">
        <v>0.34820000000000001</v>
      </c>
      <c r="Z1141" s="19">
        <v>0.35449999999999998</v>
      </c>
      <c r="AB1141" s="18">
        <v>2629</v>
      </c>
      <c r="AC1141" s="18">
        <v>6</v>
      </c>
    </row>
    <row r="1142" spans="1:29" ht="15.75" customHeight="1" x14ac:dyDescent="0.2">
      <c r="A1142" s="36" t="str">
        <f>HYPERLINK("https://www.lrsc.edu", "Lake Region State College")</f>
        <v>Lake Region State College</v>
      </c>
      <c r="B1142" s="18" t="s">
        <v>49</v>
      </c>
      <c r="C1142" s="18" t="s">
        <v>730</v>
      </c>
      <c r="D1142" s="18" t="s">
        <v>1461</v>
      </c>
      <c r="E1142" s="18" t="s">
        <v>36</v>
      </c>
      <c r="F1142" s="18" t="s">
        <v>36</v>
      </c>
      <c r="J1142" s="19"/>
      <c r="K1142" s="19">
        <v>0.50249999999999995</v>
      </c>
      <c r="L1142" s="19">
        <v>0.38285714300000001</v>
      </c>
      <c r="M1142" s="19">
        <v>0.51719999999999999</v>
      </c>
      <c r="N1142" s="19">
        <v>0.16669999999999999</v>
      </c>
      <c r="O1142" s="19">
        <v>0.2727</v>
      </c>
      <c r="P1142" s="19">
        <v>0</v>
      </c>
      <c r="Q1142" s="19">
        <v>8.0691642999999993E-2</v>
      </c>
      <c r="R1142" s="20">
        <v>15216</v>
      </c>
      <c r="S1142" s="21" t="str">
        <f>HYPERLINK("https://www.lrsc.edu/paying-for-college/net-price-calculator#", "$8682")</f>
        <v>$8682</v>
      </c>
      <c r="T1142" s="20">
        <v>12222</v>
      </c>
      <c r="U1142" s="20">
        <v>13915</v>
      </c>
      <c r="V1142" s="20">
        <v>4680</v>
      </c>
      <c r="W1142" s="20">
        <v>4002.2909090909088</v>
      </c>
      <c r="Y1142" s="19">
        <v>0.1366</v>
      </c>
      <c r="Z1142" s="19">
        <v>0.27189999999999998</v>
      </c>
      <c r="AB1142" s="18">
        <v>684</v>
      </c>
      <c r="AC1142" s="18">
        <v>6</v>
      </c>
    </row>
    <row r="1143" spans="1:29" ht="15.75" customHeight="1" x14ac:dyDescent="0.2">
      <c r="A1143" s="36" t="str">
        <f>HYPERLINK("https://www.lsc.edu", "Lake Superior College")</f>
        <v>Lake Superior College</v>
      </c>
      <c r="B1143" s="18" t="s">
        <v>49</v>
      </c>
      <c r="C1143" s="18" t="s">
        <v>72</v>
      </c>
      <c r="D1143" s="18" t="s">
        <v>1222</v>
      </c>
      <c r="E1143" s="18" t="s">
        <v>36</v>
      </c>
      <c r="F1143" s="18" t="s">
        <v>36</v>
      </c>
      <c r="J1143" s="19"/>
      <c r="K1143" s="19">
        <v>0.31230000000000002</v>
      </c>
      <c r="L1143" s="19">
        <v>0.27219626200000002</v>
      </c>
      <c r="M1143" s="19">
        <v>0.32229999999999998</v>
      </c>
      <c r="N1143" s="19">
        <v>0.2</v>
      </c>
      <c r="O1143" s="19">
        <v>0.33329999999999999</v>
      </c>
      <c r="P1143" s="19">
        <v>0.33329999999999999</v>
      </c>
      <c r="Q1143" s="19">
        <v>6.1038961000000003E-2</v>
      </c>
      <c r="R1143" s="20">
        <v>23162</v>
      </c>
      <c r="S1143" s="21" t="str">
        <f>HYPERLINK("https://www.MinnState.edu/admissions/calculator/lakesuperior.html", "$18160")</f>
        <v>$18160</v>
      </c>
      <c r="T1143" s="20">
        <v>20063</v>
      </c>
      <c r="U1143" s="20">
        <v>22289</v>
      </c>
      <c r="V1143" s="20">
        <v>7224</v>
      </c>
      <c r="W1143" s="20">
        <v>10936.83783783784</v>
      </c>
      <c r="Y1143" s="19">
        <v>0.28460000000000002</v>
      </c>
      <c r="Z1143" s="19">
        <v>0.16159999999999999</v>
      </c>
      <c r="AB1143" s="18">
        <v>3285</v>
      </c>
      <c r="AC1143" s="18">
        <v>6</v>
      </c>
    </row>
    <row r="1144" spans="1:29" ht="15.75" customHeight="1" x14ac:dyDescent="0.2">
      <c r="A1144" s="36" t="str">
        <f>HYPERLINK("https://www.lssu.edu", "Lake Superior State University")</f>
        <v>Lake Superior State University</v>
      </c>
      <c r="B1144" s="18" t="s">
        <v>49</v>
      </c>
      <c r="C1144" s="18" t="s">
        <v>226</v>
      </c>
      <c r="D1144" s="18" t="s">
        <v>888</v>
      </c>
      <c r="E1144" s="18">
        <v>1148</v>
      </c>
      <c r="F1144" s="18" t="s">
        <v>35</v>
      </c>
      <c r="J1144" s="19"/>
      <c r="K1144" s="19">
        <v>0.44440000000000002</v>
      </c>
      <c r="L1144" s="19">
        <v>0.32272727299999998</v>
      </c>
      <c r="M1144" s="19">
        <v>0.45900000000000002</v>
      </c>
      <c r="N1144" s="19">
        <v>0.36359999999999998</v>
      </c>
      <c r="O1144" s="19">
        <v>0.3</v>
      </c>
      <c r="P1144" s="19">
        <v>0.33329999999999999</v>
      </c>
      <c r="Q1144" s="19"/>
      <c r="R1144" s="20">
        <v>23721</v>
      </c>
      <c r="S1144" s="21" t="str">
        <f>HYPERLINK("https://www.lssu.edu/financial-aid/net-price-calculator/", "$9296")</f>
        <v>$9296</v>
      </c>
      <c r="T1144" s="20">
        <v>15616</v>
      </c>
      <c r="U1144" s="20">
        <v>17962</v>
      </c>
      <c r="V1144" s="20">
        <v>2700</v>
      </c>
      <c r="W1144" s="20">
        <v>6596.4528301886776</v>
      </c>
      <c r="Y1144" s="19">
        <v>0.36449999999999999</v>
      </c>
      <c r="Z1144" s="19">
        <v>0.19869999999999999</v>
      </c>
      <c r="AB1144" s="18">
        <v>1912</v>
      </c>
      <c r="AC1144" s="18">
        <v>4</v>
      </c>
    </row>
    <row r="1145" spans="1:29" ht="15.75" customHeight="1" x14ac:dyDescent="0.2">
      <c r="A1145" s="36" t="str">
        <f>HYPERLINK("https://www.ltcc.edu", "Lake Tahoe Community College")</f>
        <v>Lake Tahoe Community College</v>
      </c>
      <c r="B1145" s="18" t="s">
        <v>49</v>
      </c>
      <c r="C1145" s="18" t="s">
        <v>68</v>
      </c>
      <c r="D1145" s="18" t="s">
        <v>1462</v>
      </c>
      <c r="E1145" s="18" t="s">
        <v>36</v>
      </c>
      <c r="F1145" s="18" t="s">
        <v>36</v>
      </c>
      <c r="J1145" s="19"/>
      <c r="K1145" s="19">
        <v>0.29089999999999999</v>
      </c>
      <c r="L1145" s="19" t="s">
        <v>36</v>
      </c>
      <c r="M1145" s="19">
        <v>0.21429999999999999</v>
      </c>
      <c r="N1145" s="19" t="s">
        <v>36</v>
      </c>
      <c r="O1145" s="19">
        <v>0.37209999999999999</v>
      </c>
      <c r="P1145" s="19">
        <v>0.33329999999999999</v>
      </c>
      <c r="Q1145" s="19">
        <v>0.10459183699999999</v>
      </c>
      <c r="R1145" s="20">
        <v>26520</v>
      </c>
      <c r="S1145" s="21" t="str">
        <f>HYPERLINK("https://misweb.cccco.edu/npc/221/npcalc.htm", "$20375")</f>
        <v>$20375</v>
      </c>
      <c r="T1145" s="20">
        <v>21248</v>
      </c>
      <c r="U1145" s="20" t="s">
        <v>36</v>
      </c>
      <c r="V1145" s="20">
        <v>5958</v>
      </c>
      <c r="W1145" s="20">
        <v>14417.69565217391</v>
      </c>
      <c r="Y1145" s="19">
        <v>0.21249999999999999</v>
      </c>
      <c r="Z1145" s="19">
        <v>0.48839999999999989</v>
      </c>
      <c r="AB1145" s="18">
        <v>1810</v>
      </c>
      <c r="AC1145" s="18">
        <v>6</v>
      </c>
    </row>
    <row r="1146" spans="1:29" ht="15.75" customHeight="1" x14ac:dyDescent="0.2">
      <c r="A1146" s="36" t="str">
        <f>HYPERLINK("https://www.lssc.edu", "Lake-Sumter State College")</f>
        <v>Lake-Sumter State College</v>
      </c>
      <c r="B1146" s="18" t="s">
        <v>49</v>
      </c>
      <c r="C1146" s="18" t="s">
        <v>162</v>
      </c>
      <c r="D1146" s="18" t="s">
        <v>1463</v>
      </c>
      <c r="E1146" s="18" t="s">
        <v>36</v>
      </c>
      <c r="F1146" s="18" t="s">
        <v>36</v>
      </c>
      <c r="J1146" s="19"/>
      <c r="K1146" s="19">
        <v>0.42570000000000002</v>
      </c>
      <c r="L1146" s="19">
        <v>0.21077654500000001</v>
      </c>
      <c r="M1146" s="19">
        <v>0.47649999999999998</v>
      </c>
      <c r="N1146" s="19">
        <v>0.26090000000000002</v>
      </c>
      <c r="O1146" s="19">
        <v>0.43480000000000002</v>
      </c>
      <c r="P1146" s="19">
        <v>0.5</v>
      </c>
      <c r="Q1146" s="19">
        <v>8.2035306000000002E-2</v>
      </c>
      <c r="R1146" s="20">
        <v>25662</v>
      </c>
      <c r="S1146" s="21" t="str">
        <f>HYPERLINK("https://lssc.edu/finaid/Pages/Net%20Price%20Calculator/Net-Price-Calculator.aspx", "$20529")</f>
        <v>$20529</v>
      </c>
      <c r="T1146" s="20">
        <v>22866</v>
      </c>
      <c r="U1146" s="20">
        <v>24264</v>
      </c>
      <c r="V1146" s="20">
        <v>5652</v>
      </c>
      <c r="W1146" s="20">
        <v>14877.29166666667</v>
      </c>
      <c r="Y1146" s="19">
        <v>0.27100000000000002</v>
      </c>
      <c r="Z1146" s="19">
        <v>0.43269999999999997</v>
      </c>
      <c r="AB1146" s="18">
        <v>3774</v>
      </c>
      <c r="AC1146" s="18">
        <v>6</v>
      </c>
    </row>
    <row r="1147" spans="1:29" ht="15.75" customHeight="1" x14ac:dyDescent="0.2">
      <c r="A1147" s="36" t="str">
        <f>HYPERLINK("https://www.lakelandcc.edu", "Lakeland Community College")</f>
        <v>Lakeland Community College</v>
      </c>
      <c r="B1147" s="18" t="s">
        <v>49</v>
      </c>
      <c r="C1147" s="18" t="s">
        <v>75</v>
      </c>
      <c r="D1147" s="18" t="s">
        <v>1464</v>
      </c>
      <c r="E1147" s="18" t="s">
        <v>36</v>
      </c>
      <c r="F1147" s="18" t="s">
        <v>36</v>
      </c>
      <c r="J1147" s="19"/>
      <c r="K1147" s="19">
        <v>0.15329999999999999</v>
      </c>
      <c r="L1147" s="19">
        <v>0.117985612</v>
      </c>
      <c r="M1147" s="19">
        <v>0.2021</v>
      </c>
      <c r="N1147" s="19">
        <v>2.8899999999999999E-2</v>
      </c>
      <c r="O1147" s="19">
        <v>4.7600000000000003E-2</v>
      </c>
      <c r="P1147" s="19">
        <v>0.2</v>
      </c>
      <c r="Q1147" s="19">
        <v>8.4516341999999994E-2</v>
      </c>
      <c r="R1147" s="20">
        <v>20116</v>
      </c>
      <c r="S1147" s="21" t="str">
        <f>HYPERLINK("https://lkn.lakelandcc.edu/public/calculator/netprice/npcalc.htm", "$15650")</f>
        <v>$15650</v>
      </c>
      <c r="T1147" s="20">
        <v>18125</v>
      </c>
      <c r="U1147" s="20">
        <v>19655</v>
      </c>
      <c r="V1147" s="20">
        <v>4000</v>
      </c>
      <c r="W1147" s="20">
        <v>11650.438247011951</v>
      </c>
      <c r="Y1147" s="19">
        <v>0.29920000000000002</v>
      </c>
      <c r="Z1147" s="19">
        <v>0.29310000000000003</v>
      </c>
      <c r="AB1147" s="18">
        <v>4381</v>
      </c>
      <c r="AC1147" s="18">
        <v>6</v>
      </c>
    </row>
    <row r="1148" spans="1:29" ht="15.75" customHeight="1" x14ac:dyDescent="0.2">
      <c r="A1148" s="36" t="str">
        <f>HYPERLINK("https://www.lakeland.edu", "Lakeland College")</f>
        <v>Lakeland College</v>
      </c>
      <c r="B1148" s="18" t="s">
        <v>32</v>
      </c>
      <c r="C1148" s="18" t="s">
        <v>196</v>
      </c>
      <c r="D1148" s="18" t="s">
        <v>890</v>
      </c>
      <c r="E1148" s="18">
        <v>1008</v>
      </c>
      <c r="F1148" s="18" t="s">
        <v>35</v>
      </c>
      <c r="J1148" s="19"/>
      <c r="K1148" s="19">
        <v>0.59200000000000008</v>
      </c>
      <c r="L1148" s="19">
        <v>0.32921810699999998</v>
      </c>
      <c r="M1148" s="19">
        <v>0.62419999999999998</v>
      </c>
      <c r="N1148" s="19">
        <v>0.23810000000000001</v>
      </c>
      <c r="O1148" s="19">
        <v>0.71430000000000005</v>
      </c>
      <c r="P1148" s="19" t="s">
        <v>36</v>
      </c>
      <c r="Q1148" s="19"/>
      <c r="R1148" s="20">
        <v>41170</v>
      </c>
      <c r="S1148" s="21" t="str">
        <f>HYPERLINK("https://lakeland.edu/Financial-Aid/financial-aid-calculator", "$17824")</f>
        <v>$17824</v>
      </c>
      <c r="T1148" s="20">
        <v>18056</v>
      </c>
      <c r="U1148" s="20">
        <v>20684</v>
      </c>
      <c r="V1148" s="20">
        <v>4810</v>
      </c>
      <c r="W1148" s="20">
        <v>13014</v>
      </c>
      <c r="Y1148" s="19">
        <v>0.3327</v>
      </c>
      <c r="Z1148" s="19">
        <v>0.23430000000000001</v>
      </c>
      <c r="AB1148" s="18">
        <v>1835</v>
      </c>
      <c r="AC1148" s="18">
        <v>4</v>
      </c>
    </row>
    <row r="1149" spans="1:29" ht="15.75" customHeight="1" x14ac:dyDescent="0.2">
      <c r="A1149" s="36" t="str">
        <f>HYPERLINK("https://www.lrcc.edu", "Lakes Region Community College")</f>
        <v>Lakes Region Community College</v>
      </c>
      <c r="B1149" s="18" t="s">
        <v>49</v>
      </c>
      <c r="C1149" s="18" t="s">
        <v>101</v>
      </c>
      <c r="D1149" s="18" t="s">
        <v>1465</v>
      </c>
      <c r="E1149" s="18" t="s">
        <v>36</v>
      </c>
      <c r="F1149" s="18" t="s">
        <v>36</v>
      </c>
      <c r="J1149" s="19"/>
      <c r="K1149" s="19">
        <v>0.2888</v>
      </c>
      <c r="L1149" s="19">
        <v>0.168316832</v>
      </c>
      <c r="M1149" s="19">
        <v>0.28949999999999998</v>
      </c>
      <c r="N1149" s="19">
        <v>0</v>
      </c>
      <c r="O1149" s="19">
        <v>0.66669999999999996</v>
      </c>
      <c r="P1149" s="19">
        <v>0</v>
      </c>
      <c r="Q1149" s="19">
        <v>6.991525400000001E-2</v>
      </c>
      <c r="R1149" s="20">
        <v>32732</v>
      </c>
      <c r="S1149" s="21" t="str">
        <f>HYPERLINK("https://www.lrcc.edu/sites/default/files/content/netcalc/npcalc.htm", "$29191")</f>
        <v>$29191</v>
      </c>
      <c r="T1149" s="20">
        <v>32718</v>
      </c>
      <c r="U1149" s="20">
        <v>32732</v>
      </c>
      <c r="V1149" s="20">
        <v>6359</v>
      </c>
      <c r="W1149" s="20">
        <v>22832.482758620688</v>
      </c>
      <c r="Y1149" s="19">
        <v>0.39779999999999999</v>
      </c>
      <c r="Z1149" s="19">
        <v>0.3014</v>
      </c>
      <c r="AB1149" s="18">
        <v>763</v>
      </c>
      <c r="AC1149" s="18">
        <v>6</v>
      </c>
    </row>
    <row r="1150" spans="1:29" ht="15.75" customHeight="1" x14ac:dyDescent="0.2">
      <c r="A1150" s="36" t="str">
        <f>HYPERLINK("https://www.lamarcc.edu", "Lamar Community College")</f>
        <v>Lamar Community College</v>
      </c>
      <c r="B1150" s="18" t="s">
        <v>49</v>
      </c>
      <c r="C1150" s="18" t="s">
        <v>87</v>
      </c>
      <c r="D1150" s="18" t="s">
        <v>1466</v>
      </c>
      <c r="E1150" s="18" t="s">
        <v>36</v>
      </c>
      <c r="F1150" s="18" t="s">
        <v>36</v>
      </c>
      <c r="J1150" s="19"/>
      <c r="K1150" s="19">
        <v>0.4</v>
      </c>
      <c r="L1150" s="19" t="s">
        <v>36</v>
      </c>
      <c r="M1150" s="19">
        <v>0.45450000000000002</v>
      </c>
      <c r="N1150" s="19">
        <v>0.125</v>
      </c>
      <c r="O1150" s="19">
        <v>0.42109999999999997</v>
      </c>
      <c r="P1150" s="19">
        <v>0</v>
      </c>
      <c r="Q1150" s="19">
        <v>0.101694915</v>
      </c>
      <c r="R1150" s="20">
        <v>19698</v>
      </c>
      <c r="S1150" s="21" t="str">
        <f>HYPERLINK("https://www.lamarcc.edu/admission/paying-for-college/net-price-calculator/", "$11502")</f>
        <v>$11502</v>
      </c>
      <c r="T1150" s="20">
        <v>14236</v>
      </c>
      <c r="U1150" s="20">
        <v>17721</v>
      </c>
      <c r="V1150" s="20">
        <v>7137</v>
      </c>
      <c r="W1150" s="20">
        <v>4365.2394366197186</v>
      </c>
      <c r="Y1150" s="19">
        <v>0.32240000000000002</v>
      </c>
      <c r="Z1150" s="19">
        <v>0.48020000000000002</v>
      </c>
      <c r="AB1150" s="18">
        <v>531</v>
      </c>
      <c r="AC1150" s="18">
        <v>6</v>
      </c>
    </row>
    <row r="1151" spans="1:29" ht="15.75" customHeight="1" x14ac:dyDescent="0.2">
      <c r="A1151" s="36" t="str">
        <f>HYPERLINK("https://www.lit.edu", "Lamar Institute of Technology")</f>
        <v>Lamar Institute of Technology</v>
      </c>
      <c r="B1151" s="18" t="s">
        <v>49</v>
      </c>
      <c r="C1151" s="18" t="s">
        <v>146</v>
      </c>
      <c r="D1151" s="18" t="s">
        <v>768</v>
      </c>
      <c r="E1151" s="18" t="s">
        <v>36</v>
      </c>
      <c r="F1151" s="18" t="s">
        <v>36</v>
      </c>
      <c r="J1151" s="19"/>
      <c r="K1151" s="19">
        <v>0.2296</v>
      </c>
      <c r="L1151" s="19">
        <v>0.22754490999999999</v>
      </c>
      <c r="M1151" s="19">
        <v>0.26860000000000001</v>
      </c>
      <c r="N1151" s="19">
        <v>0.13569999999999999</v>
      </c>
      <c r="O1151" s="19">
        <v>0.34</v>
      </c>
      <c r="P1151" s="19">
        <v>0.30769999999999997</v>
      </c>
      <c r="Q1151" s="19">
        <v>2.3715415E-2</v>
      </c>
      <c r="R1151" s="20">
        <v>25567</v>
      </c>
      <c r="S1151" s="21" t="str">
        <f>HYPERLINK("https://www.collegeforalltexans.com/apps/CollegeMoney/index.php", "$18862")</f>
        <v>$18862</v>
      </c>
      <c r="T1151" s="20">
        <v>21619</v>
      </c>
      <c r="U1151" s="20">
        <v>24166</v>
      </c>
      <c r="V1151" s="20">
        <v>5814</v>
      </c>
      <c r="W1151" s="20">
        <v>13048.21854304636</v>
      </c>
      <c r="Y1151" s="19">
        <v>0.2671</v>
      </c>
      <c r="Z1151" s="19">
        <v>0.49419999999999997</v>
      </c>
      <c r="AB1151" s="18">
        <v>2673</v>
      </c>
      <c r="AC1151" s="18">
        <v>6</v>
      </c>
    </row>
    <row r="1152" spans="1:29" ht="15.75" customHeight="1" x14ac:dyDescent="0.2">
      <c r="A1152" s="36" t="str">
        <f>HYPERLINK("https://www.lamarpa.edu", "Lamar State College-Port Arthur")</f>
        <v>Lamar State College-Port Arthur</v>
      </c>
      <c r="B1152" s="18" t="s">
        <v>49</v>
      </c>
      <c r="C1152" s="18" t="s">
        <v>146</v>
      </c>
      <c r="D1152" s="18" t="s">
        <v>1467</v>
      </c>
      <c r="E1152" s="18" t="s">
        <v>36</v>
      </c>
      <c r="F1152" s="18" t="s">
        <v>36</v>
      </c>
      <c r="J1152" s="19"/>
      <c r="K1152" s="19">
        <v>0.1792</v>
      </c>
      <c r="L1152" s="19">
        <v>0.15529411800000001</v>
      </c>
      <c r="M1152" s="19">
        <v>0.1404</v>
      </c>
      <c r="N1152" s="19">
        <v>0.15</v>
      </c>
      <c r="O1152" s="19">
        <v>0.26319999999999999</v>
      </c>
      <c r="P1152" s="19">
        <v>0.1429</v>
      </c>
      <c r="Q1152" s="19">
        <v>8.0188678999999999E-2</v>
      </c>
      <c r="R1152" s="20">
        <v>32184</v>
      </c>
      <c r="S1152" s="21" t="str">
        <f>HYPERLINK("https://www.collegeforalltexans.com/apps/CollegeMoney/", "$23861")</f>
        <v>$23861</v>
      </c>
      <c r="T1152" s="20">
        <v>28256</v>
      </c>
      <c r="U1152" s="20">
        <v>30088</v>
      </c>
      <c r="V1152" s="20">
        <v>5440</v>
      </c>
      <c r="W1152" s="20">
        <v>18421.203007518801</v>
      </c>
      <c r="Y1152" s="19">
        <v>0.30669999999999997</v>
      </c>
      <c r="Z1152" s="19">
        <v>0.69469999999999998</v>
      </c>
      <c r="AB1152" s="18">
        <v>2155</v>
      </c>
      <c r="AC1152" s="18">
        <v>6</v>
      </c>
    </row>
    <row r="1153" spans="1:29" ht="15.75" customHeight="1" x14ac:dyDescent="0.2">
      <c r="A1153" s="36" t="str">
        <f>HYPERLINK("https://www.lamar.edu", "Lamar University")</f>
        <v>Lamar University</v>
      </c>
      <c r="B1153" s="18" t="s">
        <v>49</v>
      </c>
      <c r="C1153" s="18" t="s">
        <v>146</v>
      </c>
      <c r="D1153" s="18" t="s">
        <v>768</v>
      </c>
      <c r="E1153" s="18">
        <v>1045</v>
      </c>
      <c r="F1153" s="18" t="s">
        <v>35</v>
      </c>
      <c r="J1153" s="19"/>
      <c r="K1153" s="19">
        <v>0.2964</v>
      </c>
      <c r="L1153" s="19">
        <v>0.32837055399999998</v>
      </c>
      <c r="M1153" s="19">
        <v>0.377</v>
      </c>
      <c r="N1153" s="19">
        <v>0.1981</v>
      </c>
      <c r="O1153" s="19">
        <v>0.29459999999999997</v>
      </c>
      <c r="P1153" s="19">
        <v>0.59570000000000001</v>
      </c>
      <c r="Q1153" s="19"/>
      <c r="R1153" s="20">
        <v>32362</v>
      </c>
      <c r="S1153" s="21" t="str">
        <f>HYPERLINK("https://www.collegeforalltexans.com/apps/CollegeMoney/", "$23412")</f>
        <v>$23412</v>
      </c>
      <c r="T1153" s="20">
        <v>27493</v>
      </c>
      <c r="U1153" s="20">
        <v>30953</v>
      </c>
      <c r="V1153" s="20">
        <v>5348</v>
      </c>
      <c r="W1153" s="20">
        <v>18064.724020442929</v>
      </c>
      <c r="Y1153" s="19">
        <v>0.4032</v>
      </c>
      <c r="Z1153" s="19">
        <v>0.54039999999999999</v>
      </c>
      <c r="AB1153" s="18">
        <v>8928</v>
      </c>
      <c r="AC1153" s="18">
        <v>5</v>
      </c>
    </row>
    <row r="1154" spans="1:29" ht="15.75" customHeight="1" x14ac:dyDescent="0.2">
      <c r="A1154" s="36" t="str">
        <f>HYPERLINK("https://www.lander.edu", "Lander University")</f>
        <v>Lander University</v>
      </c>
      <c r="B1154" s="18" t="s">
        <v>49</v>
      </c>
      <c r="C1154" s="18" t="s">
        <v>208</v>
      </c>
      <c r="D1154" s="18" t="s">
        <v>893</v>
      </c>
      <c r="E1154" s="18">
        <v>1022</v>
      </c>
      <c r="F1154" s="18" t="s">
        <v>35</v>
      </c>
      <c r="J1154" s="19"/>
      <c r="K1154" s="19">
        <v>0.42349999999999999</v>
      </c>
      <c r="L1154" s="19">
        <v>0.36444444399999998</v>
      </c>
      <c r="M1154" s="19">
        <v>0.48680000000000001</v>
      </c>
      <c r="N1154" s="19">
        <v>0.32869999999999999</v>
      </c>
      <c r="O1154" s="19">
        <v>0.58330000000000004</v>
      </c>
      <c r="P1154" s="19" t="s">
        <v>36</v>
      </c>
      <c r="Q1154" s="19"/>
      <c r="R1154" s="20">
        <v>34100</v>
      </c>
      <c r="S1154" s="21" t="str">
        <f>HYPERLINK("https://www.lander.edu/npc/", "$23507")</f>
        <v>$23507</v>
      </c>
      <c r="T1154" s="20">
        <v>26470</v>
      </c>
      <c r="U1154" s="20">
        <v>27959</v>
      </c>
      <c r="V1154" s="20">
        <v>3900</v>
      </c>
      <c r="W1154" s="20">
        <v>19607.77966101695</v>
      </c>
      <c r="Y1154" s="19">
        <v>0.45390000000000003</v>
      </c>
      <c r="Z1154" s="19">
        <v>0.37949999999999989</v>
      </c>
      <c r="AB1154" s="18">
        <v>2722</v>
      </c>
      <c r="AC1154" s="18">
        <v>4</v>
      </c>
    </row>
    <row r="1155" spans="1:29" ht="15.75" customHeight="1" x14ac:dyDescent="0.2">
      <c r="A1155" s="36" t="str">
        <f>HYPERLINK("https://www.landmark.edu", "Landmark College")</f>
        <v>Landmark College</v>
      </c>
      <c r="B1155" s="18" t="s">
        <v>32</v>
      </c>
      <c r="C1155" s="18" t="s">
        <v>47</v>
      </c>
      <c r="D1155" s="18" t="s">
        <v>1468</v>
      </c>
      <c r="E1155" s="18" t="s">
        <v>36</v>
      </c>
      <c r="F1155" s="18" t="s">
        <v>115</v>
      </c>
      <c r="J1155" s="19"/>
      <c r="K1155" s="19">
        <v>0.29630000000000001</v>
      </c>
      <c r="L1155" s="19">
        <v>0.44444444399999999</v>
      </c>
      <c r="M1155" s="19">
        <v>0.29730000000000001</v>
      </c>
      <c r="N1155" s="19">
        <v>0</v>
      </c>
      <c r="O1155" s="19">
        <v>0.5</v>
      </c>
      <c r="P1155" s="19" t="s">
        <v>36</v>
      </c>
      <c r="Q1155" s="19">
        <v>0.10828025500000001</v>
      </c>
      <c r="R1155" s="20">
        <v>71560</v>
      </c>
      <c r="S1155" s="21" t="str">
        <f>HYPERLINK("https://landmark.studentaidcalculator.com/survey.aspx", "$31238")</f>
        <v>$31238</v>
      </c>
      <c r="T1155" s="20">
        <v>38558</v>
      </c>
      <c r="U1155" s="20">
        <v>40951</v>
      </c>
      <c r="V1155" s="20">
        <v>5400</v>
      </c>
      <c r="W1155" s="20">
        <v>25838</v>
      </c>
      <c r="Y1155" s="19">
        <v>0.22620000000000001</v>
      </c>
      <c r="Z1155" s="19">
        <v>0.2954</v>
      </c>
      <c r="AB1155" s="18">
        <v>413</v>
      </c>
      <c r="AC1155" s="18">
        <v>6</v>
      </c>
    </row>
    <row r="1156" spans="1:29" ht="15.75" customHeight="1" x14ac:dyDescent="0.2">
      <c r="A1156" s="36" t="str">
        <f>HYPERLINK("https://www.lanecollege.edu", "Lane College")</f>
        <v>Lane College</v>
      </c>
      <c r="B1156" s="18" t="s">
        <v>32</v>
      </c>
      <c r="C1156" s="18" t="s">
        <v>174</v>
      </c>
      <c r="D1156" s="18" t="s">
        <v>419</v>
      </c>
      <c r="E1156" s="18">
        <v>845</v>
      </c>
      <c r="F1156" s="18" t="s">
        <v>115</v>
      </c>
      <c r="J1156" s="19"/>
      <c r="K1156" s="19">
        <v>0.21199999999999999</v>
      </c>
      <c r="L1156" s="19">
        <v>0.260726073</v>
      </c>
      <c r="M1156" s="19" t="s">
        <v>36</v>
      </c>
      <c r="N1156" s="19">
        <v>0.21199999999999999</v>
      </c>
      <c r="O1156" s="19" t="s">
        <v>36</v>
      </c>
      <c r="P1156" s="19" t="s">
        <v>36</v>
      </c>
      <c r="Q1156" s="19"/>
      <c r="R1156" s="20">
        <v>21610</v>
      </c>
      <c r="S1156" s="21" t="str">
        <f>HYPERLINK("https://www.lanecollege.edu/lanepage2.asp?id=050002035", "$12528")</f>
        <v>$12528</v>
      </c>
      <c r="T1156" s="20">
        <v>12687</v>
      </c>
      <c r="U1156" s="20" t="s">
        <v>36</v>
      </c>
      <c r="V1156" s="20">
        <v>3650</v>
      </c>
      <c r="W1156" s="20">
        <v>8878</v>
      </c>
      <c r="Y1156" s="19">
        <v>0.8921</v>
      </c>
      <c r="Z1156" s="19">
        <v>0.99790000000000001</v>
      </c>
      <c r="AB1156" s="18">
        <v>1420</v>
      </c>
      <c r="AC1156" s="18">
        <v>4</v>
      </c>
    </row>
    <row r="1157" spans="1:29" ht="15.75" customHeight="1" x14ac:dyDescent="0.2">
      <c r="A1157" s="36" t="str">
        <f>HYPERLINK("https://www.Lanecc.edu", "Lane Community College")</f>
        <v>Lane Community College</v>
      </c>
      <c r="B1157" s="18" t="s">
        <v>49</v>
      </c>
      <c r="C1157" s="18" t="s">
        <v>143</v>
      </c>
      <c r="D1157" s="18" t="s">
        <v>520</v>
      </c>
      <c r="E1157" s="18" t="s">
        <v>36</v>
      </c>
      <c r="F1157" s="18" t="s">
        <v>36</v>
      </c>
      <c r="J1157" s="19"/>
      <c r="K1157" s="19">
        <v>0.13150000000000001</v>
      </c>
      <c r="L1157" s="19">
        <v>0.106325301</v>
      </c>
      <c r="M1157" s="19">
        <v>0.12670000000000001</v>
      </c>
      <c r="N1157" s="19">
        <v>7.1400000000000005E-2</v>
      </c>
      <c r="O1157" s="19">
        <v>0.125</v>
      </c>
      <c r="P1157" s="19">
        <v>7.6899999999999996E-2</v>
      </c>
      <c r="Q1157" s="19">
        <v>9.1335371999999998E-2</v>
      </c>
      <c r="R1157" s="20">
        <v>22662</v>
      </c>
      <c r="S1157" s="21" t="str">
        <f>HYPERLINK("https://www.lanecc.edu/custom/npc.php", "$17532")</f>
        <v>$17532</v>
      </c>
      <c r="T1157" s="20">
        <v>19378</v>
      </c>
      <c r="U1157" s="20">
        <v>20204</v>
      </c>
      <c r="V1157" s="20">
        <v>3747</v>
      </c>
      <c r="W1157" s="20">
        <v>13785.14473684211</v>
      </c>
      <c r="Y1157" s="19">
        <v>0.37680000000000002</v>
      </c>
      <c r="Z1157" s="19">
        <v>0.35560000000000003</v>
      </c>
      <c r="AB1157" s="18">
        <v>6833</v>
      </c>
      <c r="AC1157" s="18">
        <v>6</v>
      </c>
    </row>
    <row r="1158" spans="1:29" ht="15.75" customHeight="1" x14ac:dyDescent="0.2">
      <c r="A1158" s="36" t="str">
        <f>HYPERLINK("https://laney.edu/", "Laney College")</f>
        <v>Laney College</v>
      </c>
      <c r="B1158" s="18" t="s">
        <v>49</v>
      </c>
      <c r="C1158" s="18" t="s">
        <v>68</v>
      </c>
      <c r="D1158" s="18" t="s">
        <v>418</v>
      </c>
      <c r="E1158" s="18" t="s">
        <v>36</v>
      </c>
      <c r="F1158" s="18" t="s">
        <v>36</v>
      </c>
      <c r="J1158" s="19"/>
      <c r="K1158" s="19">
        <v>0.24579999999999999</v>
      </c>
      <c r="L1158" s="19" t="s">
        <v>36</v>
      </c>
      <c r="M1158" s="19">
        <v>0.27779999999999999</v>
      </c>
      <c r="N1158" s="19">
        <v>0.16470000000000001</v>
      </c>
      <c r="O1158" s="19">
        <v>0.20630000000000001</v>
      </c>
      <c r="P1158" s="19">
        <v>0.33329999999999999</v>
      </c>
      <c r="Q1158" s="19">
        <v>0.114197531</v>
      </c>
      <c r="R1158" s="20">
        <v>26766</v>
      </c>
      <c r="S1158" s="21" t="str">
        <f>HYPERLINK("https://laney.edu/nchau/net-price-calculator/", "$19776")</f>
        <v>$19776</v>
      </c>
      <c r="T1158" s="20">
        <v>22080</v>
      </c>
      <c r="U1158" s="20">
        <v>23345</v>
      </c>
      <c r="V1158" s="20">
        <v>6363</v>
      </c>
      <c r="W1158" s="20">
        <v>13413.37288135593</v>
      </c>
      <c r="Y1158" s="19">
        <v>0.22409999999999999</v>
      </c>
      <c r="Z1158" s="19">
        <v>0.8468</v>
      </c>
      <c r="AB1158" s="18">
        <v>8817</v>
      </c>
      <c r="AC1158" s="18">
        <v>6</v>
      </c>
    </row>
    <row r="1159" spans="1:29" ht="15.75" customHeight="1" x14ac:dyDescent="0.2">
      <c r="A1159" s="36" t="str">
        <f>HYPERLINK("https://www.langston.edu", "Langston University")</f>
        <v>Langston University</v>
      </c>
      <c r="B1159" s="18" t="s">
        <v>49</v>
      </c>
      <c r="C1159" s="18" t="s">
        <v>290</v>
      </c>
      <c r="D1159" s="18" t="s">
        <v>770</v>
      </c>
      <c r="E1159" s="18" t="s">
        <v>36</v>
      </c>
      <c r="F1159" s="18" t="s">
        <v>36</v>
      </c>
      <c r="J1159" s="19"/>
      <c r="K1159" s="19">
        <v>9.0899999999999995E-2</v>
      </c>
      <c r="L1159" s="19">
        <v>0.18846153900000001</v>
      </c>
      <c r="M1159" s="19">
        <v>0.16669999999999999</v>
      </c>
      <c r="N1159" s="19">
        <v>9.0899999999999995E-2</v>
      </c>
      <c r="O1159" s="19">
        <v>0</v>
      </c>
      <c r="P1159" s="19" t="s">
        <v>36</v>
      </c>
      <c r="Q1159" s="19"/>
      <c r="R1159" s="20">
        <v>27779</v>
      </c>
      <c r="S1159" s="21" t="str">
        <f>HYPERLINK("https://www.langston.edu/NetPriceCalculator/", "$19682")</f>
        <v>$19682</v>
      </c>
      <c r="T1159" s="20">
        <v>23507</v>
      </c>
      <c r="U1159" s="20">
        <v>25290</v>
      </c>
      <c r="V1159" s="20">
        <v>4400</v>
      </c>
      <c r="W1159" s="20">
        <v>15282.22159090909</v>
      </c>
      <c r="Y1159" s="19">
        <v>0.6724</v>
      </c>
      <c r="Z1159" s="19">
        <v>0.94579999999999997</v>
      </c>
      <c r="AB1159" s="18">
        <v>2012</v>
      </c>
      <c r="AC1159" s="18">
        <v>5</v>
      </c>
    </row>
    <row r="1160" spans="1:29" ht="15.75" customHeight="1" x14ac:dyDescent="0.2">
      <c r="A1160" s="36" t="str">
        <f>HYPERLINK("https://www.LSB.edu", "Lansdale School of Business")</f>
        <v>Lansdale School of Business</v>
      </c>
      <c r="B1160" s="18" t="s">
        <v>368</v>
      </c>
      <c r="C1160" s="18" t="s">
        <v>65</v>
      </c>
      <c r="D1160" s="18" t="s">
        <v>1469</v>
      </c>
      <c r="E1160" s="18" t="s">
        <v>36</v>
      </c>
      <c r="F1160" s="18" t="s">
        <v>36</v>
      </c>
      <c r="J1160" s="19"/>
      <c r="K1160" s="19">
        <v>0.87180000000000002</v>
      </c>
      <c r="L1160" s="19">
        <v>0.47798742100000002</v>
      </c>
      <c r="M1160" s="19">
        <v>0.84379999999999999</v>
      </c>
      <c r="N1160" s="19">
        <v>1</v>
      </c>
      <c r="O1160" s="19">
        <v>1</v>
      </c>
      <c r="P1160" s="19">
        <v>1</v>
      </c>
      <c r="Q1160" s="19" t="s">
        <v>36</v>
      </c>
      <c r="R1160" s="20">
        <v>28370</v>
      </c>
      <c r="S1160" s="21" t="str">
        <f>HYPERLINK("https://www.lsb.edu/netprice", "$18162")</f>
        <v>$18162</v>
      </c>
      <c r="T1160" s="20" t="s">
        <v>36</v>
      </c>
      <c r="U1160" s="20">
        <v>20982</v>
      </c>
      <c r="V1160" s="20">
        <v>10757</v>
      </c>
      <c r="W1160" s="20">
        <v>7405</v>
      </c>
      <c r="Y1160" s="19">
        <v>0.64759999999999995</v>
      </c>
      <c r="Z1160" s="19">
        <v>0.1656</v>
      </c>
      <c r="AB1160" s="18">
        <v>163</v>
      </c>
      <c r="AC1160" s="18">
        <v>6</v>
      </c>
    </row>
    <row r="1161" spans="1:29" ht="15.75" customHeight="1" x14ac:dyDescent="0.2">
      <c r="A1161" s="36" t="str">
        <f>HYPERLINK("https://www.lcc.edu", "Lansing Community College")</f>
        <v>Lansing Community College</v>
      </c>
      <c r="B1161" s="18" t="s">
        <v>49</v>
      </c>
      <c r="C1161" s="18" t="s">
        <v>226</v>
      </c>
      <c r="D1161" s="18" t="s">
        <v>708</v>
      </c>
      <c r="E1161" s="18" t="s">
        <v>36</v>
      </c>
      <c r="F1161" s="18" t="s">
        <v>36</v>
      </c>
      <c r="J1161" s="19"/>
      <c r="K1161" s="19">
        <v>0.17860000000000001</v>
      </c>
      <c r="L1161" s="19">
        <v>0.101761252</v>
      </c>
      <c r="M1161" s="19">
        <v>0.20280000000000001</v>
      </c>
      <c r="N1161" s="19">
        <v>8.5000000000000006E-2</v>
      </c>
      <c r="O1161" s="19">
        <v>0.15129999999999999</v>
      </c>
      <c r="P1161" s="19">
        <v>0.15790000000000001</v>
      </c>
      <c r="Q1161" s="19">
        <v>8.7367835000000005E-2</v>
      </c>
      <c r="R1161" s="20">
        <v>19250</v>
      </c>
      <c r="S1161" s="21" t="str">
        <f>HYPERLINK("https://lcc.edu/admissions-financial-aid/tuition-and-costs/the-calculator.html", "$14775")</f>
        <v>$14775</v>
      </c>
      <c r="T1161" s="20">
        <v>16790</v>
      </c>
      <c r="U1161" s="20">
        <v>18850</v>
      </c>
      <c r="V1161" s="20">
        <v>4000</v>
      </c>
      <c r="W1161" s="20">
        <v>10775.34101382488</v>
      </c>
      <c r="Y1161" s="19">
        <v>0.32450000000000001</v>
      </c>
      <c r="Z1161" s="19">
        <v>0.32390000000000002</v>
      </c>
      <c r="AB1161" s="18">
        <v>11764</v>
      </c>
      <c r="AC1161" s="18">
        <v>6</v>
      </c>
    </row>
    <row r="1162" spans="1:29" ht="15.75" customHeight="1" x14ac:dyDescent="0.2">
      <c r="A1162" s="36" t="str">
        <f>HYPERLINK("https://www.lccc.wy.edu", "Laramie County Community College")</f>
        <v>Laramie County Community College</v>
      </c>
      <c r="B1162" s="18" t="s">
        <v>49</v>
      </c>
      <c r="C1162" s="18" t="s">
        <v>1086</v>
      </c>
      <c r="D1162" s="18" t="s">
        <v>1470</v>
      </c>
      <c r="E1162" s="18" t="s">
        <v>36</v>
      </c>
      <c r="F1162" s="18" t="s">
        <v>36</v>
      </c>
      <c r="J1162" s="19"/>
      <c r="K1162" s="19">
        <v>0.26800000000000002</v>
      </c>
      <c r="L1162" s="19">
        <v>0.241164241</v>
      </c>
      <c r="M1162" s="19">
        <v>0.28129999999999999</v>
      </c>
      <c r="N1162" s="19">
        <v>0.25</v>
      </c>
      <c r="O1162" s="19">
        <v>0.25</v>
      </c>
      <c r="P1162" s="19">
        <v>0.16669999999999999</v>
      </c>
      <c r="Q1162" s="19">
        <v>7.3732719000000002E-2</v>
      </c>
      <c r="R1162" s="20">
        <v>18748</v>
      </c>
      <c r="S1162" s="21" t="str">
        <f>HYPERLINK("https://www.lccc.wy.edu/services/financialAid", "$12733")</f>
        <v>$12733</v>
      </c>
      <c r="T1162" s="20">
        <v>15325</v>
      </c>
      <c r="U1162" s="20">
        <v>16839</v>
      </c>
      <c r="V1162" s="20">
        <v>2670</v>
      </c>
      <c r="W1162" s="20">
        <v>10063.42307692308</v>
      </c>
      <c r="Y1162" s="19">
        <v>0.25569999999999998</v>
      </c>
      <c r="Z1162" s="19">
        <v>0.28749999999999998</v>
      </c>
      <c r="AB1162" s="18">
        <v>2803</v>
      </c>
      <c r="AC1162" s="18">
        <v>6</v>
      </c>
    </row>
    <row r="1163" spans="1:29" ht="15.75" customHeight="1" x14ac:dyDescent="0.2">
      <c r="A1163" s="36" t="str">
        <f>HYPERLINK("https://www.laredo.edu", "Laredo Community College")</f>
        <v>Laredo Community College</v>
      </c>
      <c r="B1163" s="18" t="s">
        <v>49</v>
      </c>
      <c r="C1163" s="18" t="s">
        <v>146</v>
      </c>
      <c r="D1163" s="18" t="s">
        <v>1471</v>
      </c>
      <c r="E1163" s="18" t="s">
        <v>36</v>
      </c>
      <c r="F1163" s="18" t="s">
        <v>36</v>
      </c>
      <c r="J1163" s="19"/>
      <c r="K1163" s="19">
        <v>0.3236</v>
      </c>
      <c r="L1163" s="19">
        <v>0.12810886899999999</v>
      </c>
      <c r="M1163" s="19">
        <v>0.29409999999999997</v>
      </c>
      <c r="N1163" s="19">
        <v>1</v>
      </c>
      <c r="O1163" s="19">
        <v>0.3216</v>
      </c>
      <c r="P1163" s="19">
        <v>0.33329999999999999</v>
      </c>
      <c r="Q1163" s="19">
        <v>0.106618962</v>
      </c>
      <c r="R1163" s="20">
        <v>18480</v>
      </c>
      <c r="S1163" s="21" t="str">
        <f>HYPERLINK("https://www.laredo.edu/financialaid/fa_calc.htm", "$12640")</f>
        <v>$12640</v>
      </c>
      <c r="T1163" s="20">
        <v>14222</v>
      </c>
      <c r="U1163" s="20">
        <v>15370</v>
      </c>
      <c r="V1163" s="20">
        <v>7163</v>
      </c>
      <c r="W1163" s="20">
        <v>5477.5022421524664</v>
      </c>
      <c r="Y1163" s="19">
        <v>0.4798</v>
      </c>
      <c r="Z1163" s="19">
        <v>0.98760000000000003</v>
      </c>
      <c r="AB1163" s="18">
        <v>9198</v>
      </c>
      <c r="AC1163" s="18">
        <v>6</v>
      </c>
    </row>
    <row r="1164" spans="1:29" ht="15.75" customHeight="1" x14ac:dyDescent="0.2">
      <c r="A1164" s="36" t="str">
        <f>HYPERLINK("https://www.laspositascollege.edu", "Las Positas College")</f>
        <v>Las Positas College</v>
      </c>
      <c r="B1164" s="18" t="s">
        <v>49</v>
      </c>
      <c r="C1164" s="18" t="s">
        <v>68</v>
      </c>
      <c r="D1164" s="18" t="s">
        <v>1472</v>
      </c>
      <c r="E1164" s="18" t="s">
        <v>36</v>
      </c>
      <c r="F1164" s="18" t="s">
        <v>36</v>
      </c>
      <c r="J1164" s="19"/>
      <c r="K1164" s="19">
        <v>0.3911</v>
      </c>
      <c r="L1164" s="19" t="s">
        <v>36</v>
      </c>
      <c r="M1164" s="19">
        <v>0.38800000000000001</v>
      </c>
      <c r="N1164" s="19">
        <v>0.30230000000000001</v>
      </c>
      <c r="O1164" s="19">
        <v>0.36990000000000001</v>
      </c>
      <c r="P1164" s="19">
        <v>0.48149999999999998</v>
      </c>
      <c r="Q1164" s="19">
        <v>0.14483394799999999</v>
      </c>
      <c r="R1164" s="20">
        <v>26404</v>
      </c>
      <c r="S1164" s="21" t="str">
        <f>HYPERLINK("https://misweb.cccco.edu/npc/481/npcalc.htm", "$19742")</f>
        <v>$19742</v>
      </c>
      <c r="T1164" s="20">
        <v>22672</v>
      </c>
      <c r="U1164" s="20">
        <v>24243</v>
      </c>
      <c r="V1164" s="20">
        <v>6093</v>
      </c>
      <c r="W1164" s="20">
        <v>13649.883720930229</v>
      </c>
      <c r="Y1164" s="19">
        <v>0.1507</v>
      </c>
      <c r="Z1164" s="19">
        <v>0.62980000000000003</v>
      </c>
      <c r="AB1164" s="18">
        <v>8077</v>
      </c>
      <c r="AC1164" s="18">
        <v>6</v>
      </c>
    </row>
    <row r="1165" spans="1:29" ht="15.75" customHeight="1" x14ac:dyDescent="0.2">
      <c r="A1165" s="36" t="str">
        <f>HYPERLINK("https://www.lasell.edu/", "Lasell College")</f>
        <v>Lasell College</v>
      </c>
      <c r="B1165" s="18" t="s">
        <v>32</v>
      </c>
      <c r="C1165" s="18" t="s">
        <v>33</v>
      </c>
      <c r="D1165" s="18" t="s">
        <v>791</v>
      </c>
      <c r="E1165" s="18">
        <v>1069</v>
      </c>
      <c r="F1165" s="18" t="s">
        <v>35</v>
      </c>
      <c r="J1165" s="19"/>
      <c r="K1165" s="19">
        <v>0.5413</v>
      </c>
      <c r="L1165" s="19">
        <v>0.52713178299999996</v>
      </c>
      <c r="M1165" s="19">
        <v>0.58760000000000001</v>
      </c>
      <c r="N1165" s="19">
        <v>0.48280000000000001</v>
      </c>
      <c r="O1165" s="19">
        <v>0.375</v>
      </c>
      <c r="P1165" s="19">
        <v>0.5</v>
      </c>
      <c r="Q1165" s="19"/>
      <c r="R1165" s="20">
        <v>52900</v>
      </c>
      <c r="S1165" s="21" t="str">
        <f>HYPERLINK("https://www.lasell.edu/tuition-and-aid/net-price-calculator.html", "$22775")</f>
        <v>$22775</v>
      </c>
      <c r="T1165" s="20">
        <v>22225</v>
      </c>
      <c r="U1165" s="20">
        <v>25091</v>
      </c>
      <c r="V1165" s="20">
        <v>3500</v>
      </c>
      <c r="W1165" s="20">
        <v>19275</v>
      </c>
      <c r="Y1165" s="19">
        <v>0.30590000000000001</v>
      </c>
      <c r="Z1165" s="19">
        <v>0.31369999999999998</v>
      </c>
      <c r="AB1165" s="18">
        <v>1696</v>
      </c>
      <c r="AC1165" s="18">
        <v>4</v>
      </c>
    </row>
    <row r="1166" spans="1:29" ht="15.75" customHeight="1" x14ac:dyDescent="0.2">
      <c r="A1166" s="36" t="str">
        <f>HYPERLINK("https://www.lassencollege.edu/", "Lassen Community College")</f>
        <v>Lassen Community College</v>
      </c>
      <c r="B1166" s="18" t="s">
        <v>49</v>
      </c>
      <c r="C1166" s="18" t="s">
        <v>68</v>
      </c>
      <c r="D1166" s="18" t="s">
        <v>1473</v>
      </c>
      <c r="E1166" s="18" t="s">
        <v>36</v>
      </c>
      <c r="F1166" s="18" t="s">
        <v>36</v>
      </c>
      <c r="J1166" s="19"/>
      <c r="K1166" s="19">
        <v>0.24310000000000001</v>
      </c>
      <c r="L1166" s="19" t="s">
        <v>36</v>
      </c>
      <c r="M1166" s="19">
        <v>0.23849999999999999</v>
      </c>
      <c r="N1166" s="19">
        <v>0</v>
      </c>
      <c r="O1166" s="19">
        <v>0.21740000000000001</v>
      </c>
      <c r="P1166" s="19">
        <v>0</v>
      </c>
      <c r="Q1166" s="19">
        <v>5.0147493000000001E-2</v>
      </c>
      <c r="R1166" s="20">
        <v>19015</v>
      </c>
      <c r="S1166" s="21" t="str">
        <f>HYPERLINK("https://misweb.cccco.edu/npc/131/npcalc.htm", "$12107")</f>
        <v>$12107</v>
      </c>
      <c r="T1166" s="20">
        <v>15171</v>
      </c>
      <c r="U1166" s="20">
        <v>17292</v>
      </c>
      <c r="V1166" s="20">
        <v>5096</v>
      </c>
      <c r="W1166" s="20">
        <v>7011.2272727272721</v>
      </c>
      <c r="Y1166" s="19">
        <v>0.12759999999999999</v>
      </c>
      <c r="Z1166" s="19">
        <v>0.59949999999999992</v>
      </c>
      <c r="AB1166" s="18">
        <v>2187</v>
      </c>
      <c r="AC1166" s="18">
        <v>6</v>
      </c>
    </row>
    <row r="1167" spans="1:29" ht="15.75" customHeight="1" x14ac:dyDescent="0.2">
      <c r="A1167" s="36" t="str">
        <f>HYPERLINK("https://www.lauruscollege.edu", "Laurus College")</f>
        <v>Laurus College</v>
      </c>
      <c r="B1167" s="18" t="s">
        <v>368</v>
      </c>
      <c r="C1167" s="18" t="s">
        <v>68</v>
      </c>
      <c r="D1167" s="18" t="s">
        <v>204</v>
      </c>
      <c r="E1167" s="18" t="s">
        <v>36</v>
      </c>
      <c r="F1167" s="18" t="s">
        <v>36</v>
      </c>
      <c r="J1167" s="19"/>
      <c r="K1167" s="19">
        <v>0.78500000000000003</v>
      </c>
      <c r="L1167" s="19">
        <v>0.50857142899999996</v>
      </c>
      <c r="M1167" s="19">
        <v>0.9556</v>
      </c>
      <c r="N1167" s="19">
        <v>0.6</v>
      </c>
      <c r="O1167" s="19">
        <v>0.80430000000000001</v>
      </c>
      <c r="P1167" s="19">
        <v>0.25</v>
      </c>
      <c r="Q1167" s="19" t="s">
        <v>36</v>
      </c>
      <c r="R1167" s="20" t="s">
        <v>36</v>
      </c>
      <c r="S1167" s="21" t="str">
        <f>HYPERLINK("https://lauruscollege.edu/index.php?subj=main&amp;page=consumer_information", "$10204")</f>
        <v>$10204</v>
      </c>
      <c r="T1167" s="20" t="s">
        <v>36</v>
      </c>
      <c r="U1167" s="20" t="s">
        <v>36</v>
      </c>
      <c r="V1167" s="20" t="s">
        <v>36</v>
      </c>
      <c r="W1167" s="20" t="s">
        <v>36</v>
      </c>
      <c r="Y1167" s="19">
        <v>0.58150000000000002</v>
      </c>
      <c r="Z1167" s="19">
        <v>0.6714</v>
      </c>
      <c r="AB1167" s="18">
        <v>1117</v>
      </c>
      <c r="AC1167" s="18">
        <v>6</v>
      </c>
    </row>
    <row r="1168" spans="1:29" ht="15.75" customHeight="1" x14ac:dyDescent="0.2">
      <c r="A1168" s="36" t="str">
        <f>HYPERLINK("https://www.lmregis.org", "Lawrence Memorial Hospital School of Nursing")</f>
        <v>Lawrence Memorial Hospital School of Nursing</v>
      </c>
      <c r="B1168" s="18" t="s">
        <v>32</v>
      </c>
      <c r="C1168" s="18" t="s">
        <v>33</v>
      </c>
      <c r="D1168" s="18" t="s">
        <v>157</v>
      </c>
      <c r="E1168" s="18" t="s">
        <v>36</v>
      </c>
      <c r="F1168" s="18" t="s">
        <v>36</v>
      </c>
      <c r="J1168" s="19"/>
      <c r="K1168" s="19">
        <v>1</v>
      </c>
      <c r="L1168" s="19">
        <v>0.489795918</v>
      </c>
      <c r="M1168" s="19">
        <v>1</v>
      </c>
      <c r="N1168" s="19" t="s">
        <v>36</v>
      </c>
      <c r="O1168" s="19" t="s">
        <v>36</v>
      </c>
      <c r="P1168" s="19" t="s">
        <v>36</v>
      </c>
      <c r="Q1168" s="19">
        <v>0.140740741</v>
      </c>
      <c r="R1168" s="20">
        <v>48461</v>
      </c>
      <c r="S1168" s="21" t="str">
        <f>HYPERLINK("https://www.lmregis.org", "Not reported")</f>
        <v>Not reported</v>
      </c>
      <c r="T1168" s="20" t="s">
        <v>36</v>
      </c>
      <c r="U1168" s="20" t="s">
        <v>36</v>
      </c>
      <c r="V1168" s="20">
        <v>6478</v>
      </c>
      <c r="W1168" s="20" t="s">
        <v>36</v>
      </c>
      <c r="Y1168" s="19">
        <v>0.42370000000000002</v>
      </c>
      <c r="Z1168" s="19">
        <v>0.41279999999999989</v>
      </c>
      <c r="AB1168" s="18">
        <v>281</v>
      </c>
      <c r="AC1168" s="18">
        <v>6</v>
      </c>
    </row>
    <row r="1169" spans="1:29" ht="15.75" customHeight="1" x14ac:dyDescent="0.2">
      <c r="A1169" s="36" t="str">
        <f>HYPERLINK("https://www.ltu.edu", "Lawrence Technological University")</f>
        <v>Lawrence Technological University</v>
      </c>
      <c r="B1169" s="18" t="s">
        <v>32</v>
      </c>
      <c r="C1169" s="18" t="s">
        <v>226</v>
      </c>
      <c r="D1169" s="18" t="s">
        <v>394</v>
      </c>
      <c r="E1169" s="18">
        <v>1163</v>
      </c>
      <c r="F1169" s="18" t="s">
        <v>35</v>
      </c>
      <c r="J1169" s="19"/>
      <c r="K1169" s="19">
        <v>0.53569999999999995</v>
      </c>
      <c r="L1169" s="19">
        <v>0.38036809799999999</v>
      </c>
      <c r="M1169" s="19">
        <v>0.62429999999999997</v>
      </c>
      <c r="N1169" s="19">
        <v>0.17649999999999999</v>
      </c>
      <c r="O1169" s="19">
        <v>0.6</v>
      </c>
      <c r="P1169" s="19">
        <v>0.66669999999999996</v>
      </c>
      <c r="Q1169" s="19"/>
      <c r="R1169" s="20">
        <v>47482</v>
      </c>
      <c r="S1169" s="21" t="str">
        <f>HYPERLINK("https://www.ltu.edu/financial_aid/netprice.asp", "$24223")</f>
        <v>$24223</v>
      </c>
      <c r="T1169" s="20">
        <v>27575</v>
      </c>
      <c r="U1169" s="20">
        <v>26547</v>
      </c>
      <c r="V1169" s="20">
        <v>5792</v>
      </c>
      <c r="W1169" s="20">
        <v>18431</v>
      </c>
      <c r="Y1169" s="19">
        <v>0.2195</v>
      </c>
      <c r="Z1169" s="19">
        <v>0.39479999999999998</v>
      </c>
      <c r="AB1169" s="18">
        <v>2191</v>
      </c>
      <c r="AC1169" s="18">
        <v>3</v>
      </c>
    </row>
    <row r="1170" spans="1:29" ht="15.75" customHeight="1" x14ac:dyDescent="0.2">
      <c r="A1170" s="36" t="str">
        <f>HYPERLINK("https://www.lawrence.edu", "Lawrence University")</f>
        <v>Lawrence University</v>
      </c>
      <c r="B1170" s="18" t="s">
        <v>32</v>
      </c>
      <c r="C1170" s="18" t="s">
        <v>196</v>
      </c>
      <c r="D1170" s="18" t="s">
        <v>229</v>
      </c>
      <c r="E1170" s="18">
        <v>1343</v>
      </c>
      <c r="F1170" s="18" t="s">
        <v>115</v>
      </c>
      <c r="J1170" s="19"/>
      <c r="K1170" s="19">
        <v>0.79569999999999996</v>
      </c>
      <c r="L1170" s="19">
        <v>0.56000000000000005</v>
      </c>
      <c r="M1170" s="19">
        <v>0.80840000000000001</v>
      </c>
      <c r="N1170" s="19">
        <v>0.58330000000000004</v>
      </c>
      <c r="O1170" s="19">
        <v>1</v>
      </c>
      <c r="P1170" s="19">
        <v>0.63639999999999997</v>
      </c>
      <c r="Q1170" s="19"/>
      <c r="R1170" s="20">
        <v>58458</v>
      </c>
      <c r="S1170" s="21" t="str">
        <f>HYPERLINK("https://www.lawrence.edu/admissions/afford/net_price_calculator", "$17113")</f>
        <v>$17113</v>
      </c>
      <c r="T1170" s="20">
        <v>21182</v>
      </c>
      <c r="U1170" s="20">
        <v>25171</v>
      </c>
      <c r="V1170" s="20">
        <v>2325</v>
      </c>
      <c r="W1170" s="20">
        <v>14788</v>
      </c>
      <c r="Y1170" s="19">
        <v>0.1996</v>
      </c>
      <c r="Z1170" s="19">
        <v>0.35460000000000003</v>
      </c>
      <c r="AB1170" s="18">
        <v>1441</v>
      </c>
      <c r="AC1170" s="18">
        <v>2</v>
      </c>
    </row>
    <row r="1171" spans="1:29" ht="15.75" customHeight="1" x14ac:dyDescent="0.2">
      <c r="A1171" s="36" t="str">
        <f>HYPERLINK("https://www.lemoyne.edu", "Le Moyne College")</f>
        <v>Le Moyne College</v>
      </c>
      <c r="B1171" s="18" t="s">
        <v>32</v>
      </c>
      <c r="C1171" s="18" t="s">
        <v>38</v>
      </c>
      <c r="D1171" s="18" t="s">
        <v>242</v>
      </c>
      <c r="E1171" s="18">
        <v>1171</v>
      </c>
      <c r="F1171" s="18" t="s">
        <v>115</v>
      </c>
      <c r="G1171" s="18" t="s">
        <v>40</v>
      </c>
      <c r="H1171" s="18" t="s">
        <v>395</v>
      </c>
      <c r="I1171" s="18" t="s">
        <v>396</v>
      </c>
      <c r="J1171" s="19"/>
      <c r="K1171" s="19">
        <v>0.73619999999999997</v>
      </c>
      <c r="L1171" s="19">
        <v>0.60439560400000003</v>
      </c>
      <c r="M1171" s="19">
        <v>0.7329</v>
      </c>
      <c r="N1171" s="19">
        <v>0.72219999999999995</v>
      </c>
      <c r="O1171" s="19">
        <v>0.74360000000000004</v>
      </c>
      <c r="P1171" s="19">
        <v>0.83330000000000004</v>
      </c>
      <c r="Q1171" s="19"/>
      <c r="R1171" s="20">
        <v>49995</v>
      </c>
      <c r="S1171" s="21" t="str">
        <f>HYPERLINK("https://www.lemoyne.edu/Apply/Financial-Aid/Financial-Aid-Calculator", "$17467")</f>
        <v>$17467</v>
      </c>
      <c r="T1171" s="20">
        <v>22940</v>
      </c>
      <c r="U1171" s="20">
        <v>24255</v>
      </c>
      <c r="V1171" s="20">
        <v>2690</v>
      </c>
      <c r="W1171" s="20">
        <v>14777</v>
      </c>
      <c r="Y1171" s="19">
        <v>0.2979</v>
      </c>
      <c r="Z1171" s="19">
        <v>0.21519999999999989</v>
      </c>
      <c r="AB1171" s="18">
        <v>2676</v>
      </c>
      <c r="AC1171" s="18">
        <v>3</v>
      </c>
    </row>
    <row r="1172" spans="1:29" ht="15.75" customHeight="1" x14ac:dyDescent="0.2">
      <c r="A1172" s="36" t="str">
        <f>HYPERLINK("https://www.letu.edu", "LeTourneau University")</f>
        <v>LeTourneau University</v>
      </c>
      <c r="B1172" s="18" t="s">
        <v>32</v>
      </c>
      <c r="C1172" s="18" t="s">
        <v>146</v>
      </c>
      <c r="D1172" s="18" t="s">
        <v>899</v>
      </c>
      <c r="E1172" s="18">
        <v>1190</v>
      </c>
      <c r="F1172" s="18" t="s">
        <v>35</v>
      </c>
      <c r="J1172" s="19"/>
      <c r="K1172" s="19">
        <v>0.60209999999999997</v>
      </c>
      <c r="L1172" s="19">
        <v>0.36445783100000001</v>
      </c>
      <c r="M1172" s="19">
        <v>0.63009999999999999</v>
      </c>
      <c r="N1172" s="19">
        <v>0.36359999999999998</v>
      </c>
      <c r="O1172" s="19">
        <v>0.45450000000000002</v>
      </c>
      <c r="P1172" s="19">
        <v>0.5</v>
      </c>
      <c r="Q1172" s="19"/>
      <c r="R1172" s="20">
        <v>43388</v>
      </c>
      <c r="S1172" s="21" t="str">
        <f>HYPERLINK("https://tcc.noellevitz.com/(S(crms2iwt5oswa40jf3oer0at))/LeTourneau%20Unive rsity/Freshman%20Students", "$17792")</f>
        <v>$17792</v>
      </c>
      <c r="T1172" s="20">
        <v>21118</v>
      </c>
      <c r="U1172" s="20">
        <v>23426</v>
      </c>
      <c r="V1172" s="20">
        <v>4198</v>
      </c>
      <c r="W1172" s="20">
        <v>13594</v>
      </c>
      <c r="Y1172" s="19">
        <v>0.29520000000000002</v>
      </c>
      <c r="Z1172" s="19">
        <v>0.36399999999999999</v>
      </c>
      <c r="AB1172" s="18">
        <v>1802</v>
      </c>
      <c r="AC1172" s="18">
        <v>4</v>
      </c>
    </row>
    <row r="1173" spans="1:29" ht="15.75" customHeight="1" x14ac:dyDescent="0.2">
      <c r="A1173" s="36" t="str">
        <f>HYPERLINK("https://www.lvc.edu", "Lebanon Valley College")</f>
        <v>Lebanon Valley College</v>
      </c>
      <c r="B1173" s="18" t="s">
        <v>32</v>
      </c>
      <c r="C1173" s="18" t="s">
        <v>65</v>
      </c>
      <c r="D1173" s="18" t="s">
        <v>901</v>
      </c>
      <c r="E1173" s="18">
        <v>1162</v>
      </c>
      <c r="F1173" s="18" t="s">
        <v>115</v>
      </c>
      <c r="J1173" s="19"/>
      <c r="K1173" s="19">
        <v>0.73229999999999995</v>
      </c>
      <c r="L1173" s="19">
        <v>0.55696202500000003</v>
      </c>
      <c r="M1173" s="19">
        <v>0.75060000000000004</v>
      </c>
      <c r="N1173" s="19">
        <v>0.23080000000000001</v>
      </c>
      <c r="O1173" s="19">
        <v>0.69569999999999999</v>
      </c>
      <c r="P1173" s="19">
        <v>0.66669999999999996</v>
      </c>
      <c r="Q1173" s="19"/>
      <c r="R1173" s="20">
        <v>57390</v>
      </c>
      <c r="S1173" s="21" t="str">
        <f>HYPERLINK("https://collegecostcalculator.org/LebanonValleyCollege", "$21795")</f>
        <v>$21795</v>
      </c>
      <c r="T1173" s="20">
        <v>24300</v>
      </c>
      <c r="U1173" s="20">
        <v>28140</v>
      </c>
      <c r="V1173" s="20">
        <v>3750</v>
      </c>
      <c r="W1173" s="20">
        <v>18045</v>
      </c>
      <c r="Y1173" s="19">
        <v>0.25409999999999999</v>
      </c>
      <c r="Z1173" s="19">
        <v>0.1731</v>
      </c>
      <c r="AB1173" s="18">
        <v>1658</v>
      </c>
      <c r="AC1173" s="18">
        <v>4</v>
      </c>
    </row>
    <row r="1174" spans="1:29" ht="15.75" customHeight="1" x14ac:dyDescent="0.2">
      <c r="A1174" s="36" t="str">
        <f>HYPERLINK("https://www.leeuniversity.edu", "Lee University")</f>
        <v>Lee University</v>
      </c>
      <c r="B1174" s="18" t="s">
        <v>32</v>
      </c>
      <c r="C1174" s="18" t="s">
        <v>174</v>
      </c>
      <c r="D1174" s="18" t="s">
        <v>76</v>
      </c>
      <c r="E1174" s="18">
        <v>1176</v>
      </c>
      <c r="F1174" s="18" t="s">
        <v>35</v>
      </c>
      <c r="J1174" s="19"/>
      <c r="K1174" s="19">
        <v>0.51949999999999996</v>
      </c>
      <c r="L1174" s="19">
        <v>0.42970822299999989</v>
      </c>
      <c r="M1174" s="19">
        <v>0.54990000000000006</v>
      </c>
      <c r="N1174" s="19">
        <v>0.3019</v>
      </c>
      <c r="O1174" s="19">
        <v>0.47220000000000001</v>
      </c>
      <c r="P1174" s="19">
        <v>0.6</v>
      </c>
      <c r="Q1174" s="19"/>
      <c r="R1174" s="20">
        <v>31000</v>
      </c>
      <c r="S1174" s="21" t="str">
        <f>HYPERLINK("https://npc.collegeboard.org/student/app/lee", "$15869")</f>
        <v>$15869</v>
      </c>
      <c r="T1174" s="20">
        <v>17380</v>
      </c>
      <c r="U1174" s="20">
        <v>19012</v>
      </c>
      <c r="V1174" s="20">
        <v>6190</v>
      </c>
      <c r="W1174" s="20">
        <v>9679</v>
      </c>
      <c r="Y1174" s="19">
        <v>0.33439999999999998</v>
      </c>
      <c r="Z1174" s="19">
        <v>0.1923</v>
      </c>
      <c r="AB1174" s="18">
        <v>4265</v>
      </c>
      <c r="AC1174" s="18">
        <v>4</v>
      </c>
    </row>
    <row r="1175" spans="1:29" ht="15.75" customHeight="1" x14ac:dyDescent="0.2">
      <c r="A1175" s="36" t="str">
        <f>HYPERLINK("https://www.lltc.edu", "Leech Lake Tribal College")</f>
        <v>Leech Lake Tribal College</v>
      </c>
      <c r="B1175" s="18" t="s">
        <v>49</v>
      </c>
      <c r="C1175" s="18" t="s">
        <v>72</v>
      </c>
      <c r="D1175" s="18" t="s">
        <v>1474</v>
      </c>
      <c r="E1175" s="18" t="s">
        <v>36</v>
      </c>
      <c r="F1175" s="18" t="s">
        <v>36</v>
      </c>
      <c r="J1175" s="19"/>
      <c r="K1175" s="19">
        <v>7.7899999999999997E-2</v>
      </c>
      <c r="L1175" s="19" t="s">
        <v>36</v>
      </c>
      <c r="M1175" s="19">
        <v>0</v>
      </c>
      <c r="N1175" s="19" t="s">
        <v>36</v>
      </c>
      <c r="O1175" s="19" t="s">
        <v>36</v>
      </c>
      <c r="P1175" s="19" t="s">
        <v>36</v>
      </c>
      <c r="Q1175" s="19" t="s">
        <v>36</v>
      </c>
      <c r="R1175" s="20">
        <v>17998</v>
      </c>
      <c r="S1175" s="21" t="str">
        <f>HYPERLINK("https://www.lltc.edu/financial-aid/net-price-calculator", "$10784")</f>
        <v>$10784</v>
      </c>
      <c r="T1175" s="20">
        <v>12193</v>
      </c>
      <c r="U1175" s="20" t="s">
        <v>36</v>
      </c>
      <c r="V1175" s="20">
        <v>6600</v>
      </c>
      <c r="W1175" s="20">
        <v>4184.1090909090908</v>
      </c>
      <c r="Y1175" s="19">
        <v>0.76570000000000005</v>
      </c>
      <c r="Z1175" s="19">
        <v>0.93630000000000002</v>
      </c>
      <c r="AB1175" s="18">
        <v>157</v>
      </c>
      <c r="AC1175" s="18">
        <v>6</v>
      </c>
    </row>
    <row r="1176" spans="1:29" ht="15.75" customHeight="1" x14ac:dyDescent="0.2">
      <c r="A1176" s="36" t="str">
        <f>HYPERLINK("https://www.lmc.edu", "Lees-McRae College")</f>
        <v>Lees-McRae College</v>
      </c>
      <c r="B1176" s="18" t="s">
        <v>32</v>
      </c>
      <c r="C1176" s="18" t="s">
        <v>103</v>
      </c>
      <c r="D1176" s="18" t="s">
        <v>906</v>
      </c>
      <c r="E1176" s="18" t="s">
        <v>36</v>
      </c>
      <c r="F1176" s="18" t="s">
        <v>90</v>
      </c>
      <c r="J1176" s="19"/>
      <c r="K1176" s="19">
        <v>0.31879999999999997</v>
      </c>
      <c r="L1176" s="19">
        <v>0.50549450600000001</v>
      </c>
      <c r="M1176" s="19">
        <v>0.36209999999999998</v>
      </c>
      <c r="N1176" s="19">
        <v>0.28570000000000001</v>
      </c>
      <c r="O1176" s="19" t="s">
        <v>36</v>
      </c>
      <c r="P1176" s="19" t="s">
        <v>36</v>
      </c>
      <c r="Q1176" s="19"/>
      <c r="R1176" s="20">
        <v>42680</v>
      </c>
      <c r="S1176" s="21" t="str">
        <f>HYPERLINK("https://www.lmc.edu/admissions/financial-aid/npcalc.htm", "$17178")</f>
        <v>$17178</v>
      </c>
      <c r="T1176" s="20">
        <v>16128</v>
      </c>
      <c r="U1176" s="20">
        <v>19644</v>
      </c>
      <c r="V1176" s="20">
        <v>6044</v>
      </c>
      <c r="W1176" s="20">
        <v>11134</v>
      </c>
      <c r="Y1176" s="19">
        <v>0.4753</v>
      </c>
      <c r="Z1176" s="19">
        <v>0.27929999999999999</v>
      </c>
      <c r="AB1176" s="18">
        <v>920</v>
      </c>
      <c r="AC1176" s="18">
        <v>4</v>
      </c>
    </row>
    <row r="1177" spans="1:29" ht="15.75" customHeight="1" x14ac:dyDescent="0.2">
      <c r="A1177" s="36" t="str">
        <f>HYPERLINK("https://www.leeward.hawaii.edu", "Leeward Community College")</f>
        <v>Leeward Community College</v>
      </c>
      <c r="B1177" s="18" t="s">
        <v>49</v>
      </c>
      <c r="C1177" s="18" t="s">
        <v>313</v>
      </c>
      <c r="D1177" s="18" t="s">
        <v>1475</v>
      </c>
      <c r="E1177" s="18" t="s">
        <v>36</v>
      </c>
      <c r="F1177" s="18" t="s">
        <v>36</v>
      </c>
      <c r="J1177" s="19"/>
      <c r="K1177" s="19">
        <v>0.1996</v>
      </c>
      <c r="L1177" s="19">
        <v>0.16921119600000001</v>
      </c>
      <c r="M1177" s="19">
        <v>0.26150000000000001</v>
      </c>
      <c r="N1177" s="19">
        <v>0.18179999999999999</v>
      </c>
      <c r="O1177" s="19">
        <v>0.13750000000000001</v>
      </c>
      <c r="P1177" s="19">
        <v>0.27529999999999999</v>
      </c>
      <c r="Q1177" s="19">
        <v>8.4577114000000009E-2</v>
      </c>
      <c r="R1177" s="20">
        <v>27508</v>
      </c>
      <c r="S1177" s="21" t="str">
        <f>HYPERLINK("https://www.leeward.hawaii.edu/files/netpricecalculator/npcalc.htm", "$22300")</f>
        <v>$22300</v>
      </c>
      <c r="T1177" s="20">
        <v>24654</v>
      </c>
      <c r="U1177" s="20">
        <v>26214</v>
      </c>
      <c r="V1177" s="20">
        <v>4626</v>
      </c>
      <c r="W1177" s="20">
        <v>17674.553030303028</v>
      </c>
      <c r="Y1177" s="19">
        <v>0.25600000000000001</v>
      </c>
      <c r="Z1177" s="19">
        <v>0.92300000000000004</v>
      </c>
      <c r="AB1177" s="18">
        <v>4971</v>
      </c>
      <c r="AC1177" s="18">
        <v>6</v>
      </c>
    </row>
    <row r="1178" spans="1:29" ht="15.75" customHeight="1" x14ac:dyDescent="0.2">
      <c r="A1178" s="36" t="str">
        <f>HYPERLINK("https://www.lccc.edu", "Lehigh Carbon Community College")</f>
        <v>Lehigh Carbon Community College</v>
      </c>
      <c r="B1178" s="18" t="s">
        <v>49</v>
      </c>
      <c r="C1178" s="18" t="s">
        <v>65</v>
      </c>
      <c r="D1178" s="18" t="s">
        <v>1476</v>
      </c>
      <c r="E1178" s="18" t="s">
        <v>36</v>
      </c>
      <c r="F1178" s="18" t="s">
        <v>36</v>
      </c>
      <c r="J1178" s="19"/>
      <c r="K1178" s="19">
        <v>0.17319999999999999</v>
      </c>
      <c r="L1178" s="19">
        <v>0.16638796</v>
      </c>
      <c r="M1178" s="19">
        <v>0.21410000000000001</v>
      </c>
      <c r="N1178" s="19">
        <v>1.5900000000000001E-2</v>
      </c>
      <c r="O1178" s="19">
        <v>5.2600000000000001E-2</v>
      </c>
      <c r="P1178" s="19">
        <v>0.38890000000000002</v>
      </c>
      <c r="Q1178" s="19">
        <v>8.0512350999999996E-2</v>
      </c>
      <c r="R1178" s="20">
        <v>19730</v>
      </c>
      <c r="S1178" s="21" t="str">
        <f>HYPERLINK("https://www.lccc.edu/tuition-financial-aid/net-price-calculator", "$14841")</f>
        <v>$14841</v>
      </c>
      <c r="T1178" s="20">
        <v>17268</v>
      </c>
      <c r="U1178" s="20">
        <v>19238</v>
      </c>
      <c r="V1178" s="20">
        <v>5200</v>
      </c>
      <c r="W1178" s="20">
        <v>9641.9695431472082</v>
      </c>
      <c r="Y1178" s="19">
        <v>0.40570000000000001</v>
      </c>
      <c r="Z1178" s="19">
        <v>0.4325</v>
      </c>
      <c r="AB1178" s="18">
        <v>5588</v>
      </c>
      <c r="AC1178" s="18">
        <v>6</v>
      </c>
    </row>
    <row r="1179" spans="1:29" ht="15.75" customHeight="1" x14ac:dyDescent="0.2">
      <c r="A1179" s="36" t="str">
        <f>HYPERLINK("https://www.lehigh.edu", "Lehigh University")</f>
        <v>Lehigh University</v>
      </c>
      <c r="B1179" s="18" t="s">
        <v>32</v>
      </c>
      <c r="C1179" s="18" t="s">
        <v>65</v>
      </c>
      <c r="D1179" s="18" t="s">
        <v>130</v>
      </c>
      <c r="E1179" s="18">
        <v>1382</v>
      </c>
      <c r="F1179" s="18" t="s">
        <v>35</v>
      </c>
      <c r="J1179" s="19"/>
      <c r="K1179" s="19">
        <v>0.8579</v>
      </c>
      <c r="L1179" s="19">
        <v>0.798165138</v>
      </c>
      <c r="M1179" s="19">
        <v>0.86560000000000004</v>
      </c>
      <c r="N1179" s="19">
        <v>0.84440000000000004</v>
      </c>
      <c r="O1179" s="19">
        <v>0.86109999999999998</v>
      </c>
      <c r="P1179" s="19">
        <v>0.85</v>
      </c>
      <c r="Q1179" s="19"/>
      <c r="R1179" s="20">
        <v>65925</v>
      </c>
      <c r="S1179" s="21" t="str">
        <f>HYPERLINK("https://npc.collegeboard.org/student/app/lehigh", "$13496")</f>
        <v>$13496</v>
      </c>
      <c r="T1179" s="20">
        <v>16975</v>
      </c>
      <c r="U1179" s="20">
        <v>25993</v>
      </c>
      <c r="V1179" s="20">
        <v>2065</v>
      </c>
      <c r="W1179" s="20">
        <v>11431</v>
      </c>
      <c r="X1179" s="18" t="s">
        <v>37</v>
      </c>
      <c r="Y1179" s="19">
        <v>0.1406</v>
      </c>
      <c r="Z1179" s="19">
        <v>0.36230000000000001</v>
      </c>
      <c r="AA1179" s="18" t="s">
        <v>37</v>
      </c>
      <c r="AB1179" s="18">
        <v>5057</v>
      </c>
      <c r="AC1179" s="18">
        <v>1</v>
      </c>
    </row>
    <row r="1180" spans="1:29" ht="15.75" customHeight="1" x14ac:dyDescent="0.2">
      <c r="A1180" s="36" t="str">
        <f>HYPERLINK("https://www.lr.edu", "Lenoir-Rhyne University")</f>
        <v>Lenoir-Rhyne University</v>
      </c>
      <c r="B1180" s="18" t="s">
        <v>32</v>
      </c>
      <c r="C1180" s="18" t="s">
        <v>103</v>
      </c>
      <c r="D1180" s="18" t="s">
        <v>908</v>
      </c>
      <c r="E1180" s="18">
        <v>1070</v>
      </c>
      <c r="F1180" s="18" t="s">
        <v>35</v>
      </c>
      <c r="J1180" s="19"/>
      <c r="K1180" s="19">
        <v>0.4325</v>
      </c>
      <c r="L1180" s="19">
        <v>0.4</v>
      </c>
      <c r="M1180" s="19">
        <v>0.45760000000000001</v>
      </c>
      <c r="N1180" s="19">
        <v>0.37659999999999999</v>
      </c>
      <c r="O1180" s="19">
        <v>0.5</v>
      </c>
      <c r="P1180" s="19">
        <v>0.28570000000000001</v>
      </c>
      <c r="Q1180" s="19"/>
      <c r="R1180" s="20">
        <v>51510</v>
      </c>
      <c r="S1180" s="21" t="str">
        <f>HYPERLINK("https://lr.studentaidcalculator.com/survey.aspx", "$17191")</f>
        <v>$17191</v>
      </c>
      <c r="T1180" s="20">
        <v>18724</v>
      </c>
      <c r="U1180" s="20">
        <v>20763</v>
      </c>
      <c r="V1180" s="20">
        <v>4010</v>
      </c>
      <c r="W1180" s="20">
        <v>13181</v>
      </c>
      <c r="Y1180" s="19">
        <v>0.39529999999999998</v>
      </c>
      <c r="Z1180" s="19">
        <v>0.32609999999999989</v>
      </c>
      <c r="AB1180" s="18">
        <v>1573</v>
      </c>
      <c r="AC1180" s="18">
        <v>4</v>
      </c>
    </row>
    <row r="1181" spans="1:29" ht="15.75" customHeight="1" x14ac:dyDescent="0.2">
      <c r="A1181" s="36" t="str">
        <f>HYPERLINK("https://www.lesley.edu", "Lesley University")</f>
        <v>Lesley University</v>
      </c>
      <c r="B1181" s="18" t="s">
        <v>32</v>
      </c>
      <c r="C1181" s="18" t="s">
        <v>33</v>
      </c>
      <c r="D1181" s="18" t="s">
        <v>121</v>
      </c>
      <c r="E1181" s="18">
        <v>1123</v>
      </c>
      <c r="F1181" s="18" t="s">
        <v>35</v>
      </c>
      <c r="J1181" s="19"/>
      <c r="K1181" s="19">
        <v>0.59660000000000002</v>
      </c>
      <c r="L1181" s="19">
        <v>0.40259740300000002</v>
      </c>
      <c r="M1181" s="19">
        <v>0.63370000000000004</v>
      </c>
      <c r="N1181" s="19">
        <v>0.30769999999999997</v>
      </c>
      <c r="O1181" s="19">
        <v>0.58620000000000005</v>
      </c>
      <c r="P1181" s="19">
        <v>0.54549999999999998</v>
      </c>
      <c r="Q1181" s="19"/>
      <c r="R1181" s="20">
        <v>47475</v>
      </c>
      <c r="S1181" s="21" t="str">
        <f>HYPERLINK("https://www.lesley.edu/services/financial_aid/calculator.html", "$27280")</f>
        <v>$27280</v>
      </c>
      <c r="T1181" s="20">
        <v>31959</v>
      </c>
      <c r="U1181" s="20">
        <v>33082</v>
      </c>
      <c r="V1181" s="20">
        <v>5050</v>
      </c>
      <c r="W1181" s="20">
        <v>22230</v>
      </c>
      <c r="Y1181" s="19">
        <v>0.30230000000000001</v>
      </c>
      <c r="Z1181" s="19">
        <v>0.37080000000000002</v>
      </c>
      <c r="AB1181" s="18">
        <v>2074</v>
      </c>
      <c r="AC1181" s="18">
        <v>4</v>
      </c>
    </row>
    <row r="1182" spans="1:29" ht="15.75" customHeight="1" x14ac:dyDescent="0.2">
      <c r="A1182" s="36" t="str">
        <f>HYPERLINK("https://www.lclark.edu/", "Lewis &amp; Clark College")</f>
        <v>Lewis &amp; Clark College</v>
      </c>
      <c r="B1182" s="18" t="s">
        <v>32</v>
      </c>
      <c r="C1182" s="18" t="s">
        <v>143</v>
      </c>
      <c r="D1182" s="18" t="s">
        <v>144</v>
      </c>
      <c r="E1182" s="18">
        <v>1330</v>
      </c>
      <c r="F1182" s="18" t="s">
        <v>115</v>
      </c>
      <c r="J1182" s="19"/>
      <c r="K1182" s="19">
        <v>0.80069999999999997</v>
      </c>
      <c r="L1182" s="19">
        <v>0.7</v>
      </c>
      <c r="M1182" s="19">
        <v>0.80669999999999997</v>
      </c>
      <c r="N1182" s="19">
        <v>0.81820000000000004</v>
      </c>
      <c r="O1182" s="19">
        <v>0.76270000000000004</v>
      </c>
      <c r="P1182" s="19">
        <v>0.83330000000000004</v>
      </c>
      <c r="Q1182" s="19"/>
      <c r="R1182" s="20">
        <v>62086</v>
      </c>
      <c r="S1182" s="21" t="str">
        <f>HYPERLINK("https://www.lclark.edu/offices/financial_aid/undergrad/net_price_calculator/", "$18719")</f>
        <v>$18719</v>
      </c>
      <c r="T1182" s="20">
        <v>25151</v>
      </c>
      <c r="U1182" s="20">
        <v>33904</v>
      </c>
      <c r="V1182" s="20">
        <v>3102</v>
      </c>
      <c r="W1182" s="20">
        <v>15617</v>
      </c>
      <c r="Y1182" s="19">
        <v>0.17949999999999999</v>
      </c>
      <c r="Z1182" s="19">
        <v>0.35580000000000001</v>
      </c>
      <c r="AB1182" s="18">
        <v>2021</v>
      </c>
      <c r="AC1182" s="18">
        <v>3</v>
      </c>
    </row>
    <row r="1183" spans="1:29" ht="15.75" customHeight="1" x14ac:dyDescent="0.2">
      <c r="A1183" s="36" t="str">
        <f>HYPERLINK("https://www.lewisu.edu", "Lewis University")</f>
        <v>Lewis University</v>
      </c>
      <c r="B1183" s="18" t="s">
        <v>32</v>
      </c>
      <c r="C1183" s="18" t="s">
        <v>137</v>
      </c>
      <c r="D1183" s="18" t="s">
        <v>911</v>
      </c>
      <c r="E1183" s="18">
        <v>1161</v>
      </c>
      <c r="F1183" s="18" t="s">
        <v>35</v>
      </c>
      <c r="J1183" s="19"/>
      <c r="K1183" s="19">
        <v>0.67030000000000001</v>
      </c>
      <c r="L1183" s="19">
        <v>0.41538461500000001</v>
      </c>
      <c r="M1183" s="19">
        <v>0.7218</v>
      </c>
      <c r="N1183" s="19">
        <v>0.4219</v>
      </c>
      <c r="O1183" s="19">
        <v>0.64490000000000003</v>
      </c>
      <c r="P1183" s="19">
        <v>0.71430000000000005</v>
      </c>
      <c r="Q1183" s="19"/>
      <c r="R1183" s="20">
        <v>45440</v>
      </c>
      <c r="S1183" s="21" t="str">
        <f>HYPERLINK("https://www.lewisu.edu/admissions/finaid/scholarshipcalculator.htm", "$15575")</f>
        <v>$15575</v>
      </c>
      <c r="T1183" s="20">
        <v>17461</v>
      </c>
      <c r="U1183" s="20">
        <v>22403</v>
      </c>
      <c r="V1183" s="20">
        <v>3730</v>
      </c>
      <c r="W1183" s="20">
        <v>11845</v>
      </c>
      <c r="Y1183" s="19">
        <v>0.313</v>
      </c>
      <c r="Z1183" s="19">
        <v>0.41239999999999999</v>
      </c>
      <c r="AB1183" s="18">
        <v>4372</v>
      </c>
      <c r="AC1183" s="18">
        <v>4</v>
      </c>
    </row>
    <row r="1184" spans="1:29" ht="15.75" customHeight="1" x14ac:dyDescent="0.2">
      <c r="A1184" s="36" t="str">
        <f>HYPERLINK("https://www.lc.edu", "Lewis and Clark Community College")</f>
        <v>Lewis and Clark Community College</v>
      </c>
      <c r="B1184" s="18" t="s">
        <v>49</v>
      </c>
      <c r="C1184" s="18" t="s">
        <v>137</v>
      </c>
      <c r="D1184" s="18" t="s">
        <v>1477</v>
      </c>
      <c r="E1184" s="18" t="s">
        <v>36</v>
      </c>
      <c r="F1184" s="18" t="s">
        <v>36</v>
      </c>
      <c r="J1184" s="19"/>
      <c r="K1184" s="19">
        <v>0.39419999999999999</v>
      </c>
      <c r="L1184" s="19">
        <v>0.13431151199999999</v>
      </c>
      <c r="M1184" s="19">
        <v>0.43480000000000002</v>
      </c>
      <c r="N1184" s="19">
        <v>0.25</v>
      </c>
      <c r="O1184" s="19">
        <v>0.33329999999999999</v>
      </c>
      <c r="P1184" s="19">
        <v>0</v>
      </c>
      <c r="Q1184" s="19">
        <v>9.2096669000000006E-2</v>
      </c>
      <c r="R1184" s="20">
        <v>22782</v>
      </c>
      <c r="S1184" s="21" t="str">
        <f>HYPERLINK("https://www2.lc.edu/npcalc/", "$17277")</f>
        <v>$17277</v>
      </c>
      <c r="T1184" s="20">
        <v>20704</v>
      </c>
      <c r="U1184" s="20">
        <v>21980</v>
      </c>
      <c r="V1184" s="20">
        <v>3708</v>
      </c>
      <c r="W1184" s="20">
        <v>13569.58333333333</v>
      </c>
      <c r="Y1184" s="19">
        <v>0.24049999999999999</v>
      </c>
      <c r="Z1184" s="19">
        <v>0.19919999999999999</v>
      </c>
      <c r="AB1184" s="18">
        <v>3293</v>
      </c>
      <c r="AC1184" s="18">
        <v>6</v>
      </c>
    </row>
    <row r="1185" spans="1:29" ht="15.75" customHeight="1" x14ac:dyDescent="0.2">
      <c r="A1185" s="36" t="str">
        <f>HYPERLINK("https://www.lcsc.edu", "Lewis-Clark State College")</f>
        <v>Lewis-Clark State College</v>
      </c>
      <c r="B1185" s="18" t="s">
        <v>49</v>
      </c>
      <c r="C1185" s="18" t="s">
        <v>486</v>
      </c>
      <c r="D1185" s="18" t="s">
        <v>44</v>
      </c>
      <c r="E1185" s="18">
        <v>1013</v>
      </c>
      <c r="F1185" s="18" t="s">
        <v>35</v>
      </c>
      <c r="J1185" s="19"/>
      <c r="K1185" s="19">
        <v>0.27779999999999999</v>
      </c>
      <c r="L1185" s="19">
        <v>0.31369150800000001</v>
      </c>
      <c r="M1185" s="19">
        <v>0.29480000000000001</v>
      </c>
      <c r="N1185" s="19">
        <v>0.16669999999999999</v>
      </c>
      <c r="O1185" s="19">
        <v>0.24</v>
      </c>
      <c r="P1185" s="19">
        <v>0.16669999999999999</v>
      </c>
      <c r="Q1185" s="19"/>
      <c r="R1185" s="20">
        <v>28810</v>
      </c>
      <c r="S1185" s="21" t="str">
        <f>HYPERLINK("https://connect.lcsc.edu/npcalc", "$22969")</f>
        <v>$22969</v>
      </c>
      <c r="T1185" s="20">
        <v>24765</v>
      </c>
      <c r="U1185" s="20">
        <v>25512</v>
      </c>
      <c r="V1185" s="20">
        <v>3850</v>
      </c>
      <c r="W1185" s="20">
        <v>19119.745222929942</v>
      </c>
      <c r="Y1185" s="19">
        <v>0.34510000000000002</v>
      </c>
      <c r="Z1185" s="19">
        <v>0.2064</v>
      </c>
      <c r="AB1185" s="18">
        <v>2941</v>
      </c>
      <c r="AC1185" s="18">
        <v>4</v>
      </c>
    </row>
    <row r="1186" spans="1:29" ht="15.75" customHeight="1" x14ac:dyDescent="0.2">
      <c r="A1186" s="36" t="str">
        <f>HYPERLINK("https://www.libertytc.org", "Liberty Technical College")</f>
        <v>Liberty Technical College</v>
      </c>
      <c r="B1186" s="18" t="s">
        <v>368</v>
      </c>
      <c r="C1186" s="18" t="s">
        <v>284</v>
      </c>
      <c r="D1186" s="18" t="s">
        <v>1478</v>
      </c>
      <c r="E1186" s="18" t="s">
        <v>36</v>
      </c>
      <c r="F1186" s="18" t="s">
        <v>36</v>
      </c>
      <c r="J1186" s="19"/>
      <c r="K1186" s="19">
        <v>0.7</v>
      </c>
      <c r="L1186" s="19" t="s">
        <v>36</v>
      </c>
      <c r="M1186" s="19" t="s">
        <v>36</v>
      </c>
      <c r="N1186" s="19" t="s">
        <v>36</v>
      </c>
      <c r="O1186" s="19">
        <v>0.7</v>
      </c>
      <c r="P1186" s="19" t="s">
        <v>36</v>
      </c>
      <c r="Q1186" s="19" t="s">
        <v>36</v>
      </c>
      <c r="R1186" s="20" t="s">
        <v>36</v>
      </c>
      <c r="S1186" s="21" t="str">
        <f>HYPERLINK("https://www.libertytc.org/index.php/informacion/net-price-calculator.html", "Not reported")</f>
        <v>Not reported</v>
      </c>
      <c r="T1186" s="20" t="s">
        <v>36</v>
      </c>
      <c r="U1186" s="20" t="s">
        <v>36</v>
      </c>
      <c r="V1186" s="20" t="s">
        <v>36</v>
      </c>
      <c r="W1186" s="20" t="s">
        <v>36</v>
      </c>
      <c r="Y1186" s="19">
        <v>0.89700000000000002</v>
      </c>
      <c r="Z1186" s="19">
        <v>1</v>
      </c>
      <c r="AB1186" s="18">
        <v>135</v>
      </c>
      <c r="AC1186" s="18">
        <v>6</v>
      </c>
    </row>
    <row r="1187" spans="1:29" ht="15.75" customHeight="1" x14ac:dyDescent="0.2">
      <c r="A1187" s="36" t="str">
        <f>HYPERLINK("https://www.liberty.edu", "Liberty University")</f>
        <v>Liberty University</v>
      </c>
      <c r="B1187" s="18" t="s">
        <v>32</v>
      </c>
      <c r="C1187" s="18" t="s">
        <v>83</v>
      </c>
      <c r="D1187" s="18" t="s">
        <v>449</v>
      </c>
      <c r="E1187" s="18">
        <v>1157</v>
      </c>
      <c r="F1187" s="18" t="s">
        <v>35</v>
      </c>
      <c r="J1187" s="19"/>
      <c r="K1187" s="19">
        <v>0.46970000000000001</v>
      </c>
      <c r="L1187" s="19">
        <v>0.26970645199999999</v>
      </c>
      <c r="M1187" s="19">
        <v>0.57350000000000001</v>
      </c>
      <c r="N1187" s="19">
        <v>0.12989999999999999</v>
      </c>
      <c r="O1187" s="19">
        <v>0.25629999999999997</v>
      </c>
      <c r="P1187" s="19">
        <v>0.54759999999999998</v>
      </c>
      <c r="Q1187" s="19"/>
      <c r="R1187" s="20">
        <v>38364</v>
      </c>
      <c r="S1187" s="21" t="str">
        <f>HYPERLINK("https://www.liberty.edu/npc/1516/userInfo?fn=null&amp;ln=null&amp;ad=null&amp;ci=null&amp;st=null&amp;zc=null&amp;ph=null&amp;em=null&amp;s=null&amp;l=null", "$25234")</f>
        <v>$25234</v>
      </c>
      <c r="T1187" s="20">
        <v>26731</v>
      </c>
      <c r="U1187" s="20">
        <v>29071</v>
      </c>
      <c r="V1187" s="20">
        <v>7435</v>
      </c>
      <c r="W1187" s="20">
        <v>17799</v>
      </c>
      <c r="Y1187" s="19">
        <v>0.45569999999999999</v>
      </c>
      <c r="Z1187" s="19">
        <v>0.50059999999999993</v>
      </c>
      <c r="AB1187" s="18">
        <v>45364</v>
      </c>
      <c r="AC1187" s="18">
        <v>4</v>
      </c>
    </row>
    <row r="1188" spans="1:29" ht="15.75" customHeight="1" x14ac:dyDescent="0.2">
      <c r="A1188" s="36" t="str">
        <f>HYPERLINK("https://www.limestone.edu", "Limestone College")</f>
        <v>Limestone College</v>
      </c>
      <c r="B1188" s="18" t="s">
        <v>32</v>
      </c>
      <c r="C1188" s="18" t="s">
        <v>208</v>
      </c>
      <c r="D1188" s="18" t="s">
        <v>914</v>
      </c>
      <c r="E1188" s="18">
        <v>1019</v>
      </c>
      <c r="F1188" s="18" t="s">
        <v>35</v>
      </c>
      <c r="J1188" s="19"/>
      <c r="K1188" s="19">
        <v>0.43359999999999999</v>
      </c>
      <c r="L1188" s="19">
        <v>0.38407079700000002</v>
      </c>
      <c r="M1188" s="19">
        <v>0.5746</v>
      </c>
      <c r="N1188" s="19">
        <v>0.2414</v>
      </c>
      <c r="O1188" s="19">
        <v>0.375</v>
      </c>
      <c r="P1188" s="19">
        <v>0</v>
      </c>
      <c r="Q1188" s="19"/>
      <c r="R1188" s="20">
        <v>41001</v>
      </c>
      <c r="S1188" s="21" t="str">
        <f>HYPERLINK("https://lcnetprice.com/", "$22036")</f>
        <v>$22036</v>
      </c>
      <c r="T1188" s="20">
        <v>26860</v>
      </c>
      <c r="U1188" s="20">
        <v>25291</v>
      </c>
      <c r="V1188" s="20">
        <v>7168</v>
      </c>
      <c r="W1188" s="20">
        <v>14868</v>
      </c>
      <c r="Y1188" s="19">
        <v>0.50919999999999999</v>
      </c>
      <c r="Z1188" s="19">
        <v>0.54600000000000004</v>
      </c>
      <c r="AB1188" s="18">
        <v>2491</v>
      </c>
      <c r="AC1188" s="18">
        <v>4</v>
      </c>
    </row>
    <row r="1189" spans="1:29" ht="15.75" customHeight="1" x14ac:dyDescent="0.2">
      <c r="A1189" s="36" t="str">
        <f>HYPERLINK("https://lincolncollege.edu", "Lincoln College")</f>
        <v>Lincoln College</v>
      </c>
      <c r="B1189" s="18" t="s">
        <v>32</v>
      </c>
      <c r="C1189" s="18" t="s">
        <v>137</v>
      </c>
      <c r="D1189" s="18" t="s">
        <v>516</v>
      </c>
      <c r="E1189" s="18">
        <v>886</v>
      </c>
      <c r="F1189" s="18" t="s">
        <v>115</v>
      </c>
      <c r="J1189" s="19"/>
      <c r="K1189" s="19">
        <v>0.31319999999999998</v>
      </c>
      <c r="L1189" s="19">
        <v>0.211340206</v>
      </c>
      <c r="M1189" s="19">
        <v>0.45390000000000003</v>
      </c>
      <c r="N1189" s="19">
        <v>0.17469999999999999</v>
      </c>
      <c r="O1189" s="19">
        <v>0.28000000000000003</v>
      </c>
      <c r="P1189" s="19">
        <v>1</v>
      </c>
      <c r="Q1189" s="19">
        <v>5.5800294E-2</v>
      </c>
      <c r="R1189" s="20">
        <v>34630</v>
      </c>
      <c r="S1189" s="21" t="str">
        <f>HYPERLINK("https://lincolncollege.edu/npcalc.htm", "$15135")</f>
        <v>$15135</v>
      </c>
      <c r="T1189" s="20">
        <v>17048</v>
      </c>
      <c r="U1189" s="20">
        <v>19218</v>
      </c>
      <c r="V1189" s="20" t="s">
        <v>36</v>
      </c>
      <c r="W1189" s="20" t="s">
        <v>36</v>
      </c>
      <c r="Y1189" s="19">
        <v>0.58560000000000001</v>
      </c>
      <c r="Z1189" s="19">
        <v>0.59640000000000004</v>
      </c>
      <c r="AB1189" s="18">
        <v>1043</v>
      </c>
      <c r="AC1189" s="18">
        <v>6</v>
      </c>
    </row>
    <row r="1190" spans="1:29" ht="15.75" customHeight="1" x14ac:dyDescent="0.2">
      <c r="A1190" s="36" t="str">
        <f>HYPERLINK("https://www.lincolncollegene.edu", "Lincoln College of New England-Southington")</f>
        <v>Lincoln College of New England-Southington</v>
      </c>
      <c r="B1190" s="18" t="s">
        <v>368</v>
      </c>
      <c r="C1190" s="18" t="s">
        <v>94</v>
      </c>
      <c r="D1190" s="18" t="s">
        <v>1479</v>
      </c>
      <c r="E1190" s="18" t="s">
        <v>36</v>
      </c>
      <c r="F1190" s="18" t="s">
        <v>36</v>
      </c>
      <c r="J1190" s="19"/>
      <c r="K1190" s="19">
        <v>0.27429999999999999</v>
      </c>
      <c r="L1190" s="19">
        <v>0.21691176500000001</v>
      </c>
      <c r="M1190" s="19">
        <v>0.40260000000000001</v>
      </c>
      <c r="N1190" s="19">
        <v>0.16</v>
      </c>
      <c r="O1190" s="19">
        <v>0.1613</v>
      </c>
      <c r="P1190" s="19">
        <v>0</v>
      </c>
      <c r="Q1190" s="19">
        <v>5.9500959999999999E-2</v>
      </c>
      <c r="R1190" s="20">
        <v>37510</v>
      </c>
      <c r="S1190" s="21" t="str">
        <f>HYPERLINK("https://www.lincolnedu.com/net-price-calculator", "$22389")</f>
        <v>$22389</v>
      </c>
      <c r="T1190" s="20">
        <v>25704</v>
      </c>
      <c r="U1190" s="20" t="s">
        <v>36</v>
      </c>
      <c r="V1190" s="20">
        <v>6160</v>
      </c>
      <c r="W1190" s="20">
        <v>16229</v>
      </c>
      <c r="Y1190" s="19">
        <v>0.55410000000000004</v>
      </c>
      <c r="Z1190" s="19">
        <v>0.49890000000000001</v>
      </c>
      <c r="AB1190" s="18">
        <v>465</v>
      </c>
      <c r="AC1190" s="18">
        <v>6</v>
      </c>
    </row>
    <row r="1191" spans="1:29" ht="15.75" customHeight="1" x14ac:dyDescent="0.2">
      <c r="A1191" s="36" t="str">
        <f>HYPERLINK("https://www.lincolntech.edu/campus/marietta-ga", "Lincoln College of Technology-Marietta")</f>
        <v>Lincoln College of Technology-Marietta</v>
      </c>
      <c r="B1191" s="18" t="s">
        <v>368</v>
      </c>
      <c r="C1191" s="18" t="s">
        <v>107</v>
      </c>
      <c r="D1191" s="18" t="s">
        <v>948</v>
      </c>
      <c r="E1191" s="18" t="s">
        <v>36</v>
      </c>
      <c r="F1191" s="18" t="s">
        <v>36</v>
      </c>
      <c r="J1191" s="19"/>
      <c r="K1191" s="19">
        <v>0.61629999999999996</v>
      </c>
      <c r="L1191" s="19">
        <v>0.51678832100000005</v>
      </c>
      <c r="M1191" s="19">
        <v>0.64710000000000001</v>
      </c>
      <c r="N1191" s="19">
        <v>0.57999999999999996</v>
      </c>
      <c r="O1191" s="19">
        <v>0.6</v>
      </c>
      <c r="P1191" s="19">
        <v>0.66669999999999996</v>
      </c>
      <c r="Q1191" s="19">
        <v>3.5707712000000003E-2</v>
      </c>
      <c r="R1191" s="20" t="s">
        <v>36</v>
      </c>
      <c r="S1191" s="21" t="str">
        <f>HYPERLINK("https://www.lincolntech.edu/net-price-calculator", "$15524")</f>
        <v>$15524</v>
      </c>
      <c r="T1191" s="20">
        <v>16580</v>
      </c>
      <c r="U1191" s="20">
        <v>19356</v>
      </c>
      <c r="V1191" s="20" t="s">
        <v>36</v>
      </c>
      <c r="W1191" s="20" t="s">
        <v>36</v>
      </c>
      <c r="Y1191" s="19">
        <v>0.70409999999999995</v>
      </c>
      <c r="Z1191" s="19">
        <v>0.88460000000000005</v>
      </c>
      <c r="AB1191" s="18">
        <v>286</v>
      </c>
      <c r="AC1191" s="18">
        <v>6</v>
      </c>
    </row>
    <row r="1192" spans="1:29" ht="15.75" customHeight="1" x14ac:dyDescent="0.2">
      <c r="A1192" s="36" t="str">
        <f>HYPERLINK("https://www.llcc.edu", "Lincoln Land Community College")</f>
        <v>Lincoln Land Community College</v>
      </c>
      <c r="B1192" s="18" t="s">
        <v>49</v>
      </c>
      <c r="C1192" s="18" t="s">
        <v>137</v>
      </c>
      <c r="D1192" s="18" t="s">
        <v>349</v>
      </c>
      <c r="E1192" s="18" t="s">
        <v>36</v>
      </c>
      <c r="F1192" s="18" t="s">
        <v>36</v>
      </c>
      <c r="J1192" s="19"/>
      <c r="K1192" s="19">
        <v>0.312</v>
      </c>
      <c r="L1192" s="19">
        <v>0.134099617</v>
      </c>
      <c r="M1192" s="19">
        <v>0.34920000000000001</v>
      </c>
      <c r="N1192" s="19">
        <v>0.125</v>
      </c>
      <c r="O1192" s="19">
        <v>0.22500000000000001</v>
      </c>
      <c r="P1192" s="19">
        <v>0.42859999999999998</v>
      </c>
      <c r="Q1192" s="19">
        <v>7.6297050000000005E-2</v>
      </c>
      <c r="R1192" s="20">
        <v>21721</v>
      </c>
      <c r="S1192" s="21" t="str">
        <f>HYPERLINK("https://ww3.llcc.edu/calc/npcalc.htm", "$15735")</f>
        <v>$15735</v>
      </c>
      <c r="T1192" s="20">
        <v>18703</v>
      </c>
      <c r="U1192" s="20">
        <v>21375</v>
      </c>
      <c r="V1192" s="20">
        <v>5626</v>
      </c>
      <c r="W1192" s="20">
        <v>10109.96629213483</v>
      </c>
      <c r="Y1192" s="19">
        <v>0.33950000000000002</v>
      </c>
      <c r="Z1192" s="19">
        <v>0.26160000000000011</v>
      </c>
      <c r="AB1192" s="18">
        <v>4530</v>
      </c>
      <c r="AC1192" s="18">
        <v>6</v>
      </c>
    </row>
    <row r="1193" spans="1:29" ht="15.75" customHeight="1" x14ac:dyDescent="0.2">
      <c r="A1193" s="36" t="str">
        <f>HYPERLINK("https://www.lmunet.edu", "Lincoln Memorial University")</f>
        <v>Lincoln Memorial University</v>
      </c>
      <c r="B1193" s="18" t="s">
        <v>32</v>
      </c>
      <c r="C1193" s="18" t="s">
        <v>174</v>
      </c>
      <c r="D1193" s="18" t="s">
        <v>915</v>
      </c>
      <c r="E1193" s="18">
        <v>1098</v>
      </c>
      <c r="F1193" s="18" t="s">
        <v>35</v>
      </c>
      <c r="J1193" s="19"/>
      <c r="K1193" s="19">
        <v>0.46100000000000002</v>
      </c>
      <c r="L1193" s="19">
        <v>0.42349726799999998</v>
      </c>
      <c r="M1193" s="19">
        <v>0.49</v>
      </c>
      <c r="N1193" s="19">
        <v>0.4</v>
      </c>
      <c r="O1193" s="19">
        <v>0.5</v>
      </c>
      <c r="P1193" s="19" t="s">
        <v>36</v>
      </c>
      <c r="Q1193" s="19"/>
      <c r="R1193" s="20">
        <v>36570</v>
      </c>
      <c r="S1193" s="21" t="str">
        <f>HYPERLINK("https://www.lmunet.edu/admissions/financial-aid/net-price-calculator", "$16323")</f>
        <v>$16323</v>
      </c>
      <c r="T1193" s="20">
        <v>18152</v>
      </c>
      <c r="U1193" s="20">
        <v>21459</v>
      </c>
      <c r="V1193" s="20">
        <v>6870</v>
      </c>
      <c r="W1193" s="20">
        <v>9453</v>
      </c>
      <c r="Y1193" s="19">
        <v>0.46089999999999998</v>
      </c>
      <c r="Z1193" s="19">
        <v>0.1472</v>
      </c>
      <c r="AB1193" s="18">
        <v>1821</v>
      </c>
      <c r="AC1193" s="18">
        <v>4</v>
      </c>
    </row>
    <row r="1194" spans="1:29" ht="15.75" customHeight="1" x14ac:dyDescent="0.2">
      <c r="A1194" s="36" t="str">
        <f>HYPERLINK("https://www.lincolntech.edu/campus/philadelphia-pa", "Lincoln Technical Institute-Philadelphia")</f>
        <v>Lincoln Technical Institute-Philadelphia</v>
      </c>
      <c r="B1194" s="18" t="s">
        <v>368</v>
      </c>
      <c r="C1194" s="18" t="s">
        <v>65</v>
      </c>
      <c r="D1194" s="18" t="s">
        <v>168</v>
      </c>
      <c r="E1194" s="18" t="s">
        <v>36</v>
      </c>
      <c r="F1194" s="18" t="s">
        <v>36</v>
      </c>
      <c r="J1194" s="19"/>
      <c r="K1194" s="19">
        <v>0.44059999999999999</v>
      </c>
      <c r="L1194" s="19">
        <v>0.51066758400000001</v>
      </c>
      <c r="M1194" s="19">
        <v>0.59650000000000003</v>
      </c>
      <c r="N1194" s="19">
        <v>0.35770000000000002</v>
      </c>
      <c r="O1194" s="19">
        <v>0.4259</v>
      </c>
      <c r="P1194" s="19">
        <v>0.5625</v>
      </c>
      <c r="Q1194" s="19">
        <v>1.1086475E-2</v>
      </c>
      <c r="R1194" s="20" t="s">
        <v>36</v>
      </c>
      <c r="S1194" s="21" t="str">
        <f>HYPERLINK("https://www.lincolntech.edu/net-price-calculator", "$21567")</f>
        <v>$21567</v>
      </c>
      <c r="T1194" s="20">
        <v>24256</v>
      </c>
      <c r="U1194" s="20">
        <v>26486</v>
      </c>
      <c r="V1194" s="20" t="s">
        <v>36</v>
      </c>
      <c r="W1194" s="20" t="s">
        <v>36</v>
      </c>
      <c r="Y1194" s="19">
        <v>0.81889999999999996</v>
      </c>
      <c r="Z1194" s="19">
        <v>0.80889999999999995</v>
      </c>
      <c r="AB1194" s="18">
        <v>246</v>
      </c>
      <c r="AC1194" s="18">
        <v>6</v>
      </c>
    </row>
    <row r="1195" spans="1:29" ht="15.75" customHeight="1" x14ac:dyDescent="0.2">
      <c r="A1195" s="36" t="str">
        <f>HYPERLINK("https://www.lincolntech.edu/campus/union-nj", "Lincoln Technical Institute-Union")</f>
        <v>Lincoln Technical Institute-Union</v>
      </c>
      <c r="B1195" s="18" t="s">
        <v>368</v>
      </c>
      <c r="C1195" s="18" t="s">
        <v>141</v>
      </c>
      <c r="D1195" s="18" t="s">
        <v>870</v>
      </c>
      <c r="E1195" s="18" t="s">
        <v>36</v>
      </c>
      <c r="F1195" s="18" t="s">
        <v>36</v>
      </c>
      <c r="J1195" s="19"/>
      <c r="K1195" s="19">
        <v>0.64410000000000001</v>
      </c>
      <c r="L1195" s="19">
        <v>0.305363781</v>
      </c>
      <c r="M1195" s="19" t="s">
        <v>36</v>
      </c>
      <c r="N1195" s="19" t="s">
        <v>36</v>
      </c>
      <c r="O1195" s="19" t="s">
        <v>36</v>
      </c>
      <c r="P1195" s="19" t="s">
        <v>36</v>
      </c>
      <c r="Q1195" s="19">
        <v>5.7316249999999997E-3</v>
      </c>
      <c r="R1195" s="20" t="s">
        <v>36</v>
      </c>
      <c r="S1195" s="21" t="str">
        <f>HYPERLINK("https://www.lincolntech.edu/net-price-calculator", "$17532")</f>
        <v>$17532</v>
      </c>
      <c r="T1195" s="20">
        <v>20040</v>
      </c>
      <c r="U1195" s="20">
        <v>21104</v>
      </c>
      <c r="V1195" s="20" t="s">
        <v>36</v>
      </c>
      <c r="W1195" s="20" t="s">
        <v>36</v>
      </c>
      <c r="Y1195" s="19">
        <v>0.70740000000000003</v>
      </c>
      <c r="Z1195" s="19">
        <v>0.83740000000000003</v>
      </c>
      <c r="AB1195" s="18">
        <v>1224</v>
      </c>
      <c r="AC1195" s="18">
        <v>6</v>
      </c>
    </row>
    <row r="1196" spans="1:29" ht="15.75" customHeight="1" x14ac:dyDescent="0.2">
      <c r="A1196" s="36" t="str">
        <f>HYPERLINK("https://www.iecc.edu/ltc", "Lincoln Trail College")</f>
        <v>Lincoln Trail College</v>
      </c>
      <c r="B1196" s="18" t="s">
        <v>49</v>
      </c>
      <c r="C1196" s="18" t="s">
        <v>137</v>
      </c>
      <c r="D1196" s="18" t="s">
        <v>1480</v>
      </c>
      <c r="E1196" s="18" t="s">
        <v>36</v>
      </c>
      <c r="F1196" s="18" t="s">
        <v>36</v>
      </c>
      <c r="J1196" s="19"/>
      <c r="K1196" s="19">
        <v>0.47439999999999999</v>
      </c>
      <c r="L1196" s="19">
        <v>0.28729281800000001</v>
      </c>
      <c r="M1196" s="19">
        <v>0.49659999999999999</v>
      </c>
      <c r="N1196" s="19">
        <v>0.4</v>
      </c>
      <c r="O1196" s="19">
        <v>0</v>
      </c>
      <c r="P1196" s="19">
        <v>0</v>
      </c>
      <c r="Q1196" s="19">
        <v>6.3829786999999999E-2</v>
      </c>
      <c r="R1196" s="20">
        <v>20755</v>
      </c>
      <c r="S1196" s="21" t="str">
        <f>HYPERLINK("https://www.iecc.edu/files_user/FAID/netcalc/npcalc.htm", "$15718")</f>
        <v>$15718</v>
      </c>
      <c r="T1196" s="20">
        <v>18490</v>
      </c>
      <c r="U1196" s="20">
        <v>19690</v>
      </c>
      <c r="V1196" s="20">
        <v>2900</v>
      </c>
      <c r="W1196" s="20">
        <v>12818.92307692308</v>
      </c>
      <c r="Y1196" s="19">
        <v>0.2752</v>
      </c>
      <c r="Z1196" s="19">
        <v>0.13739999999999999</v>
      </c>
      <c r="AB1196" s="18">
        <v>495</v>
      </c>
      <c r="AC1196" s="18">
        <v>6</v>
      </c>
    </row>
    <row r="1197" spans="1:29" ht="15.75" customHeight="1" x14ac:dyDescent="0.2">
      <c r="A1197" s="36" t="str">
        <f>HYPERLINK("https://www.lincoln.edu", "Lincoln University")</f>
        <v>Lincoln University</v>
      </c>
      <c r="B1197" s="18" t="s">
        <v>49</v>
      </c>
      <c r="C1197" s="18" t="s">
        <v>65</v>
      </c>
      <c r="D1197" s="18" t="s">
        <v>773</v>
      </c>
      <c r="E1197" s="18">
        <v>970</v>
      </c>
      <c r="F1197" s="18" t="s">
        <v>35</v>
      </c>
      <c r="J1197" s="19"/>
      <c r="K1197" s="19">
        <v>0.46229999999999999</v>
      </c>
      <c r="L1197" s="19">
        <v>0.38541666699999999</v>
      </c>
      <c r="M1197" s="19">
        <v>0.6</v>
      </c>
      <c r="N1197" s="19">
        <v>0.4239</v>
      </c>
      <c r="O1197" s="19">
        <v>0.6</v>
      </c>
      <c r="P1197" s="19">
        <v>0.5</v>
      </c>
      <c r="Q1197" s="19"/>
      <c r="R1197" s="20">
        <v>33127</v>
      </c>
      <c r="S1197" s="21" t="str">
        <f>HYPERLINK("https://www.lincoln.edu/departments/financial-aid/net-price-calculator", "$24081")</f>
        <v>$24081</v>
      </c>
      <c r="T1197" s="20">
        <v>27155</v>
      </c>
      <c r="U1197" s="20">
        <v>30579</v>
      </c>
      <c r="V1197" s="20">
        <v>6477</v>
      </c>
      <c r="W1197" s="20">
        <v>17604.48201438849</v>
      </c>
      <c r="Y1197" s="19">
        <v>0.64859999999999995</v>
      </c>
      <c r="Z1197" s="19">
        <v>0.98950000000000005</v>
      </c>
      <c r="AB1197" s="18">
        <v>1994</v>
      </c>
      <c r="AC1197" s="18">
        <v>5</v>
      </c>
    </row>
    <row r="1198" spans="1:29" ht="15.75" customHeight="1" x14ac:dyDescent="0.2">
      <c r="A1198" s="36" t="str">
        <f>HYPERLINK("https://www.lincolnu.edu/", "Lincoln University")</f>
        <v>Lincoln University</v>
      </c>
      <c r="B1198" s="18" t="s">
        <v>49</v>
      </c>
      <c r="C1198" s="18" t="s">
        <v>164</v>
      </c>
      <c r="D1198" s="18" t="s">
        <v>623</v>
      </c>
      <c r="E1198" s="18" t="s">
        <v>36</v>
      </c>
      <c r="F1198" s="18" t="s">
        <v>36</v>
      </c>
      <c r="J1198" s="19"/>
      <c r="K1198" s="19">
        <v>0.15840000000000001</v>
      </c>
      <c r="L1198" s="19">
        <v>0.164763458</v>
      </c>
      <c r="M1198" s="19">
        <v>0.31130000000000002</v>
      </c>
      <c r="N1198" s="19">
        <v>0.1002</v>
      </c>
      <c r="O1198" s="19">
        <v>0.28570000000000001</v>
      </c>
      <c r="P1198" s="19">
        <v>0</v>
      </c>
      <c r="Q1198" s="19"/>
      <c r="R1198" s="20">
        <v>24994</v>
      </c>
      <c r="S1198" s="21" t="str">
        <f>HYPERLINK("https://www.lincolnu.edu/web/net-price-calculator", "$18450")</f>
        <v>$18450</v>
      </c>
      <c r="T1198" s="20">
        <v>20359</v>
      </c>
      <c r="U1198" s="20">
        <v>21713</v>
      </c>
      <c r="V1198" s="20">
        <v>4052</v>
      </c>
      <c r="W1198" s="20">
        <v>14398.88043478261</v>
      </c>
      <c r="Y1198" s="19">
        <v>0.55810000000000004</v>
      </c>
      <c r="Z1198" s="19">
        <v>0.71</v>
      </c>
      <c r="AB1198" s="18">
        <v>2045</v>
      </c>
      <c r="AC1198" s="18">
        <v>5</v>
      </c>
    </row>
    <row r="1199" spans="1:29" ht="15.75" customHeight="1" x14ac:dyDescent="0.2">
      <c r="A1199" s="36" t="str">
        <f>HYPERLINK("https://www.lindenwood.edu", "Lindenwood University")</f>
        <v>Lindenwood University</v>
      </c>
      <c r="B1199" s="18" t="s">
        <v>32</v>
      </c>
      <c r="C1199" s="18" t="s">
        <v>164</v>
      </c>
      <c r="D1199" s="18" t="s">
        <v>917</v>
      </c>
      <c r="E1199" s="18">
        <v>1097</v>
      </c>
      <c r="F1199" s="18" t="s">
        <v>35</v>
      </c>
      <c r="J1199" s="19"/>
      <c r="K1199" s="19">
        <v>0.4985</v>
      </c>
      <c r="L1199" s="19">
        <v>0.42233632900000001</v>
      </c>
      <c r="M1199" s="19">
        <v>0.53380000000000005</v>
      </c>
      <c r="N1199" s="19">
        <v>0.23330000000000001</v>
      </c>
      <c r="O1199" s="19">
        <v>0.5</v>
      </c>
      <c r="P1199" s="19">
        <v>0.42859999999999998</v>
      </c>
      <c r="Q1199" s="19"/>
      <c r="R1199" s="20">
        <v>30560</v>
      </c>
      <c r="S1199" s="21" t="str">
        <f>HYPERLINK("https://www.aidcalc.com/lindenwood/netprice.htm", "$15010")</f>
        <v>$15010</v>
      </c>
      <c r="T1199" s="20">
        <v>15484</v>
      </c>
      <c r="U1199" s="20">
        <v>19251</v>
      </c>
      <c r="V1199" s="20">
        <v>4800</v>
      </c>
      <c r="W1199" s="20">
        <v>10210</v>
      </c>
      <c r="Y1199" s="19">
        <v>0.3377</v>
      </c>
      <c r="Z1199" s="19">
        <v>0.50019999999999998</v>
      </c>
      <c r="AB1199" s="18">
        <v>6807</v>
      </c>
      <c r="AC1199" s="18">
        <v>4</v>
      </c>
    </row>
    <row r="1200" spans="1:29" ht="15.75" customHeight="1" x14ac:dyDescent="0.2">
      <c r="A1200" s="36" t="str">
        <f>HYPERLINK("https://www.lindenwood.edu/belleville/", "Lindenwood University-Belleville")</f>
        <v>Lindenwood University-Belleville</v>
      </c>
      <c r="B1200" s="18" t="s">
        <v>32</v>
      </c>
      <c r="C1200" s="18" t="s">
        <v>137</v>
      </c>
      <c r="D1200" s="18" t="s">
        <v>919</v>
      </c>
      <c r="E1200" s="18" t="s">
        <v>36</v>
      </c>
      <c r="F1200" s="18" t="s">
        <v>36</v>
      </c>
      <c r="J1200" s="19"/>
      <c r="K1200" s="19" t="s">
        <v>36</v>
      </c>
      <c r="L1200" s="19">
        <v>0.42233632900000001</v>
      </c>
      <c r="M1200" s="19" t="s">
        <v>36</v>
      </c>
      <c r="N1200" s="19" t="s">
        <v>36</v>
      </c>
      <c r="O1200" s="19" t="s">
        <v>36</v>
      </c>
      <c r="P1200" s="19" t="s">
        <v>36</v>
      </c>
      <c r="Q1200" s="19"/>
      <c r="R1200" s="20" t="s">
        <v>36</v>
      </c>
      <c r="S1200" s="35" t="s">
        <v>36</v>
      </c>
      <c r="T1200" s="20" t="s">
        <v>36</v>
      </c>
      <c r="U1200" s="20" t="s">
        <v>36</v>
      </c>
      <c r="V1200" s="20" t="s">
        <v>36</v>
      </c>
      <c r="W1200" s="20" t="s">
        <v>36</v>
      </c>
      <c r="Y1200" s="19" t="s">
        <v>36</v>
      </c>
      <c r="Z1200" s="19" t="s">
        <v>36</v>
      </c>
      <c r="AB1200" s="18" t="s">
        <v>36</v>
      </c>
      <c r="AC1200" s="18">
        <v>4</v>
      </c>
    </row>
    <row r="1201" spans="1:29" ht="15.75" customHeight="1" x14ac:dyDescent="0.2">
      <c r="A1201" s="36" t="str">
        <f>HYPERLINK("https://www.lindsey.edu", "Lindsey Wilson College")</f>
        <v>Lindsey Wilson College</v>
      </c>
      <c r="B1201" s="18" t="s">
        <v>32</v>
      </c>
      <c r="C1201" s="18" t="s">
        <v>205</v>
      </c>
      <c r="D1201" s="18" t="s">
        <v>165</v>
      </c>
      <c r="E1201" s="18" t="s">
        <v>36</v>
      </c>
      <c r="F1201" s="18" t="s">
        <v>36</v>
      </c>
      <c r="J1201" s="19"/>
      <c r="K1201" s="19">
        <v>0.35189999999999999</v>
      </c>
      <c r="L1201" s="19">
        <v>0.34765625</v>
      </c>
      <c r="M1201" s="19">
        <v>0.38240000000000002</v>
      </c>
      <c r="N1201" s="19">
        <v>0.22220000000000001</v>
      </c>
      <c r="O1201" s="19">
        <v>0.25</v>
      </c>
      <c r="P1201" s="19">
        <v>1</v>
      </c>
      <c r="Q1201" s="19"/>
      <c r="R1201" s="20">
        <v>39789</v>
      </c>
      <c r="S1201" s="21" t="str">
        <f>HYPERLINK("https://portal.lindsey.edu/forms/financialaid/finaidcalc/", "$15939")</f>
        <v>$15939</v>
      </c>
      <c r="T1201" s="20">
        <v>15070</v>
      </c>
      <c r="U1201" s="20">
        <v>16971</v>
      </c>
      <c r="V1201" s="20">
        <v>6243</v>
      </c>
      <c r="W1201" s="20">
        <v>9696</v>
      </c>
      <c r="Y1201" s="19">
        <v>0.58379999999999999</v>
      </c>
      <c r="Z1201" s="19">
        <v>0.38150000000000001</v>
      </c>
      <c r="AB1201" s="18">
        <v>1958</v>
      </c>
      <c r="AC1201" s="18">
        <v>4</v>
      </c>
    </row>
    <row r="1202" spans="1:29" ht="15.75" customHeight="1" x14ac:dyDescent="0.2">
      <c r="A1202" s="36" t="str">
        <f>HYPERLINK("https://www.linfield.edu", "Linfield College-McMinnville Campus")</f>
        <v>Linfield College-McMinnville Campus</v>
      </c>
      <c r="B1202" s="18" t="s">
        <v>32</v>
      </c>
      <c r="C1202" s="18" t="s">
        <v>143</v>
      </c>
      <c r="D1202" s="18" t="s">
        <v>922</v>
      </c>
      <c r="E1202" s="18">
        <v>1126</v>
      </c>
      <c r="F1202" s="18" t="s">
        <v>35</v>
      </c>
      <c r="J1202" s="19"/>
      <c r="K1202" s="19">
        <v>0.77559999999999996</v>
      </c>
      <c r="L1202" s="19">
        <v>0.57062146899999999</v>
      </c>
      <c r="M1202" s="19">
        <v>0.7732</v>
      </c>
      <c r="N1202" s="19">
        <v>0.66669999999999996</v>
      </c>
      <c r="O1202" s="19">
        <v>0.77780000000000005</v>
      </c>
      <c r="P1202" s="19">
        <v>0.7742</v>
      </c>
      <c r="Q1202" s="19"/>
      <c r="R1202" s="20">
        <v>56712</v>
      </c>
      <c r="S1202" s="21" t="str">
        <f>HYPERLINK("https://www.linfield.edu/financial-aid/calculator.html", "$20492")</f>
        <v>$20492</v>
      </c>
      <c r="T1202" s="20">
        <v>24585</v>
      </c>
      <c r="U1202" s="20">
        <v>28346</v>
      </c>
      <c r="V1202" s="20">
        <v>2650</v>
      </c>
      <c r="W1202" s="20">
        <v>17842</v>
      </c>
      <c r="Y1202" s="19">
        <v>0.26229999999999998</v>
      </c>
      <c r="Z1202" s="19">
        <v>0.40980000000000011</v>
      </c>
      <c r="AA1202" s="18" t="s">
        <v>37</v>
      </c>
      <c r="AB1202" s="18">
        <v>1503</v>
      </c>
      <c r="AC1202" s="18">
        <v>4</v>
      </c>
    </row>
    <row r="1203" spans="1:29" ht="15.75" customHeight="1" x14ac:dyDescent="0.2">
      <c r="A1203" s="36" t="str">
        <f>HYPERLINK("https://www.linnbenton.edu", "Linn-Benton Community College")</f>
        <v>Linn-Benton Community College</v>
      </c>
      <c r="B1203" s="18" t="s">
        <v>49</v>
      </c>
      <c r="C1203" s="18" t="s">
        <v>143</v>
      </c>
      <c r="D1203" s="18" t="s">
        <v>550</v>
      </c>
      <c r="E1203" s="18" t="s">
        <v>36</v>
      </c>
      <c r="F1203" s="18" t="s">
        <v>36</v>
      </c>
      <c r="J1203" s="19"/>
      <c r="K1203" s="19">
        <v>0.1792</v>
      </c>
      <c r="L1203" s="19">
        <v>0.120582121</v>
      </c>
      <c r="M1203" s="19">
        <v>0.1973</v>
      </c>
      <c r="N1203" s="19">
        <v>0.125</v>
      </c>
      <c r="O1203" s="19">
        <v>0.1212</v>
      </c>
      <c r="P1203" s="19">
        <v>0.1</v>
      </c>
      <c r="Q1203" s="19">
        <v>0.107049608</v>
      </c>
      <c r="R1203" s="20">
        <v>23102</v>
      </c>
      <c r="S1203" s="21" t="str">
        <f>HYPERLINK("https://linnbenton.edu/net-price-calculator-folder/npcalc.htm", "$16866")</f>
        <v>$16866</v>
      </c>
      <c r="T1203" s="20">
        <v>19545</v>
      </c>
      <c r="U1203" s="20">
        <v>20513</v>
      </c>
      <c r="V1203" s="20">
        <v>4311</v>
      </c>
      <c r="W1203" s="20">
        <v>12555.37142857143</v>
      </c>
      <c r="Y1203" s="19">
        <v>0.26800000000000002</v>
      </c>
      <c r="Z1203" s="19">
        <v>0.38460000000000011</v>
      </c>
      <c r="AB1203" s="18">
        <v>5723</v>
      </c>
      <c r="AC1203" s="18">
        <v>6</v>
      </c>
    </row>
    <row r="1204" spans="1:29" ht="15.75" customHeight="1" x14ac:dyDescent="0.2">
      <c r="A1204" s="36" t="str">
        <f>HYPERLINK("https://www.lipscomb.edu", "Lipscomb University")</f>
        <v>Lipscomb University</v>
      </c>
      <c r="B1204" s="18" t="s">
        <v>32</v>
      </c>
      <c r="C1204" s="18" t="s">
        <v>174</v>
      </c>
      <c r="D1204" s="18" t="s">
        <v>175</v>
      </c>
      <c r="E1204" s="18">
        <v>1239</v>
      </c>
      <c r="F1204" s="18" t="s">
        <v>35</v>
      </c>
      <c r="J1204" s="19"/>
      <c r="K1204" s="19">
        <v>0.59200000000000008</v>
      </c>
      <c r="L1204" s="19">
        <v>0.52444444400000001</v>
      </c>
      <c r="M1204" s="19">
        <v>0.64749999999999996</v>
      </c>
      <c r="N1204" s="19">
        <v>0.34329999999999999</v>
      </c>
      <c r="O1204" s="19">
        <v>0.4138</v>
      </c>
      <c r="P1204" s="19">
        <v>0.5</v>
      </c>
      <c r="Q1204" s="19"/>
      <c r="R1204" s="20">
        <v>47734</v>
      </c>
      <c r="S1204" s="21" t="str">
        <f>HYPERLINK("https://www.lipscomb.edu/financialaid/resources/net-price-calculator", "$20253")</f>
        <v>$20253</v>
      </c>
      <c r="T1204" s="20">
        <v>24922</v>
      </c>
      <c r="U1204" s="20">
        <v>24944</v>
      </c>
      <c r="V1204" s="20">
        <v>4750</v>
      </c>
      <c r="W1204" s="20">
        <v>15503</v>
      </c>
      <c r="Y1204" s="19">
        <v>0.25590000000000002</v>
      </c>
      <c r="Z1204" s="19">
        <v>0.23710000000000001</v>
      </c>
      <c r="AB1204" s="18">
        <v>2973</v>
      </c>
      <c r="AC1204" s="18">
        <v>3</v>
      </c>
    </row>
    <row r="1205" spans="1:29" ht="15.75" customHeight="1" x14ac:dyDescent="0.2">
      <c r="A1205" s="36" t="str">
        <f>HYPERLINK("https://www.lbhc.edu/", "Little Big Horn College")</f>
        <v>Little Big Horn College</v>
      </c>
      <c r="B1205" s="18" t="s">
        <v>49</v>
      </c>
      <c r="C1205" s="18" t="s">
        <v>421</v>
      </c>
      <c r="D1205" s="18" t="s">
        <v>1481</v>
      </c>
      <c r="E1205" s="18" t="s">
        <v>36</v>
      </c>
      <c r="F1205" s="18" t="s">
        <v>36</v>
      </c>
      <c r="J1205" s="19"/>
      <c r="K1205" s="19">
        <v>2.3300000000000001E-2</v>
      </c>
      <c r="L1205" s="19" t="s">
        <v>36</v>
      </c>
      <c r="M1205" s="19" t="s">
        <v>36</v>
      </c>
      <c r="N1205" s="19" t="s">
        <v>36</v>
      </c>
      <c r="O1205" s="19">
        <v>0</v>
      </c>
      <c r="P1205" s="19" t="s">
        <v>36</v>
      </c>
      <c r="Q1205" s="19" t="s">
        <v>36</v>
      </c>
      <c r="R1205" s="20">
        <v>11635</v>
      </c>
      <c r="S1205" s="21" t="str">
        <f>HYPERLINK("https://www.lbhc.edu/finaid/npcalc.htm", "$7894")</f>
        <v>$7894</v>
      </c>
      <c r="T1205" s="20">
        <v>8183</v>
      </c>
      <c r="U1205" s="20">
        <v>9935</v>
      </c>
      <c r="V1205" s="20">
        <v>2000</v>
      </c>
      <c r="W1205" s="20">
        <v>5894.7083333333339</v>
      </c>
      <c r="Y1205" s="19">
        <v>0.4395</v>
      </c>
      <c r="Z1205" s="19">
        <v>0.98450000000000004</v>
      </c>
      <c r="AB1205" s="18">
        <v>193</v>
      </c>
      <c r="AC1205" s="18">
        <v>6</v>
      </c>
    </row>
    <row r="1206" spans="1:29" ht="15.75" customHeight="1" x14ac:dyDescent="0.2">
      <c r="A1206" s="36" t="str">
        <f>HYPERLINK("https://www.littlepriest.edu", "Little Priest Tribal College")</f>
        <v>Little Priest Tribal College</v>
      </c>
      <c r="B1206" s="18" t="s">
        <v>49</v>
      </c>
      <c r="C1206" s="18" t="s">
        <v>341</v>
      </c>
      <c r="D1206" s="18" t="s">
        <v>1482</v>
      </c>
      <c r="E1206" s="18" t="s">
        <v>36</v>
      </c>
      <c r="F1206" s="18" t="s">
        <v>36</v>
      </c>
      <c r="J1206" s="19"/>
      <c r="K1206" s="19">
        <v>0.1176</v>
      </c>
      <c r="L1206" s="19" t="s">
        <v>36</v>
      </c>
      <c r="M1206" s="19">
        <v>0</v>
      </c>
      <c r="N1206" s="19" t="s">
        <v>36</v>
      </c>
      <c r="O1206" s="19" t="s">
        <v>36</v>
      </c>
      <c r="P1206" s="19" t="s">
        <v>36</v>
      </c>
      <c r="Q1206" s="19" t="s">
        <v>36</v>
      </c>
      <c r="R1206" s="20">
        <v>14874</v>
      </c>
      <c r="S1206" s="21" t="str">
        <f>HYPERLINK("https://www.littlepriest.edu/current-prospective-student/net-price-calculator.html", "$10653")</f>
        <v>$10653</v>
      </c>
      <c r="T1206" s="20">
        <v>13874</v>
      </c>
      <c r="U1206" s="20" t="s">
        <v>36</v>
      </c>
      <c r="V1206" s="20">
        <v>4734</v>
      </c>
      <c r="W1206" s="20">
        <v>5919.5555555555547</v>
      </c>
      <c r="Y1206" s="19">
        <v>0.72729999999999995</v>
      </c>
      <c r="Z1206" s="19">
        <v>0.96</v>
      </c>
      <c r="AB1206" s="18">
        <v>100</v>
      </c>
      <c r="AC1206" s="18">
        <v>6</v>
      </c>
    </row>
    <row r="1207" spans="1:29" ht="15.75" customHeight="1" x14ac:dyDescent="0.2">
      <c r="A1207" s="36" t="str">
        <f>HYPERLINK("https://www.livingstone.edu", "Livingstone College")</f>
        <v>Livingstone College</v>
      </c>
      <c r="B1207" s="18" t="s">
        <v>32</v>
      </c>
      <c r="C1207" s="18" t="s">
        <v>103</v>
      </c>
      <c r="D1207" s="18" t="s">
        <v>469</v>
      </c>
      <c r="E1207" s="18">
        <v>822</v>
      </c>
      <c r="F1207" s="18" t="s">
        <v>35</v>
      </c>
      <c r="J1207" s="19"/>
      <c r="K1207" s="19">
        <v>0.26250000000000001</v>
      </c>
      <c r="L1207" s="19">
        <v>0.25230769199999997</v>
      </c>
      <c r="M1207" s="19">
        <v>0</v>
      </c>
      <c r="N1207" s="19">
        <v>0.26500000000000001</v>
      </c>
      <c r="O1207" s="19">
        <v>0</v>
      </c>
      <c r="P1207" s="19" t="s">
        <v>36</v>
      </c>
      <c r="Q1207" s="19"/>
      <c r="R1207" s="20">
        <v>27659</v>
      </c>
      <c r="S1207" s="21" t="str">
        <f>HYPERLINK("https://www.livingstone.edu/netpricecalculator/", "$16749")</f>
        <v>$16749</v>
      </c>
      <c r="T1207" s="20">
        <v>19306</v>
      </c>
      <c r="U1207" s="20">
        <v>23903</v>
      </c>
      <c r="V1207" s="20">
        <v>3300</v>
      </c>
      <c r="W1207" s="20">
        <v>13449</v>
      </c>
      <c r="Y1207" s="19">
        <v>0.8357</v>
      </c>
      <c r="Z1207" s="19">
        <v>0.99039999999999995</v>
      </c>
      <c r="AB1207" s="18">
        <v>1143</v>
      </c>
      <c r="AC1207" s="18">
        <v>5</v>
      </c>
    </row>
    <row r="1208" spans="1:29" ht="15.75" customHeight="1" x14ac:dyDescent="0.2">
      <c r="A1208" s="36" t="str">
        <f>HYPERLINK("https://www.lockhaven.edu", "Lock Haven University")</f>
        <v>Lock Haven University</v>
      </c>
      <c r="B1208" s="18" t="s">
        <v>49</v>
      </c>
      <c r="C1208" s="18" t="s">
        <v>65</v>
      </c>
      <c r="D1208" s="18" t="s">
        <v>776</v>
      </c>
      <c r="E1208" s="18">
        <v>1004</v>
      </c>
      <c r="F1208" s="18" t="s">
        <v>35</v>
      </c>
      <c r="J1208" s="19"/>
      <c r="K1208" s="19">
        <v>0.54720000000000002</v>
      </c>
      <c r="L1208" s="19">
        <v>0.41192411899999998</v>
      </c>
      <c r="M1208" s="19">
        <v>0.5595</v>
      </c>
      <c r="N1208" s="19">
        <v>0.45979999999999999</v>
      </c>
      <c r="O1208" s="19">
        <v>0.33329999999999999</v>
      </c>
      <c r="P1208" s="19">
        <v>0.625</v>
      </c>
      <c r="Q1208" s="19"/>
      <c r="R1208" s="20">
        <v>35964</v>
      </c>
      <c r="S1208" s="21" t="str">
        <f>HYPERLINK("https://www.passhe.edu/answers/Calculator/LO/npcalc-213613.htm", "$28003")</f>
        <v>$28003</v>
      </c>
      <c r="T1208" s="20">
        <v>31571</v>
      </c>
      <c r="U1208" s="20">
        <v>34866</v>
      </c>
      <c r="V1208" s="20">
        <v>5940</v>
      </c>
      <c r="W1208" s="20">
        <v>22063.538461538461</v>
      </c>
      <c r="Y1208" s="19">
        <v>0.37709999999999999</v>
      </c>
      <c r="Z1208" s="19">
        <v>0.19040000000000001</v>
      </c>
      <c r="AB1208" s="18">
        <v>3425</v>
      </c>
      <c r="AC1208" s="18">
        <v>5</v>
      </c>
    </row>
    <row r="1209" spans="1:29" ht="15.75" customHeight="1" x14ac:dyDescent="0.2">
      <c r="A1209" s="36" t="str">
        <f>HYPERLINK("https://www.lonestar.edu", "Lone Star College System")</f>
        <v>Lone Star College System</v>
      </c>
      <c r="B1209" s="18" t="s">
        <v>49</v>
      </c>
      <c r="C1209" s="18" t="s">
        <v>146</v>
      </c>
      <c r="D1209" s="18" t="s">
        <v>1483</v>
      </c>
      <c r="E1209" s="18" t="s">
        <v>36</v>
      </c>
      <c r="F1209" s="18" t="s">
        <v>36</v>
      </c>
      <c r="J1209" s="19"/>
      <c r="K1209" s="19">
        <v>0.122</v>
      </c>
      <c r="L1209" s="19">
        <v>0.115332975</v>
      </c>
      <c r="M1209" s="19">
        <v>0.12839999999999999</v>
      </c>
      <c r="N1209" s="19">
        <v>6.4299999999999996E-2</v>
      </c>
      <c r="O1209" s="19">
        <v>0.13450000000000001</v>
      </c>
      <c r="P1209" s="19">
        <v>0.15210000000000001</v>
      </c>
      <c r="Q1209" s="19">
        <v>0.112803258</v>
      </c>
      <c r="R1209" s="20">
        <v>21695</v>
      </c>
      <c r="S1209" s="21" t="str">
        <f>HYPERLINK("https://www.lonestar.edu/financial-aid.htm", "$16280")</f>
        <v>$16280</v>
      </c>
      <c r="T1209" s="20">
        <v>19062</v>
      </c>
      <c r="U1209" s="20">
        <v>21236</v>
      </c>
      <c r="V1209" s="20">
        <v>5484</v>
      </c>
      <c r="W1209" s="20">
        <v>10796.21608040201</v>
      </c>
      <c r="Y1209" s="19">
        <v>0.26440000000000002</v>
      </c>
      <c r="Z1209" s="19">
        <v>0.70689999999999997</v>
      </c>
      <c r="AB1209" s="18">
        <v>59107</v>
      </c>
      <c r="AC1209" s="18">
        <v>6</v>
      </c>
    </row>
    <row r="1210" spans="1:29" ht="15.75" customHeight="1" x14ac:dyDescent="0.2">
      <c r="A1210" s="36" t="str">
        <f>HYPERLINK("https://www.lbcc.edu", "Long Beach City College")</f>
        <v>Long Beach City College</v>
      </c>
      <c r="B1210" s="18" t="s">
        <v>49</v>
      </c>
      <c r="C1210" s="18" t="s">
        <v>68</v>
      </c>
      <c r="D1210" s="18" t="s">
        <v>608</v>
      </c>
      <c r="E1210" s="18" t="s">
        <v>36</v>
      </c>
      <c r="F1210" s="18" t="s">
        <v>36</v>
      </c>
      <c r="J1210" s="19"/>
      <c r="K1210" s="19">
        <v>0.18920000000000001</v>
      </c>
      <c r="L1210" s="19" t="s">
        <v>36</v>
      </c>
      <c r="M1210" s="19">
        <v>0.31190000000000001</v>
      </c>
      <c r="N1210" s="19">
        <v>9.6000000000000002E-2</v>
      </c>
      <c r="O1210" s="19">
        <v>0.17960000000000001</v>
      </c>
      <c r="P1210" s="19">
        <v>0.2442</v>
      </c>
      <c r="Q1210" s="19">
        <v>9.9151049000000005E-2</v>
      </c>
      <c r="R1210" s="20">
        <v>27156</v>
      </c>
      <c r="S1210" s="21" t="str">
        <f>HYPERLINK("https://misweb.cccco.edu/npc/841/npcalc.htm", "$20162")</f>
        <v>$20162</v>
      </c>
      <c r="T1210" s="20">
        <v>22620</v>
      </c>
      <c r="U1210" s="20">
        <v>24786</v>
      </c>
      <c r="V1210" s="20">
        <v>6363</v>
      </c>
      <c r="W1210" s="20">
        <v>13799.334136546189</v>
      </c>
      <c r="Y1210" s="19">
        <v>0.33629999999999999</v>
      </c>
      <c r="Z1210" s="19">
        <v>0.86650000000000005</v>
      </c>
      <c r="AB1210" s="18">
        <v>23312</v>
      </c>
      <c r="AC1210" s="18">
        <v>6</v>
      </c>
    </row>
    <row r="1211" spans="1:29" ht="15.75" customHeight="1" x14ac:dyDescent="0.2">
      <c r="A1211" s="36" t="str">
        <f>HYPERLINK("https://www.libi.edu", "Long Island Business Institute")</f>
        <v>Long Island Business Institute</v>
      </c>
      <c r="B1211" s="18" t="s">
        <v>368</v>
      </c>
      <c r="C1211" s="18" t="s">
        <v>38</v>
      </c>
      <c r="D1211" s="18" t="s">
        <v>1374</v>
      </c>
      <c r="E1211" s="18" t="s">
        <v>36</v>
      </c>
      <c r="F1211" s="18" t="s">
        <v>45</v>
      </c>
      <c r="J1211" s="19"/>
      <c r="K1211" s="19">
        <v>0.23960000000000001</v>
      </c>
      <c r="L1211" s="19">
        <v>9.7133758000000001E-2</v>
      </c>
      <c r="M1211" s="19">
        <v>0.5</v>
      </c>
      <c r="N1211" s="19">
        <v>0.4</v>
      </c>
      <c r="O1211" s="19">
        <v>0.16669999999999999</v>
      </c>
      <c r="P1211" s="19">
        <v>0.21429999999999999</v>
      </c>
      <c r="Q1211" s="19">
        <v>2.4590164000000001E-2</v>
      </c>
      <c r="R1211" s="20">
        <v>17175</v>
      </c>
      <c r="S1211" s="21" t="str">
        <f>HYPERLINK("https://libi.edu/net-price-calculator/npcalc.htm", "$14487")</f>
        <v>$14487</v>
      </c>
      <c r="T1211" s="20">
        <v>15714</v>
      </c>
      <c r="U1211" s="20">
        <v>15745</v>
      </c>
      <c r="V1211" s="20">
        <v>2700</v>
      </c>
      <c r="W1211" s="20">
        <v>11787</v>
      </c>
      <c r="Y1211" s="19">
        <v>0.82950000000000002</v>
      </c>
      <c r="Z1211" s="19">
        <v>0.90190000000000003</v>
      </c>
      <c r="AB1211" s="18">
        <v>693</v>
      </c>
      <c r="AC1211" s="18">
        <v>6</v>
      </c>
    </row>
    <row r="1212" spans="1:29" ht="15.75" customHeight="1" x14ac:dyDescent="0.2">
      <c r="A1212" s="36" t="str">
        <f>HYPERLINK("https://liu.edu/CWPost", "LIU Post")</f>
        <v>LIU Post</v>
      </c>
      <c r="B1212" s="18" t="s">
        <v>32</v>
      </c>
      <c r="C1212" s="18" t="s">
        <v>38</v>
      </c>
      <c r="D1212" s="18" t="s">
        <v>924</v>
      </c>
      <c r="E1212" s="18">
        <v>1154</v>
      </c>
      <c r="F1212" s="18" t="s">
        <v>35</v>
      </c>
      <c r="J1212" s="19"/>
      <c r="K1212" s="19">
        <v>0.47320000000000001</v>
      </c>
      <c r="L1212" s="19">
        <v>0.33462033499999999</v>
      </c>
      <c r="M1212" s="19">
        <v>0.5675</v>
      </c>
      <c r="N1212" s="19">
        <v>0.25829999999999997</v>
      </c>
      <c r="O1212" s="19">
        <v>0.42980000000000002</v>
      </c>
      <c r="P1212" s="19">
        <v>0.45829999999999999</v>
      </c>
      <c r="Q1212" s="19"/>
      <c r="R1212" s="20">
        <v>55198</v>
      </c>
      <c r="S1212" s="21" t="str">
        <f>HYPERLINK("https://webapps2.liu.edu/netpricecalc/Calculator.aspx?campus=P", "$24951")</f>
        <v>$24951</v>
      </c>
      <c r="T1212" s="20">
        <v>28973</v>
      </c>
      <c r="U1212" s="20">
        <v>31781</v>
      </c>
      <c r="V1212" s="20">
        <v>4500</v>
      </c>
      <c r="W1212" s="20">
        <v>20451</v>
      </c>
      <c r="Y1212" s="19">
        <v>0.15359999999999999</v>
      </c>
      <c r="Z1212" s="19">
        <v>0.52029999999999998</v>
      </c>
      <c r="AB1212" s="18">
        <v>3133</v>
      </c>
      <c r="AC1212" s="18">
        <v>4</v>
      </c>
    </row>
    <row r="1213" spans="1:29" ht="15.75" customHeight="1" x14ac:dyDescent="0.2">
      <c r="A1213" s="36" t="str">
        <f>HYPERLINK("https://www.longwood.edu", "Longwood University")</f>
        <v>Longwood University</v>
      </c>
      <c r="B1213" s="18" t="s">
        <v>49</v>
      </c>
      <c r="C1213" s="18" t="s">
        <v>83</v>
      </c>
      <c r="D1213" s="18" t="s">
        <v>926</v>
      </c>
      <c r="E1213" s="18">
        <v>1049</v>
      </c>
      <c r="F1213" s="18" t="s">
        <v>35</v>
      </c>
      <c r="J1213" s="19"/>
      <c r="K1213" s="19">
        <v>0.68320000000000003</v>
      </c>
      <c r="L1213" s="19">
        <v>0.45180722899999998</v>
      </c>
      <c r="M1213" s="19">
        <v>0.69499999999999995</v>
      </c>
      <c r="N1213" s="19">
        <v>0.73129999999999995</v>
      </c>
      <c r="O1213" s="19">
        <v>0.58540000000000003</v>
      </c>
      <c r="P1213" s="19">
        <v>0.66669999999999996</v>
      </c>
      <c r="Q1213" s="19"/>
      <c r="R1213" s="20">
        <v>41848</v>
      </c>
      <c r="S1213" s="21" t="str">
        <f>HYPERLINK("https://www.longwood.edu/financialaid/net-price-calculator/", "$30965")</f>
        <v>$30965</v>
      </c>
      <c r="T1213" s="20">
        <v>34475</v>
      </c>
      <c r="U1213" s="20">
        <v>38008</v>
      </c>
      <c r="V1213" s="20">
        <v>3768</v>
      </c>
      <c r="W1213" s="20">
        <v>27197.54193548387</v>
      </c>
      <c r="Y1213" s="19">
        <v>0.2248</v>
      </c>
      <c r="Z1213" s="19">
        <v>0.25960000000000011</v>
      </c>
      <c r="AB1213" s="18">
        <v>4230</v>
      </c>
      <c r="AC1213" s="18">
        <v>4</v>
      </c>
    </row>
    <row r="1214" spans="1:29" ht="15.75" customHeight="1" x14ac:dyDescent="0.2">
      <c r="A1214" s="36" t="str">
        <f>HYPERLINK("https://www.lorainccc.edu", "Lorain County Community College")</f>
        <v>Lorain County Community College</v>
      </c>
      <c r="B1214" s="18" t="s">
        <v>49</v>
      </c>
      <c r="C1214" s="18" t="s">
        <v>75</v>
      </c>
      <c r="D1214" s="18" t="s">
        <v>1484</v>
      </c>
      <c r="E1214" s="18" t="s">
        <v>36</v>
      </c>
      <c r="F1214" s="18" t="s">
        <v>36</v>
      </c>
      <c r="J1214" s="19"/>
      <c r="K1214" s="19">
        <v>0.22589999999999999</v>
      </c>
      <c r="L1214" s="19">
        <v>7.8341014E-2</v>
      </c>
      <c r="M1214" s="19">
        <v>0.25440000000000002</v>
      </c>
      <c r="N1214" s="19">
        <v>5.8000000000000003E-2</v>
      </c>
      <c r="O1214" s="19">
        <v>0.19589999999999999</v>
      </c>
      <c r="P1214" s="19">
        <v>0.25</v>
      </c>
      <c r="Q1214" s="19">
        <v>8.4180790999999991E-2</v>
      </c>
      <c r="R1214" s="20">
        <v>14500</v>
      </c>
      <c r="S1214" s="21" t="str">
        <f>HYPERLINK("https://apps.lorainccc.edu/netprice", "$9542")</f>
        <v>$9542</v>
      </c>
      <c r="T1214" s="20">
        <v>11168</v>
      </c>
      <c r="U1214" s="20">
        <v>13593</v>
      </c>
      <c r="V1214" s="20">
        <v>3315</v>
      </c>
      <c r="W1214" s="20">
        <v>6227.7340720221619</v>
      </c>
      <c r="Y1214" s="19">
        <v>0.35649999999999998</v>
      </c>
      <c r="Z1214" s="19">
        <v>0.28689999999999999</v>
      </c>
      <c r="AB1214" s="18">
        <v>7976</v>
      </c>
      <c r="AC1214" s="18">
        <v>6</v>
      </c>
    </row>
    <row r="1215" spans="1:29" ht="15.75" customHeight="1" x14ac:dyDescent="0.2">
      <c r="A1215" s="36" t="str">
        <f>HYPERLINK("https://www.loras.edu", "Loras College")</f>
        <v>Loras College</v>
      </c>
      <c r="B1215" s="18" t="s">
        <v>32</v>
      </c>
      <c r="C1215" s="18" t="s">
        <v>211</v>
      </c>
      <c r="D1215" s="18" t="s">
        <v>397</v>
      </c>
      <c r="E1215" s="18">
        <v>1144</v>
      </c>
      <c r="F1215" s="18" t="s">
        <v>35</v>
      </c>
      <c r="J1215" s="19"/>
      <c r="K1215" s="19">
        <v>0.68159999999999998</v>
      </c>
      <c r="L1215" s="19">
        <v>0.52083333300000001</v>
      </c>
      <c r="M1215" s="19">
        <v>0.68240000000000001</v>
      </c>
      <c r="N1215" s="19">
        <v>0.66669999999999996</v>
      </c>
      <c r="O1215" s="19">
        <v>0.5</v>
      </c>
      <c r="P1215" s="19">
        <v>0.75</v>
      </c>
      <c r="Q1215" s="19"/>
      <c r="R1215" s="20">
        <v>43837</v>
      </c>
      <c r="S1215" s="21" t="str">
        <f>HYPERLINK("https://www.loras.edu/npc", "$13754")</f>
        <v>$13754</v>
      </c>
      <c r="T1215" s="20">
        <v>16824</v>
      </c>
      <c r="U1215" s="20">
        <v>17903</v>
      </c>
      <c r="V1215" s="20">
        <v>3111</v>
      </c>
      <c r="W1215" s="20">
        <v>10643</v>
      </c>
      <c r="Y1215" s="19">
        <v>0.21870000000000001</v>
      </c>
      <c r="Z1215" s="19">
        <v>0.18210000000000001</v>
      </c>
      <c r="AB1215" s="18">
        <v>1362</v>
      </c>
      <c r="AC1215" s="18">
        <v>3</v>
      </c>
    </row>
    <row r="1216" spans="1:29" ht="15.75" customHeight="1" x14ac:dyDescent="0.2">
      <c r="A1216" s="36" t="str">
        <f>HYPERLINK("https://www.myunion.edu", "Los Angeles Center")</f>
        <v>Los Angeles Center</v>
      </c>
      <c r="B1216" s="18" t="s">
        <v>32</v>
      </c>
      <c r="C1216" s="18" t="s">
        <v>68</v>
      </c>
      <c r="D1216" s="18" t="s">
        <v>140</v>
      </c>
      <c r="E1216" s="18" t="s">
        <v>36</v>
      </c>
      <c r="F1216" s="18" t="s">
        <v>36</v>
      </c>
      <c r="J1216" s="19"/>
      <c r="K1216" s="19" t="s">
        <v>36</v>
      </c>
      <c r="L1216" s="19">
        <v>0.44725738399999998</v>
      </c>
      <c r="M1216" s="19" t="s">
        <v>36</v>
      </c>
      <c r="N1216" s="19" t="s">
        <v>36</v>
      </c>
      <c r="O1216" s="19" t="s">
        <v>36</v>
      </c>
      <c r="P1216" s="19" t="s">
        <v>36</v>
      </c>
      <c r="Q1216" s="19"/>
      <c r="R1216" s="20" t="s">
        <v>36</v>
      </c>
      <c r="S1216" s="35" t="s">
        <v>36</v>
      </c>
      <c r="T1216" s="20" t="s">
        <v>36</v>
      </c>
      <c r="U1216" s="20" t="s">
        <v>36</v>
      </c>
      <c r="V1216" s="20" t="s">
        <v>36</v>
      </c>
      <c r="W1216" s="20" t="s">
        <v>36</v>
      </c>
      <c r="Y1216" s="19" t="s">
        <v>36</v>
      </c>
      <c r="Z1216" s="19" t="s">
        <v>36</v>
      </c>
      <c r="AB1216" s="18" t="s">
        <v>36</v>
      </c>
      <c r="AC1216" s="18">
        <v>4</v>
      </c>
    </row>
    <row r="1217" spans="1:29" ht="15.75" customHeight="1" x14ac:dyDescent="0.2">
      <c r="A1217" s="36" t="str">
        <f>HYPERLINK("https://www.lacm.edu", "Los Angeles College of Music")</f>
        <v>Los Angeles College of Music</v>
      </c>
      <c r="B1217" s="18" t="s">
        <v>368</v>
      </c>
      <c r="C1217" s="18" t="s">
        <v>68</v>
      </c>
      <c r="D1217" s="18" t="s">
        <v>69</v>
      </c>
      <c r="E1217" s="18" t="s">
        <v>36</v>
      </c>
      <c r="F1217" s="18" t="s">
        <v>36</v>
      </c>
      <c r="J1217" s="19"/>
      <c r="K1217" s="19">
        <v>0.72729999999999995</v>
      </c>
      <c r="L1217" s="19" t="s">
        <v>36</v>
      </c>
      <c r="M1217" s="19">
        <v>0.83330000000000004</v>
      </c>
      <c r="N1217" s="19">
        <v>1</v>
      </c>
      <c r="O1217" s="19">
        <v>0.66669999999999996</v>
      </c>
      <c r="P1217" s="19">
        <v>0</v>
      </c>
      <c r="Q1217" s="19" t="s">
        <v>36</v>
      </c>
      <c r="R1217" s="20">
        <v>42736</v>
      </c>
      <c r="S1217" s="21" t="str">
        <f>HYPERLINK("https://www.lacm.edu/wp-content/uploads/2014/03/npcalc2.htm", "$33035")</f>
        <v>$33035</v>
      </c>
      <c r="T1217" s="20">
        <v>34808</v>
      </c>
      <c r="U1217" s="20">
        <v>35262</v>
      </c>
      <c r="V1217" s="20">
        <v>5139</v>
      </c>
      <c r="W1217" s="20">
        <v>27896</v>
      </c>
      <c r="Y1217" s="19">
        <v>0.28299999999999997</v>
      </c>
      <c r="Z1217" s="19">
        <v>0.66379999999999995</v>
      </c>
      <c r="AB1217" s="18">
        <v>235</v>
      </c>
      <c r="AC1217" s="18">
        <v>6</v>
      </c>
    </row>
    <row r="1218" spans="1:29" ht="15.75" customHeight="1" x14ac:dyDescent="0.2">
      <c r="A1218" s="36" t="str">
        <f>HYPERLINK("https://dhs.lacounty.gov/wps/portal/dhs/conah/", "Los Angeles County College of Nursing and Allied Health")</f>
        <v>Los Angeles County College of Nursing and Allied Health</v>
      </c>
      <c r="B1218" s="18" t="s">
        <v>49</v>
      </c>
      <c r="C1218" s="18" t="s">
        <v>68</v>
      </c>
      <c r="D1218" s="18" t="s">
        <v>140</v>
      </c>
      <c r="E1218" s="18" t="s">
        <v>36</v>
      </c>
      <c r="F1218" s="18" t="s">
        <v>36</v>
      </c>
      <c r="J1218" s="19"/>
      <c r="K1218" s="19" t="s">
        <v>36</v>
      </c>
      <c r="L1218" s="19">
        <v>0.44736842100000002</v>
      </c>
      <c r="M1218" s="19" t="s">
        <v>36</v>
      </c>
      <c r="N1218" s="19" t="s">
        <v>36</v>
      </c>
      <c r="O1218" s="19" t="s">
        <v>36</v>
      </c>
      <c r="P1218" s="19" t="s">
        <v>36</v>
      </c>
      <c r="Q1218" s="19" t="s">
        <v>36</v>
      </c>
      <c r="R1218" s="20" t="s">
        <v>36</v>
      </c>
      <c r="S1218" s="35" t="s">
        <v>36</v>
      </c>
      <c r="T1218" s="20" t="s">
        <v>36</v>
      </c>
      <c r="U1218" s="20" t="s">
        <v>36</v>
      </c>
      <c r="V1218" s="20" t="s">
        <v>36</v>
      </c>
      <c r="W1218" s="20" t="s">
        <v>36</v>
      </c>
      <c r="Y1218" s="19">
        <v>0.39</v>
      </c>
      <c r="Z1218" s="19">
        <v>0.80289999999999995</v>
      </c>
      <c r="AB1218" s="18">
        <v>208</v>
      </c>
      <c r="AC1218" s="18">
        <v>6</v>
      </c>
    </row>
    <row r="1219" spans="1:29" ht="15.75" customHeight="1" x14ac:dyDescent="0.2">
      <c r="A1219" s="36" t="str">
        <f>HYPERLINK("https://www.lafilm.edu", "Los Angeles Film School")</f>
        <v>Los Angeles Film School</v>
      </c>
      <c r="B1219" s="18" t="s">
        <v>368</v>
      </c>
      <c r="C1219" s="18" t="s">
        <v>68</v>
      </c>
      <c r="D1219" s="18" t="s">
        <v>762</v>
      </c>
      <c r="E1219" s="18" t="s">
        <v>36</v>
      </c>
      <c r="F1219" s="18" t="s">
        <v>36</v>
      </c>
      <c r="J1219" s="19"/>
      <c r="K1219" s="19">
        <v>0.60470000000000002</v>
      </c>
      <c r="L1219" s="19">
        <v>0.559888579</v>
      </c>
      <c r="M1219" s="19">
        <v>0.68479999999999996</v>
      </c>
      <c r="N1219" s="19">
        <v>0.50900000000000001</v>
      </c>
      <c r="O1219" s="19">
        <v>0.67710000000000004</v>
      </c>
      <c r="P1219" s="19">
        <v>0.56820000000000004</v>
      </c>
      <c r="Q1219" s="19">
        <v>8.8809949999999992E-3</v>
      </c>
      <c r="R1219" s="20" t="s">
        <v>36</v>
      </c>
      <c r="S1219" s="21" t="str">
        <f>HYPERLINK("https://lafilm.studentaidcalculator.com/survey.aspx", "$29337")</f>
        <v>$29337</v>
      </c>
      <c r="T1219" s="20">
        <v>30029</v>
      </c>
      <c r="U1219" s="20">
        <v>31401</v>
      </c>
      <c r="V1219" s="20" t="s">
        <v>36</v>
      </c>
      <c r="W1219" s="20" t="s">
        <v>36</v>
      </c>
      <c r="Y1219" s="19">
        <v>0.56910000000000005</v>
      </c>
      <c r="Z1219" s="19">
        <v>0.86419999999999997</v>
      </c>
      <c r="AB1219" s="18">
        <v>3653</v>
      </c>
      <c r="AC1219" s="18">
        <v>6</v>
      </c>
    </row>
    <row r="1220" spans="1:29" ht="15.75" customHeight="1" x14ac:dyDescent="0.2">
      <c r="A1220" s="36" t="str">
        <f>HYPERLINK("https://www.lahc.edu", "Los Angeles Harbor College")</f>
        <v>Los Angeles Harbor College</v>
      </c>
      <c r="B1220" s="18" t="s">
        <v>49</v>
      </c>
      <c r="C1220" s="18" t="s">
        <v>68</v>
      </c>
      <c r="D1220" s="18" t="s">
        <v>517</v>
      </c>
      <c r="E1220" s="18" t="s">
        <v>36</v>
      </c>
      <c r="F1220" s="18" t="s">
        <v>36</v>
      </c>
      <c r="J1220" s="19"/>
      <c r="K1220" s="19">
        <v>0.23019999999999999</v>
      </c>
      <c r="L1220" s="19">
        <v>0.103787879</v>
      </c>
      <c r="M1220" s="19">
        <v>0.35210000000000002</v>
      </c>
      <c r="N1220" s="19">
        <v>0.1515</v>
      </c>
      <c r="O1220" s="19">
        <v>0.1925</v>
      </c>
      <c r="P1220" s="19">
        <v>0.45100000000000001</v>
      </c>
      <c r="Q1220" s="19">
        <v>9.0909090999999997E-2</v>
      </c>
      <c r="R1220" s="20">
        <v>26924</v>
      </c>
      <c r="S1220" s="21" t="str">
        <f>HYPERLINK("https://misweb.cccco.edu/npc/742/npcalc.htm", "$19973")</f>
        <v>$19973</v>
      </c>
      <c r="T1220" s="20">
        <v>23161</v>
      </c>
      <c r="U1220" s="20">
        <v>23823</v>
      </c>
      <c r="V1220" s="20">
        <v>6093</v>
      </c>
      <c r="W1220" s="20">
        <v>13880.103448275861</v>
      </c>
      <c r="Y1220" s="19">
        <v>0.27060000000000001</v>
      </c>
      <c r="Z1220" s="19">
        <v>0.88700000000000001</v>
      </c>
      <c r="AB1220" s="18">
        <v>7354</v>
      </c>
      <c r="AC1220" s="18">
        <v>6</v>
      </c>
    </row>
    <row r="1221" spans="1:29" ht="15.75" customHeight="1" x14ac:dyDescent="0.2">
      <c r="A1221" s="36" t="str">
        <f>HYPERLINK("https://www.lamission.edu", "Los Angeles Mission College")</f>
        <v>Los Angeles Mission College</v>
      </c>
      <c r="B1221" s="18" t="s">
        <v>49</v>
      </c>
      <c r="C1221" s="18" t="s">
        <v>68</v>
      </c>
      <c r="D1221" s="18" t="s">
        <v>1487</v>
      </c>
      <c r="E1221" s="18" t="s">
        <v>36</v>
      </c>
      <c r="F1221" s="18" t="s">
        <v>36</v>
      </c>
      <c r="J1221" s="19"/>
      <c r="K1221" s="19">
        <v>0.18609999999999999</v>
      </c>
      <c r="L1221" s="19">
        <v>0.09</v>
      </c>
      <c r="M1221" s="19">
        <v>0.1905</v>
      </c>
      <c r="N1221" s="19">
        <v>0.1429</v>
      </c>
      <c r="O1221" s="19">
        <v>0.1772</v>
      </c>
      <c r="P1221" s="19">
        <v>0.3</v>
      </c>
      <c r="Q1221" s="19">
        <v>0.10465901399999999</v>
      </c>
      <c r="R1221" s="20">
        <v>26924</v>
      </c>
      <c r="S1221" s="21" t="str">
        <f>HYPERLINK("https://misweb.cccco.edu/npc/743/npcalc.htm", "$20191")</f>
        <v>$20191</v>
      </c>
      <c r="T1221" s="20">
        <v>22869</v>
      </c>
      <c r="U1221" s="20">
        <v>23448</v>
      </c>
      <c r="V1221" s="20">
        <v>6093</v>
      </c>
      <c r="W1221" s="20">
        <v>14098.85057471264</v>
      </c>
      <c r="Y1221" s="19">
        <v>0.27600000000000002</v>
      </c>
      <c r="Z1221" s="19">
        <v>0.89700000000000002</v>
      </c>
      <c r="AB1221" s="18">
        <v>8624</v>
      </c>
      <c r="AC1221" s="18">
        <v>6</v>
      </c>
    </row>
    <row r="1222" spans="1:29" ht="15.75" customHeight="1" x14ac:dyDescent="0.2">
      <c r="A1222" s="36" t="str">
        <f>HYPERLINK("https://www.laort.edu", "Los Angeles ORT College-Los Angeles Campus")</f>
        <v>Los Angeles ORT College-Los Angeles Campus</v>
      </c>
      <c r="B1222" s="18" t="s">
        <v>32</v>
      </c>
      <c r="C1222" s="18" t="s">
        <v>68</v>
      </c>
      <c r="D1222" s="18" t="s">
        <v>140</v>
      </c>
      <c r="E1222" s="18" t="s">
        <v>36</v>
      </c>
      <c r="F1222" s="18" t="s">
        <v>36</v>
      </c>
      <c r="J1222" s="19"/>
      <c r="K1222" s="19">
        <v>0.9032</v>
      </c>
      <c r="L1222" s="19">
        <v>0.244147157</v>
      </c>
      <c r="M1222" s="19">
        <v>0.92859999999999998</v>
      </c>
      <c r="N1222" s="19">
        <v>0.95450000000000002</v>
      </c>
      <c r="O1222" s="19">
        <v>0.88890000000000002</v>
      </c>
      <c r="P1222" s="19">
        <v>0.85709999999999997</v>
      </c>
      <c r="Q1222" s="19" t="s">
        <v>36</v>
      </c>
      <c r="R1222" s="20" t="s">
        <v>36</v>
      </c>
      <c r="S1222" s="21" t="str">
        <f>HYPERLINK("https://www.laort.edu", "$14363")</f>
        <v>$14363</v>
      </c>
      <c r="T1222" s="20">
        <v>16002</v>
      </c>
      <c r="U1222" s="20">
        <v>17247</v>
      </c>
      <c r="V1222" s="20" t="s">
        <v>36</v>
      </c>
      <c r="W1222" s="20" t="s">
        <v>36</v>
      </c>
      <c r="Y1222" s="19">
        <v>0.49919999999999998</v>
      </c>
      <c r="Z1222" s="19">
        <v>0.72560000000000002</v>
      </c>
      <c r="AB1222" s="18">
        <v>164</v>
      </c>
      <c r="AC1222" s="18">
        <v>6</v>
      </c>
    </row>
    <row r="1223" spans="1:29" ht="15.75" customHeight="1" x14ac:dyDescent="0.2">
      <c r="A1223" s="36" t="str">
        <f>HYPERLINK("https://www.laort.edu", "Los Angeles ORT College-Van Nuys Campus")</f>
        <v>Los Angeles ORT College-Van Nuys Campus</v>
      </c>
      <c r="B1223" s="18" t="s">
        <v>32</v>
      </c>
      <c r="C1223" s="18" t="s">
        <v>68</v>
      </c>
      <c r="D1223" s="18" t="s">
        <v>1488</v>
      </c>
      <c r="E1223" s="18" t="s">
        <v>36</v>
      </c>
      <c r="F1223" s="18" t="s">
        <v>36</v>
      </c>
      <c r="J1223" s="19"/>
      <c r="K1223" s="19">
        <v>0.92449999999999999</v>
      </c>
      <c r="L1223" s="19">
        <v>0.244147157</v>
      </c>
      <c r="M1223" s="19">
        <v>0.95450000000000002</v>
      </c>
      <c r="N1223" s="19">
        <v>1</v>
      </c>
      <c r="O1223" s="19">
        <v>0.88460000000000005</v>
      </c>
      <c r="P1223" s="19">
        <v>1</v>
      </c>
      <c r="Q1223" s="19" t="s">
        <v>36</v>
      </c>
      <c r="R1223" s="20" t="s">
        <v>36</v>
      </c>
      <c r="S1223" s="21" t="str">
        <f>HYPERLINK("https://www.laort.edu", "$13552")</f>
        <v>$13552</v>
      </c>
      <c r="T1223" s="20">
        <v>15501</v>
      </c>
      <c r="U1223" s="20">
        <v>16255</v>
      </c>
      <c r="V1223" s="20" t="s">
        <v>36</v>
      </c>
      <c r="W1223" s="20" t="s">
        <v>36</v>
      </c>
      <c r="Y1223" s="19">
        <v>0.79</v>
      </c>
      <c r="Z1223" s="19">
        <v>0.32300000000000001</v>
      </c>
      <c r="AB1223" s="18">
        <v>291</v>
      </c>
      <c r="AC1223" s="18">
        <v>6</v>
      </c>
    </row>
    <row r="1224" spans="1:29" ht="15.75" customHeight="1" x14ac:dyDescent="0.2">
      <c r="A1224" s="36" t="str">
        <f>HYPERLINK("https://www.lapu.edu", "Azusa Pacific University College")</f>
        <v>Azusa Pacific University College</v>
      </c>
      <c r="B1224" s="18" t="s">
        <v>32</v>
      </c>
      <c r="C1224" s="18" t="s">
        <v>68</v>
      </c>
      <c r="D1224" s="18" t="s">
        <v>929</v>
      </c>
      <c r="E1224" s="18" t="s">
        <v>36</v>
      </c>
      <c r="F1224" s="18" t="s">
        <v>36</v>
      </c>
      <c r="J1224" s="19"/>
      <c r="K1224" s="19">
        <v>0.1111</v>
      </c>
      <c r="L1224" s="19">
        <v>0.27482678999999999</v>
      </c>
      <c r="M1224" s="19">
        <v>0.16669999999999999</v>
      </c>
      <c r="N1224" s="19">
        <v>0</v>
      </c>
      <c r="O1224" s="19">
        <v>0</v>
      </c>
      <c r="P1224" s="19" t="s">
        <v>36</v>
      </c>
      <c r="Q1224" s="19"/>
      <c r="R1224" s="20">
        <v>24400</v>
      </c>
      <c r="S1224" s="21" t="str">
        <f>HYPERLINK("https://lapu.studentaidcalculator.com/survey.aspx", "$30241")</f>
        <v>$30241</v>
      </c>
      <c r="T1224" s="20">
        <v>32649</v>
      </c>
      <c r="U1224" s="20">
        <v>34715</v>
      </c>
      <c r="V1224" s="20">
        <v>3200</v>
      </c>
      <c r="W1224" s="20">
        <v>27041</v>
      </c>
      <c r="Y1224" s="19">
        <v>0.52200000000000002</v>
      </c>
      <c r="Z1224" s="19">
        <v>0.72750000000000004</v>
      </c>
      <c r="AB1224" s="18">
        <v>1897</v>
      </c>
      <c r="AC1224" s="18">
        <v>4</v>
      </c>
    </row>
    <row r="1225" spans="1:29" ht="15.75" customHeight="1" x14ac:dyDescent="0.2">
      <c r="A1225" s="36" t="str">
        <f>HYPERLINK("https://www.piercecollege.edu", "Los Angeles Pierce College")</f>
        <v>Los Angeles Pierce College</v>
      </c>
      <c r="B1225" s="18" t="s">
        <v>49</v>
      </c>
      <c r="C1225" s="18" t="s">
        <v>68</v>
      </c>
      <c r="D1225" s="18" t="s">
        <v>1489</v>
      </c>
      <c r="E1225" s="18" t="s">
        <v>36</v>
      </c>
      <c r="F1225" s="18" t="s">
        <v>36</v>
      </c>
      <c r="J1225" s="19"/>
      <c r="K1225" s="19">
        <v>0.30020000000000002</v>
      </c>
      <c r="L1225" s="19">
        <v>0.111065574</v>
      </c>
      <c r="M1225" s="19">
        <v>0.40579999999999999</v>
      </c>
      <c r="N1225" s="19">
        <v>0.23880000000000001</v>
      </c>
      <c r="O1225" s="19">
        <v>0.2354</v>
      </c>
      <c r="P1225" s="19">
        <v>0.36420000000000002</v>
      </c>
      <c r="Q1225" s="19">
        <v>0.144724557</v>
      </c>
      <c r="R1225" s="20">
        <v>27156</v>
      </c>
      <c r="S1225" s="21" t="str">
        <f>HYPERLINK("https://misweb.cccco.edu/npc/744/npcalc.htm", "$19866")</f>
        <v>$19866</v>
      </c>
      <c r="T1225" s="20">
        <v>22831</v>
      </c>
      <c r="U1225" s="20">
        <v>23585</v>
      </c>
      <c r="V1225" s="20">
        <v>6093</v>
      </c>
      <c r="W1225" s="20">
        <v>13773.64220183486</v>
      </c>
      <c r="Y1225" s="19">
        <v>0.29970000000000002</v>
      </c>
      <c r="Z1225" s="19">
        <v>0.74669999999999992</v>
      </c>
      <c r="AB1225" s="18">
        <v>16439</v>
      </c>
      <c r="AC1225" s="18">
        <v>6</v>
      </c>
    </row>
    <row r="1226" spans="1:29" ht="15.75" customHeight="1" x14ac:dyDescent="0.2">
      <c r="A1226" s="36" t="str">
        <f>HYPERLINK("https://www.lasc.edu", "Los Angeles Southwest College")</f>
        <v>Los Angeles Southwest College</v>
      </c>
      <c r="B1226" s="18" t="s">
        <v>49</v>
      </c>
      <c r="C1226" s="18" t="s">
        <v>68</v>
      </c>
      <c r="D1226" s="18" t="s">
        <v>140</v>
      </c>
      <c r="E1226" s="18" t="s">
        <v>36</v>
      </c>
      <c r="F1226" s="18" t="s">
        <v>36</v>
      </c>
      <c r="J1226" s="19"/>
      <c r="K1226" s="19">
        <v>0.1212</v>
      </c>
      <c r="L1226" s="19">
        <v>5.2451539000000012E-2</v>
      </c>
      <c r="M1226" s="19" t="s">
        <v>36</v>
      </c>
      <c r="N1226" s="19">
        <v>0.11210000000000001</v>
      </c>
      <c r="O1226" s="19">
        <v>0.13850000000000001</v>
      </c>
      <c r="P1226" s="19">
        <v>0</v>
      </c>
      <c r="Q1226" s="19">
        <v>6.2347784000000003E-2</v>
      </c>
      <c r="R1226" s="20">
        <v>26924</v>
      </c>
      <c r="S1226" s="21" t="str">
        <f>HYPERLINK("https://misweb.cccco.edu/npc/745/npcalc.htm", "$20328")</f>
        <v>$20328</v>
      </c>
      <c r="T1226" s="20">
        <v>22207</v>
      </c>
      <c r="U1226" s="20">
        <v>23803</v>
      </c>
      <c r="V1226" s="20">
        <v>6093</v>
      </c>
      <c r="W1226" s="20">
        <v>14235.52173913044</v>
      </c>
      <c r="Y1226" s="19">
        <v>0.38879999999999998</v>
      </c>
      <c r="Z1226" s="19">
        <v>0.97899999999999998</v>
      </c>
      <c r="AB1226" s="18">
        <v>5138</v>
      </c>
      <c r="AC1226" s="18">
        <v>6</v>
      </c>
    </row>
    <row r="1227" spans="1:29" ht="15.75" customHeight="1" x14ac:dyDescent="0.2">
      <c r="A1227" s="36" t="str">
        <f>HYPERLINK("https://www.losmedanos.edu/", "Los Medanos College")</f>
        <v>Los Medanos College</v>
      </c>
      <c r="B1227" s="18" t="s">
        <v>49</v>
      </c>
      <c r="C1227" s="18" t="s">
        <v>68</v>
      </c>
      <c r="D1227" s="18" t="s">
        <v>1068</v>
      </c>
      <c r="E1227" s="18" t="s">
        <v>36</v>
      </c>
      <c r="F1227" s="18" t="s">
        <v>36</v>
      </c>
      <c r="J1227" s="19"/>
      <c r="K1227" s="19">
        <v>0.3362</v>
      </c>
      <c r="L1227" s="19">
        <v>2.5954199000000001E-2</v>
      </c>
      <c r="M1227" s="19">
        <v>0.43680000000000002</v>
      </c>
      <c r="N1227" s="19">
        <v>0.19789999999999999</v>
      </c>
      <c r="O1227" s="19">
        <v>0.30869999999999997</v>
      </c>
      <c r="P1227" s="19">
        <v>0.4355</v>
      </c>
      <c r="Q1227" s="19">
        <v>9.1120139000000003E-2</v>
      </c>
      <c r="R1227" s="20">
        <v>27812</v>
      </c>
      <c r="S1227" s="21" t="str">
        <f>HYPERLINK("https://misweb.cccco.edu/npc/313/npcalc.htm", "$20759")</f>
        <v>$20759</v>
      </c>
      <c r="T1227" s="20">
        <v>24530</v>
      </c>
      <c r="U1227" s="20">
        <v>24888</v>
      </c>
      <c r="V1227" s="20">
        <v>6094</v>
      </c>
      <c r="W1227" s="20">
        <v>14665.44736842105</v>
      </c>
      <c r="Y1227" s="19">
        <v>0.28060000000000002</v>
      </c>
      <c r="Z1227" s="19">
        <v>0.74560000000000004</v>
      </c>
      <c r="AB1227" s="18">
        <v>8110</v>
      </c>
      <c r="AC1227" s="18">
        <v>6</v>
      </c>
    </row>
    <row r="1228" spans="1:29" ht="15.75" customHeight="1" x14ac:dyDescent="0.2">
      <c r="A1228" s="36" t="str">
        <f>HYPERLINK("https://www.louisburg.edu", "Louisburg College")</f>
        <v>Louisburg College</v>
      </c>
      <c r="B1228" s="18" t="s">
        <v>32</v>
      </c>
      <c r="C1228" s="18" t="s">
        <v>103</v>
      </c>
      <c r="D1228" s="18" t="s">
        <v>1490</v>
      </c>
      <c r="E1228" s="18">
        <v>825</v>
      </c>
      <c r="F1228" s="18" t="s">
        <v>35</v>
      </c>
      <c r="J1228" s="19"/>
      <c r="K1228" s="19">
        <v>0.3014</v>
      </c>
      <c r="L1228" s="19">
        <v>0.118705036</v>
      </c>
      <c r="M1228" s="19">
        <v>0.48859999999999998</v>
      </c>
      <c r="N1228" s="19">
        <v>0.1981</v>
      </c>
      <c r="O1228" s="19">
        <v>0</v>
      </c>
      <c r="P1228" s="19">
        <v>0.6</v>
      </c>
      <c r="Q1228" s="19">
        <v>0.123620309</v>
      </c>
      <c r="R1228" s="20">
        <v>32409</v>
      </c>
      <c r="S1228" s="21" t="str">
        <f>HYPERLINK("https://www.louisburg.edu/admissions/financial-aid/cost.php", "$27971")</f>
        <v>$27971</v>
      </c>
      <c r="T1228" s="20">
        <v>27513</v>
      </c>
      <c r="U1228" s="20">
        <v>25786</v>
      </c>
      <c r="V1228" s="20">
        <v>3119</v>
      </c>
      <c r="W1228" s="20">
        <v>24852</v>
      </c>
      <c r="Y1228" s="19">
        <v>0.72050000000000003</v>
      </c>
      <c r="Z1228" s="19">
        <v>0.79349999999999998</v>
      </c>
      <c r="AB1228" s="18">
        <v>620</v>
      </c>
      <c r="AC1228" s="18">
        <v>6</v>
      </c>
    </row>
    <row r="1229" spans="1:29" ht="15.75" customHeight="1" x14ac:dyDescent="0.2">
      <c r="A1229" s="36" t="str">
        <f>HYPERLINK("https://www.lacollege.edu", "Louisiana College")</f>
        <v>Louisiana College</v>
      </c>
      <c r="B1229" s="18" t="s">
        <v>32</v>
      </c>
      <c r="C1229" s="18" t="s">
        <v>158</v>
      </c>
      <c r="D1229" s="18" t="s">
        <v>932</v>
      </c>
      <c r="E1229" s="18">
        <v>1087</v>
      </c>
      <c r="F1229" s="18" t="s">
        <v>35</v>
      </c>
      <c r="J1229" s="19"/>
      <c r="K1229" s="19">
        <v>0.41899999999999998</v>
      </c>
      <c r="L1229" s="19">
        <v>0.28301886799999998</v>
      </c>
      <c r="M1229" s="19">
        <v>0.48499999999999999</v>
      </c>
      <c r="N1229" s="19">
        <v>0.2281</v>
      </c>
      <c r="O1229" s="19">
        <v>0.33329999999999999</v>
      </c>
      <c r="P1229" s="19">
        <v>1</v>
      </c>
      <c r="Q1229" s="19"/>
      <c r="R1229" s="20">
        <v>25824</v>
      </c>
      <c r="S1229" s="21" t="str">
        <f>HYPERLINK("https://www.lacollege.edu/npc", "$14297")</f>
        <v>$14297</v>
      </c>
      <c r="T1229" s="20">
        <v>16065</v>
      </c>
      <c r="U1229" s="20">
        <v>18694</v>
      </c>
      <c r="V1229" s="20">
        <v>4552</v>
      </c>
      <c r="W1229" s="20">
        <v>9745</v>
      </c>
      <c r="Y1229" s="19">
        <v>0.46200000000000002</v>
      </c>
      <c r="Z1229" s="19">
        <v>0.37540000000000001</v>
      </c>
      <c r="AB1229" s="18">
        <v>935</v>
      </c>
      <c r="AC1229" s="18">
        <v>4</v>
      </c>
    </row>
    <row r="1230" spans="1:29" ht="15.75" customHeight="1" x14ac:dyDescent="0.2">
      <c r="A1230" s="36" t="str">
        <f>HYPERLINK("https://www.lci.edu", "Louisiana Culinary Institute")</f>
        <v>Louisiana Culinary Institute</v>
      </c>
      <c r="B1230" s="18" t="s">
        <v>368</v>
      </c>
      <c r="C1230" s="18" t="s">
        <v>158</v>
      </c>
      <c r="D1230" s="18" t="s">
        <v>398</v>
      </c>
      <c r="E1230" s="18" t="s">
        <v>36</v>
      </c>
      <c r="F1230" s="18" t="s">
        <v>90</v>
      </c>
      <c r="J1230" s="19"/>
      <c r="K1230" s="19">
        <v>0.41670000000000001</v>
      </c>
      <c r="L1230" s="19">
        <v>0.53846153899999993</v>
      </c>
      <c r="M1230" s="19">
        <v>0.42859999999999998</v>
      </c>
      <c r="N1230" s="19">
        <v>0.4</v>
      </c>
      <c r="O1230" s="19" t="s">
        <v>36</v>
      </c>
      <c r="P1230" s="19" t="s">
        <v>36</v>
      </c>
      <c r="Q1230" s="19" t="s">
        <v>36</v>
      </c>
      <c r="R1230" s="20">
        <v>33007</v>
      </c>
      <c r="S1230" s="21" t="str">
        <f>HYPERLINK("https://www.lci.edu/net-price-calculator/npcalc.htm", "Not reported")</f>
        <v>Not reported</v>
      </c>
      <c r="T1230" s="20">
        <v>20473</v>
      </c>
      <c r="U1230" s="20">
        <v>22099</v>
      </c>
      <c r="V1230" s="20">
        <v>7704</v>
      </c>
      <c r="W1230" s="20" t="s">
        <v>36</v>
      </c>
      <c r="Y1230" s="19">
        <v>0.5</v>
      </c>
      <c r="Z1230" s="19">
        <v>0.42459999999999998</v>
      </c>
      <c r="AB1230" s="18">
        <v>179</v>
      </c>
      <c r="AC1230" s="18">
        <v>6</v>
      </c>
    </row>
    <row r="1231" spans="1:29" ht="15.75" customHeight="1" x14ac:dyDescent="0.2">
      <c r="A1231" s="36" t="str">
        <f>HYPERLINK("https://www.lsu.edu", "Louisiana State University and Agricultural &amp; Mechanical College")</f>
        <v>Louisiana State University and Agricultural &amp; Mechanical College</v>
      </c>
      <c r="B1231" s="18" t="s">
        <v>49</v>
      </c>
      <c r="C1231" s="18" t="s">
        <v>158</v>
      </c>
      <c r="D1231" s="18" t="s">
        <v>398</v>
      </c>
      <c r="E1231" s="18">
        <v>1226</v>
      </c>
      <c r="F1231" s="18" t="s">
        <v>35</v>
      </c>
      <c r="J1231" s="19"/>
      <c r="K1231" s="19">
        <v>0.66649999999999998</v>
      </c>
      <c r="L1231" s="19">
        <v>0.55855855899999995</v>
      </c>
      <c r="M1231" s="19">
        <v>0.69030000000000002</v>
      </c>
      <c r="N1231" s="19">
        <v>0.56589999999999996</v>
      </c>
      <c r="O1231" s="19">
        <v>0.57140000000000002</v>
      </c>
      <c r="P1231" s="19">
        <v>0.62909999999999999</v>
      </c>
      <c r="Q1231" s="19"/>
      <c r="R1231" s="20">
        <v>46381</v>
      </c>
      <c r="S1231" s="21" t="str">
        <f>HYPERLINK("https://www.lsu.edu/financialaid/cost/net_price_calculator.php", "$30344")</f>
        <v>$30344</v>
      </c>
      <c r="T1231" s="20">
        <v>38836</v>
      </c>
      <c r="U1231" s="20">
        <v>40619</v>
      </c>
      <c r="V1231" s="20">
        <v>6580</v>
      </c>
      <c r="W1231" s="20">
        <v>23764.568561872911</v>
      </c>
      <c r="Y1231" s="19">
        <v>0.2031</v>
      </c>
      <c r="Z1231" s="19">
        <v>0.27900000000000003</v>
      </c>
      <c r="AB1231" s="18">
        <v>23331</v>
      </c>
      <c r="AC1231" s="18">
        <v>3</v>
      </c>
    </row>
    <row r="1232" spans="1:29" ht="15.75" customHeight="1" x14ac:dyDescent="0.2">
      <c r="A1232" s="36" t="str">
        <f>HYPERLINK("https://www.lsue.edu", "Louisiana State University-Eunice")</f>
        <v>Louisiana State University-Eunice</v>
      </c>
      <c r="B1232" s="18" t="s">
        <v>49</v>
      </c>
      <c r="C1232" s="18" t="s">
        <v>158</v>
      </c>
      <c r="D1232" s="18" t="s">
        <v>1491</v>
      </c>
      <c r="E1232" s="18" t="s">
        <v>36</v>
      </c>
      <c r="F1232" s="18" t="s">
        <v>36</v>
      </c>
      <c r="J1232" s="19"/>
      <c r="K1232" s="19">
        <v>0.1096</v>
      </c>
      <c r="L1232" s="19">
        <v>0.108064516</v>
      </c>
      <c r="M1232" s="19">
        <v>0.13400000000000001</v>
      </c>
      <c r="N1232" s="19">
        <v>3.9199999999999999E-2</v>
      </c>
      <c r="O1232" s="19">
        <v>8.3299999999999999E-2</v>
      </c>
      <c r="P1232" s="19">
        <v>0.33329999999999999</v>
      </c>
      <c r="Q1232" s="19">
        <v>0.121794872</v>
      </c>
      <c r="R1232" s="20">
        <v>21450</v>
      </c>
      <c r="S1232" s="21" t="str">
        <f>HYPERLINK("https://web.lsue.edu/docs/FinancialAid/npcalc.htm", "$15439")</f>
        <v>$15439</v>
      </c>
      <c r="T1232" s="20">
        <v>17655</v>
      </c>
      <c r="U1232" s="20">
        <v>19734</v>
      </c>
      <c r="V1232" s="20">
        <v>5118</v>
      </c>
      <c r="W1232" s="20">
        <v>10321.626666666671</v>
      </c>
      <c r="Y1232" s="19">
        <v>0.41120000000000001</v>
      </c>
      <c r="Z1232" s="19">
        <v>0.31419999999999998</v>
      </c>
      <c r="AB1232" s="18">
        <v>2444</v>
      </c>
      <c r="AC1232" s="18">
        <v>6</v>
      </c>
    </row>
    <row r="1233" spans="1:29" ht="15.75" customHeight="1" x14ac:dyDescent="0.2">
      <c r="A1233" s="36" t="str">
        <f>HYPERLINK("https://www.lsus.edu/", "Louisiana State University-Shreveport")</f>
        <v>Louisiana State University-Shreveport</v>
      </c>
      <c r="B1233" s="18" t="s">
        <v>49</v>
      </c>
      <c r="C1233" s="18" t="s">
        <v>158</v>
      </c>
      <c r="D1233" s="18" t="s">
        <v>633</v>
      </c>
      <c r="E1233" s="18">
        <v>1080</v>
      </c>
      <c r="F1233" s="18" t="s">
        <v>35</v>
      </c>
      <c r="J1233" s="19"/>
      <c r="K1233" s="19">
        <v>0.30480000000000002</v>
      </c>
      <c r="L1233" s="19">
        <v>0.27436823100000002</v>
      </c>
      <c r="M1233" s="19">
        <v>0.3483</v>
      </c>
      <c r="N1233" s="19">
        <v>0.20630000000000001</v>
      </c>
      <c r="O1233" s="19">
        <v>0.25</v>
      </c>
      <c r="P1233" s="19">
        <v>0.6</v>
      </c>
      <c r="Q1233" s="19"/>
      <c r="R1233" s="20">
        <v>34832</v>
      </c>
      <c r="S1233" s="21" t="str">
        <f>HYPERLINK("https://www.lsus.edu/admissions-and-financial-aid/net-price-calculator", "$26217")</f>
        <v>$26217</v>
      </c>
      <c r="T1233" s="20">
        <v>28634</v>
      </c>
      <c r="U1233" s="20">
        <v>31519</v>
      </c>
      <c r="V1233" s="20">
        <v>5258</v>
      </c>
      <c r="W1233" s="20">
        <v>20959.067961165048</v>
      </c>
      <c r="Y1233" s="19">
        <v>0.37880000000000003</v>
      </c>
      <c r="Z1233" s="19">
        <v>0.46539999999999998</v>
      </c>
      <c r="AB1233" s="18">
        <v>2237</v>
      </c>
      <c r="AC1233" s="18">
        <v>4</v>
      </c>
    </row>
    <row r="1234" spans="1:29" ht="15.75" customHeight="1" x14ac:dyDescent="0.2">
      <c r="A1234" s="36" t="str">
        <f>HYPERLINK("https://www.latech.edu", "Louisiana Tech University")</f>
        <v>Louisiana Tech University</v>
      </c>
      <c r="B1234" s="18" t="s">
        <v>49</v>
      </c>
      <c r="C1234" s="18" t="s">
        <v>158</v>
      </c>
      <c r="D1234" s="18" t="s">
        <v>399</v>
      </c>
      <c r="E1234" s="18">
        <v>1195</v>
      </c>
      <c r="F1234" s="18" t="s">
        <v>35</v>
      </c>
      <c r="J1234" s="19"/>
      <c r="K1234" s="19">
        <v>0.53390000000000004</v>
      </c>
      <c r="L1234" s="19">
        <v>0.48214285699999998</v>
      </c>
      <c r="M1234" s="19">
        <v>0.57499999999999996</v>
      </c>
      <c r="N1234" s="19">
        <v>0.38590000000000002</v>
      </c>
      <c r="O1234" s="19">
        <v>0.48149999999999998</v>
      </c>
      <c r="P1234" s="19">
        <v>0.61109999999999998</v>
      </c>
      <c r="Q1234" s="19"/>
      <c r="R1234" s="20">
        <v>29277</v>
      </c>
      <c r="S1234" s="21" t="str">
        <f>HYPERLINK("https://www.latech.edu/current-students/financial-aid/resources/net-price-calculator/", "$18310")</f>
        <v>$18310</v>
      </c>
      <c r="T1234" s="20">
        <v>21327</v>
      </c>
      <c r="U1234" s="20">
        <v>23982</v>
      </c>
      <c r="V1234" s="20">
        <v>4359</v>
      </c>
      <c r="W1234" s="20">
        <v>13951.45714285714</v>
      </c>
      <c r="Y1234" s="19">
        <v>0.21740000000000001</v>
      </c>
      <c r="Z1234" s="19">
        <v>0.29880000000000001</v>
      </c>
      <c r="AB1234" s="18">
        <v>8277</v>
      </c>
      <c r="AC1234" s="18">
        <v>3</v>
      </c>
    </row>
    <row r="1235" spans="1:29" ht="15.75" customHeight="1" x14ac:dyDescent="0.2">
      <c r="A1235" s="36" t="str">
        <f>HYPERLINK("https://www.lourdes.edu", "Lourdes University")</f>
        <v>Lourdes University</v>
      </c>
      <c r="B1235" s="18" t="s">
        <v>32</v>
      </c>
      <c r="C1235" s="18" t="s">
        <v>75</v>
      </c>
      <c r="D1235" s="18" t="s">
        <v>934</v>
      </c>
      <c r="E1235" s="18">
        <v>1059</v>
      </c>
      <c r="F1235" s="18" t="s">
        <v>35</v>
      </c>
      <c r="J1235" s="19"/>
      <c r="K1235" s="19">
        <v>0.33329999999999999</v>
      </c>
      <c r="L1235" s="19">
        <v>0.25790754300000002</v>
      </c>
      <c r="M1235" s="19">
        <v>0.40649999999999997</v>
      </c>
      <c r="N1235" s="19">
        <v>0.16669999999999999</v>
      </c>
      <c r="O1235" s="19">
        <v>9.0899999999999995E-2</v>
      </c>
      <c r="P1235" s="19">
        <v>1</v>
      </c>
      <c r="Q1235" s="19"/>
      <c r="R1235" s="20">
        <v>35340</v>
      </c>
      <c r="S1235" s="21" t="str">
        <f>HYPERLINK("https://lourdes.edu/costs-financial-aid/net-price-calculator/", "$14099")</f>
        <v>$14099</v>
      </c>
      <c r="T1235" s="20">
        <v>17353</v>
      </c>
      <c r="U1235" s="20">
        <v>20190</v>
      </c>
      <c r="V1235" s="20">
        <v>4100</v>
      </c>
      <c r="W1235" s="20">
        <v>9999</v>
      </c>
      <c r="Y1235" s="19">
        <v>0.41070000000000001</v>
      </c>
      <c r="Z1235" s="19">
        <v>0.30120000000000002</v>
      </c>
      <c r="AB1235" s="18">
        <v>1036</v>
      </c>
      <c r="AC1235" s="18">
        <v>4</v>
      </c>
    </row>
    <row r="1236" spans="1:29" ht="15.75" customHeight="1" x14ac:dyDescent="0.2">
      <c r="A1236" s="36" t="str">
        <f>HYPERLINK("https://lowercolumbia.edu", "Lower Columbia College")</f>
        <v>Lower Columbia College</v>
      </c>
      <c r="B1236" s="18" t="s">
        <v>49</v>
      </c>
      <c r="C1236" s="18" t="s">
        <v>184</v>
      </c>
      <c r="D1236" s="18" t="s">
        <v>899</v>
      </c>
      <c r="E1236" s="18" t="s">
        <v>36</v>
      </c>
      <c r="F1236" s="18" t="s">
        <v>36</v>
      </c>
      <c r="J1236" s="19"/>
      <c r="K1236" s="19">
        <v>0.28239999999999998</v>
      </c>
      <c r="L1236" s="19">
        <v>0.18940137400000001</v>
      </c>
      <c r="M1236" s="19">
        <v>0.29630000000000001</v>
      </c>
      <c r="N1236" s="19">
        <v>0</v>
      </c>
      <c r="O1236" s="19">
        <v>0.08</v>
      </c>
      <c r="P1236" s="19">
        <v>0.33329999999999999</v>
      </c>
      <c r="Q1236" s="19">
        <v>6.0584461999999999E-2</v>
      </c>
      <c r="R1236" s="20">
        <v>20747</v>
      </c>
      <c r="S1236" s="21" t="str">
        <f>HYPERLINK("https://lcc.ctc.edu/info/webresources2/NetPrice/npcalc.htm", "$14170")</f>
        <v>$14170</v>
      </c>
      <c r="T1236" s="20">
        <v>16453</v>
      </c>
      <c r="U1236" s="20">
        <v>20432</v>
      </c>
      <c r="V1236" s="20">
        <v>4719</v>
      </c>
      <c r="W1236" s="20">
        <v>9451.3009708737864</v>
      </c>
      <c r="Y1236" s="19">
        <v>0.3911</v>
      </c>
      <c r="Z1236" s="19">
        <v>0.27750000000000002</v>
      </c>
      <c r="AB1236" s="18">
        <v>1301</v>
      </c>
      <c r="AC1236" s="18">
        <v>6</v>
      </c>
    </row>
    <row r="1237" spans="1:29" ht="15.75" customHeight="1" x14ac:dyDescent="0.2">
      <c r="A1237" s="36" t="str">
        <f>HYPERLINK("https://www.lmu.edu", "Loyola Marymount University")</f>
        <v>Loyola Marymount University</v>
      </c>
      <c r="B1237" s="18" t="s">
        <v>32</v>
      </c>
      <c r="C1237" s="18" t="s">
        <v>68</v>
      </c>
      <c r="D1237" s="18" t="s">
        <v>140</v>
      </c>
      <c r="E1237" s="18">
        <v>1307</v>
      </c>
      <c r="F1237" s="18" t="s">
        <v>35</v>
      </c>
      <c r="J1237" s="19"/>
      <c r="K1237" s="19">
        <v>0.79110000000000003</v>
      </c>
      <c r="L1237" s="19">
        <v>0.79559748400000008</v>
      </c>
      <c r="M1237" s="19">
        <v>0.78599999999999992</v>
      </c>
      <c r="N1237" s="19">
        <v>0.72</v>
      </c>
      <c r="O1237" s="19">
        <v>0.81669999999999998</v>
      </c>
      <c r="P1237" s="19">
        <v>0.83560000000000001</v>
      </c>
      <c r="Q1237" s="19"/>
      <c r="R1237" s="20">
        <v>64735</v>
      </c>
      <c r="S1237" s="21" t="str">
        <f>HYPERLINK("https://financialaid.lmu.edu/prospectivestudents/netpricecalculator/", "$28856")</f>
        <v>$28856</v>
      </c>
      <c r="T1237" s="20">
        <v>32209</v>
      </c>
      <c r="U1237" s="20">
        <v>40165</v>
      </c>
      <c r="V1237" s="20">
        <v>5094</v>
      </c>
      <c r="W1237" s="20">
        <v>23762</v>
      </c>
      <c r="Y1237" s="19">
        <v>0.17460000000000001</v>
      </c>
      <c r="Z1237" s="19">
        <v>0.55630000000000002</v>
      </c>
      <c r="AB1237" s="18">
        <v>6257</v>
      </c>
      <c r="AC1237" s="18">
        <v>3</v>
      </c>
    </row>
    <row r="1238" spans="1:29" ht="15.75" customHeight="1" x14ac:dyDescent="0.2">
      <c r="A1238" s="36" t="str">
        <f>HYPERLINK("https://www.luc.edu", "Loyola University Chicago")</f>
        <v>Loyola University Chicago</v>
      </c>
      <c r="B1238" s="18" t="s">
        <v>32</v>
      </c>
      <c r="C1238" s="18" t="s">
        <v>137</v>
      </c>
      <c r="D1238" s="18" t="s">
        <v>161</v>
      </c>
      <c r="E1238" s="18">
        <v>1258</v>
      </c>
      <c r="F1238" s="18" t="s">
        <v>35</v>
      </c>
      <c r="J1238" s="19"/>
      <c r="K1238" s="19">
        <v>0.77149999999999996</v>
      </c>
      <c r="L1238" s="19">
        <v>0.59077380999999995</v>
      </c>
      <c r="M1238" s="19">
        <v>0.7903</v>
      </c>
      <c r="N1238" s="19">
        <v>0.61219999999999997</v>
      </c>
      <c r="O1238" s="19">
        <v>0.70169999999999999</v>
      </c>
      <c r="P1238" s="19">
        <v>0.81330000000000002</v>
      </c>
      <c r="Q1238" s="19"/>
      <c r="R1238" s="20">
        <v>59958</v>
      </c>
      <c r="S1238" s="21" t="str">
        <f>HYPERLINK("https://www.luc.edu/undergrad/tuitionandfinancialaid/netpricecalculator/", "$27789")</f>
        <v>$27789</v>
      </c>
      <c r="T1238" s="20">
        <v>30685</v>
      </c>
      <c r="U1238" s="20">
        <v>33787</v>
      </c>
      <c r="V1238" s="20">
        <v>2800</v>
      </c>
      <c r="W1238" s="20">
        <v>24989</v>
      </c>
      <c r="Y1238" s="19">
        <v>0.254</v>
      </c>
      <c r="Z1238" s="19">
        <v>0.44679999999999997</v>
      </c>
      <c r="AB1238" s="18">
        <v>11193</v>
      </c>
      <c r="AC1238" s="18">
        <v>3</v>
      </c>
    </row>
    <row r="1239" spans="1:29" ht="15.75" customHeight="1" x14ac:dyDescent="0.2">
      <c r="A1239" s="36" t="str">
        <f>HYPERLINK("https://www.loyola.edu", "Loyola University Maryland")</f>
        <v>Loyola University Maryland</v>
      </c>
      <c r="B1239" s="18" t="s">
        <v>32</v>
      </c>
      <c r="C1239" s="18" t="s">
        <v>124</v>
      </c>
      <c r="D1239" s="18" t="s">
        <v>125</v>
      </c>
      <c r="E1239" s="18" t="s">
        <v>36</v>
      </c>
      <c r="F1239" s="18" t="s">
        <v>45</v>
      </c>
      <c r="J1239" s="19"/>
      <c r="K1239" s="19">
        <v>0.81089999999999995</v>
      </c>
      <c r="L1239" s="19">
        <v>0.76056338000000001</v>
      </c>
      <c r="M1239" s="19">
        <v>0.81059999999999999</v>
      </c>
      <c r="N1239" s="19">
        <v>0.7659999999999999</v>
      </c>
      <c r="O1239" s="19">
        <v>0.82410000000000005</v>
      </c>
      <c r="P1239" s="19">
        <v>0.86109999999999998</v>
      </c>
      <c r="Q1239" s="19"/>
      <c r="R1239" s="20">
        <v>64520</v>
      </c>
      <c r="S1239" s="21" t="str">
        <f>HYPERLINK("https://npc.collegeboard.org/student/app/loyola", "$26088")</f>
        <v>$26088</v>
      </c>
      <c r="T1239" s="20">
        <v>25239</v>
      </c>
      <c r="U1239" s="20">
        <v>30896</v>
      </c>
      <c r="V1239" s="20">
        <v>2810</v>
      </c>
      <c r="W1239" s="20">
        <v>23278</v>
      </c>
      <c r="Y1239" s="19">
        <v>0.12790000000000001</v>
      </c>
      <c r="Z1239" s="19">
        <v>0.22370000000000001</v>
      </c>
      <c r="AB1239" s="18">
        <v>3903</v>
      </c>
      <c r="AC1239" s="18">
        <v>3</v>
      </c>
    </row>
    <row r="1240" spans="1:29" ht="15.75" customHeight="1" x14ac:dyDescent="0.2">
      <c r="A1240" s="36" t="str">
        <f>HYPERLINK("https://www.loyno.edu", "Loyola University New Orleans")</f>
        <v>Loyola University New Orleans</v>
      </c>
      <c r="B1240" s="18" t="s">
        <v>32</v>
      </c>
      <c r="C1240" s="18" t="s">
        <v>158</v>
      </c>
      <c r="D1240" s="18" t="s">
        <v>159</v>
      </c>
      <c r="E1240" s="18">
        <v>1203</v>
      </c>
      <c r="F1240" s="18" t="s">
        <v>35</v>
      </c>
      <c r="J1240" s="19"/>
      <c r="K1240" s="19">
        <v>0.56230000000000002</v>
      </c>
      <c r="L1240" s="19">
        <v>0.57534246600000005</v>
      </c>
      <c r="M1240" s="19">
        <v>0.56720000000000004</v>
      </c>
      <c r="N1240" s="19">
        <v>0.48609999999999998</v>
      </c>
      <c r="O1240" s="19">
        <v>0.59089999999999998</v>
      </c>
      <c r="P1240" s="19">
        <v>0.8</v>
      </c>
      <c r="Q1240" s="19"/>
      <c r="R1240" s="20">
        <v>55402</v>
      </c>
      <c r="S1240" s="21" t="str">
        <f>HYPERLINK("https://www.loyno.edu/financialaid/net-price-calculator", "$17665")</f>
        <v>$17665</v>
      </c>
      <c r="T1240" s="20">
        <v>20503</v>
      </c>
      <c r="U1240" s="20">
        <v>23822</v>
      </c>
      <c r="V1240" s="20">
        <v>3244</v>
      </c>
      <c r="W1240" s="20">
        <v>14421</v>
      </c>
      <c r="Y1240" s="19">
        <v>0.31559999999999999</v>
      </c>
      <c r="Z1240" s="19">
        <v>0.48499999999999999</v>
      </c>
      <c r="AB1240" s="18">
        <v>2534</v>
      </c>
      <c r="AC1240" s="18">
        <v>3</v>
      </c>
    </row>
    <row r="1241" spans="1:29" ht="15.75" customHeight="1" x14ac:dyDescent="0.2">
      <c r="A1241" s="36" t="str">
        <f>HYPERLINK("https://www.lcu.edu", "Lubbock Christian University")</f>
        <v>Lubbock Christian University</v>
      </c>
      <c r="B1241" s="18" t="s">
        <v>32</v>
      </c>
      <c r="C1241" s="18" t="s">
        <v>146</v>
      </c>
      <c r="D1241" s="18" t="s">
        <v>935</v>
      </c>
      <c r="E1241" s="18">
        <v>1091</v>
      </c>
      <c r="F1241" s="18" t="s">
        <v>35</v>
      </c>
      <c r="J1241" s="19"/>
      <c r="K1241" s="19">
        <v>0.46729999999999999</v>
      </c>
      <c r="L1241" s="19">
        <v>0.46022727299999999</v>
      </c>
      <c r="M1241" s="19">
        <v>0.55410000000000004</v>
      </c>
      <c r="N1241" s="19">
        <v>0.1739</v>
      </c>
      <c r="O1241" s="19">
        <v>0.22950000000000001</v>
      </c>
      <c r="P1241" s="19" t="s">
        <v>36</v>
      </c>
      <c r="Q1241" s="19"/>
      <c r="R1241" s="20">
        <v>35320</v>
      </c>
      <c r="S1241" s="21" t="str">
        <f>HYPERLINK("https://lcu.edu/admissions/net-price-calculator/", "$19876")</f>
        <v>$19876</v>
      </c>
      <c r="T1241" s="20">
        <v>22289</v>
      </c>
      <c r="U1241" s="20">
        <v>22673</v>
      </c>
      <c r="V1241" s="20">
        <v>6048</v>
      </c>
      <c r="W1241" s="20">
        <v>13828</v>
      </c>
      <c r="Y1241" s="19">
        <v>0.35349999999999998</v>
      </c>
      <c r="Z1241" s="19">
        <v>0.3377</v>
      </c>
      <c r="AB1241" s="18">
        <v>1439</v>
      </c>
      <c r="AC1241" s="18">
        <v>4</v>
      </c>
    </row>
    <row r="1242" spans="1:29" ht="15.75" customHeight="1" x14ac:dyDescent="0.2">
      <c r="A1242" s="36" t="str">
        <f>HYPERLINK("https://www.lbwcc.edu", "Lurleen B Wallace Community College")</f>
        <v>Lurleen B Wallace Community College</v>
      </c>
      <c r="B1242" s="18" t="s">
        <v>49</v>
      </c>
      <c r="C1242" s="18" t="s">
        <v>300</v>
      </c>
      <c r="D1242" s="18" t="s">
        <v>1492</v>
      </c>
      <c r="E1242" s="18" t="s">
        <v>36</v>
      </c>
      <c r="F1242" s="18" t="s">
        <v>36</v>
      </c>
      <c r="J1242" s="19"/>
      <c r="K1242" s="19">
        <v>0.34749999999999998</v>
      </c>
      <c r="L1242" s="19">
        <v>0.111498258</v>
      </c>
      <c r="M1242" s="19">
        <v>0.37409999999999999</v>
      </c>
      <c r="N1242" s="19">
        <v>0.29499999999999998</v>
      </c>
      <c r="O1242" s="19">
        <v>0.375</v>
      </c>
      <c r="P1242" s="19">
        <v>0.5</v>
      </c>
      <c r="Q1242" s="19">
        <v>6.9541029000000004E-2</v>
      </c>
      <c r="R1242" s="20">
        <v>22277</v>
      </c>
      <c r="S1242" s="21" t="str">
        <f>HYPERLINK("https://www.lbwcc.edu/financial-aid/net-price-calculator", "Not reported")</f>
        <v>Not reported</v>
      </c>
      <c r="T1242" s="20" t="s">
        <v>36</v>
      </c>
      <c r="U1242" s="20" t="s">
        <v>36</v>
      </c>
      <c r="V1242" s="20">
        <v>4817</v>
      </c>
      <c r="W1242" s="20" t="s">
        <v>36</v>
      </c>
      <c r="Y1242" s="19">
        <v>0.51780000000000004</v>
      </c>
      <c r="Z1242" s="19">
        <v>0.30059999999999998</v>
      </c>
      <c r="AB1242" s="18">
        <v>1354</v>
      </c>
      <c r="AC1242" s="18">
        <v>6</v>
      </c>
    </row>
    <row r="1243" spans="1:29" ht="15.75" customHeight="1" x14ac:dyDescent="0.2">
      <c r="A1243" s="36" t="str">
        <f>HYPERLINK("https://www.luther.edu", "Luther College")</f>
        <v>Luther College</v>
      </c>
      <c r="B1243" s="18" t="s">
        <v>32</v>
      </c>
      <c r="C1243" s="18" t="s">
        <v>211</v>
      </c>
      <c r="D1243" s="18" t="s">
        <v>400</v>
      </c>
      <c r="E1243" s="18">
        <v>1222</v>
      </c>
      <c r="F1243" s="18" t="s">
        <v>35</v>
      </c>
      <c r="J1243" s="19"/>
      <c r="K1243" s="19">
        <v>0.80059999999999998</v>
      </c>
      <c r="L1243" s="19">
        <v>0.47368421100000002</v>
      </c>
      <c r="M1243" s="19">
        <v>0.80479999999999996</v>
      </c>
      <c r="N1243" s="19">
        <v>0.85709999999999997</v>
      </c>
      <c r="O1243" s="19">
        <v>0.6</v>
      </c>
      <c r="P1243" s="19">
        <v>0.5</v>
      </c>
      <c r="Q1243" s="19"/>
      <c r="R1243" s="20">
        <v>54045</v>
      </c>
      <c r="S1243" s="21" t="str">
        <f>HYPERLINK("https://www.luther.edu/financialaid/prospective/netpricecalculator/", "$18642")</f>
        <v>$18642</v>
      </c>
      <c r="T1243" s="20">
        <v>21807</v>
      </c>
      <c r="U1243" s="20">
        <v>25700</v>
      </c>
      <c r="V1243" s="20">
        <v>4055</v>
      </c>
      <c r="W1243" s="20">
        <v>14587</v>
      </c>
      <c r="Y1243" s="19">
        <v>0.18029999999999999</v>
      </c>
      <c r="Z1243" s="19">
        <v>0.18820000000000001</v>
      </c>
      <c r="AB1243" s="18">
        <v>2008</v>
      </c>
      <c r="AC1243" s="18">
        <v>3</v>
      </c>
    </row>
    <row r="1244" spans="1:29" ht="15.75" customHeight="1" x14ac:dyDescent="0.2">
      <c r="A1244" s="36" t="str">
        <f>HYPERLINK("https://www.luzerne.edu", "Luzerne County Community College")</f>
        <v>Luzerne County Community College</v>
      </c>
      <c r="B1244" s="18" t="s">
        <v>49</v>
      </c>
      <c r="C1244" s="18" t="s">
        <v>65</v>
      </c>
      <c r="D1244" s="18" t="s">
        <v>1493</v>
      </c>
      <c r="E1244" s="18" t="s">
        <v>36</v>
      </c>
      <c r="F1244" s="18" t="s">
        <v>36</v>
      </c>
      <c r="J1244" s="19"/>
      <c r="K1244" s="19">
        <v>0.1774</v>
      </c>
      <c r="L1244" s="19">
        <v>0.18798150999999999</v>
      </c>
      <c r="M1244" s="19">
        <v>0.1988</v>
      </c>
      <c r="N1244" s="19">
        <v>1.7899999999999999E-2</v>
      </c>
      <c r="O1244" s="19">
        <v>6.1899999999999997E-2</v>
      </c>
      <c r="P1244" s="19">
        <v>0.2</v>
      </c>
      <c r="Q1244" s="19">
        <v>8.5006408000000006E-2</v>
      </c>
      <c r="R1244" s="20">
        <v>21840</v>
      </c>
      <c r="S1244" s="21" t="str">
        <f>HYPERLINK("https://www.luzerne.edu/npc/npcalc.htm", "$16465")</f>
        <v>$16465</v>
      </c>
      <c r="T1244" s="20">
        <v>19587</v>
      </c>
      <c r="U1244" s="20">
        <v>21527</v>
      </c>
      <c r="V1244" s="20">
        <v>3600</v>
      </c>
      <c r="W1244" s="20">
        <v>12865.576309794989</v>
      </c>
      <c r="Y1244" s="19">
        <v>0.38679999999999998</v>
      </c>
      <c r="Z1244" s="19">
        <v>0.34830000000000011</v>
      </c>
      <c r="AB1244" s="18">
        <v>4758</v>
      </c>
      <c r="AC1244" s="18">
        <v>6</v>
      </c>
    </row>
    <row r="1245" spans="1:29" ht="15.75" customHeight="1" x14ac:dyDescent="0.2">
      <c r="A1245" s="36" t="str">
        <f>HYPERLINK("https://www.lycoming.edu", "Lycoming College")</f>
        <v>Lycoming College</v>
      </c>
      <c r="B1245" s="18" t="s">
        <v>32</v>
      </c>
      <c r="C1245" s="18" t="s">
        <v>65</v>
      </c>
      <c r="D1245" s="18" t="s">
        <v>936</v>
      </c>
      <c r="E1245" s="18">
        <v>1105</v>
      </c>
      <c r="F1245" s="18" t="s">
        <v>35</v>
      </c>
      <c r="J1245" s="19"/>
      <c r="K1245" s="19">
        <v>0.67310000000000003</v>
      </c>
      <c r="L1245" s="19">
        <v>0.58823529399999996</v>
      </c>
      <c r="M1245" s="19">
        <v>0.71120000000000005</v>
      </c>
      <c r="N1245" s="19">
        <v>0.32</v>
      </c>
      <c r="O1245" s="19">
        <v>0.58330000000000004</v>
      </c>
      <c r="P1245" s="19">
        <v>1</v>
      </c>
      <c r="Q1245" s="19"/>
      <c r="R1245" s="20">
        <v>53870</v>
      </c>
      <c r="S1245" s="21" t="str">
        <f>HYPERLINK("https://lycoming.studentaidcalculator.com", "$12648")</f>
        <v>$12648</v>
      </c>
      <c r="T1245" s="20">
        <v>17520</v>
      </c>
      <c r="U1245" s="20">
        <v>21687</v>
      </c>
      <c r="V1245" s="20">
        <v>3272</v>
      </c>
      <c r="W1245" s="20">
        <v>9376</v>
      </c>
      <c r="Y1245" s="19">
        <v>0.37690000000000001</v>
      </c>
      <c r="Z1245" s="19">
        <v>0.37</v>
      </c>
      <c r="AB1245" s="18">
        <v>1192</v>
      </c>
      <c r="AC1245" s="18">
        <v>4</v>
      </c>
    </row>
    <row r="1246" spans="1:29" ht="15.75" customHeight="1" x14ac:dyDescent="0.2">
      <c r="A1246" s="36" t="str">
        <f>HYPERLINK("https://WWW.LYNDONSTATE.EDU", "Lyndon State College")</f>
        <v>Lyndon State College</v>
      </c>
      <c r="B1246" s="18" t="s">
        <v>49</v>
      </c>
      <c r="C1246" s="18" t="s">
        <v>47</v>
      </c>
      <c r="D1246" s="18" t="s">
        <v>938</v>
      </c>
      <c r="E1246" s="18">
        <v>1034</v>
      </c>
      <c r="F1246" s="18" t="s">
        <v>115</v>
      </c>
      <c r="J1246" s="19"/>
      <c r="K1246" s="19">
        <v>0.42709999999999998</v>
      </c>
      <c r="L1246" s="19">
        <v>0.256410256</v>
      </c>
      <c r="M1246" s="19">
        <v>0.44109999999999999</v>
      </c>
      <c r="N1246" s="19">
        <v>0.30769999999999997</v>
      </c>
      <c r="O1246" s="19">
        <v>0.30769999999999997</v>
      </c>
      <c r="P1246" s="19">
        <v>1</v>
      </c>
      <c r="Q1246" s="19"/>
      <c r="R1246" s="20">
        <v>36888</v>
      </c>
      <c r="S1246" s="21" t="str">
        <f>HYPERLINK("https://lsc.studentaidcalculator.com/", "$25948")</f>
        <v>$25948</v>
      </c>
      <c r="T1246" s="20">
        <v>28891</v>
      </c>
      <c r="U1246" s="20">
        <v>31574</v>
      </c>
      <c r="V1246" s="20">
        <v>2700</v>
      </c>
      <c r="W1246" s="20">
        <v>23248.26923076923</v>
      </c>
      <c r="Y1246" s="19">
        <v>0.39200000000000002</v>
      </c>
      <c r="Z1246" s="19">
        <v>0.1701</v>
      </c>
      <c r="AB1246" s="18">
        <v>1011</v>
      </c>
      <c r="AC1246" s="18">
        <v>4</v>
      </c>
    </row>
    <row r="1247" spans="1:29" ht="15.75" customHeight="1" x14ac:dyDescent="0.2">
      <c r="A1247" s="36" t="str">
        <f>HYPERLINK("https://www.lynn.edu", "Lynn University")</f>
        <v>Lynn University</v>
      </c>
      <c r="B1247" s="18" t="s">
        <v>32</v>
      </c>
      <c r="C1247" s="18" t="s">
        <v>162</v>
      </c>
      <c r="D1247" s="18" t="s">
        <v>760</v>
      </c>
      <c r="E1247" s="18" t="s">
        <v>36</v>
      </c>
      <c r="F1247" s="18" t="s">
        <v>115</v>
      </c>
      <c r="J1247" s="19"/>
      <c r="K1247" s="19">
        <v>0.51229999999999998</v>
      </c>
      <c r="L1247" s="19">
        <v>0.50833333299999994</v>
      </c>
      <c r="M1247" s="19">
        <v>0.47510000000000002</v>
      </c>
      <c r="N1247" s="19">
        <v>0.48720000000000002</v>
      </c>
      <c r="O1247" s="19">
        <v>0.38100000000000001</v>
      </c>
      <c r="P1247" s="19">
        <v>0.25</v>
      </c>
      <c r="Q1247" s="19"/>
      <c r="R1247" s="20">
        <v>55923</v>
      </c>
      <c r="S1247" s="21" t="str">
        <f>HYPERLINK("https://lynn.aidcalculator.com/calculator", "$31139")</f>
        <v>$31139</v>
      </c>
      <c r="T1247" s="20">
        <v>37088</v>
      </c>
      <c r="U1247" s="20">
        <v>37630</v>
      </c>
      <c r="V1247" s="20">
        <v>6443</v>
      </c>
      <c r="W1247" s="20">
        <v>24696</v>
      </c>
      <c r="Y1247" s="19">
        <v>0.21340000000000001</v>
      </c>
      <c r="Z1247" s="19">
        <v>0.55679999999999996</v>
      </c>
      <c r="AB1247" s="18">
        <v>2182</v>
      </c>
      <c r="AC1247" s="18">
        <v>4</v>
      </c>
    </row>
    <row r="1248" spans="1:29" ht="15.75" customHeight="1" x14ac:dyDescent="0.2">
      <c r="A1248" s="36" t="str">
        <f>HYPERLINK("https://www.mcphs.edu", "MCPHS University")</f>
        <v>MCPHS University</v>
      </c>
      <c r="B1248" s="18" t="s">
        <v>32</v>
      </c>
      <c r="C1248" s="18" t="s">
        <v>33</v>
      </c>
      <c r="D1248" s="18" t="s">
        <v>136</v>
      </c>
      <c r="E1248" s="18">
        <v>1169</v>
      </c>
      <c r="F1248" s="18" t="s">
        <v>35</v>
      </c>
      <c r="J1248" s="19"/>
      <c r="K1248" s="19">
        <v>0.73839999999999995</v>
      </c>
      <c r="L1248" s="19">
        <v>0.75833333299999994</v>
      </c>
      <c r="M1248" s="19">
        <v>0.68389999999999995</v>
      </c>
      <c r="N1248" s="19">
        <v>0.62160000000000004</v>
      </c>
      <c r="O1248" s="19">
        <v>0.55559999999999998</v>
      </c>
      <c r="P1248" s="19">
        <v>0.82379999999999998</v>
      </c>
      <c r="Q1248" s="19"/>
      <c r="R1248" s="20">
        <v>53362</v>
      </c>
      <c r="S1248" s="21" t="str">
        <f>HYPERLINK("https://www.mcphs.edu/admission-and-aid/financial-services/net-price-calculator", "$34675")</f>
        <v>$34675</v>
      </c>
      <c r="T1248" s="20">
        <v>38853</v>
      </c>
      <c r="U1248" s="20">
        <v>40282</v>
      </c>
      <c r="V1248" s="20">
        <v>4372</v>
      </c>
      <c r="W1248" s="20">
        <v>30303</v>
      </c>
      <c r="Y1248" s="19">
        <v>0.2868</v>
      </c>
      <c r="Z1248" s="19">
        <v>0.60650000000000004</v>
      </c>
      <c r="AB1248" s="18">
        <v>3837</v>
      </c>
      <c r="AC1248" s="18">
        <v>4</v>
      </c>
    </row>
    <row r="1249" spans="1:29" ht="15.75" customHeight="1" x14ac:dyDescent="0.2">
      <c r="A1249" s="36" t="str">
        <f>HYPERLINK("https://www.maccormac.edu", "MacCormac College")</f>
        <v>MacCormac College</v>
      </c>
      <c r="B1249" s="18" t="s">
        <v>32</v>
      </c>
      <c r="C1249" s="18" t="s">
        <v>137</v>
      </c>
      <c r="D1249" s="18" t="s">
        <v>161</v>
      </c>
      <c r="E1249" s="18" t="s">
        <v>36</v>
      </c>
      <c r="F1249" s="18" t="s">
        <v>36</v>
      </c>
      <c r="J1249" s="19"/>
      <c r="K1249" s="19">
        <v>0.1176</v>
      </c>
      <c r="L1249" s="19" t="s">
        <v>36</v>
      </c>
      <c r="M1249" s="19">
        <v>0.25</v>
      </c>
      <c r="N1249" s="19">
        <v>0.1111</v>
      </c>
      <c r="O1249" s="19">
        <v>0</v>
      </c>
      <c r="P1249" s="19" t="s">
        <v>36</v>
      </c>
      <c r="Q1249" s="19" t="s">
        <v>36</v>
      </c>
      <c r="R1249" s="20">
        <v>25620</v>
      </c>
      <c r="S1249" s="21" t="str">
        <f>HYPERLINK("https://www2.ferrum.edu/financialaid/netPrice/npcalc.htm", "$20140")</f>
        <v>$20140</v>
      </c>
      <c r="T1249" s="20" t="s">
        <v>36</v>
      </c>
      <c r="U1249" s="20" t="s">
        <v>36</v>
      </c>
      <c r="V1249" s="20">
        <v>5550</v>
      </c>
      <c r="W1249" s="20">
        <v>14590</v>
      </c>
      <c r="Y1249" s="19">
        <v>0.4128</v>
      </c>
      <c r="Z1249" s="19">
        <v>0.82730000000000004</v>
      </c>
      <c r="AB1249" s="18">
        <v>278</v>
      </c>
      <c r="AC1249" s="18">
        <v>6</v>
      </c>
    </row>
    <row r="1250" spans="1:29" ht="15.75" customHeight="1" x14ac:dyDescent="0.2">
      <c r="A1250" s="36" t="str">
        <f>HYPERLINK("https://www.mac.edu", "MacMurray College")</f>
        <v>MacMurray College</v>
      </c>
      <c r="B1250" s="18" t="s">
        <v>32</v>
      </c>
      <c r="C1250" s="18" t="s">
        <v>137</v>
      </c>
      <c r="D1250" s="18" t="s">
        <v>382</v>
      </c>
      <c r="E1250" s="18">
        <v>1032</v>
      </c>
      <c r="F1250" s="18" t="s">
        <v>35</v>
      </c>
      <c r="J1250" s="19"/>
      <c r="K1250" s="19">
        <v>0.42859999999999998</v>
      </c>
      <c r="L1250" s="19">
        <v>0.409090909</v>
      </c>
      <c r="M1250" s="19">
        <v>0.46339999999999998</v>
      </c>
      <c r="N1250" s="19">
        <v>0.2581</v>
      </c>
      <c r="O1250" s="19">
        <v>0.71430000000000005</v>
      </c>
      <c r="P1250" s="19" t="s">
        <v>36</v>
      </c>
      <c r="Q1250" s="19"/>
      <c r="R1250" s="20">
        <v>37725</v>
      </c>
      <c r="S1250" s="21" t="str">
        <f>HYPERLINK("https://www.mac.edu/financialaid/npc.asp", "$13980")</f>
        <v>$13980</v>
      </c>
      <c r="T1250" s="20">
        <v>17940</v>
      </c>
      <c r="U1250" s="20">
        <v>20191</v>
      </c>
      <c r="V1250" s="20">
        <v>2700</v>
      </c>
      <c r="W1250" s="20">
        <v>11280</v>
      </c>
      <c r="Y1250" s="19">
        <v>0.52810000000000001</v>
      </c>
      <c r="Z1250" s="19">
        <v>0.2361</v>
      </c>
      <c r="AB1250" s="18">
        <v>521</v>
      </c>
      <c r="AC1250" s="18">
        <v>4</v>
      </c>
    </row>
    <row r="1251" spans="1:29" ht="15.75" customHeight="1" x14ac:dyDescent="0.2">
      <c r="A1251" s="36" t="str">
        <f>HYPERLINK("https://www.macalester.edu", "Macalester College")</f>
        <v>Macalester College</v>
      </c>
      <c r="B1251" s="18" t="s">
        <v>32</v>
      </c>
      <c r="C1251" s="18" t="s">
        <v>72</v>
      </c>
      <c r="D1251" s="18" t="s">
        <v>131</v>
      </c>
      <c r="E1251" s="18">
        <v>1405</v>
      </c>
      <c r="F1251" s="18" t="s">
        <v>35</v>
      </c>
      <c r="J1251" s="19"/>
      <c r="K1251" s="19">
        <v>0.87239999999999995</v>
      </c>
      <c r="L1251" s="19" t="s">
        <v>36</v>
      </c>
      <c r="M1251" s="19">
        <v>0.87419999999999998</v>
      </c>
      <c r="N1251" s="19">
        <v>0.91669999999999996</v>
      </c>
      <c r="O1251" s="19">
        <v>0.875</v>
      </c>
      <c r="P1251" s="19">
        <v>0.871</v>
      </c>
      <c r="Q1251" s="19"/>
      <c r="R1251" s="20">
        <v>66280</v>
      </c>
      <c r="S1251" s="21" t="str">
        <f>HYPERLINK("https://www.macalester.edu/financialaid/estimate/", "$17987")</f>
        <v>$17987</v>
      </c>
      <c r="T1251" s="20">
        <v>14304</v>
      </c>
      <c r="U1251" s="20">
        <v>23994</v>
      </c>
      <c r="V1251" s="20">
        <v>2144</v>
      </c>
      <c r="W1251" s="20">
        <v>15843</v>
      </c>
      <c r="X1251" s="18" t="s">
        <v>37</v>
      </c>
      <c r="Y1251" s="19">
        <v>0.15140000000000001</v>
      </c>
      <c r="Z1251" s="19">
        <v>0.3861</v>
      </c>
      <c r="AA1251" s="18" t="s">
        <v>37</v>
      </c>
      <c r="AB1251" s="18">
        <v>2116</v>
      </c>
      <c r="AC1251" s="18">
        <v>1</v>
      </c>
    </row>
    <row r="1252" spans="1:29" ht="15.75" customHeight="1" x14ac:dyDescent="0.2">
      <c r="A1252" s="36" t="str">
        <f>HYPERLINK("https://www.macomb.edu", "Macomb Community College")</f>
        <v>Macomb Community College</v>
      </c>
      <c r="B1252" s="18" t="s">
        <v>49</v>
      </c>
      <c r="C1252" s="18" t="s">
        <v>226</v>
      </c>
      <c r="D1252" s="18" t="s">
        <v>713</v>
      </c>
      <c r="E1252" s="18" t="s">
        <v>36</v>
      </c>
      <c r="F1252" s="18" t="s">
        <v>36</v>
      </c>
      <c r="J1252" s="19"/>
      <c r="K1252" s="19">
        <v>0.1113</v>
      </c>
      <c r="L1252" s="19">
        <v>0.121745599</v>
      </c>
      <c r="M1252" s="19">
        <v>0.1168</v>
      </c>
      <c r="N1252" s="19">
        <v>5.3800000000000001E-2</v>
      </c>
      <c r="O1252" s="19">
        <v>0.22220000000000001</v>
      </c>
      <c r="P1252" s="19">
        <v>0.1111</v>
      </c>
      <c r="Q1252" s="19">
        <v>8.9896708000000006E-2</v>
      </c>
      <c r="R1252" s="20">
        <v>18463</v>
      </c>
      <c r="S1252" s="21" t="str">
        <f>HYPERLINK("https://www.macomb.edu", "Not reported")</f>
        <v>Not reported</v>
      </c>
      <c r="T1252" s="20" t="s">
        <v>36</v>
      </c>
      <c r="U1252" s="20" t="s">
        <v>36</v>
      </c>
      <c r="V1252" s="20">
        <v>4206</v>
      </c>
      <c r="W1252" s="20" t="s">
        <v>36</v>
      </c>
      <c r="Y1252" s="19">
        <v>0.21379999999999999</v>
      </c>
      <c r="Z1252" s="19">
        <v>0.31859999999999999</v>
      </c>
      <c r="AB1252" s="18">
        <v>16146</v>
      </c>
      <c r="AC1252" s="18">
        <v>6</v>
      </c>
    </row>
    <row r="1253" spans="1:29" ht="15.75" customHeight="1" x14ac:dyDescent="0.2">
      <c r="A1253" s="36" t="str">
        <f>HYPERLINK("https://www.madonna.edu", "Madonna University")</f>
        <v>Madonna University</v>
      </c>
      <c r="B1253" s="18" t="s">
        <v>32</v>
      </c>
      <c r="C1253" s="18" t="s">
        <v>226</v>
      </c>
      <c r="D1253" s="18" t="s">
        <v>401</v>
      </c>
      <c r="E1253" s="18">
        <v>1053</v>
      </c>
      <c r="F1253" s="18" t="s">
        <v>35</v>
      </c>
      <c r="J1253" s="19"/>
      <c r="K1253" s="19">
        <v>0.68969999999999998</v>
      </c>
      <c r="L1253" s="19">
        <v>0.43116883099999997</v>
      </c>
      <c r="M1253" s="19">
        <v>0.68669999999999998</v>
      </c>
      <c r="N1253" s="19">
        <v>0.7</v>
      </c>
      <c r="O1253" s="19">
        <v>1</v>
      </c>
      <c r="P1253" s="19" t="s">
        <v>36</v>
      </c>
      <c r="Q1253" s="19"/>
      <c r="R1253" s="20">
        <v>34186</v>
      </c>
      <c r="S1253" s="21" t="str">
        <f>HYPERLINK("https://ww4.madonna.edu/NetPriceCalc_17/npcalc.htm", "$11820")</f>
        <v>$11820</v>
      </c>
      <c r="T1253" s="20">
        <v>15088</v>
      </c>
      <c r="U1253" s="20">
        <v>19553</v>
      </c>
      <c r="V1253" s="20">
        <v>3736</v>
      </c>
      <c r="W1253" s="20">
        <v>8084</v>
      </c>
      <c r="Y1253" s="19">
        <v>0.32029999999999997</v>
      </c>
      <c r="Z1253" s="19">
        <v>0.36049999999999999</v>
      </c>
      <c r="AB1253" s="18">
        <v>2291</v>
      </c>
      <c r="AC1253" s="18">
        <v>3</v>
      </c>
    </row>
    <row r="1254" spans="1:29" ht="15.75" customHeight="1" x14ac:dyDescent="0.2">
      <c r="A1254" s="36" t="str">
        <f>HYPERLINK("https://www.meca.edu", "Maine College of Art")</f>
        <v>Maine College of Art</v>
      </c>
      <c r="B1254" s="18" t="s">
        <v>32</v>
      </c>
      <c r="C1254" s="18" t="s">
        <v>43</v>
      </c>
      <c r="D1254" s="18" t="s">
        <v>144</v>
      </c>
      <c r="E1254" s="18" t="s">
        <v>36</v>
      </c>
      <c r="F1254" s="18" t="s">
        <v>90</v>
      </c>
      <c r="J1254" s="19"/>
      <c r="K1254" s="19">
        <v>0.52939999999999998</v>
      </c>
      <c r="L1254" s="19">
        <v>0.55263157900000004</v>
      </c>
      <c r="M1254" s="19">
        <v>0.54320000000000002</v>
      </c>
      <c r="N1254" s="19">
        <v>0.66669999999999996</v>
      </c>
      <c r="O1254" s="19">
        <v>0.5</v>
      </c>
      <c r="P1254" s="19" t="s">
        <v>36</v>
      </c>
      <c r="Q1254" s="19"/>
      <c r="R1254" s="20">
        <v>48970</v>
      </c>
      <c r="S1254" s="21" t="str">
        <f>HYPERLINK("https://www.meca.edu/financial-aid", "$27414")</f>
        <v>$27414</v>
      </c>
      <c r="T1254" s="20">
        <v>28139</v>
      </c>
      <c r="U1254" s="20">
        <v>31895</v>
      </c>
      <c r="V1254" s="20">
        <v>3350</v>
      </c>
      <c r="W1254" s="20">
        <v>24064</v>
      </c>
      <c r="Y1254" s="19">
        <v>0.36380000000000001</v>
      </c>
      <c r="Z1254" s="19">
        <v>0.20180000000000001</v>
      </c>
      <c r="AB1254" s="18">
        <v>456</v>
      </c>
      <c r="AC1254" s="18">
        <v>4</v>
      </c>
    </row>
    <row r="1255" spans="1:29" ht="15.75" customHeight="1" x14ac:dyDescent="0.2">
      <c r="A1255" s="36" t="str">
        <f>HYPERLINK("https://www.mchp.edu", "Maine College of Health Professions")</f>
        <v>Maine College of Health Professions</v>
      </c>
      <c r="B1255" s="18" t="s">
        <v>32</v>
      </c>
      <c r="C1255" s="18" t="s">
        <v>43</v>
      </c>
      <c r="D1255" s="18" t="s">
        <v>44</v>
      </c>
      <c r="E1255" s="18">
        <v>920</v>
      </c>
      <c r="F1255" s="18" t="s">
        <v>35</v>
      </c>
      <c r="J1255" s="19"/>
      <c r="K1255" s="19">
        <v>1</v>
      </c>
      <c r="L1255" s="19">
        <v>0.64444444400000001</v>
      </c>
      <c r="M1255" s="19">
        <v>1</v>
      </c>
      <c r="N1255" s="19" t="s">
        <v>36</v>
      </c>
      <c r="O1255" s="19" t="s">
        <v>36</v>
      </c>
      <c r="P1255" s="19" t="s">
        <v>36</v>
      </c>
      <c r="Q1255" s="19" t="s">
        <v>36</v>
      </c>
      <c r="R1255" s="20">
        <v>19406</v>
      </c>
      <c r="S1255" s="21" t="str">
        <f>HYPERLINK("https://www.mchp.edu/net-price-calculator", "$11295")</f>
        <v>$11295</v>
      </c>
      <c r="T1255" s="20">
        <v>18810</v>
      </c>
      <c r="U1255" s="20">
        <v>18810</v>
      </c>
      <c r="V1255" s="20">
        <v>3000</v>
      </c>
      <c r="W1255" s="20">
        <v>8295</v>
      </c>
      <c r="Y1255" s="19">
        <v>0.44309999999999999</v>
      </c>
      <c r="Z1255" s="19">
        <v>0.16489999999999999</v>
      </c>
      <c r="AB1255" s="18">
        <v>188</v>
      </c>
      <c r="AC1255" s="18">
        <v>6</v>
      </c>
    </row>
    <row r="1256" spans="1:29" ht="15.75" customHeight="1" x14ac:dyDescent="0.2">
      <c r="A1256" s="36" t="str">
        <f>HYPERLINK("https://www.malone.edu", "Malone University")</f>
        <v>Malone University</v>
      </c>
      <c r="B1256" s="18" t="s">
        <v>32</v>
      </c>
      <c r="C1256" s="18" t="s">
        <v>75</v>
      </c>
      <c r="D1256" s="18" t="s">
        <v>249</v>
      </c>
      <c r="E1256" s="18">
        <v>1082</v>
      </c>
      <c r="F1256" s="18" t="s">
        <v>35</v>
      </c>
      <c r="J1256" s="19"/>
      <c r="K1256" s="19">
        <v>0.49030000000000001</v>
      </c>
      <c r="L1256" s="19">
        <v>0.29166666699999999</v>
      </c>
      <c r="M1256" s="19">
        <v>0.52490000000000003</v>
      </c>
      <c r="N1256" s="19">
        <v>0.2</v>
      </c>
      <c r="O1256" s="19">
        <v>0.375</v>
      </c>
      <c r="P1256" s="19">
        <v>0.33329999999999999</v>
      </c>
      <c r="Q1256" s="19"/>
      <c r="R1256" s="20">
        <v>43400</v>
      </c>
      <c r="S1256" s="21" t="str">
        <f>HYPERLINK("https://www.malone.edu/admissions-aid/financial-aid-scholarships/net-price-calculator/", "$16413")</f>
        <v>$16413</v>
      </c>
      <c r="T1256" s="20">
        <v>19235</v>
      </c>
      <c r="U1256" s="20">
        <v>23492</v>
      </c>
      <c r="V1256" s="20">
        <v>4200</v>
      </c>
      <c r="W1256" s="20">
        <v>12213</v>
      </c>
      <c r="Y1256" s="19">
        <v>0.38519999999999999</v>
      </c>
      <c r="Z1256" s="19">
        <v>0.20330000000000001</v>
      </c>
      <c r="AB1256" s="18">
        <v>1200</v>
      </c>
      <c r="AC1256" s="18">
        <v>4</v>
      </c>
    </row>
    <row r="1257" spans="1:29" ht="15.75" customHeight="1" x14ac:dyDescent="0.2">
      <c r="A1257" s="36" t="str">
        <f>HYPERLINK("https://www.manchestercc.edu/", "Manchester Community College")</f>
        <v>Manchester Community College</v>
      </c>
      <c r="B1257" s="18" t="s">
        <v>49</v>
      </c>
      <c r="C1257" s="18" t="s">
        <v>94</v>
      </c>
      <c r="D1257" s="18" t="s">
        <v>466</v>
      </c>
      <c r="E1257" s="18" t="s">
        <v>36</v>
      </c>
      <c r="F1257" s="18" t="s">
        <v>36</v>
      </c>
      <c r="J1257" s="19"/>
      <c r="K1257" s="19">
        <v>0.18779999999999999</v>
      </c>
      <c r="L1257" s="19">
        <v>0.15399061</v>
      </c>
      <c r="M1257" s="19">
        <v>0.25</v>
      </c>
      <c r="N1257" s="19">
        <v>8.2600000000000007E-2</v>
      </c>
      <c r="O1257" s="19">
        <v>9.1499999999999998E-2</v>
      </c>
      <c r="P1257" s="19">
        <v>0.17860000000000001</v>
      </c>
      <c r="Q1257" s="19">
        <v>8.0577270000000006E-2</v>
      </c>
      <c r="R1257" s="20">
        <v>26112</v>
      </c>
      <c r="S1257" s="21" t="str">
        <f>HYPERLINK("https://bor.ct.edu/finaid/netprice/b_npcalc.htm", "$20401")</f>
        <v>$20401</v>
      </c>
      <c r="T1257" s="20">
        <v>20921</v>
      </c>
      <c r="U1257" s="20">
        <v>23394</v>
      </c>
      <c r="V1257" s="20">
        <v>5712</v>
      </c>
      <c r="W1257" s="20">
        <v>14689.627906976741</v>
      </c>
      <c r="Y1257" s="19">
        <v>0.38719999999999999</v>
      </c>
      <c r="Z1257" s="19">
        <v>0.51929999999999998</v>
      </c>
      <c r="AB1257" s="18">
        <v>5611</v>
      </c>
      <c r="AC1257" s="18">
        <v>6</v>
      </c>
    </row>
    <row r="1258" spans="1:29" ht="15.75" customHeight="1" x14ac:dyDescent="0.2">
      <c r="A1258" s="36" t="str">
        <f>HYPERLINK("https://www.mccnh.edu", "Manchester Community College")</f>
        <v>Manchester Community College</v>
      </c>
      <c r="B1258" s="18" t="s">
        <v>49</v>
      </c>
      <c r="C1258" s="18" t="s">
        <v>101</v>
      </c>
      <c r="D1258" s="18" t="s">
        <v>466</v>
      </c>
      <c r="E1258" s="18" t="s">
        <v>36</v>
      </c>
      <c r="F1258" s="18" t="s">
        <v>36</v>
      </c>
      <c r="J1258" s="19"/>
      <c r="K1258" s="19">
        <v>0.28570000000000001</v>
      </c>
      <c r="L1258" s="19" t="s">
        <v>36</v>
      </c>
      <c r="M1258" s="19">
        <v>0.3034</v>
      </c>
      <c r="N1258" s="19">
        <v>0.33329999999999999</v>
      </c>
      <c r="O1258" s="19">
        <v>0.21049999999999999</v>
      </c>
      <c r="P1258" s="19">
        <v>0.4</v>
      </c>
      <c r="Q1258" s="19">
        <v>0.14084506999999999</v>
      </c>
      <c r="R1258" s="20">
        <v>35752</v>
      </c>
      <c r="S1258" s="21" t="str">
        <f>HYPERLINK("https://www.mccnh.edu/admissions/financial-aid/net-price-calculator", "$32614")</f>
        <v>$32614</v>
      </c>
      <c r="T1258" s="20">
        <v>35752</v>
      </c>
      <c r="U1258" s="20">
        <v>35752</v>
      </c>
      <c r="V1258" s="20">
        <v>5517</v>
      </c>
      <c r="W1258" s="20">
        <v>27097.653543307089</v>
      </c>
      <c r="Y1258" s="19">
        <v>0.318</v>
      </c>
      <c r="Z1258" s="19">
        <v>0.2311</v>
      </c>
      <c r="AB1258" s="18">
        <v>2272</v>
      </c>
      <c r="AC1258" s="18">
        <v>6</v>
      </c>
    </row>
    <row r="1259" spans="1:29" ht="15.75" customHeight="1" x14ac:dyDescent="0.2">
      <c r="A1259" s="36" t="str">
        <f>HYPERLINK("https://www.manchester.edu", "Manchester University")</f>
        <v>Manchester University</v>
      </c>
      <c r="B1259" s="18" t="s">
        <v>32</v>
      </c>
      <c r="C1259" s="18" t="s">
        <v>148</v>
      </c>
      <c r="D1259" s="18" t="s">
        <v>944</v>
      </c>
      <c r="E1259" s="18" t="s">
        <v>36</v>
      </c>
      <c r="F1259" s="18" t="s">
        <v>45</v>
      </c>
      <c r="J1259" s="19"/>
      <c r="K1259" s="19">
        <v>0.54959999999999998</v>
      </c>
      <c r="L1259" s="19">
        <v>0.38383838399999998</v>
      </c>
      <c r="M1259" s="19">
        <v>0.58150000000000002</v>
      </c>
      <c r="N1259" s="19">
        <v>0.15379999999999999</v>
      </c>
      <c r="O1259" s="19">
        <v>0.30769999999999997</v>
      </c>
      <c r="P1259" s="19">
        <v>0.25</v>
      </c>
      <c r="Q1259" s="19"/>
      <c r="R1259" s="20">
        <v>44248</v>
      </c>
      <c r="S1259" s="21" t="str">
        <f>HYPERLINK("https://admissions.manchester.edu/costs-financial-aid/how-much-does-it-cost#net-price-calculator/", "$15708")</f>
        <v>$15708</v>
      </c>
      <c r="T1259" s="20">
        <v>19676</v>
      </c>
      <c r="U1259" s="20">
        <v>21574</v>
      </c>
      <c r="V1259" s="20">
        <v>2488</v>
      </c>
      <c r="W1259" s="20">
        <v>13220</v>
      </c>
      <c r="Y1259" s="19">
        <v>0.38129999999999997</v>
      </c>
      <c r="Z1259" s="19">
        <v>0.25700000000000001</v>
      </c>
      <c r="AB1259" s="18">
        <v>1257</v>
      </c>
      <c r="AC1259" s="18">
        <v>4</v>
      </c>
    </row>
    <row r="1260" spans="1:29" ht="15.75" customHeight="1" x14ac:dyDescent="0.2">
      <c r="A1260" s="36" t="str">
        <f>HYPERLINK("https://www.mandl.edu", "Mandl School-The College of Allied Health")</f>
        <v>Mandl School-The College of Allied Health</v>
      </c>
      <c r="B1260" s="18" t="s">
        <v>368</v>
      </c>
      <c r="C1260" s="18" t="s">
        <v>38</v>
      </c>
      <c r="D1260" s="18" t="s">
        <v>39</v>
      </c>
      <c r="E1260" s="18" t="s">
        <v>36</v>
      </c>
      <c r="F1260" s="18" t="s">
        <v>36</v>
      </c>
      <c r="J1260" s="19"/>
      <c r="K1260" s="19">
        <v>0.43280000000000002</v>
      </c>
      <c r="L1260" s="19">
        <v>0.37991266400000001</v>
      </c>
      <c r="M1260" s="19">
        <v>1</v>
      </c>
      <c r="N1260" s="19">
        <v>0.36</v>
      </c>
      <c r="O1260" s="19">
        <v>0.47220000000000001</v>
      </c>
      <c r="P1260" s="19">
        <v>1</v>
      </c>
      <c r="Q1260" s="19">
        <v>2.8355387999999999E-2</v>
      </c>
      <c r="R1260" s="20">
        <v>18665</v>
      </c>
      <c r="S1260" s="21" t="str">
        <f>HYPERLINK("https://mandl.edu/wp-content/uploads/netcalc/npcalc.htm", "$17580")</f>
        <v>$17580</v>
      </c>
      <c r="T1260" s="20">
        <v>23623</v>
      </c>
      <c r="U1260" s="20" t="s">
        <v>36</v>
      </c>
      <c r="V1260" s="20">
        <v>4595</v>
      </c>
      <c r="W1260" s="20">
        <v>12985</v>
      </c>
      <c r="Y1260" s="19">
        <v>0.90429999999999999</v>
      </c>
      <c r="Z1260" s="19">
        <v>0.9415</v>
      </c>
      <c r="AB1260" s="18">
        <v>598</v>
      </c>
      <c r="AC1260" s="18">
        <v>6</v>
      </c>
    </row>
    <row r="1261" spans="1:29" ht="15.75" customHeight="1" x14ac:dyDescent="0.2">
      <c r="A1261" s="36" t="str">
        <f>HYPERLINK("https://www.manhattan.edu", "Manhattan College")</f>
        <v>Manhattan College</v>
      </c>
      <c r="B1261" s="18" t="s">
        <v>32</v>
      </c>
      <c r="C1261" s="18" t="s">
        <v>38</v>
      </c>
      <c r="D1261" s="18" t="s">
        <v>402</v>
      </c>
      <c r="E1261" s="18">
        <v>1169</v>
      </c>
      <c r="F1261" s="18" t="s">
        <v>35</v>
      </c>
      <c r="G1261" s="18" t="s">
        <v>40</v>
      </c>
      <c r="H1261" s="18" t="s">
        <v>403</v>
      </c>
      <c r="I1261" s="18" t="s">
        <v>404</v>
      </c>
      <c r="J1261" s="19"/>
      <c r="K1261" s="19">
        <v>0.75190000000000001</v>
      </c>
      <c r="L1261" s="19">
        <v>0.66025641000000002</v>
      </c>
      <c r="M1261" s="19">
        <v>0.79810000000000003</v>
      </c>
      <c r="N1261" s="19">
        <v>0.62070000000000003</v>
      </c>
      <c r="O1261" s="19">
        <v>0.68120000000000003</v>
      </c>
      <c r="P1261" s="19">
        <v>0.73170000000000002</v>
      </c>
      <c r="Q1261" s="19"/>
      <c r="R1261" s="20">
        <v>60212</v>
      </c>
      <c r="S1261" s="21" t="str">
        <f>HYPERLINK("https://manhattan.studentaidcalculator.com/survey.aspx", "$24446")</f>
        <v>$24446</v>
      </c>
      <c r="T1261" s="20">
        <v>27183</v>
      </c>
      <c r="U1261" s="20">
        <v>28134</v>
      </c>
      <c r="V1261" s="20">
        <v>3200</v>
      </c>
      <c r="W1261" s="20">
        <v>21246</v>
      </c>
      <c r="Y1261" s="19">
        <v>0.28589999999999999</v>
      </c>
      <c r="Z1261" s="19">
        <v>0.45279999999999998</v>
      </c>
      <c r="AB1261" s="18">
        <v>3664</v>
      </c>
      <c r="AC1261" s="18">
        <v>3</v>
      </c>
    </row>
    <row r="1262" spans="1:29" ht="15.75" customHeight="1" x14ac:dyDescent="0.2">
      <c r="A1262" s="36" t="str">
        <f>HYPERLINK("https://www.msmnyc.edu", "Manhattan School of Music")</f>
        <v>Manhattan School of Music</v>
      </c>
      <c r="B1262" s="18" t="s">
        <v>32</v>
      </c>
      <c r="C1262" s="18" t="s">
        <v>38</v>
      </c>
      <c r="D1262" s="18" t="s">
        <v>39</v>
      </c>
      <c r="E1262" s="18" t="s">
        <v>36</v>
      </c>
      <c r="F1262" s="18" t="s">
        <v>45</v>
      </c>
      <c r="J1262" s="19"/>
      <c r="K1262" s="19">
        <v>0.69389999999999996</v>
      </c>
      <c r="L1262" s="19" t="s">
        <v>36</v>
      </c>
      <c r="M1262" s="19">
        <v>0.5</v>
      </c>
      <c r="N1262" s="19">
        <v>0.6</v>
      </c>
      <c r="O1262" s="19">
        <v>0.85709999999999997</v>
      </c>
      <c r="P1262" s="19">
        <v>0.6</v>
      </c>
      <c r="Q1262" s="19"/>
      <c r="R1262" s="20">
        <v>66200</v>
      </c>
      <c r="S1262" s="21" t="str">
        <f>HYPERLINK("https://www.msmnyc.edu/admissions/scholarships-financial-aid/net-price-calculator/", "$41767")</f>
        <v>$41767</v>
      </c>
      <c r="T1262" s="20">
        <v>45536</v>
      </c>
      <c r="U1262" s="20">
        <v>44292</v>
      </c>
      <c r="V1262" s="20">
        <v>5600</v>
      </c>
      <c r="W1262" s="20">
        <v>36167</v>
      </c>
      <c r="Y1262" s="19">
        <v>0.12909999999999999</v>
      </c>
      <c r="Z1262" s="19">
        <v>0.72950000000000004</v>
      </c>
      <c r="AB1262" s="18">
        <v>488</v>
      </c>
      <c r="AC1262" s="18">
        <v>4</v>
      </c>
    </row>
    <row r="1263" spans="1:29" ht="15.75" customHeight="1" x14ac:dyDescent="0.2">
      <c r="A1263" s="36" t="str">
        <f>HYPERLINK("https://www.mville.edu", "Manhattanville College")</f>
        <v>Manhattanville College</v>
      </c>
      <c r="B1263" s="18" t="s">
        <v>32</v>
      </c>
      <c r="C1263" s="18" t="s">
        <v>38</v>
      </c>
      <c r="D1263" s="18" t="s">
        <v>405</v>
      </c>
      <c r="E1263" s="18" t="s">
        <v>36</v>
      </c>
      <c r="F1263" s="18" t="s">
        <v>90</v>
      </c>
      <c r="G1263" s="18" t="s">
        <v>406</v>
      </c>
      <c r="J1263" s="19"/>
      <c r="K1263" s="19">
        <v>0.54600000000000004</v>
      </c>
      <c r="L1263" s="19">
        <v>0.57480315000000004</v>
      </c>
      <c r="M1263" s="19">
        <v>0.58819999999999995</v>
      </c>
      <c r="N1263" s="19">
        <v>0.45</v>
      </c>
      <c r="O1263" s="19">
        <v>0.50980000000000003</v>
      </c>
      <c r="P1263" s="19">
        <v>0.35</v>
      </c>
      <c r="Q1263" s="19"/>
      <c r="R1263" s="20">
        <v>54780</v>
      </c>
      <c r="S1263" s="21" t="str">
        <f>HYPERLINK("https://www.mville.edu/undergraduate-admissions/financial-aid-scholarships/forms-calculators", "$17603")</f>
        <v>$17603</v>
      </c>
      <c r="T1263" s="20">
        <v>19197</v>
      </c>
      <c r="U1263" s="20">
        <v>24723</v>
      </c>
      <c r="V1263" s="20">
        <v>2350</v>
      </c>
      <c r="W1263" s="20">
        <v>15253</v>
      </c>
      <c r="Y1263" s="19">
        <v>0.31940000000000002</v>
      </c>
      <c r="Z1263" s="19">
        <v>0.53349999999999997</v>
      </c>
      <c r="AB1263" s="18">
        <v>1674</v>
      </c>
      <c r="AC1263" s="18">
        <v>3</v>
      </c>
    </row>
    <row r="1264" spans="1:29" ht="15.75" customHeight="1" x14ac:dyDescent="0.2">
      <c r="A1264" s="36" t="str">
        <f>HYPERLINK("https://www.manor.edu", "Manor College")</f>
        <v>Manor College</v>
      </c>
      <c r="B1264" s="18" t="s">
        <v>32</v>
      </c>
      <c r="C1264" s="18" t="s">
        <v>65</v>
      </c>
      <c r="D1264" s="18" t="s">
        <v>1494</v>
      </c>
      <c r="E1264" s="18">
        <v>885</v>
      </c>
      <c r="F1264" s="18" t="s">
        <v>35</v>
      </c>
      <c r="J1264" s="19"/>
      <c r="K1264" s="19">
        <v>0.19750000000000001</v>
      </c>
      <c r="L1264" s="19">
        <v>0.23015873000000001</v>
      </c>
      <c r="M1264" s="19">
        <v>0.32650000000000001</v>
      </c>
      <c r="N1264" s="19">
        <v>7.3499999999999996E-2</v>
      </c>
      <c r="O1264" s="19">
        <v>0.2</v>
      </c>
      <c r="P1264" s="19">
        <v>1</v>
      </c>
      <c r="Q1264" s="19">
        <v>0.13588850199999999</v>
      </c>
      <c r="R1264" s="20">
        <v>29230</v>
      </c>
      <c r="S1264" s="21" t="str">
        <f>HYPERLINK("https://www.manor.edu/netprice/npcalc.htm", "$14887")</f>
        <v>$14887</v>
      </c>
      <c r="T1264" s="20">
        <v>16699</v>
      </c>
      <c r="U1264" s="20">
        <v>19975</v>
      </c>
      <c r="V1264" s="20">
        <v>4475</v>
      </c>
      <c r="W1264" s="20">
        <v>10412</v>
      </c>
      <c r="Y1264" s="19">
        <v>0.62360000000000004</v>
      </c>
      <c r="Z1264" s="19">
        <v>0.60299999999999998</v>
      </c>
      <c r="AB1264" s="18">
        <v>602</v>
      </c>
      <c r="AC1264" s="18">
        <v>6</v>
      </c>
    </row>
    <row r="1265" spans="1:29" ht="15.75" customHeight="1" x14ac:dyDescent="0.2">
      <c r="A1265" s="36" t="str">
        <f>HYPERLINK("https://www.mansfield.edu", "Mansfield University of Pennsylvania")</f>
        <v>Mansfield University of Pennsylvania</v>
      </c>
      <c r="B1265" s="18" t="s">
        <v>49</v>
      </c>
      <c r="C1265" s="18" t="s">
        <v>65</v>
      </c>
      <c r="D1265" s="18" t="s">
        <v>777</v>
      </c>
      <c r="E1265" s="18">
        <v>1035</v>
      </c>
      <c r="F1265" s="18" t="s">
        <v>35</v>
      </c>
      <c r="J1265" s="19"/>
      <c r="K1265" s="19">
        <v>0.49919999999999998</v>
      </c>
      <c r="L1265" s="19">
        <v>0.44750000000000001</v>
      </c>
      <c r="M1265" s="19">
        <v>0.53269999999999995</v>
      </c>
      <c r="N1265" s="19">
        <v>0.38240000000000002</v>
      </c>
      <c r="O1265" s="19">
        <v>0.1875</v>
      </c>
      <c r="P1265" s="19">
        <v>0.6</v>
      </c>
      <c r="Q1265" s="19"/>
      <c r="R1265" s="20">
        <v>38414</v>
      </c>
      <c r="S1265" s="21" t="str">
        <f>HYPERLINK("https://www.passhe.edu/answers/Calculator/MA/npcalc-213783.htm", "$29212")</f>
        <v>$29212</v>
      </c>
      <c r="T1265" s="20">
        <v>32007</v>
      </c>
      <c r="U1265" s="20">
        <v>36326</v>
      </c>
      <c r="V1265" s="20">
        <v>4408</v>
      </c>
      <c r="W1265" s="20">
        <v>24804.094890510951</v>
      </c>
      <c r="Y1265" s="19">
        <v>0.43009999999999998</v>
      </c>
      <c r="Z1265" s="19">
        <v>0.19489999999999999</v>
      </c>
      <c r="AB1265" s="18">
        <v>1770</v>
      </c>
      <c r="AC1265" s="18">
        <v>5</v>
      </c>
    </row>
    <row r="1266" spans="1:29" ht="15.75" customHeight="1" x14ac:dyDescent="0.2">
      <c r="A1266" s="36" t="str">
        <f>HYPERLINK("https://www.mariacollege.edu", "Maria College of Albany")</f>
        <v>Maria College of Albany</v>
      </c>
      <c r="B1266" s="18" t="s">
        <v>32</v>
      </c>
      <c r="C1266" s="18" t="s">
        <v>38</v>
      </c>
      <c r="D1266" s="18" t="s">
        <v>550</v>
      </c>
      <c r="E1266" s="18" t="s">
        <v>36</v>
      </c>
      <c r="F1266" s="18" t="s">
        <v>90</v>
      </c>
      <c r="J1266" s="19"/>
      <c r="K1266" s="19">
        <v>0.15629999999999999</v>
      </c>
      <c r="L1266" s="19">
        <v>0.25609756099999997</v>
      </c>
      <c r="M1266" s="19">
        <v>0.2</v>
      </c>
      <c r="N1266" s="19">
        <v>0</v>
      </c>
      <c r="O1266" s="19">
        <v>0.25</v>
      </c>
      <c r="P1266" s="19" t="s">
        <v>36</v>
      </c>
      <c r="Q1266" s="19">
        <v>8.6419753000000002E-2</v>
      </c>
      <c r="R1266" s="20">
        <v>27874</v>
      </c>
      <c r="S1266" s="21" t="str">
        <f>HYPERLINK("https://mariacollege.studentaidcalculator.com", "$6332")</f>
        <v>$6332</v>
      </c>
      <c r="T1266" s="20">
        <v>11399</v>
      </c>
      <c r="U1266" s="20">
        <v>15300</v>
      </c>
      <c r="V1266" s="20">
        <v>3784</v>
      </c>
      <c r="W1266" s="20">
        <v>2548</v>
      </c>
      <c r="Y1266" s="19">
        <v>0.52969999999999995</v>
      </c>
      <c r="Z1266" s="19">
        <v>0.43730000000000002</v>
      </c>
      <c r="AB1266" s="18">
        <v>830</v>
      </c>
      <c r="AC1266" s="18">
        <v>6</v>
      </c>
    </row>
    <row r="1267" spans="1:29" ht="15.75" customHeight="1" x14ac:dyDescent="0.2">
      <c r="A1267" s="36" t="str">
        <f>HYPERLINK("https://www.marianuniversity.edu", "Marian University")</f>
        <v>Marian University</v>
      </c>
      <c r="B1267" s="18" t="s">
        <v>32</v>
      </c>
      <c r="C1267" s="18" t="s">
        <v>196</v>
      </c>
      <c r="D1267" s="18" t="s">
        <v>946</v>
      </c>
      <c r="E1267" s="18">
        <v>1010</v>
      </c>
      <c r="F1267" s="18" t="s">
        <v>35</v>
      </c>
      <c r="J1267" s="19"/>
      <c r="K1267" s="19">
        <v>0.47810000000000002</v>
      </c>
      <c r="L1267" s="19">
        <v>0.38725490200000001</v>
      </c>
      <c r="M1267" s="19">
        <v>0.51319999999999999</v>
      </c>
      <c r="N1267" s="19">
        <v>0.2727</v>
      </c>
      <c r="O1267" s="19">
        <v>0.3</v>
      </c>
      <c r="P1267" s="19">
        <v>0.25</v>
      </c>
      <c r="Q1267" s="19"/>
      <c r="R1267" s="20">
        <v>38942</v>
      </c>
      <c r="S1267" s="21" t="str">
        <f>HYPERLINK("https://www.marianuniversity.edu/admission-financial-aid/financial-aid/net-price-calculator/", "$20894")</f>
        <v>$20894</v>
      </c>
      <c r="T1267" s="20">
        <v>22379</v>
      </c>
      <c r="U1267" s="20">
        <v>24208</v>
      </c>
      <c r="V1267" s="20">
        <v>4320</v>
      </c>
      <c r="W1267" s="20">
        <v>16574</v>
      </c>
      <c r="Y1267" s="19">
        <v>0.29859999999999998</v>
      </c>
      <c r="Z1267" s="19">
        <v>0.18390000000000001</v>
      </c>
      <c r="AB1267" s="18">
        <v>1495</v>
      </c>
      <c r="AC1267" s="18">
        <v>4</v>
      </c>
    </row>
    <row r="1268" spans="1:29" ht="15.75" customHeight="1" x14ac:dyDescent="0.2">
      <c r="A1268" s="36" t="str">
        <f>HYPERLINK("https://www.marian.edu", "Marian University")</f>
        <v>Marian University</v>
      </c>
      <c r="B1268" s="18" t="s">
        <v>32</v>
      </c>
      <c r="C1268" s="18" t="s">
        <v>148</v>
      </c>
      <c r="D1268" s="18" t="s">
        <v>316</v>
      </c>
      <c r="E1268" s="18">
        <v>1102</v>
      </c>
      <c r="F1268" s="18" t="s">
        <v>35</v>
      </c>
      <c r="J1268" s="19"/>
      <c r="K1268" s="19">
        <v>0.52170000000000005</v>
      </c>
      <c r="L1268" s="19">
        <v>0.49180327899999998</v>
      </c>
      <c r="M1268" s="19">
        <v>0.56359999999999999</v>
      </c>
      <c r="N1268" s="19">
        <v>0.27779999999999999</v>
      </c>
      <c r="O1268" s="19">
        <v>0.81820000000000004</v>
      </c>
      <c r="P1268" s="19">
        <v>0.5</v>
      </c>
      <c r="Q1268" s="19"/>
      <c r="R1268" s="20">
        <v>47907</v>
      </c>
      <c r="S1268" s="21" t="str">
        <f>HYPERLINK("https://www.marian.edu/admissions/tuition-and-fees", "$15013")</f>
        <v>$15013</v>
      </c>
      <c r="T1268" s="20">
        <v>20328</v>
      </c>
      <c r="U1268" s="20">
        <v>22023</v>
      </c>
      <c r="V1268" s="20">
        <v>4701</v>
      </c>
      <c r="W1268" s="20">
        <v>10312</v>
      </c>
      <c r="Y1268" s="19">
        <v>0.2455</v>
      </c>
      <c r="Z1268" s="19">
        <v>0.25679999999999997</v>
      </c>
      <c r="AB1268" s="18">
        <v>2173</v>
      </c>
      <c r="AC1268" s="18">
        <v>4</v>
      </c>
    </row>
    <row r="1269" spans="1:29" ht="15.75" customHeight="1" x14ac:dyDescent="0.2">
      <c r="A1269" s="36" t="str">
        <f>HYPERLINK("https://www.marietta.edu", "Marietta College")</f>
        <v>Marietta College</v>
      </c>
      <c r="B1269" s="18" t="s">
        <v>32</v>
      </c>
      <c r="C1269" s="18" t="s">
        <v>75</v>
      </c>
      <c r="D1269" s="18" t="s">
        <v>948</v>
      </c>
      <c r="E1269" s="18">
        <v>1117</v>
      </c>
      <c r="F1269" s="18" t="s">
        <v>35</v>
      </c>
      <c r="J1269" s="19"/>
      <c r="K1269" s="19">
        <v>0.58840000000000003</v>
      </c>
      <c r="L1269" s="19">
        <v>0.42391304400000002</v>
      </c>
      <c r="M1269" s="19">
        <v>0.6522</v>
      </c>
      <c r="N1269" s="19">
        <v>0.16</v>
      </c>
      <c r="O1269" s="19">
        <v>0.5</v>
      </c>
      <c r="P1269" s="19">
        <v>1</v>
      </c>
      <c r="Q1269" s="19"/>
      <c r="R1269" s="20">
        <v>50104</v>
      </c>
      <c r="S1269" s="21" t="str">
        <f>HYPERLINK("https://marietta.studentaidcalculator.com/survey.aspx", "$19468")</f>
        <v>$19468</v>
      </c>
      <c r="T1269" s="20">
        <v>20168</v>
      </c>
      <c r="U1269" s="20">
        <v>24621</v>
      </c>
      <c r="V1269" s="20">
        <v>2734</v>
      </c>
      <c r="W1269" s="20">
        <v>16734</v>
      </c>
      <c r="Y1269" s="19">
        <v>0.25169999999999998</v>
      </c>
      <c r="Z1269" s="19">
        <v>0.34129999999999999</v>
      </c>
      <c r="AB1269" s="18">
        <v>964</v>
      </c>
      <c r="AC1269" s="18">
        <v>4</v>
      </c>
    </row>
    <row r="1270" spans="1:29" ht="15.75" customHeight="1" x14ac:dyDescent="0.2">
      <c r="A1270" s="36" t="str">
        <f>HYPERLINK("https://www.marionmilitary.edu", "Marion Military Institute")</f>
        <v>Marion Military Institute</v>
      </c>
      <c r="B1270" s="18" t="s">
        <v>49</v>
      </c>
      <c r="C1270" s="18" t="s">
        <v>300</v>
      </c>
      <c r="D1270" s="18" t="s">
        <v>841</v>
      </c>
      <c r="E1270" s="18">
        <v>1138</v>
      </c>
      <c r="F1270" s="18" t="s">
        <v>35</v>
      </c>
      <c r="J1270" s="19"/>
      <c r="K1270" s="19">
        <v>0.34420000000000001</v>
      </c>
      <c r="L1270" s="19">
        <v>0.25555555600000002</v>
      </c>
      <c r="M1270" s="19">
        <v>0.33139999999999997</v>
      </c>
      <c r="N1270" s="19">
        <v>0.30609999999999998</v>
      </c>
      <c r="O1270" s="19">
        <v>0.45829999999999999</v>
      </c>
      <c r="P1270" s="19">
        <v>0.25</v>
      </c>
      <c r="Q1270" s="19">
        <v>7.5949367000000004E-2</v>
      </c>
      <c r="R1270" s="20">
        <v>24568</v>
      </c>
      <c r="S1270" s="21" t="str">
        <f>HYPERLINK("https://marionmilitary.edu/calculator/", "$15128")</f>
        <v>$15128</v>
      </c>
      <c r="T1270" s="20">
        <v>18287</v>
      </c>
      <c r="U1270" s="20">
        <v>19610</v>
      </c>
      <c r="V1270" s="20">
        <v>4200</v>
      </c>
      <c r="W1270" s="20">
        <v>10928.142857142861</v>
      </c>
      <c r="Y1270" s="19">
        <v>0.4118</v>
      </c>
      <c r="Z1270" s="19">
        <v>0.3468</v>
      </c>
      <c r="AB1270" s="18">
        <v>444</v>
      </c>
      <c r="AC1270" s="18">
        <v>6</v>
      </c>
    </row>
    <row r="1271" spans="1:29" ht="15.75" customHeight="1" x14ac:dyDescent="0.2">
      <c r="A1271" s="36" t="str">
        <f>HYPERLINK("https://www.mtc.edu", "Marion Technical College")</f>
        <v>Marion Technical College</v>
      </c>
      <c r="B1271" s="18" t="s">
        <v>49</v>
      </c>
      <c r="C1271" s="18" t="s">
        <v>75</v>
      </c>
      <c r="D1271" s="18" t="s">
        <v>841</v>
      </c>
      <c r="E1271" s="18" t="s">
        <v>36</v>
      </c>
      <c r="F1271" s="18" t="s">
        <v>36</v>
      </c>
      <c r="J1271" s="19"/>
      <c r="K1271" s="19">
        <v>0.2233</v>
      </c>
      <c r="L1271" s="19">
        <v>7.9629630000000007E-2</v>
      </c>
      <c r="M1271" s="19">
        <v>0.23330000000000001</v>
      </c>
      <c r="N1271" s="19">
        <v>0</v>
      </c>
      <c r="O1271" s="19">
        <v>0.5</v>
      </c>
      <c r="P1271" s="19" t="s">
        <v>36</v>
      </c>
      <c r="Q1271" s="19">
        <v>5.4360136000000003E-2</v>
      </c>
      <c r="R1271" s="20">
        <v>14600</v>
      </c>
      <c r="S1271" s="21" t="str">
        <f>HYPERLINK("https://www.mtc.edu", "$9424")</f>
        <v>$9424</v>
      </c>
      <c r="T1271" s="20">
        <v>11513</v>
      </c>
      <c r="U1271" s="20">
        <v>13940</v>
      </c>
      <c r="V1271" s="20">
        <v>3200</v>
      </c>
      <c r="W1271" s="20">
        <v>6224.4057971014481</v>
      </c>
      <c r="Y1271" s="19">
        <v>0.26590000000000003</v>
      </c>
      <c r="Z1271" s="19">
        <v>0.19700000000000009</v>
      </c>
      <c r="AB1271" s="18">
        <v>1340</v>
      </c>
      <c r="AC1271" s="18">
        <v>6</v>
      </c>
    </row>
    <row r="1272" spans="1:29" ht="15.75" customHeight="1" x14ac:dyDescent="0.2">
      <c r="A1272" s="36" t="str">
        <f>HYPERLINK("https://www.Marist.edu", "Marist College")</f>
        <v>Marist College</v>
      </c>
      <c r="B1272" s="18" t="s">
        <v>32</v>
      </c>
      <c r="C1272" s="18" t="s">
        <v>38</v>
      </c>
      <c r="D1272" s="18" t="s">
        <v>176</v>
      </c>
      <c r="E1272" s="18" t="s">
        <v>36</v>
      </c>
      <c r="F1272" s="18" t="s">
        <v>45</v>
      </c>
      <c r="G1272" s="18" t="s">
        <v>40</v>
      </c>
      <c r="H1272" s="18" t="s">
        <v>407</v>
      </c>
      <c r="I1272" s="18" t="s">
        <v>408</v>
      </c>
      <c r="J1272" s="19"/>
      <c r="K1272" s="19">
        <v>0.83650000000000002</v>
      </c>
      <c r="L1272" s="19">
        <v>0.62011173200000003</v>
      </c>
      <c r="M1272" s="19">
        <v>0.84200000000000008</v>
      </c>
      <c r="N1272" s="19">
        <v>0.66669999999999996</v>
      </c>
      <c r="O1272" s="19">
        <v>0.84619999999999995</v>
      </c>
      <c r="P1272" s="19">
        <v>0.81479999999999997</v>
      </c>
      <c r="Q1272" s="19"/>
      <c r="R1272" s="20">
        <v>54880</v>
      </c>
      <c r="S1272" s="21" t="str">
        <f>HYPERLINK("https://marist.studentaidcalculator.com/survey.aspx", "$24972")</f>
        <v>$24972</v>
      </c>
      <c r="T1272" s="20">
        <v>30869</v>
      </c>
      <c r="U1272" s="20">
        <v>34008</v>
      </c>
      <c r="V1272" s="20">
        <v>3000</v>
      </c>
      <c r="W1272" s="20">
        <v>21972</v>
      </c>
      <c r="Y1272" s="19">
        <v>0.1522</v>
      </c>
      <c r="Z1272" s="19">
        <v>0.2278</v>
      </c>
      <c r="AB1272" s="18">
        <v>5404</v>
      </c>
      <c r="AC1272" s="18">
        <v>3</v>
      </c>
    </row>
    <row r="1273" spans="1:29" ht="15.75" customHeight="1" x14ac:dyDescent="0.2">
      <c r="A1273" s="36" t="str">
        <f>HYPERLINK("https://www.marlboro.edu", "Marlboro College")</f>
        <v>Marlboro College</v>
      </c>
      <c r="B1273" s="18" t="s">
        <v>32</v>
      </c>
      <c r="C1273" s="18" t="s">
        <v>47</v>
      </c>
      <c r="D1273" s="18" t="s">
        <v>409</v>
      </c>
      <c r="E1273" s="18" t="s">
        <v>36</v>
      </c>
      <c r="F1273" s="18" t="s">
        <v>45</v>
      </c>
      <c r="J1273" s="19"/>
      <c r="K1273" s="19">
        <v>0.5161</v>
      </c>
      <c r="L1273" s="19" t="s">
        <v>36</v>
      </c>
      <c r="M1273" s="19">
        <v>0.46510000000000001</v>
      </c>
      <c r="N1273" s="19" t="s">
        <v>36</v>
      </c>
      <c r="O1273" s="19" t="s">
        <v>36</v>
      </c>
      <c r="P1273" s="19">
        <v>0.5</v>
      </c>
      <c r="Q1273" s="19"/>
      <c r="R1273" s="20">
        <v>55625</v>
      </c>
      <c r="S1273" s="21" t="str">
        <f>HYPERLINK("https://www.marlboro.edu/admissions/undergraduate/financial-aid", "$13576")</f>
        <v>$13576</v>
      </c>
      <c r="T1273" s="20">
        <v>13860</v>
      </c>
      <c r="U1273" s="20">
        <v>17102</v>
      </c>
      <c r="V1273" s="20">
        <v>3270</v>
      </c>
      <c r="W1273" s="20">
        <v>10306</v>
      </c>
      <c r="Y1273" s="19">
        <v>0.37880000000000003</v>
      </c>
      <c r="Z1273" s="19">
        <v>0.22159999999999999</v>
      </c>
      <c r="AB1273" s="18">
        <v>176</v>
      </c>
      <c r="AC1273" s="18">
        <v>3</v>
      </c>
    </row>
    <row r="1274" spans="1:29" ht="15.75" customHeight="1" x14ac:dyDescent="0.2">
      <c r="A1274" s="36" t="str">
        <f>HYPERLINK("https://www.marquette.edu", "Marquette University")</f>
        <v>Marquette University</v>
      </c>
      <c r="B1274" s="18" t="s">
        <v>32</v>
      </c>
      <c r="C1274" s="18" t="s">
        <v>196</v>
      </c>
      <c r="D1274" s="18" t="s">
        <v>410</v>
      </c>
      <c r="E1274" s="18">
        <v>1262</v>
      </c>
      <c r="F1274" s="18" t="s">
        <v>35</v>
      </c>
      <c r="J1274" s="19"/>
      <c r="K1274" s="19">
        <v>0.80310000000000004</v>
      </c>
      <c r="L1274" s="19">
        <v>0.68376068400000001</v>
      </c>
      <c r="M1274" s="19">
        <v>0.81869999999999998</v>
      </c>
      <c r="N1274" s="19">
        <v>0.73470000000000002</v>
      </c>
      <c r="O1274" s="19">
        <v>0.78769999999999996</v>
      </c>
      <c r="P1274" s="19">
        <v>0.74509999999999998</v>
      </c>
      <c r="Q1274" s="19"/>
      <c r="R1274" s="20">
        <v>55273</v>
      </c>
      <c r="S1274" s="21" t="str">
        <f>HYPERLINK("https://tcc.noellevitz.com/Marquette University/Freshman-Students", "$19172")</f>
        <v>$19172</v>
      </c>
      <c r="T1274" s="20">
        <v>24844</v>
      </c>
      <c r="U1274" s="20">
        <v>29993</v>
      </c>
      <c r="V1274" s="20">
        <v>3483</v>
      </c>
      <c r="W1274" s="20">
        <v>15689</v>
      </c>
      <c r="Y1274" s="19">
        <v>0.1595</v>
      </c>
      <c r="Z1274" s="19">
        <v>0.30120000000000002</v>
      </c>
      <c r="AB1274" s="18">
        <v>8093</v>
      </c>
      <c r="AC1274" s="18">
        <v>3</v>
      </c>
    </row>
    <row r="1275" spans="1:29" ht="15.75" customHeight="1" x14ac:dyDescent="0.2">
      <c r="A1275" s="36" t="str">
        <f>HYPERLINK("https://www.mhu.edu", "Mars Hill University")</f>
        <v>Mars Hill University</v>
      </c>
      <c r="B1275" s="18" t="s">
        <v>32</v>
      </c>
      <c r="C1275" s="18" t="s">
        <v>103</v>
      </c>
      <c r="D1275" s="18" t="s">
        <v>779</v>
      </c>
      <c r="E1275" s="18">
        <v>1010</v>
      </c>
      <c r="F1275" s="18" t="s">
        <v>35</v>
      </c>
      <c r="J1275" s="19"/>
      <c r="K1275" s="19">
        <v>0.31380000000000002</v>
      </c>
      <c r="L1275" s="19">
        <v>0.35714285699999998</v>
      </c>
      <c r="M1275" s="19">
        <v>0.379</v>
      </c>
      <c r="N1275" s="19">
        <v>0.16</v>
      </c>
      <c r="O1275" s="19">
        <v>0.5</v>
      </c>
      <c r="P1275" s="19">
        <v>0.16669999999999999</v>
      </c>
      <c r="Q1275" s="19"/>
      <c r="R1275" s="20">
        <v>43704</v>
      </c>
      <c r="S1275" s="21" t="str">
        <f>HYPERLINK("https://www.mhu.edu/future-students/traditional-undergraduate/financial-aid/tuition-fees-financial-aid-traditional/", "$14172")</f>
        <v>$14172</v>
      </c>
      <c r="T1275" s="20">
        <v>16178</v>
      </c>
      <c r="U1275" s="20">
        <v>19502</v>
      </c>
      <c r="V1275" s="20" t="s">
        <v>36</v>
      </c>
      <c r="W1275" s="20" t="s">
        <v>36</v>
      </c>
      <c r="Y1275" s="19">
        <v>0.56159999999999999</v>
      </c>
      <c r="Z1275" s="19">
        <v>0.37530000000000002</v>
      </c>
      <c r="AB1275" s="18">
        <v>1255</v>
      </c>
      <c r="AC1275" s="18">
        <v>5</v>
      </c>
    </row>
    <row r="1276" spans="1:29" ht="15.75" customHeight="1" x14ac:dyDescent="0.2">
      <c r="A1276" s="36" t="str">
        <f>HYPERLINK("https://www.marshall.edu/", "Marshall University")</f>
        <v>Marshall University</v>
      </c>
      <c r="B1276" s="18" t="s">
        <v>49</v>
      </c>
      <c r="C1276" s="18" t="s">
        <v>574</v>
      </c>
      <c r="D1276" s="18" t="s">
        <v>830</v>
      </c>
      <c r="E1276" s="18">
        <v>1099</v>
      </c>
      <c r="F1276" s="18" t="s">
        <v>35</v>
      </c>
      <c r="J1276" s="19"/>
      <c r="K1276" s="19">
        <v>0.49299999999999999</v>
      </c>
      <c r="L1276" s="19">
        <v>0.37016052900000002</v>
      </c>
      <c r="M1276" s="19">
        <v>0.4985</v>
      </c>
      <c r="N1276" s="19">
        <v>0.45450000000000002</v>
      </c>
      <c r="O1276" s="19">
        <v>0.58540000000000003</v>
      </c>
      <c r="P1276" s="19">
        <v>0.54549999999999998</v>
      </c>
      <c r="Q1276" s="19"/>
      <c r="R1276" s="20">
        <v>31448</v>
      </c>
      <c r="S1276" s="21" t="str">
        <f>HYPERLINK("https://marshall.studentaidcalculator.com/survey.aspx", "$19723")</f>
        <v>$19723</v>
      </c>
      <c r="T1276" s="20">
        <v>23286</v>
      </c>
      <c r="U1276" s="20">
        <v>27080</v>
      </c>
      <c r="V1276" s="20">
        <v>3466</v>
      </c>
      <c r="W1276" s="20">
        <v>16257.50963222417</v>
      </c>
      <c r="Y1276" s="19">
        <v>0.40439999999999998</v>
      </c>
      <c r="Z1276" s="19">
        <v>0.15559999999999999</v>
      </c>
      <c r="AB1276" s="18">
        <v>8554</v>
      </c>
      <c r="AC1276" s="18">
        <v>4</v>
      </c>
    </row>
    <row r="1277" spans="1:29" ht="15.75" customHeight="1" x14ac:dyDescent="0.2">
      <c r="A1277" s="36" t="str">
        <f>HYPERLINK("https://mcc.iavalley.edu", "Marshalltown Community College")</f>
        <v>Marshalltown Community College</v>
      </c>
      <c r="B1277" s="18" t="s">
        <v>49</v>
      </c>
      <c r="C1277" s="18" t="s">
        <v>211</v>
      </c>
      <c r="D1277" s="18" t="s">
        <v>1496</v>
      </c>
      <c r="E1277" s="18" t="s">
        <v>36</v>
      </c>
      <c r="F1277" s="18" t="s">
        <v>36</v>
      </c>
      <c r="J1277" s="19"/>
      <c r="K1277" s="19">
        <v>0.37380000000000002</v>
      </c>
      <c r="L1277" s="19">
        <v>0.10498687700000001</v>
      </c>
      <c r="M1277" s="19">
        <v>0.39429999999999998</v>
      </c>
      <c r="N1277" s="19">
        <v>0.1053</v>
      </c>
      <c r="O1277" s="19">
        <v>0.44069999999999998</v>
      </c>
      <c r="P1277" s="19">
        <v>0.5</v>
      </c>
      <c r="Q1277" s="19">
        <v>9.2846270999999994E-2</v>
      </c>
      <c r="R1277" s="20">
        <v>16824</v>
      </c>
      <c r="S1277" s="21" t="str">
        <f>HYPERLINK("https://mcc.iavalley.edu/admissions/financial-aid/costs/", "$11175")</f>
        <v>$11175</v>
      </c>
      <c r="T1277" s="20">
        <v>12360</v>
      </c>
      <c r="U1277" s="20">
        <v>15069</v>
      </c>
      <c r="V1277" s="20">
        <v>4552</v>
      </c>
      <c r="W1277" s="20">
        <v>6623.4466019417487</v>
      </c>
      <c r="Y1277" s="19">
        <v>0.25829999999999997</v>
      </c>
      <c r="Z1277" s="19">
        <v>0.45240000000000002</v>
      </c>
      <c r="AB1277" s="18">
        <v>1019</v>
      </c>
      <c r="AC1277" s="18">
        <v>6</v>
      </c>
    </row>
    <row r="1278" spans="1:29" ht="15.75" customHeight="1" x14ac:dyDescent="0.2">
      <c r="A1278" s="36" t="str">
        <f>HYPERLINK("https://www.martincc.edu", "Martin Community College")</f>
        <v>Martin Community College</v>
      </c>
      <c r="B1278" s="18" t="s">
        <v>49</v>
      </c>
      <c r="C1278" s="18" t="s">
        <v>103</v>
      </c>
      <c r="D1278" s="18" t="s">
        <v>1498</v>
      </c>
      <c r="E1278" s="18" t="s">
        <v>36</v>
      </c>
      <c r="F1278" s="18" t="s">
        <v>36</v>
      </c>
      <c r="J1278" s="19"/>
      <c r="K1278" s="19">
        <v>0.12770000000000001</v>
      </c>
      <c r="L1278" s="19" t="s">
        <v>36</v>
      </c>
      <c r="M1278" s="19">
        <v>0</v>
      </c>
      <c r="N1278" s="19">
        <v>0.1429</v>
      </c>
      <c r="O1278" s="19">
        <v>0</v>
      </c>
      <c r="P1278" s="19" t="s">
        <v>36</v>
      </c>
      <c r="Q1278" s="19" t="s">
        <v>36</v>
      </c>
      <c r="R1278" s="20">
        <v>18594</v>
      </c>
      <c r="S1278" s="21" t="str">
        <f>HYPERLINK("https://www.martincc.edu", "$13126")</f>
        <v>$13126</v>
      </c>
      <c r="T1278" s="20">
        <v>13987</v>
      </c>
      <c r="U1278" s="20">
        <v>16999</v>
      </c>
      <c r="V1278" s="20">
        <v>5800</v>
      </c>
      <c r="W1278" s="20">
        <v>7326.7999999999993</v>
      </c>
      <c r="Y1278" s="19">
        <v>0.2281</v>
      </c>
      <c r="Z1278" s="19">
        <v>0.62769999999999992</v>
      </c>
      <c r="AB1278" s="18">
        <v>274</v>
      </c>
      <c r="AC1278" s="18">
        <v>6</v>
      </c>
    </row>
    <row r="1279" spans="1:29" ht="15.75" customHeight="1" x14ac:dyDescent="0.2">
      <c r="A1279" s="36" t="str">
        <f>HYPERLINK("https://www.marybaldwin.edu", "Mary Baldwin College")</f>
        <v>Mary Baldwin College</v>
      </c>
      <c r="B1279" s="18" t="s">
        <v>32</v>
      </c>
      <c r="C1279" s="18" t="s">
        <v>83</v>
      </c>
      <c r="D1279" s="18" t="s">
        <v>949</v>
      </c>
      <c r="E1279" s="18">
        <v>1093</v>
      </c>
      <c r="F1279" s="18" t="s">
        <v>35</v>
      </c>
      <c r="J1279" s="19"/>
      <c r="K1279" s="19">
        <v>0.45200000000000001</v>
      </c>
      <c r="L1279" s="19">
        <v>0.44723618100000001</v>
      </c>
      <c r="M1279" s="19">
        <v>0.46150000000000002</v>
      </c>
      <c r="N1279" s="19">
        <v>0.44900000000000001</v>
      </c>
      <c r="O1279" s="19">
        <v>0.5</v>
      </c>
      <c r="P1279" s="19">
        <v>0.33329999999999999</v>
      </c>
      <c r="Q1279" s="19"/>
      <c r="R1279" s="20">
        <v>43550</v>
      </c>
      <c r="S1279" s="21" t="str">
        <f>HYPERLINK("https://marybaldwin.edu/financial-aid/net-price-calculator/", "$16224")</f>
        <v>$16224</v>
      </c>
      <c r="T1279" s="20">
        <v>18044</v>
      </c>
      <c r="U1279" s="20">
        <v>19538</v>
      </c>
      <c r="V1279" s="20">
        <v>3030</v>
      </c>
      <c r="W1279" s="20">
        <v>13194</v>
      </c>
      <c r="Y1279" s="19">
        <v>0.54269999999999996</v>
      </c>
      <c r="Z1279" s="19">
        <v>0.41779999999999989</v>
      </c>
      <c r="AB1279" s="18">
        <v>1058</v>
      </c>
      <c r="AC1279" s="18">
        <v>4</v>
      </c>
    </row>
    <row r="1280" spans="1:29" ht="15.75" customHeight="1" x14ac:dyDescent="0.2">
      <c r="A1280" s="36" t="str">
        <f>HYPERLINK("https://www.marygrove.edu", "Marygrove College")</f>
        <v>Marygrove College</v>
      </c>
      <c r="B1280" s="18" t="s">
        <v>32</v>
      </c>
      <c r="C1280" s="18" t="s">
        <v>226</v>
      </c>
      <c r="D1280" s="18" t="s">
        <v>668</v>
      </c>
      <c r="E1280" s="18">
        <v>1021</v>
      </c>
      <c r="F1280" s="18" t="s">
        <v>35</v>
      </c>
      <c r="J1280" s="19"/>
      <c r="K1280" s="19">
        <v>0.3261</v>
      </c>
      <c r="L1280" s="19">
        <v>0.33093525200000001</v>
      </c>
      <c r="M1280" s="19">
        <v>0.55559999999999998</v>
      </c>
      <c r="N1280" s="19">
        <v>0.26150000000000001</v>
      </c>
      <c r="O1280" s="19">
        <v>0</v>
      </c>
      <c r="P1280" s="19" t="s">
        <v>36</v>
      </c>
      <c r="Q1280" s="19"/>
      <c r="R1280" s="20">
        <v>33050</v>
      </c>
      <c r="S1280" s="21" t="str">
        <f>HYPERLINK("https://npc.collegeboard.org/student/app/marygrove", "$9923")</f>
        <v>$9923</v>
      </c>
      <c r="T1280" s="20">
        <v>14314</v>
      </c>
      <c r="U1280" s="20">
        <v>16356</v>
      </c>
      <c r="V1280" s="20">
        <v>2500</v>
      </c>
      <c r="W1280" s="20">
        <v>7423</v>
      </c>
      <c r="Y1280" s="19">
        <v>0.62729999999999997</v>
      </c>
      <c r="Z1280" s="19">
        <v>0.88690000000000002</v>
      </c>
      <c r="AB1280" s="18">
        <v>283</v>
      </c>
      <c r="AC1280" s="18">
        <v>4</v>
      </c>
    </row>
    <row r="1281" spans="1:29" ht="15.75" customHeight="1" x14ac:dyDescent="0.2">
      <c r="A1281" s="36" t="str">
        <f>HYPERLINK("https://www.mica.edu", "Maryland Institute College of Art")</f>
        <v>Maryland Institute College of Art</v>
      </c>
      <c r="B1281" s="18" t="s">
        <v>32</v>
      </c>
      <c r="C1281" s="18" t="s">
        <v>124</v>
      </c>
      <c r="D1281" s="18" t="s">
        <v>125</v>
      </c>
      <c r="E1281" s="18">
        <v>1203</v>
      </c>
      <c r="F1281" s="18" t="s">
        <v>35</v>
      </c>
      <c r="J1281" s="19"/>
      <c r="K1281" s="19">
        <v>0.71809999999999996</v>
      </c>
      <c r="L1281" s="19">
        <v>0.65656565700000002</v>
      </c>
      <c r="M1281" s="19">
        <v>0.72350000000000003</v>
      </c>
      <c r="N1281" s="19">
        <v>0.64290000000000003</v>
      </c>
      <c r="O1281" s="19">
        <v>0.77780000000000005</v>
      </c>
      <c r="P1281" s="19">
        <v>0.81479999999999997</v>
      </c>
      <c r="Q1281" s="19"/>
      <c r="R1281" s="20">
        <v>62850</v>
      </c>
      <c r="S1281" s="21" t="str">
        <f>HYPERLINK("https://mica.studentaidcalculator.com/survey.aspx", "$31252")</f>
        <v>$31252</v>
      </c>
      <c r="T1281" s="20">
        <v>40420</v>
      </c>
      <c r="U1281" s="20">
        <v>39602</v>
      </c>
      <c r="V1281" s="20">
        <v>3000</v>
      </c>
      <c r="W1281" s="20">
        <v>28252</v>
      </c>
      <c r="Y1281" s="19">
        <v>0.21010000000000001</v>
      </c>
      <c r="Z1281" s="19">
        <v>0.59379999999999999</v>
      </c>
      <c r="AB1281" s="18">
        <v>1743</v>
      </c>
      <c r="AC1281" s="18">
        <v>4</v>
      </c>
    </row>
    <row r="1282" spans="1:29" ht="15.75" customHeight="1" x14ac:dyDescent="0.2">
      <c r="A1282" s="36" t="str">
        <f>HYPERLINK("https://www.mmm.edu", "Marymount Manhattan College")</f>
        <v>Marymount Manhattan College</v>
      </c>
      <c r="B1282" s="18" t="s">
        <v>32</v>
      </c>
      <c r="C1282" s="18" t="s">
        <v>38</v>
      </c>
      <c r="D1282" s="18" t="s">
        <v>39</v>
      </c>
      <c r="E1282" s="18">
        <v>1149</v>
      </c>
      <c r="F1282" s="18" t="s">
        <v>115</v>
      </c>
      <c r="G1282" s="18" t="s">
        <v>40</v>
      </c>
      <c r="H1282" s="18" t="s">
        <v>411</v>
      </c>
      <c r="I1282" s="18" t="s">
        <v>412</v>
      </c>
      <c r="J1282" s="19"/>
      <c r="K1282" s="19">
        <v>0.4929</v>
      </c>
      <c r="L1282" s="19">
        <v>0.38620689699999999</v>
      </c>
      <c r="M1282" s="19">
        <v>0.53869999999999996</v>
      </c>
      <c r="N1282" s="19">
        <v>0.2727</v>
      </c>
      <c r="O1282" s="19">
        <v>0.47299999999999998</v>
      </c>
      <c r="P1282" s="19">
        <v>0.25</v>
      </c>
      <c r="Q1282" s="19"/>
      <c r="R1282" s="20">
        <v>55850</v>
      </c>
      <c r="S1282" s="21" t="str">
        <f>HYPERLINK("https://www.mmm.edu/offices/center-for-student-services/net-price-calculator/index.php", "$31299")</f>
        <v>$31299</v>
      </c>
      <c r="T1282" s="20">
        <v>34505</v>
      </c>
      <c r="U1282" s="20">
        <v>36791</v>
      </c>
      <c r="V1282" s="20">
        <v>7500</v>
      </c>
      <c r="W1282" s="20">
        <v>23799</v>
      </c>
      <c r="Y1282" s="19">
        <v>0.24310000000000001</v>
      </c>
      <c r="Z1282" s="19">
        <v>0.41539999999999999</v>
      </c>
      <c r="AB1282" s="18">
        <v>2109</v>
      </c>
      <c r="AC1282" s="18">
        <v>3</v>
      </c>
    </row>
    <row r="1283" spans="1:29" ht="15.75" customHeight="1" x14ac:dyDescent="0.2">
      <c r="A1283" s="36" t="str">
        <f>HYPERLINK("https://www.marymount.edu", "Marymount University")</f>
        <v>Marymount University</v>
      </c>
      <c r="B1283" s="18" t="s">
        <v>32</v>
      </c>
      <c r="C1283" s="18" t="s">
        <v>83</v>
      </c>
      <c r="D1283" s="18" t="s">
        <v>727</v>
      </c>
      <c r="E1283" s="18">
        <v>1058</v>
      </c>
      <c r="F1283" s="18" t="s">
        <v>35</v>
      </c>
      <c r="J1283" s="19"/>
      <c r="K1283" s="19">
        <v>0.53480000000000005</v>
      </c>
      <c r="L1283" s="19">
        <v>0.43478260899999999</v>
      </c>
      <c r="M1283" s="19">
        <v>0.59060000000000001</v>
      </c>
      <c r="N1283" s="19">
        <v>0.39079999999999998</v>
      </c>
      <c r="O1283" s="19">
        <v>0.58930000000000005</v>
      </c>
      <c r="P1283" s="19">
        <v>0.51719999999999999</v>
      </c>
      <c r="Q1283" s="19"/>
      <c r="R1283" s="20">
        <v>48627</v>
      </c>
      <c r="S1283" s="21" t="str">
        <f>HYPERLINK("https://marymount.studentaidcalculator.com/survey.aspx", "$21219")</f>
        <v>$21219</v>
      </c>
      <c r="T1283" s="20">
        <v>24719</v>
      </c>
      <c r="U1283" s="20">
        <v>26507</v>
      </c>
      <c r="V1283" s="20">
        <v>4946</v>
      </c>
      <c r="W1283" s="20">
        <v>16273</v>
      </c>
      <c r="Y1283" s="19">
        <v>0.26090000000000002</v>
      </c>
      <c r="Z1283" s="19">
        <v>0.64610000000000001</v>
      </c>
      <c r="AB1283" s="18">
        <v>2241</v>
      </c>
      <c r="AC1283" s="18">
        <v>4</v>
      </c>
    </row>
    <row r="1284" spans="1:29" ht="15.75" customHeight="1" x14ac:dyDescent="0.2">
      <c r="A1284" s="36" t="str">
        <f>HYPERLINK("https://www.maryvillecollege.edu", "Maryville College")</f>
        <v>Maryville College</v>
      </c>
      <c r="B1284" s="18" t="s">
        <v>32</v>
      </c>
      <c r="C1284" s="18" t="s">
        <v>174</v>
      </c>
      <c r="D1284" s="18" t="s">
        <v>413</v>
      </c>
      <c r="E1284" s="18">
        <v>1138</v>
      </c>
      <c r="F1284" s="18" t="s">
        <v>35</v>
      </c>
      <c r="J1284" s="19"/>
      <c r="K1284" s="19">
        <v>0.59389999999999998</v>
      </c>
      <c r="L1284" s="19">
        <v>0.17977528100000001</v>
      </c>
      <c r="M1284" s="19">
        <v>0.59179999999999999</v>
      </c>
      <c r="N1284" s="19">
        <v>0.72219999999999995</v>
      </c>
      <c r="O1284" s="19">
        <v>0.625</v>
      </c>
      <c r="P1284" s="19">
        <v>0.5</v>
      </c>
      <c r="Q1284" s="19"/>
      <c r="R1284" s="20">
        <v>49266</v>
      </c>
      <c r="S1284" s="21" t="str">
        <f>HYPERLINK("https://www.maryvillecollege.edu/admissions/finaid/net-price-calculator/", "$18946")</f>
        <v>$18946</v>
      </c>
      <c r="T1284" s="20">
        <v>15471</v>
      </c>
      <c r="U1284" s="20">
        <v>17773</v>
      </c>
      <c r="V1284" s="20">
        <v>3926</v>
      </c>
      <c r="W1284" s="20">
        <v>15020</v>
      </c>
      <c r="Y1284" s="19">
        <v>0.41889999999999999</v>
      </c>
      <c r="Z1284" s="19">
        <v>0.2641</v>
      </c>
      <c r="AB1284" s="18">
        <v>1151</v>
      </c>
      <c r="AC1284" s="18">
        <v>3</v>
      </c>
    </row>
    <row r="1285" spans="1:29" ht="15.75" customHeight="1" x14ac:dyDescent="0.2">
      <c r="A1285" s="36" t="str">
        <f>HYPERLINK("https://www.maryville.edu", "Maryville University of Saint Louis")</f>
        <v>Maryville University of Saint Louis</v>
      </c>
      <c r="B1285" s="18" t="s">
        <v>32</v>
      </c>
      <c r="C1285" s="18" t="s">
        <v>164</v>
      </c>
      <c r="D1285" s="18" t="s">
        <v>179</v>
      </c>
      <c r="E1285" s="18">
        <v>1176</v>
      </c>
      <c r="F1285" s="18" t="s">
        <v>35</v>
      </c>
      <c r="J1285" s="19"/>
      <c r="K1285" s="19">
        <v>0.71560000000000001</v>
      </c>
      <c r="L1285" s="19">
        <v>0.34684684700000001</v>
      </c>
      <c r="M1285" s="19">
        <v>0.73909999999999998</v>
      </c>
      <c r="N1285" s="19">
        <v>0.52939999999999998</v>
      </c>
      <c r="O1285" s="19">
        <v>0.625</v>
      </c>
      <c r="P1285" s="19">
        <v>0.85709999999999997</v>
      </c>
      <c r="Q1285" s="19"/>
      <c r="R1285" s="20">
        <v>46076</v>
      </c>
      <c r="S1285" s="21" t="str">
        <f>HYPERLINK("https://www.maryville.edu/admissions-finaid-worksheets.htm", "$19251")</f>
        <v>$19251</v>
      </c>
      <c r="T1285" s="20">
        <v>22499</v>
      </c>
      <c r="U1285" s="20">
        <v>26473</v>
      </c>
      <c r="V1285" s="20" t="s">
        <v>36</v>
      </c>
      <c r="W1285" s="20" t="s">
        <v>36</v>
      </c>
      <c r="Y1285" s="19">
        <v>0.30130000000000001</v>
      </c>
      <c r="Z1285" s="19">
        <v>0.27760000000000001</v>
      </c>
      <c r="AB1285" s="18">
        <v>3112</v>
      </c>
      <c r="AC1285" s="18">
        <v>3</v>
      </c>
    </row>
    <row r="1286" spans="1:29" ht="15.75" customHeight="1" x14ac:dyDescent="0.2">
      <c r="A1286" s="36" t="str">
        <f>HYPERLINK("https://www.marywood.edu/", "Marywood University")</f>
        <v>Marywood University</v>
      </c>
      <c r="B1286" s="18" t="s">
        <v>32</v>
      </c>
      <c r="C1286" s="18" t="s">
        <v>65</v>
      </c>
      <c r="D1286" s="18" t="s">
        <v>524</v>
      </c>
      <c r="E1286" s="18">
        <v>1033</v>
      </c>
      <c r="F1286" s="18" t="s">
        <v>35</v>
      </c>
      <c r="J1286" s="19"/>
      <c r="K1286" s="19">
        <v>0.68640000000000001</v>
      </c>
      <c r="L1286" s="19">
        <v>0.505</v>
      </c>
      <c r="M1286" s="19">
        <v>0.67230000000000001</v>
      </c>
      <c r="N1286" s="19">
        <v>1</v>
      </c>
      <c r="O1286" s="19">
        <v>0.59260000000000002</v>
      </c>
      <c r="P1286" s="19">
        <v>1</v>
      </c>
      <c r="Q1286" s="19"/>
      <c r="R1286" s="20">
        <v>50340</v>
      </c>
      <c r="S1286" s="21" t="str">
        <f>HYPERLINK("https://www.marywood.edu/admissions/calc.html", "$20596")</f>
        <v>$20596</v>
      </c>
      <c r="T1286" s="20">
        <v>21243</v>
      </c>
      <c r="U1286" s="20">
        <v>22902</v>
      </c>
      <c r="V1286" s="20">
        <v>2500</v>
      </c>
      <c r="W1286" s="20">
        <v>18096</v>
      </c>
      <c r="Y1286" s="19">
        <v>0.3221</v>
      </c>
      <c r="Z1286" s="19">
        <v>0.22070000000000001</v>
      </c>
      <c r="AB1286" s="18">
        <v>1835</v>
      </c>
      <c r="AC1286" s="18">
        <v>4</v>
      </c>
    </row>
    <row r="1287" spans="1:29" ht="15.75" customHeight="1" x14ac:dyDescent="0.2">
      <c r="A1287" s="36" t="str">
        <f>HYPERLINK("https://www.massbay.edu", "Massachusetts Bay Community College")</f>
        <v>Massachusetts Bay Community College</v>
      </c>
      <c r="B1287" s="18" t="s">
        <v>49</v>
      </c>
      <c r="C1287" s="18" t="s">
        <v>33</v>
      </c>
      <c r="D1287" s="18" t="s">
        <v>1499</v>
      </c>
      <c r="E1287" s="18" t="s">
        <v>36</v>
      </c>
      <c r="F1287" s="18" t="s">
        <v>36</v>
      </c>
      <c r="J1287" s="19"/>
      <c r="K1287" s="19">
        <v>0.16819999999999999</v>
      </c>
      <c r="L1287" s="19">
        <v>0.17952522300000001</v>
      </c>
      <c r="M1287" s="19">
        <v>0.189</v>
      </c>
      <c r="N1287" s="19">
        <v>9.6199999999999994E-2</v>
      </c>
      <c r="O1287" s="19">
        <v>0.1053</v>
      </c>
      <c r="P1287" s="19">
        <v>0.20830000000000001</v>
      </c>
      <c r="Q1287" s="19">
        <v>0.109209454</v>
      </c>
      <c r="R1287" s="20">
        <v>24930</v>
      </c>
      <c r="S1287" s="21" t="str">
        <f>HYPERLINK("https://mbccweb.massbay.edu/netpricecalculator/", "$19099")</f>
        <v>$19099</v>
      </c>
      <c r="T1287" s="20">
        <v>21380</v>
      </c>
      <c r="U1287" s="20">
        <v>23044</v>
      </c>
      <c r="V1287" s="20">
        <v>6292</v>
      </c>
      <c r="W1287" s="20">
        <v>12807.698924731179</v>
      </c>
      <c r="Y1287" s="19">
        <v>0.21870000000000001</v>
      </c>
      <c r="Z1287" s="19">
        <v>0.49809999999999999</v>
      </c>
      <c r="AB1287" s="18">
        <v>3736</v>
      </c>
      <c r="AC1287" s="18">
        <v>6</v>
      </c>
    </row>
    <row r="1288" spans="1:29" ht="15.75" customHeight="1" x14ac:dyDescent="0.2">
      <c r="A1288" s="36" t="str">
        <f>HYPERLINK("https://www.massart.edu", "Massachusetts College of Art and Design")</f>
        <v>Massachusetts College of Art and Design</v>
      </c>
      <c r="B1288" s="18" t="s">
        <v>49</v>
      </c>
      <c r="C1288" s="18" t="s">
        <v>33</v>
      </c>
      <c r="D1288" s="18" t="s">
        <v>136</v>
      </c>
      <c r="E1288" s="18" t="s">
        <v>36</v>
      </c>
      <c r="F1288" s="18" t="s">
        <v>45</v>
      </c>
      <c r="J1288" s="19"/>
      <c r="K1288" s="19">
        <v>0.73229999999999995</v>
      </c>
      <c r="L1288" s="19">
        <v>0.571428571</v>
      </c>
      <c r="M1288" s="19">
        <v>0.76749999999999996</v>
      </c>
      <c r="N1288" s="19">
        <v>0.42859999999999998</v>
      </c>
      <c r="O1288" s="19">
        <v>0.61899999999999999</v>
      </c>
      <c r="P1288" s="19">
        <v>0.72219999999999995</v>
      </c>
      <c r="Q1288" s="19"/>
      <c r="R1288" s="20">
        <v>51400</v>
      </c>
      <c r="S1288" s="21" t="str">
        <f>HYPERLINK("https://massart.edu/net-price-calculator", "$41659")</f>
        <v>$41659</v>
      </c>
      <c r="T1288" s="20">
        <v>43872</v>
      </c>
      <c r="U1288" s="20">
        <v>45898</v>
      </c>
      <c r="V1288" s="20">
        <v>3500</v>
      </c>
      <c r="W1288" s="20">
        <v>38159.571428571428</v>
      </c>
      <c r="Y1288" s="19">
        <v>0.29189999999999999</v>
      </c>
      <c r="Z1288" s="19">
        <v>0.37580000000000002</v>
      </c>
      <c r="AB1288" s="18">
        <v>1812</v>
      </c>
      <c r="AC1288" s="18">
        <v>4</v>
      </c>
    </row>
    <row r="1289" spans="1:29" ht="15.75" customHeight="1" x14ac:dyDescent="0.2">
      <c r="A1289" s="36" t="str">
        <f>HYPERLINK("https://www.mcla.edu", "Massachusetts College of Liberal Arts")</f>
        <v>Massachusetts College of Liberal Arts</v>
      </c>
      <c r="B1289" s="18" t="s">
        <v>49</v>
      </c>
      <c r="C1289" s="18" t="s">
        <v>33</v>
      </c>
      <c r="D1289" s="18" t="s">
        <v>950</v>
      </c>
      <c r="E1289" s="18">
        <v>1085</v>
      </c>
      <c r="F1289" s="18" t="s">
        <v>35</v>
      </c>
      <c r="J1289" s="19"/>
      <c r="K1289" s="19">
        <v>0.54249999999999998</v>
      </c>
      <c r="L1289" s="19">
        <v>0.48823529399999999</v>
      </c>
      <c r="M1289" s="19">
        <v>0.5575</v>
      </c>
      <c r="N1289" s="19">
        <v>0.5</v>
      </c>
      <c r="O1289" s="19">
        <v>0.375</v>
      </c>
      <c r="P1289" s="19">
        <v>0.6</v>
      </c>
      <c r="Q1289" s="19"/>
      <c r="R1289" s="20">
        <v>33580</v>
      </c>
      <c r="S1289" s="21" t="str">
        <f>HYPERLINK("https://www.mcla.edu/Admissions/npc/", "$24874")</f>
        <v>$24874</v>
      </c>
      <c r="T1289" s="20">
        <v>27962</v>
      </c>
      <c r="U1289" s="20">
        <v>30190</v>
      </c>
      <c r="V1289" s="20">
        <v>3976</v>
      </c>
      <c r="W1289" s="20">
        <v>20898.853658536591</v>
      </c>
      <c r="Y1289" s="19">
        <v>0.46329999999999999</v>
      </c>
      <c r="Z1289" s="19">
        <v>0.27129999999999999</v>
      </c>
      <c r="AB1289" s="18">
        <v>1364</v>
      </c>
      <c r="AC1289" s="18">
        <v>4</v>
      </c>
    </row>
    <row r="1290" spans="1:29" ht="15.75" customHeight="1" x14ac:dyDescent="0.2">
      <c r="A1290" s="36" t="str">
        <f>HYPERLINK("https://web.mit.edu/", "Massachusetts Institute of Technology")</f>
        <v>Massachusetts Institute of Technology</v>
      </c>
      <c r="B1290" s="18" t="s">
        <v>32</v>
      </c>
      <c r="C1290" s="18" t="s">
        <v>33</v>
      </c>
      <c r="D1290" s="18" t="s">
        <v>121</v>
      </c>
      <c r="E1290" s="18">
        <v>1532</v>
      </c>
      <c r="F1290" s="18" t="s">
        <v>35</v>
      </c>
      <c r="J1290" s="19"/>
      <c r="K1290" s="19">
        <v>0.93830000000000002</v>
      </c>
      <c r="L1290" s="19">
        <v>0.84496123999999995</v>
      </c>
      <c r="M1290" s="19">
        <v>0.96340000000000003</v>
      </c>
      <c r="N1290" s="19">
        <v>0.85</v>
      </c>
      <c r="O1290" s="19">
        <v>0.90369999999999995</v>
      </c>
      <c r="P1290" s="19">
        <v>0.93820000000000003</v>
      </c>
      <c r="Q1290" s="19"/>
      <c r="R1290" s="20">
        <v>67430</v>
      </c>
      <c r="S1290" s="21" t="str">
        <f>HYPERLINK("https://sfs.mit.edu/access-affordability/net-price-calculator", "$5836")</f>
        <v>$5836</v>
      </c>
      <c r="T1290" s="20">
        <v>8347</v>
      </c>
      <c r="U1290" s="20">
        <v>19156</v>
      </c>
      <c r="V1290" s="20">
        <v>2818</v>
      </c>
      <c r="W1290" s="20">
        <v>3018</v>
      </c>
      <c r="X1290" s="18" t="s">
        <v>37</v>
      </c>
      <c r="Y1290" s="19">
        <v>0.17130000000000001</v>
      </c>
      <c r="Z1290" s="19">
        <v>0.6623</v>
      </c>
      <c r="AA1290" s="18" t="s">
        <v>37</v>
      </c>
      <c r="AB1290" s="18">
        <v>4489</v>
      </c>
      <c r="AC1290" s="18">
        <v>1</v>
      </c>
    </row>
    <row r="1291" spans="1:29" ht="15.75" customHeight="1" x14ac:dyDescent="0.2">
      <c r="A1291" s="36" t="str">
        <f>HYPERLINK("https://www.maritime.edu", "Massachusetts Maritime Academy")</f>
        <v>Massachusetts Maritime Academy</v>
      </c>
      <c r="B1291" s="18" t="s">
        <v>49</v>
      </c>
      <c r="C1291" s="18" t="s">
        <v>33</v>
      </c>
      <c r="D1291" s="18" t="s">
        <v>951</v>
      </c>
      <c r="E1291" s="18">
        <v>1122</v>
      </c>
      <c r="F1291" s="18" t="s">
        <v>35</v>
      </c>
      <c r="J1291" s="19"/>
      <c r="K1291" s="19">
        <v>0.75</v>
      </c>
      <c r="L1291" s="19">
        <v>0.69230769199999997</v>
      </c>
      <c r="M1291" s="19">
        <v>0.75619999999999998</v>
      </c>
      <c r="N1291" s="19">
        <v>0.5</v>
      </c>
      <c r="O1291" s="19">
        <v>0.71430000000000005</v>
      </c>
      <c r="P1291" s="19">
        <v>0.75</v>
      </c>
      <c r="Q1291" s="19"/>
      <c r="R1291" s="20">
        <v>43085</v>
      </c>
      <c r="S1291" s="21" t="str">
        <f>HYPERLINK("https://www.maritime.edu/costs/", "$22962")</f>
        <v>$22962</v>
      </c>
      <c r="T1291" s="20">
        <v>27928</v>
      </c>
      <c r="U1291" s="20">
        <v>37896</v>
      </c>
      <c r="V1291" s="20">
        <v>4955</v>
      </c>
      <c r="W1291" s="20">
        <v>18007.076923076918</v>
      </c>
      <c r="Y1291" s="19">
        <v>0.15379999999999999</v>
      </c>
      <c r="Z1291" s="19">
        <v>0.1235000000000001</v>
      </c>
      <c r="AB1291" s="18">
        <v>1627</v>
      </c>
      <c r="AC1291" s="18">
        <v>4</v>
      </c>
    </row>
    <row r="1292" spans="1:29" ht="15.75" customHeight="1" x14ac:dyDescent="0.2">
      <c r="A1292" s="36" t="str">
        <f>HYPERLINK("https://www.massasoit.edu", "Massasoit Community College")</f>
        <v>Massasoit Community College</v>
      </c>
      <c r="B1292" s="18" t="s">
        <v>49</v>
      </c>
      <c r="C1292" s="18" t="s">
        <v>33</v>
      </c>
      <c r="D1292" s="18" t="s">
        <v>1501</v>
      </c>
      <c r="E1292" s="18" t="s">
        <v>36</v>
      </c>
      <c r="F1292" s="18" t="s">
        <v>36</v>
      </c>
      <c r="J1292" s="19"/>
      <c r="K1292" s="19">
        <v>0.1716</v>
      </c>
      <c r="L1292" s="19">
        <v>0.22862632099999999</v>
      </c>
      <c r="M1292" s="19">
        <v>0.19400000000000001</v>
      </c>
      <c r="N1292" s="19">
        <v>0.13489999999999999</v>
      </c>
      <c r="O1292" s="19">
        <v>9.9000000000000005E-2</v>
      </c>
      <c r="P1292" s="19">
        <v>0.21740000000000001</v>
      </c>
      <c r="Q1292" s="19">
        <v>7.2494669999999997E-2</v>
      </c>
      <c r="R1292" s="20">
        <v>22774</v>
      </c>
      <c r="S1292" s="21" t="str">
        <f>HYPERLINK("https://www.massasoit.edu/students-and-parents/paying-for-college/net-price-calculator/index", "$17368")</f>
        <v>$17368</v>
      </c>
      <c r="T1292" s="20">
        <v>19698</v>
      </c>
      <c r="U1292" s="20">
        <v>22277</v>
      </c>
      <c r="V1292" s="20">
        <v>4150</v>
      </c>
      <c r="W1292" s="20">
        <v>13218.81701030928</v>
      </c>
      <c r="Y1292" s="19">
        <v>0.3412</v>
      </c>
      <c r="Z1292" s="19">
        <v>0.48120000000000002</v>
      </c>
      <c r="AB1292" s="18">
        <v>6035</v>
      </c>
      <c r="AC1292" s="18">
        <v>6</v>
      </c>
    </row>
    <row r="1293" spans="1:29" ht="15.75" customHeight="1" x14ac:dyDescent="0.2">
      <c r="A1293" s="36" t="str">
        <f>HYPERLINK("https://www.mayvillestate.edu", "Mayville State University")</f>
        <v>Mayville State University</v>
      </c>
      <c r="B1293" s="18" t="s">
        <v>49</v>
      </c>
      <c r="C1293" s="18" t="s">
        <v>730</v>
      </c>
      <c r="D1293" s="18" t="s">
        <v>780</v>
      </c>
      <c r="E1293" s="18">
        <v>1045</v>
      </c>
      <c r="F1293" s="18" t="s">
        <v>35</v>
      </c>
      <c r="J1293" s="19"/>
      <c r="K1293" s="19">
        <v>0.35139999999999999</v>
      </c>
      <c r="L1293" s="19">
        <v>0.25233644900000002</v>
      </c>
      <c r="M1293" s="19">
        <v>0.35449999999999998</v>
      </c>
      <c r="N1293" s="19">
        <v>0.36359999999999998</v>
      </c>
      <c r="O1293" s="19">
        <v>0.36359999999999998</v>
      </c>
      <c r="P1293" s="19">
        <v>0</v>
      </c>
      <c r="Q1293" s="19"/>
      <c r="R1293" s="20">
        <v>19700</v>
      </c>
      <c r="S1293" s="21" t="str">
        <f>HYPERLINK("https://www.mayvillestate.edu/paying-school/cost-calculator", "$13815")</f>
        <v>$13815</v>
      </c>
      <c r="T1293" s="20">
        <v>11498</v>
      </c>
      <c r="U1293" s="20">
        <v>16285</v>
      </c>
      <c r="V1293" s="20">
        <v>4100</v>
      </c>
      <c r="W1293" s="20">
        <v>9715</v>
      </c>
      <c r="Y1293" s="19">
        <v>0.29330000000000001</v>
      </c>
      <c r="Z1293" s="19">
        <v>0.223</v>
      </c>
      <c r="AB1293" s="18">
        <v>825</v>
      </c>
      <c r="AC1293" s="18">
        <v>5</v>
      </c>
    </row>
    <row r="1294" spans="1:29" ht="15.75" customHeight="1" x14ac:dyDescent="0.2">
      <c r="A1294" s="36" t="str">
        <f t="shared" ref="A1294:A1295" si="4">HYPERLINK("https://www.mccann.edu", "McCann School of Business &amp; Technology")</f>
        <v>McCann School of Business &amp; Technology</v>
      </c>
      <c r="B1294" s="18" t="s">
        <v>368</v>
      </c>
      <c r="C1294" s="18" t="s">
        <v>65</v>
      </c>
      <c r="D1294" s="18" t="s">
        <v>1502</v>
      </c>
      <c r="E1294" s="18" t="s">
        <v>36</v>
      </c>
      <c r="F1294" s="18" t="s">
        <v>36</v>
      </c>
      <c r="J1294" s="19"/>
      <c r="K1294" s="19">
        <v>0.5625</v>
      </c>
      <c r="L1294" s="19" t="s">
        <v>36</v>
      </c>
      <c r="M1294" s="19">
        <v>0.54549999999999998</v>
      </c>
      <c r="N1294" s="19" t="s">
        <v>36</v>
      </c>
      <c r="O1294" s="19">
        <v>0.6</v>
      </c>
      <c r="P1294" s="19" t="s">
        <v>36</v>
      </c>
      <c r="Q1294" s="19" t="s">
        <v>36</v>
      </c>
      <c r="R1294" s="20">
        <v>27626</v>
      </c>
      <c r="S1294" s="21" t="str">
        <f>HYPERLINK("https://disclosure.mccann.edu/npc/npcalc-hazleton.htm", "$19158")</f>
        <v>$19158</v>
      </c>
      <c r="T1294" s="20" t="s">
        <v>36</v>
      </c>
      <c r="U1294" s="20">
        <v>24109</v>
      </c>
      <c r="V1294" s="20">
        <v>7549</v>
      </c>
      <c r="W1294" s="20">
        <v>11609</v>
      </c>
      <c r="Y1294" s="19">
        <v>0.78749999999999998</v>
      </c>
      <c r="Z1294" s="19">
        <v>0.32740000000000002</v>
      </c>
      <c r="AB1294" s="18">
        <v>168</v>
      </c>
      <c r="AC1294" s="18">
        <v>6</v>
      </c>
    </row>
    <row r="1295" spans="1:29" ht="15.75" customHeight="1" x14ac:dyDescent="0.2">
      <c r="A1295" s="36" t="str">
        <f t="shared" si="4"/>
        <v>McCann School of Business &amp; Technology</v>
      </c>
      <c r="B1295" s="18" t="s">
        <v>368</v>
      </c>
      <c r="C1295" s="18" t="s">
        <v>65</v>
      </c>
      <c r="D1295" s="18" t="s">
        <v>1505</v>
      </c>
      <c r="E1295" s="18" t="s">
        <v>36</v>
      </c>
      <c r="F1295" s="18" t="s">
        <v>36</v>
      </c>
      <c r="J1295" s="19"/>
      <c r="K1295" s="19">
        <v>0.35709999999999997</v>
      </c>
      <c r="L1295" s="19" t="s">
        <v>36</v>
      </c>
      <c r="M1295" s="19">
        <v>0.39129999999999998</v>
      </c>
      <c r="N1295" s="19">
        <v>0.33329999999999999</v>
      </c>
      <c r="O1295" s="19">
        <v>0</v>
      </c>
      <c r="P1295" s="19" t="s">
        <v>36</v>
      </c>
      <c r="Q1295" s="19" t="s">
        <v>36</v>
      </c>
      <c r="R1295" s="20">
        <v>27939</v>
      </c>
      <c r="S1295" s="21" t="str">
        <f>HYPERLINK("https://disclosure.mccann.edu/npc/npcalc-lewisburg.htm", "Not reported")</f>
        <v>Not reported</v>
      </c>
      <c r="T1295" s="20" t="s">
        <v>36</v>
      </c>
      <c r="U1295" s="20" t="s">
        <v>36</v>
      </c>
      <c r="V1295" s="20">
        <v>9434</v>
      </c>
      <c r="W1295" s="20" t="s">
        <v>36</v>
      </c>
      <c r="Y1295" s="19">
        <v>0.72219999999999995</v>
      </c>
      <c r="Z1295" s="19">
        <v>0</v>
      </c>
      <c r="AB1295" s="18">
        <v>5</v>
      </c>
      <c r="AC1295" s="18">
        <v>6</v>
      </c>
    </row>
    <row r="1296" spans="1:29" ht="15.75" customHeight="1" x14ac:dyDescent="0.2">
      <c r="A1296" s="36" t="str">
        <f>HYPERLINK("https://mccann.edu/", "McCann School of Business &amp; Technology")</f>
        <v>McCann School of Business &amp; Technology</v>
      </c>
      <c r="B1296" s="18" t="s">
        <v>368</v>
      </c>
      <c r="C1296" s="18" t="s">
        <v>65</v>
      </c>
      <c r="D1296" s="18" t="s">
        <v>875</v>
      </c>
      <c r="E1296" s="18" t="s">
        <v>36</v>
      </c>
      <c r="F1296" s="18" t="s">
        <v>36</v>
      </c>
      <c r="J1296" s="19"/>
      <c r="K1296" s="19">
        <v>0.46879999999999999</v>
      </c>
      <c r="L1296" s="19" t="s">
        <v>36</v>
      </c>
      <c r="M1296" s="19">
        <v>0.55559999999999998</v>
      </c>
      <c r="N1296" s="19">
        <v>0.3</v>
      </c>
      <c r="O1296" s="19">
        <v>0.5</v>
      </c>
      <c r="P1296" s="19" t="s">
        <v>36</v>
      </c>
      <c r="Q1296" s="19" t="s">
        <v>36</v>
      </c>
      <c r="R1296" s="20">
        <v>27909</v>
      </c>
      <c r="S1296" s="21" t="str">
        <f>HYPERLINK("https://disclosure.mccann.edu/npc/npcalc-wilkesbarre.htm", "$19412")</f>
        <v>$19412</v>
      </c>
      <c r="T1296" s="20" t="s">
        <v>36</v>
      </c>
      <c r="U1296" s="20" t="s">
        <v>36</v>
      </c>
      <c r="V1296" s="20" t="s">
        <v>36</v>
      </c>
      <c r="W1296" s="20" t="s">
        <v>36</v>
      </c>
      <c r="Y1296" s="19">
        <v>0.79269999999999996</v>
      </c>
      <c r="Z1296" s="19">
        <v>0.43200000000000011</v>
      </c>
      <c r="AB1296" s="18">
        <v>125</v>
      </c>
      <c r="AC1296" s="18">
        <v>6</v>
      </c>
    </row>
    <row r="1297" spans="1:29" ht="15.75" customHeight="1" x14ac:dyDescent="0.2">
      <c r="A1297" s="36" t="str">
        <f>HYPERLINK("https://www.mccann.edu", "McCann School of Business &amp; Technology")</f>
        <v>McCann School of Business &amp; Technology</v>
      </c>
      <c r="B1297" s="18" t="s">
        <v>368</v>
      </c>
      <c r="C1297" s="18" t="s">
        <v>65</v>
      </c>
      <c r="D1297" s="18" t="s">
        <v>1508</v>
      </c>
      <c r="E1297" s="18" t="s">
        <v>36</v>
      </c>
      <c r="F1297" s="18" t="s">
        <v>36</v>
      </c>
      <c r="J1297" s="19"/>
      <c r="K1297" s="19">
        <v>0.30559999999999998</v>
      </c>
      <c r="L1297" s="19">
        <v>0.28839830900000002</v>
      </c>
      <c r="M1297" s="19">
        <v>0.30299999999999999</v>
      </c>
      <c r="N1297" s="19">
        <v>0.5</v>
      </c>
      <c r="O1297" s="19" t="s">
        <v>36</v>
      </c>
      <c r="P1297" s="19" t="s">
        <v>36</v>
      </c>
      <c r="Q1297" s="19">
        <v>2.2719448999999999E-2</v>
      </c>
      <c r="R1297" s="20">
        <v>27449</v>
      </c>
      <c r="S1297" s="21" t="str">
        <f>HYPERLINK("https://disclosure.mccann.edu/npc/npcalc-pottsville.htm", "$17619")</f>
        <v>$17619</v>
      </c>
      <c r="T1297" s="20" t="s">
        <v>36</v>
      </c>
      <c r="U1297" s="20" t="s">
        <v>36</v>
      </c>
      <c r="V1297" s="20">
        <v>7659</v>
      </c>
      <c r="W1297" s="20">
        <v>9960</v>
      </c>
      <c r="Y1297" s="19">
        <v>0.76419999999999999</v>
      </c>
      <c r="Z1297" s="19">
        <v>0.12770000000000001</v>
      </c>
      <c r="AB1297" s="18">
        <v>188</v>
      </c>
      <c r="AC1297" s="18">
        <v>6</v>
      </c>
    </row>
    <row r="1298" spans="1:29" ht="15.75" customHeight="1" x14ac:dyDescent="0.2">
      <c r="A1298" s="36" t="str">
        <f>HYPERLINK("https://www.mcdaniel.edu", "McDaniel College")</f>
        <v>McDaniel College</v>
      </c>
      <c r="B1298" s="18" t="s">
        <v>32</v>
      </c>
      <c r="C1298" s="18" t="s">
        <v>124</v>
      </c>
      <c r="D1298" s="18" t="s">
        <v>414</v>
      </c>
      <c r="E1298" s="18">
        <v>1161</v>
      </c>
      <c r="F1298" s="18" t="s">
        <v>35</v>
      </c>
      <c r="J1298" s="19"/>
      <c r="K1298" s="19">
        <v>0.68169999999999997</v>
      </c>
      <c r="L1298" s="19">
        <v>0.625</v>
      </c>
      <c r="M1298" s="19">
        <v>0.6875</v>
      </c>
      <c r="N1298" s="19">
        <v>0.6875</v>
      </c>
      <c r="O1298" s="19">
        <v>0.60709999999999997</v>
      </c>
      <c r="P1298" s="19">
        <v>0.5</v>
      </c>
      <c r="Q1298" s="19"/>
      <c r="R1298" s="20">
        <v>55830</v>
      </c>
      <c r="S1298" s="21" t="str">
        <f>HYPERLINK("https://mcdaniel.studentaidcalculator.com/survey.aspx", "$13088")</f>
        <v>$13088</v>
      </c>
      <c r="T1298" s="20">
        <v>16192</v>
      </c>
      <c r="U1298" s="20">
        <v>22681</v>
      </c>
      <c r="V1298" s="20">
        <v>2920</v>
      </c>
      <c r="W1298" s="20">
        <v>10168</v>
      </c>
      <c r="Y1298" s="19">
        <v>0.3095</v>
      </c>
      <c r="Z1298" s="19">
        <v>0.35020000000000001</v>
      </c>
      <c r="AB1298" s="18">
        <v>1562</v>
      </c>
      <c r="AC1298" s="18">
        <v>3</v>
      </c>
    </row>
    <row r="1299" spans="1:29" ht="15.75" customHeight="1" x14ac:dyDescent="0.2">
      <c r="A1299" s="36" t="str">
        <f>HYPERLINK("https://www.mcdowelltech.edu", "McDowell Technical Community College")</f>
        <v>McDowell Technical Community College</v>
      </c>
      <c r="B1299" s="18" t="s">
        <v>49</v>
      </c>
      <c r="C1299" s="18" t="s">
        <v>103</v>
      </c>
      <c r="D1299" s="18" t="s">
        <v>841</v>
      </c>
      <c r="E1299" s="18" t="s">
        <v>36</v>
      </c>
      <c r="F1299" s="18" t="s">
        <v>36</v>
      </c>
      <c r="J1299" s="19"/>
      <c r="K1299" s="19">
        <v>0.23330000000000001</v>
      </c>
      <c r="L1299" s="19">
        <v>0.20785219399999999</v>
      </c>
      <c r="M1299" s="19">
        <v>0.25</v>
      </c>
      <c r="N1299" s="19">
        <v>0</v>
      </c>
      <c r="O1299" s="19">
        <v>0</v>
      </c>
      <c r="P1299" s="19">
        <v>0</v>
      </c>
      <c r="Q1299" s="19" t="s">
        <v>36</v>
      </c>
      <c r="R1299" s="20">
        <v>19476</v>
      </c>
      <c r="S1299" s="21" t="str">
        <f>HYPERLINK("https://www.mcdowelltech.edu/apps/pages/index.jsp?uREC_ID=1022347&amp;type=d&amp;pREC_ID=1328344", "$14092")</f>
        <v>$14092</v>
      </c>
      <c r="T1299" s="20">
        <v>14728</v>
      </c>
      <c r="U1299" s="20">
        <v>15734</v>
      </c>
      <c r="V1299" s="20">
        <v>4868</v>
      </c>
      <c r="W1299" s="20">
        <v>9224.9473684210534</v>
      </c>
      <c r="Y1299" s="19">
        <v>0.41880000000000001</v>
      </c>
      <c r="Z1299" s="19">
        <v>0.13660000000000011</v>
      </c>
      <c r="AB1299" s="18">
        <v>571</v>
      </c>
      <c r="AC1299" s="18">
        <v>6</v>
      </c>
    </row>
    <row r="1300" spans="1:29" ht="15.75" customHeight="1" x14ac:dyDescent="0.2">
      <c r="A1300" s="36" t="str">
        <f>HYPERLINK("https://www.mchenry.edu", "McHenry County College")</f>
        <v>McHenry County College</v>
      </c>
      <c r="B1300" s="18" t="s">
        <v>49</v>
      </c>
      <c r="C1300" s="18" t="s">
        <v>137</v>
      </c>
      <c r="D1300" s="18" t="s">
        <v>1510</v>
      </c>
      <c r="E1300" s="18" t="s">
        <v>36</v>
      </c>
      <c r="F1300" s="18" t="s">
        <v>36</v>
      </c>
      <c r="J1300" s="19"/>
      <c r="K1300" s="19">
        <v>0.28889999999999999</v>
      </c>
      <c r="L1300" s="19">
        <v>0.247328244</v>
      </c>
      <c r="M1300" s="19">
        <v>0.31009999999999999</v>
      </c>
      <c r="N1300" s="19">
        <v>5.8799999999999998E-2</v>
      </c>
      <c r="O1300" s="19">
        <v>0.22339999999999999</v>
      </c>
      <c r="P1300" s="19">
        <v>0.22220000000000001</v>
      </c>
      <c r="Q1300" s="19">
        <v>8.8211708000000014E-2</v>
      </c>
      <c r="R1300" s="20">
        <v>30485</v>
      </c>
      <c r="S1300" s="21" t="str">
        <f>HYPERLINK("https://www.mchenry.edu/netprice", "$25438")</f>
        <v>$25438</v>
      </c>
      <c r="T1300" s="20">
        <v>27896</v>
      </c>
      <c r="U1300" s="20">
        <v>29505</v>
      </c>
      <c r="V1300" s="20">
        <v>4318</v>
      </c>
      <c r="W1300" s="20">
        <v>21120.364238410599</v>
      </c>
      <c r="Y1300" s="19">
        <v>0.1968</v>
      </c>
      <c r="Z1300" s="19">
        <v>0.30059999999999998</v>
      </c>
      <c r="AB1300" s="18">
        <v>4324</v>
      </c>
      <c r="AC1300" s="18">
        <v>6</v>
      </c>
    </row>
    <row r="1301" spans="1:29" ht="15.75" customHeight="1" x14ac:dyDescent="0.2">
      <c r="A1301" s="36" t="str">
        <f>HYPERLINK("https://www.mckendree.edu", "McKendree University")</f>
        <v>McKendree University</v>
      </c>
      <c r="B1301" s="18" t="s">
        <v>32</v>
      </c>
      <c r="C1301" s="18" t="s">
        <v>137</v>
      </c>
      <c r="D1301" s="18" t="s">
        <v>687</v>
      </c>
      <c r="E1301" s="18">
        <v>1100</v>
      </c>
      <c r="F1301" s="18" t="s">
        <v>35</v>
      </c>
      <c r="J1301" s="19"/>
      <c r="K1301" s="19">
        <v>0.51229999999999998</v>
      </c>
      <c r="L1301" s="19">
        <v>0.43965517199999998</v>
      </c>
      <c r="M1301" s="19">
        <v>0.52310000000000001</v>
      </c>
      <c r="N1301" s="19">
        <v>0.40479999999999999</v>
      </c>
      <c r="O1301" s="19">
        <v>0</v>
      </c>
      <c r="P1301" s="19">
        <v>0.75</v>
      </c>
      <c r="Q1301" s="19"/>
      <c r="R1301" s="20">
        <v>42540</v>
      </c>
      <c r="S1301" s="21" t="str">
        <f>HYPERLINK("https://mckendree.studentaidcalculator.com/survey.aspx", "$16786")</f>
        <v>$16786</v>
      </c>
      <c r="T1301" s="20">
        <v>20007</v>
      </c>
      <c r="U1301" s="20">
        <v>22967</v>
      </c>
      <c r="V1301" s="20">
        <v>3550</v>
      </c>
      <c r="W1301" s="20">
        <v>13236</v>
      </c>
      <c r="Y1301" s="19">
        <v>0.40710000000000002</v>
      </c>
      <c r="Z1301" s="19">
        <v>0.3448</v>
      </c>
      <c r="AB1301" s="18">
        <v>2065</v>
      </c>
      <c r="AC1301" s="18">
        <v>4</v>
      </c>
    </row>
    <row r="1302" spans="1:29" ht="15.75" customHeight="1" x14ac:dyDescent="0.2">
      <c r="A1302" s="36" t="str">
        <f>HYPERLINK("https://www.mclennan.edu", "McLennan Community College")</f>
        <v>McLennan Community College</v>
      </c>
      <c r="B1302" s="18" t="s">
        <v>49</v>
      </c>
      <c r="C1302" s="18" t="s">
        <v>146</v>
      </c>
      <c r="D1302" s="18" t="s">
        <v>195</v>
      </c>
      <c r="E1302" s="18" t="s">
        <v>36</v>
      </c>
      <c r="F1302" s="18" t="s">
        <v>36</v>
      </c>
      <c r="J1302" s="19"/>
      <c r="K1302" s="19">
        <v>0.29599999999999999</v>
      </c>
      <c r="L1302" s="19">
        <v>0.157105943</v>
      </c>
      <c r="M1302" s="19">
        <v>0.3196</v>
      </c>
      <c r="N1302" s="19">
        <v>0.1605</v>
      </c>
      <c r="O1302" s="19">
        <v>0.33560000000000001</v>
      </c>
      <c r="P1302" s="19">
        <v>0.47370000000000001</v>
      </c>
      <c r="Q1302" s="19">
        <v>8.8471850000000005E-2</v>
      </c>
      <c r="R1302" s="20">
        <v>16806</v>
      </c>
      <c r="S1302" s="21" t="str">
        <f>HYPERLINK("https://www.mclennan.edu/financial-aid/", "$10180")</f>
        <v>$10180</v>
      </c>
      <c r="T1302" s="20">
        <v>13050</v>
      </c>
      <c r="U1302" s="20">
        <v>15340</v>
      </c>
      <c r="V1302" s="20">
        <v>5688</v>
      </c>
      <c r="W1302" s="20">
        <v>4492.1036585365846</v>
      </c>
      <c r="Y1302" s="19">
        <v>0.39489999999999997</v>
      </c>
      <c r="Z1302" s="19">
        <v>0.50570000000000004</v>
      </c>
      <c r="AB1302" s="18">
        <v>6913</v>
      </c>
      <c r="AC1302" s="18">
        <v>6</v>
      </c>
    </row>
    <row r="1303" spans="1:29" ht="15.75" customHeight="1" x14ac:dyDescent="0.2">
      <c r="A1303" s="36" t="str">
        <f>HYPERLINK("https://ww2.mcm.edu", "McMurry University")</f>
        <v>McMurry University</v>
      </c>
      <c r="B1303" s="18" t="s">
        <v>32</v>
      </c>
      <c r="C1303" s="18" t="s">
        <v>146</v>
      </c>
      <c r="D1303" s="18" t="s">
        <v>287</v>
      </c>
      <c r="E1303" s="18">
        <v>1015</v>
      </c>
      <c r="F1303" s="18" t="s">
        <v>35</v>
      </c>
      <c r="J1303" s="19"/>
      <c r="K1303" s="19">
        <v>0.36359999999999998</v>
      </c>
      <c r="L1303" s="19">
        <v>0.37019230800000003</v>
      </c>
      <c r="M1303" s="19">
        <v>0.46910000000000002</v>
      </c>
      <c r="N1303" s="19">
        <v>0.2</v>
      </c>
      <c r="O1303" s="19">
        <v>0.35210000000000002</v>
      </c>
      <c r="P1303" s="19">
        <v>0.33329999999999999</v>
      </c>
      <c r="Q1303" s="19"/>
      <c r="R1303" s="20">
        <v>40565</v>
      </c>
      <c r="S1303" s="21" t="str">
        <f>HYPERLINK("https://financial-aid.mcm.edu/calculators/index.html", "$19486")</f>
        <v>$19486</v>
      </c>
      <c r="T1303" s="20">
        <v>22614</v>
      </c>
      <c r="U1303" s="20">
        <v>24970</v>
      </c>
      <c r="V1303" s="20">
        <v>5354</v>
      </c>
      <c r="W1303" s="20">
        <v>14132</v>
      </c>
      <c r="Y1303" s="19">
        <v>0.46689999999999998</v>
      </c>
      <c r="Z1303" s="19">
        <v>0.53439999999999999</v>
      </c>
      <c r="AB1303" s="18">
        <v>1031</v>
      </c>
      <c r="AC1303" s="18">
        <v>4</v>
      </c>
    </row>
    <row r="1304" spans="1:29" ht="15.75" customHeight="1" x14ac:dyDescent="0.2">
      <c r="A1304" s="36" t="str">
        <f>HYPERLINK("https://www.mcneese.edu", "McNeese State University")</f>
        <v>McNeese State University</v>
      </c>
      <c r="B1304" s="18" t="s">
        <v>49</v>
      </c>
      <c r="C1304" s="18" t="s">
        <v>158</v>
      </c>
      <c r="D1304" s="18" t="s">
        <v>954</v>
      </c>
      <c r="E1304" s="18">
        <v>1124</v>
      </c>
      <c r="F1304" s="18" t="s">
        <v>35</v>
      </c>
      <c r="J1304" s="19"/>
      <c r="K1304" s="19">
        <v>0.42409999999999998</v>
      </c>
      <c r="L1304" s="19">
        <v>0.34303797499999999</v>
      </c>
      <c r="M1304" s="19">
        <v>0.45490000000000003</v>
      </c>
      <c r="N1304" s="19">
        <v>0.27910000000000001</v>
      </c>
      <c r="O1304" s="19">
        <v>0.43330000000000002</v>
      </c>
      <c r="P1304" s="19">
        <v>0.5</v>
      </c>
      <c r="Q1304" s="19"/>
      <c r="R1304" s="20">
        <v>29404</v>
      </c>
      <c r="S1304" s="21" t="str">
        <f>HYPERLINK("https://www.mcneese.edu/ire/net_price_calculator", "$20844")</f>
        <v>$20844</v>
      </c>
      <c r="T1304" s="20">
        <v>23238</v>
      </c>
      <c r="U1304" s="20">
        <v>25920</v>
      </c>
      <c r="V1304" s="20">
        <v>5258</v>
      </c>
      <c r="W1304" s="20">
        <v>15586.29946524064</v>
      </c>
      <c r="Y1304" s="19">
        <v>0.31900000000000001</v>
      </c>
      <c r="Z1304" s="19">
        <v>0.33129999999999998</v>
      </c>
      <c r="AB1304" s="18">
        <v>5956</v>
      </c>
      <c r="AC1304" s="18">
        <v>4</v>
      </c>
    </row>
    <row r="1305" spans="1:29" ht="15.75" customHeight="1" x14ac:dyDescent="0.2">
      <c r="A1305" s="36" t="str">
        <f>HYPERLINK("https://www.mcpherson.edu", "McPherson College")</f>
        <v>McPherson College</v>
      </c>
      <c r="B1305" s="18" t="s">
        <v>32</v>
      </c>
      <c r="C1305" s="18" t="s">
        <v>307</v>
      </c>
      <c r="D1305" s="18" t="s">
        <v>635</v>
      </c>
      <c r="E1305" s="18">
        <v>1105</v>
      </c>
      <c r="F1305" s="18" t="s">
        <v>35</v>
      </c>
      <c r="J1305" s="19"/>
      <c r="K1305" s="19">
        <v>0.35610000000000003</v>
      </c>
      <c r="L1305" s="19">
        <v>0.43859649099999998</v>
      </c>
      <c r="M1305" s="19">
        <v>0.39579999999999999</v>
      </c>
      <c r="N1305" s="19">
        <v>0.16669999999999999</v>
      </c>
      <c r="O1305" s="19">
        <v>0.3125</v>
      </c>
      <c r="P1305" s="19" t="s">
        <v>36</v>
      </c>
      <c r="Q1305" s="19"/>
      <c r="R1305" s="20">
        <v>41111</v>
      </c>
      <c r="S1305" s="21" t="str">
        <f>HYPERLINK("https://www.mcpherson.edu/admissions/financial-aid/net-price-calculator/", "$19226")</f>
        <v>$19226</v>
      </c>
      <c r="T1305" s="20">
        <v>20647</v>
      </c>
      <c r="U1305" s="20">
        <v>23466</v>
      </c>
      <c r="V1305" s="20">
        <v>4976</v>
      </c>
      <c r="W1305" s="20">
        <v>14250</v>
      </c>
      <c r="Y1305" s="19">
        <v>0.41820000000000002</v>
      </c>
      <c r="Z1305" s="19">
        <v>0.3619</v>
      </c>
      <c r="AB1305" s="18">
        <v>688</v>
      </c>
      <c r="AC1305" s="18">
        <v>4</v>
      </c>
    </row>
    <row r="1306" spans="1:29" ht="15.75" customHeight="1" x14ac:dyDescent="0.2">
      <c r="A1306" s="36" t="str">
        <f>HYPERLINK("https://www.medaille.edu", "Medaille College")</f>
        <v>Medaille College</v>
      </c>
      <c r="B1306" s="18" t="s">
        <v>32</v>
      </c>
      <c r="C1306" s="18" t="s">
        <v>38</v>
      </c>
      <c r="D1306" s="18" t="s">
        <v>322</v>
      </c>
      <c r="E1306" s="18">
        <v>978</v>
      </c>
      <c r="F1306" s="18" t="s">
        <v>35</v>
      </c>
      <c r="J1306" s="19"/>
      <c r="K1306" s="19">
        <v>0.43440000000000001</v>
      </c>
      <c r="L1306" s="19">
        <v>0.33953488399999998</v>
      </c>
      <c r="M1306" s="19">
        <v>0.52839999999999998</v>
      </c>
      <c r="N1306" s="19">
        <v>0.21049999999999999</v>
      </c>
      <c r="O1306" s="19">
        <v>0.43480000000000002</v>
      </c>
      <c r="P1306" s="19">
        <v>0.5</v>
      </c>
      <c r="Q1306" s="19"/>
      <c r="R1306" s="20">
        <v>43900</v>
      </c>
      <c r="S1306" s="21" t="str">
        <f>HYPERLINK("https://www.medaille.edu/admissions/financial-aid-and-tuition/net-price-calculator", "$9010")</f>
        <v>$9010</v>
      </c>
      <c r="T1306" s="20">
        <v>12651</v>
      </c>
      <c r="U1306" s="20">
        <v>15963</v>
      </c>
      <c r="V1306" s="20">
        <v>2200</v>
      </c>
      <c r="W1306" s="20">
        <v>6810</v>
      </c>
      <c r="Y1306" s="19">
        <v>0.50360000000000005</v>
      </c>
      <c r="Z1306" s="19">
        <v>0.31569999999999998</v>
      </c>
      <c r="AB1306" s="18">
        <v>1476</v>
      </c>
      <c r="AC1306" s="18">
        <v>4</v>
      </c>
    </row>
    <row r="1307" spans="1:29" ht="15.75" customHeight="1" x14ac:dyDescent="0.2">
      <c r="A1307" s="36" t="str">
        <f>HYPERLINK("https://www.sphp.com/son", "Memorial College of Nursing")</f>
        <v>Memorial College of Nursing</v>
      </c>
      <c r="B1307" s="18" t="s">
        <v>32</v>
      </c>
      <c r="C1307" s="18" t="s">
        <v>38</v>
      </c>
      <c r="D1307" s="18" t="s">
        <v>550</v>
      </c>
      <c r="E1307" s="18" t="s">
        <v>36</v>
      </c>
      <c r="F1307" s="18" t="s">
        <v>45</v>
      </c>
      <c r="J1307" s="19"/>
      <c r="K1307" s="19">
        <v>0.5</v>
      </c>
      <c r="L1307" s="19" t="s">
        <v>36</v>
      </c>
      <c r="M1307" s="19">
        <v>0.5</v>
      </c>
      <c r="N1307" s="19" t="s">
        <v>36</v>
      </c>
      <c r="O1307" s="19" t="s">
        <v>36</v>
      </c>
      <c r="P1307" s="19" t="s">
        <v>36</v>
      </c>
      <c r="Q1307" s="19" t="s">
        <v>36</v>
      </c>
      <c r="R1307" s="20">
        <v>32245</v>
      </c>
      <c r="S1307" s="21" t="str">
        <f>HYPERLINK("https://apps.sphp.com/SON/Net_Price_Calculator/", "Not reported")</f>
        <v>Not reported</v>
      </c>
      <c r="T1307" s="20" t="s">
        <v>36</v>
      </c>
      <c r="U1307" s="20">
        <v>19174</v>
      </c>
      <c r="V1307" s="20">
        <v>7250</v>
      </c>
      <c r="W1307" s="20" t="s">
        <v>36</v>
      </c>
      <c r="Y1307" s="19">
        <v>0.38890000000000002</v>
      </c>
      <c r="Z1307" s="19">
        <v>0.25</v>
      </c>
      <c r="AB1307" s="18">
        <v>124</v>
      </c>
      <c r="AC1307" s="18">
        <v>6</v>
      </c>
    </row>
    <row r="1308" spans="1:29" ht="15.75" customHeight="1" x14ac:dyDescent="0.2">
      <c r="A1308" s="36" t="str">
        <f>HYPERLINK("https://www.mendocino.edu", "Mendocino College")</f>
        <v>Mendocino College</v>
      </c>
      <c r="B1308" s="18" t="s">
        <v>49</v>
      </c>
      <c r="C1308" s="18" t="s">
        <v>68</v>
      </c>
      <c r="D1308" s="18" t="s">
        <v>1511</v>
      </c>
      <c r="E1308" s="18" t="s">
        <v>36</v>
      </c>
      <c r="F1308" s="18" t="s">
        <v>36</v>
      </c>
      <c r="J1308" s="19"/>
      <c r="K1308" s="19">
        <v>0.22120000000000001</v>
      </c>
      <c r="L1308" s="19">
        <v>0.11627907</v>
      </c>
      <c r="M1308" s="19">
        <v>0.22889999999999999</v>
      </c>
      <c r="N1308" s="19">
        <v>0.15790000000000001</v>
      </c>
      <c r="O1308" s="19">
        <v>0.23910000000000001</v>
      </c>
      <c r="P1308" s="19">
        <v>0.16669999999999999</v>
      </c>
      <c r="Q1308" s="19">
        <v>5.5299539000000002E-2</v>
      </c>
      <c r="R1308" s="20">
        <v>26449</v>
      </c>
      <c r="S1308" s="21" t="str">
        <f>HYPERLINK("https://misweb.cccco.edu/npc/141/npcalc.htm", "$19204")</f>
        <v>$19204</v>
      </c>
      <c r="T1308" s="20" t="s">
        <v>36</v>
      </c>
      <c r="U1308" s="20" t="s">
        <v>36</v>
      </c>
      <c r="V1308" s="20">
        <v>6093</v>
      </c>
      <c r="W1308" s="20">
        <v>13111.931034482761</v>
      </c>
      <c r="Y1308" s="19">
        <v>0.27350000000000002</v>
      </c>
      <c r="Z1308" s="19">
        <v>0.44519999999999998</v>
      </c>
      <c r="AB1308" s="18">
        <v>2983</v>
      </c>
      <c r="AC1308" s="18">
        <v>6</v>
      </c>
    </row>
    <row r="1309" spans="1:29" ht="15.75" customHeight="1" x14ac:dyDescent="0.2">
      <c r="A1309" s="36" t="str">
        <f>HYPERLINK("https://www.menlo.edu", "Menlo College")</f>
        <v>Menlo College</v>
      </c>
      <c r="B1309" s="18" t="s">
        <v>32</v>
      </c>
      <c r="C1309" s="18" t="s">
        <v>68</v>
      </c>
      <c r="D1309" s="18" t="s">
        <v>956</v>
      </c>
      <c r="E1309" s="18">
        <v>1086</v>
      </c>
      <c r="F1309" s="18" t="s">
        <v>35</v>
      </c>
      <c r="J1309" s="19"/>
      <c r="K1309" s="19">
        <v>0.5282</v>
      </c>
      <c r="L1309" s="19">
        <v>0.446428571</v>
      </c>
      <c r="M1309" s="19">
        <v>0.68289999999999995</v>
      </c>
      <c r="N1309" s="19">
        <v>0.33329999999999999</v>
      </c>
      <c r="O1309" s="19">
        <v>0.43240000000000001</v>
      </c>
      <c r="P1309" s="19">
        <v>0.5</v>
      </c>
      <c r="Q1309" s="19"/>
      <c r="R1309" s="20">
        <v>58018</v>
      </c>
      <c r="S1309" s="21" t="str">
        <f>HYPERLINK("https://www.menlo.edu/NetPrice/npcalc.htm", "$25719")</f>
        <v>$25719</v>
      </c>
      <c r="T1309" s="20">
        <v>25439</v>
      </c>
      <c r="U1309" s="20">
        <v>26406</v>
      </c>
      <c r="V1309" s="20">
        <v>2988</v>
      </c>
      <c r="W1309" s="20">
        <v>22731</v>
      </c>
      <c r="Y1309" s="19">
        <v>0.1067</v>
      </c>
      <c r="Z1309" s="19">
        <v>0.76170000000000004</v>
      </c>
      <c r="AB1309" s="18">
        <v>726</v>
      </c>
      <c r="AC1309" s="18">
        <v>4</v>
      </c>
    </row>
    <row r="1310" spans="1:29" ht="15.75" customHeight="1" x14ac:dyDescent="0.2">
      <c r="A1310" s="36" t="str">
        <f>HYPERLINK("https://www.mccd.edu", "Merced College")</f>
        <v>Merced College</v>
      </c>
      <c r="B1310" s="18" t="s">
        <v>49</v>
      </c>
      <c r="C1310" s="18" t="s">
        <v>68</v>
      </c>
      <c r="D1310" s="18" t="s">
        <v>1265</v>
      </c>
      <c r="E1310" s="18" t="s">
        <v>36</v>
      </c>
      <c r="F1310" s="18" t="s">
        <v>36</v>
      </c>
      <c r="J1310" s="19"/>
      <c r="K1310" s="19">
        <v>0.24690000000000001</v>
      </c>
      <c r="L1310" s="19">
        <v>7.5983717999999992E-2</v>
      </c>
      <c r="M1310" s="19">
        <v>0.2732</v>
      </c>
      <c r="N1310" s="19">
        <v>7.3200000000000001E-2</v>
      </c>
      <c r="O1310" s="19">
        <v>0.2286</v>
      </c>
      <c r="P1310" s="19">
        <v>0.32040000000000002</v>
      </c>
      <c r="Q1310" s="19">
        <v>8.7219054000000004E-2</v>
      </c>
      <c r="R1310" s="20">
        <v>22729</v>
      </c>
      <c r="S1310" s="21" t="str">
        <f>HYPERLINK("https://misweb.cccco.edu/npc/531/npcalc.htm", "$15884")</f>
        <v>$15884</v>
      </c>
      <c r="T1310" s="20">
        <v>18223</v>
      </c>
      <c r="U1310" s="20">
        <v>20076</v>
      </c>
      <c r="V1310" s="20">
        <v>5634</v>
      </c>
      <c r="W1310" s="20">
        <v>10250.670520231221</v>
      </c>
      <c r="Y1310" s="19">
        <v>0.39939999999999998</v>
      </c>
      <c r="Z1310" s="19">
        <v>0.79089999999999994</v>
      </c>
      <c r="AB1310" s="18">
        <v>9914</v>
      </c>
      <c r="AC1310" s="18">
        <v>6</v>
      </c>
    </row>
    <row r="1311" spans="1:29" ht="15.75" customHeight="1" x14ac:dyDescent="0.2">
      <c r="A1311" s="36" t="str">
        <f>HYPERLINK("https://www.mccc.edu", "Mercer County Community College")</f>
        <v>Mercer County Community College</v>
      </c>
      <c r="B1311" s="18" t="s">
        <v>49</v>
      </c>
      <c r="C1311" s="18" t="s">
        <v>141</v>
      </c>
      <c r="D1311" s="18" t="s">
        <v>1512</v>
      </c>
      <c r="E1311" s="18" t="s">
        <v>36</v>
      </c>
      <c r="F1311" s="18" t="s">
        <v>36</v>
      </c>
      <c r="J1311" s="19"/>
      <c r="K1311" s="19">
        <v>0.1966</v>
      </c>
      <c r="L1311" s="19">
        <v>1.6242937999999998E-2</v>
      </c>
      <c r="M1311" s="19">
        <v>0.27910000000000001</v>
      </c>
      <c r="N1311" s="19">
        <v>7.3200000000000001E-2</v>
      </c>
      <c r="O1311" s="19">
        <v>0.1532</v>
      </c>
      <c r="P1311" s="19">
        <v>0.25369999999999998</v>
      </c>
      <c r="Q1311" s="19">
        <v>0.124371285</v>
      </c>
      <c r="R1311" s="20">
        <v>20729</v>
      </c>
      <c r="S1311" s="21" t="str">
        <f>HYPERLINK("https://www.mccc.edu/admissions_financial_calculator.shtml", "$14662")</f>
        <v>$14662</v>
      </c>
      <c r="T1311" s="20">
        <v>17443</v>
      </c>
      <c r="U1311" s="20">
        <v>19804</v>
      </c>
      <c r="V1311" s="20">
        <v>5421</v>
      </c>
      <c r="W1311" s="20">
        <v>9241.548076923078</v>
      </c>
      <c r="Y1311" s="19">
        <v>0.29509999999999997</v>
      </c>
      <c r="Z1311" s="19">
        <v>0.623</v>
      </c>
      <c r="AB1311" s="18">
        <v>6570</v>
      </c>
      <c r="AC1311" s="18">
        <v>6</v>
      </c>
    </row>
    <row r="1312" spans="1:29" ht="15.75" customHeight="1" x14ac:dyDescent="0.2">
      <c r="A1312" s="36" t="str">
        <f>HYPERLINK("https://www.mercer.edu", "Mercer University")</f>
        <v>Mercer University</v>
      </c>
      <c r="B1312" s="18" t="s">
        <v>32</v>
      </c>
      <c r="C1312" s="18" t="s">
        <v>107</v>
      </c>
      <c r="D1312" s="18" t="s">
        <v>415</v>
      </c>
      <c r="E1312" s="18">
        <v>1285</v>
      </c>
      <c r="F1312" s="18" t="s">
        <v>35</v>
      </c>
      <c r="J1312" s="19"/>
      <c r="K1312" s="19">
        <v>0.63829999999999998</v>
      </c>
      <c r="L1312" s="19">
        <v>0.46476190499999998</v>
      </c>
      <c r="M1312" s="19">
        <v>0.66879999999999995</v>
      </c>
      <c r="N1312" s="19">
        <v>0.5464</v>
      </c>
      <c r="O1312" s="19">
        <v>0.53569999999999995</v>
      </c>
      <c r="P1312" s="19">
        <v>0.77359999999999995</v>
      </c>
      <c r="Q1312" s="19"/>
      <c r="R1312" s="20">
        <v>51293</v>
      </c>
      <c r="S1312" s="21" t="str">
        <f>HYPERLINK("https://financialaid.mercer.edu/calculators/", "$18210")</f>
        <v>$18210</v>
      </c>
      <c r="T1312" s="20">
        <v>20155</v>
      </c>
      <c r="U1312" s="20">
        <v>22136</v>
      </c>
      <c r="V1312" s="20">
        <v>3978</v>
      </c>
      <c r="W1312" s="20">
        <v>14232</v>
      </c>
      <c r="Y1312" s="19">
        <v>0.33939999999999998</v>
      </c>
      <c r="Z1312" s="19">
        <v>0.5202</v>
      </c>
      <c r="AB1312" s="18">
        <v>4708</v>
      </c>
      <c r="AC1312" s="18">
        <v>3</v>
      </c>
    </row>
    <row r="1313" spans="1:29" ht="15.75" customHeight="1" x14ac:dyDescent="0.2">
      <c r="A1313" s="36" t="str">
        <f>HYPERLINK("https://www.mercy.edu", "Mercy College")</f>
        <v>Mercy College</v>
      </c>
      <c r="B1313" s="18" t="s">
        <v>32</v>
      </c>
      <c r="C1313" s="18" t="s">
        <v>38</v>
      </c>
      <c r="D1313" s="18" t="s">
        <v>957</v>
      </c>
      <c r="E1313" s="18" t="s">
        <v>36</v>
      </c>
      <c r="F1313" s="18" t="s">
        <v>45</v>
      </c>
      <c r="J1313" s="19"/>
      <c r="K1313" s="19">
        <v>0.43030000000000002</v>
      </c>
      <c r="L1313" s="19">
        <v>0.38287153699999998</v>
      </c>
      <c r="M1313" s="19">
        <v>0.52649999999999997</v>
      </c>
      <c r="N1313" s="19">
        <v>0.4108</v>
      </c>
      <c r="O1313" s="19">
        <v>0.38740000000000002</v>
      </c>
      <c r="P1313" s="19">
        <v>0.5</v>
      </c>
      <c r="Q1313" s="19"/>
      <c r="R1313" s="20">
        <v>37266</v>
      </c>
      <c r="S1313" s="21" t="str">
        <f>HYPERLINK("https://www.mercy.edu/admissions/financial-aid/net-price-calculator/", "$13394")</f>
        <v>$13394</v>
      </c>
      <c r="T1313" s="20">
        <v>19911</v>
      </c>
      <c r="U1313" s="20">
        <v>23707</v>
      </c>
      <c r="V1313" s="20">
        <v>4652</v>
      </c>
      <c r="W1313" s="20">
        <v>8742</v>
      </c>
      <c r="Y1313" s="19">
        <v>0.48720000000000002</v>
      </c>
      <c r="Z1313" s="19">
        <v>0.77090000000000003</v>
      </c>
      <c r="AB1313" s="18">
        <v>6029</v>
      </c>
      <c r="AC1313" s="18">
        <v>4</v>
      </c>
    </row>
    <row r="1314" spans="1:29" ht="15.75" customHeight="1" x14ac:dyDescent="0.2">
      <c r="A1314" s="36" t="str">
        <f>HYPERLINK("https://www.mchs.edu", "Mercy College of Health Sciences")</f>
        <v>Mercy College of Health Sciences</v>
      </c>
      <c r="B1314" s="18" t="s">
        <v>32</v>
      </c>
      <c r="C1314" s="18" t="s">
        <v>211</v>
      </c>
      <c r="D1314" s="18" t="s">
        <v>348</v>
      </c>
      <c r="E1314" s="18">
        <v>1030</v>
      </c>
      <c r="F1314" s="18" t="s">
        <v>115</v>
      </c>
      <c r="J1314" s="19"/>
      <c r="K1314" s="19">
        <v>0.3488</v>
      </c>
      <c r="L1314" s="19">
        <v>0.50993377500000003</v>
      </c>
      <c r="M1314" s="19">
        <v>0.37140000000000001</v>
      </c>
      <c r="N1314" s="19" t="s">
        <v>36</v>
      </c>
      <c r="O1314" s="19">
        <v>0.25</v>
      </c>
      <c r="P1314" s="19">
        <v>0.33329999999999999</v>
      </c>
      <c r="Q1314" s="19"/>
      <c r="R1314" s="20">
        <v>29392</v>
      </c>
      <c r="S1314" s="21" t="str">
        <f>HYPERLINK("https://www.mchs.edu/Portals/0/Html/npcalc.html", "$17242")</f>
        <v>$17242</v>
      </c>
      <c r="T1314" s="20">
        <v>23013</v>
      </c>
      <c r="U1314" s="20">
        <v>23420</v>
      </c>
      <c r="V1314" s="20">
        <v>6304</v>
      </c>
      <c r="W1314" s="20">
        <v>10938</v>
      </c>
      <c r="Y1314" s="19">
        <v>0.3891</v>
      </c>
      <c r="Z1314" s="19">
        <v>0.19070000000000001</v>
      </c>
      <c r="AB1314" s="18">
        <v>755</v>
      </c>
      <c r="AC1314" s="18">
        <v>4</v>
      </c>
    </row>
    <row r="1315" spans="1:29" ht="15.75" customHeight="1" x14ac:dyDescent="0.2">
      <c r="A1315" s="36" t="str">
        <f>HYPERLINK("https://www.mercycollege.edu", "Mercy College of Ohio")</f>
        <v>Mercy College of Ohio</v>
      </c>
      <c r="B1315" s="18" t="s">
        <v>32</v>
      </c>
      <c r="C1315" s="18" t="s">
        <v>75</v>
      </c>
      <c r="D1315" s="18" t="s">
        <v>1256</v>
      </c>
      <c r="E1315" s="18" t="s">
        <v>36</v>
      </c>
      <c r="F1315" s="18" t="s">
        <v>90</v>
      </c>
      <c r="J1315" s="19"/>
      <c r="K1315" s="19">
        <v>0.57579999999999998</v>
      </c>
      <c r="L1315" s="19">
        <v>0.58620689700000006</v>
      </c>
      <c r="M1315" s="19">
        <v>0.6</v>
      </c>
      <c r="N1315" s="19">
        <v>1</v>
      </c>
      <c r="O1315" s="19" t="s">
        <v>36</v>
      </c>
      <c r="P1315" s="19" t="s">
        <v>36</v>
      </c>
      <c r="Q1315" s="19">
        <v>6.9212411000000001E-2</v>
      </c>
      <c r="R1315" s="20">
        <v>34542</v>
      </c>
      <c r="S1315" s="21" t="str">
        <f>HYPERLINK("https://mercycollege.studentaidcalculator.com/survey.aspx", "$17312")</f>
        <v>$17312</v>
      </c>
      <c r="T1315" s="20">
        <v>20919</v>
      </c>
      <c r="U1315" s="20">
        <v>22167</v>
      </c>
      <c r="V1315" s="20">
        <v>10382</v>
      </c>
      <c r="W1315" s="20">
        <v>6930</v>
      </c>
      <c r="Y1315" s="19">
        <v>0.43230000000000002</v>
      </c>
      <c r="Z1315" s="19">
        <v>0.2218</v>
      </c>
      <c r="AB1315" s="18">
        <v>1402</v>
      </c>
      <c r="AC1315" s="18">
        <v>6</v>
      </c>
    </row>
    <row r="1316" spans="1:29" ht="15.75" customHeight="1" x14ac:dyDescent="0.2">
      <c r="A1316" s="36" t="str">
        <f>HYPERLINK("https://www.mercyhurst.edu", "Mercyhurst University")</f>
        <v>Mercyhurst University</v>
      </c>
      <c r="B1316" s="18" t="s">
        <v>32</v>
      </c>
      <c r="C1316" s="18" t="s">
        <v>65</v>
      </c>
      <c r="D1316" s="18" t="s">
        <v>782</v>
      </c>
      <c r="E1316" s="18" t="s">
        <v>36</v>
      </c>
      <c r="F1316" s="18" t="s">
        <v>45</v>
      </c>
      <c r="J1316" s="19"/>
      <c r="K1316" s="19">
        <v>0.68310000000000004</v>
      </c>
      <c r="L1316" s="19">
        <v>0.25409836099999999</v>
      </c>
      <c r="M1316" s="19">
        <v>0.69589999999999996</v>
      </c>
      <c r="N1316" s="19">
        <v>0.46429999999999999</v>
      </c>
      <c r="O1316" s="19">
        <v>0.65</v>
      </c>
      <c r="P1316" s="19">
        <v>0.625</v>
      </c>
      <c r="Q1316" s="19"/>
      <c r="R1316" s="20">
        <v>51791</v>
      </c>
      <c r="S1316" s="21" t="str">
        <f>HYPERLINK("https://mercyhurst.studentaidcalculator.com/survey.aspx", "$14140")</f>
        <v>$14140</v>
      </c>
      <c r="T1316" s="20">
        <v>16364</v>
      </c>
      <c r="U1316" s="20">
        <v>20368</v>
      </c>
      <c r="V1316" s="20">
        <v>3261</v>
      </c>
      <c r="W1316" s="20">
        <v>10879</v>
      </c>
      <c r="Y1316" s="19">
        <v>0.26750000000000002</v>
      </c>
      <c r="Z1316" s="19">
        <v>0.28799999999999992</v>
      </c>
      <c r="AB1316" s="18">
        <v>2448</v>
      </c>
      <c r="AC1316" s="18">
        <v>4</v>
      </c>
    </row>
    <row r="1317" spans="1:29" ht="15.75" customHeight="1" x14ac:dyDescent="0.2">
      <c r="A1317" s="36" t="str">
        <f>HYPERLINK("https://northeast.mercyhurst.edu/", "Mercyhurst University-North East Campus")</f>
        <v>Mercyhurst University-North East Campus</v>
      </c>
      <c r="B1317" s="18" t="s">
        <v>32</v>
      </c>
      <c r="C1317" s="18" t="s">
        <v>65</v>
      </c>
      <c r="D1317" s="18" t="s">
        <v>1089</v>
      </c>
      <c r="E1317" s="18" t="s">
        <v>36</v>
      </c>
      <c r="F1317" s="18" t="s">
        <v>36</v>
      </c>
      <c r="J1317" s="19"/>
      <c r="K1317" s="19">
        <v>0.35139999999999999</v>
      </c>
      <c r="L1317" s="19">
        <v>0.25409836099999999</v>
      </c>
      <c r="M1317" s="19">
        <v>0.46429999999999999</v>
      </c>
      <c r="N1317" s="19">
        <v>0.16980000000000001</v>
      </c>
      <c r="O1317" s="19">
        <v>0.2</v>
      </c>
      <c r="P1317" s="19">
        <v>1</v>
      </c>
      <c r="Q1317" s="19">
        <v>8.9887640000000005E-2</v>
      </c>
      <c r="R1317" s="20">
        <v>31860</v>
      </c>
      <c r="S1317" s="21" t="str">
        <f>HYPERLINK("https://mercyhurst.studentaidcalculator.com/survey.aspx", "$11983")</f>
        <v>$11983</v>
      </c>
      <c r="T1317" s="20">
        <v>11807</v>
      </c>
      <c r="U1317" s="20">
        <v>14474</v>
      </c>
      <c r="V1317" s="20">
        <v>2950</v>
      </c>
      <c r="W1317" s="20">
        <v>9033</v>
      </c>
      <c r="Y1317" s="19">
        <v>0.59619999999999995</v>
      </c>
      <c r="Z1317" s="19">
        <v>0.31030000000000002</v>
      </c>
      <c r="AB1317" s="18">
        <v>751</v>
      </c>
      <c r="AC1317" s="18">
        <v>6</v>
      </c>
    </row>
    <row r="1318" spans="1:29" ht="15.75" customHeight="1" x14ac:dyDescent="0.2">
      <c r="A1318" s="36" t="str">
        <f>HYPERLINK("https://www.meredith.edu", "Meredith College")</f>
        <v>Meredith College</v>
      </c>
      <c r="B1318" s="18" t="s">
        <v>32</v>
      </c>
      <c r="C1318" s="18" t="s">
        <v>103</v>
      </c>
      <c r="D1318" s="18" t="s">
        <v>236</v>
      </c>
      <c r="E1318" s="18">
        <v>1111</v>
      </c>
      <c r="F1318" s="18" t="s">
        <v>35</v>
      </c>
      <c r="J1318" s="19"/>
      <c r="K1318" s="19">
        <v>0.62970000000000004</v>
      </c>
      <c r="L1318" s="19">
        <v>0.46913580300000002</v>
      </c>
      <c r="M1318" s="19">
        <v>0.63829999999999998</v>
      </c>
      <c r="N1318" s="19">
        <v>0.61899999999999999</v>
      </c>
      <c r="O1318" s="19">
        <v>0.81820000000000004</v>
      </c>
      <c r="P1318" s="19">
        <v>0.25</v>
      </c>
      <c r="Q1318" s="19"/>
      <c r="R1318" s="20">
        <v>49324</v>
      </c>
      <c r="S1318" s="21" t="str">
        <f>HYPERLINK("https://www.collegecostcalculator.org/meredith", "$21593")</f>
        <v>$21593</v>
      </c>
      <c r="T1318" s="20">
        <v>21159</v>
      </c>
      <c r="U1318" s="20">
        <v>25824</v>
      </c>
      <c r="V1318" s="20">
        <v>2690</v>
      </c>
      <c r="W1318" s="20">
        <v>18903</v>
      </c>
      <c r="Y1318" s="19">
        <v>0.30559999999999998</v>
      </c>
      <c r="Z1318" s="19">
        <v>0.29120000000000001</v>
      </c>
      <c r="AA1318" s="18" t="s">
        <v>37</v>
      </c>
      <c r="AB1318" s="18">
        <v>1638</v>
      </c>
      <c r="AC1318" s="18">
        <v>4</v>
      </c>
    </row>
    <row r="1319" spans="1:29" ht="15.75" customHeight="1" x14ac:dyDescent="0.2">
      <c r="A1319" s="36" t="str">
        <f>HYPERLINK("https://www.meridiancc.edu", "Meridian Community College")</f>
        <v>Meridian Community College</v>
      </c>
      <c r="B1319" s="18" t="s">
        <v>49</v>
      </c>
      <c r="C1319" s="18" t="s">
        <v>59</v>
      </c>
      <c r="D1319" s="18" t="s">
        <v>1515</v>
      </c>
      <c r="E1319" s="18" t="s">
        <v>36</v>
      </c>
      <c r="F1319" s="18" t="s">
        <v>36</v>
      </c>
      <c r="J1319" s="19"/>
      <c r="K1319" s="19">
        <v>0.27839999999999998</v>
      </c>
      <c r="L1319" s="19">
        <v>0.25037594000000002</v>
      </c>
      <c r="M1319" s="19">
        <v>0.34689999999999999</v>
      </c>
      <c r="N1319" s="19">
        <v>0.1739</v>
      </c>
      <c r="O1319" s="19">
        <v>0</v>
      </c>
      <c r="P1319" s="19">
        <v>0.5</v>
      </c>
      <c r="Q1319" s="19">
        <v>5.0029780000000003E-2</v>
      </c>
      <c r="R1319" s="20">
        <v>12384</v>
      </c>
      <c r="S1319" s="21" t="str">
        <f>HYPERLINK("https://xtraweb.mcc.cc.ms.us/net_price_cal/npcalc.htm", "$7558")</f>
        <v>$7558</v>
      </c>
      <c r="T1319" s="20">
        <v>9519</v>
      </c>
      <c r="U1319" s="20" t="s">
        <v>36</v>
      </c>
      <c r="V1319" s="20">
        <v>3940</v>
      </c>
      <c r="W1319" s="20">
        <v>3618.2189349112418</v>
      </c>
      <c r="Y1319" s="19">
        <v>0.40489999999999998</v>
      </c>
      <c r="Z1319" s="19">
        <v>0.52939999999999998</v>
      </c>
      <c r="AB1319" s="18">
        <v>3243</v>
      </c>
      <c r="AC1319" s="18">
        <v>6</v>
      </c>
    </row>
    <row r="1320" spans="1:29" ht="15.75" customHeight="1" x14ac:dyDescent="0.2">
      <c r="A1320" s="36" t="str">
        <f>HYPERLINK("https://www.merrimack.edu", "Merrimack College")</f>
        <v>Merrimack College</v>
      </c>
      <c r="B1320" s="18" t="s">
        <v>32</v>
      </c>
      <c r="C1320" s="18" t="s">
        <v>33</v>
      </c>
      <c r="D1320" s="18" t="s">
        <v>960</v>
      </c>
      <c r="E1320" s="18" t="s">
        <v>36</v>
      </c>
      <c r="F1320" s="18" t="s">
        <v>45</v>
      </c>
      <c r="J1320" s="19"/>
      <c r="K1320" s="19">
        <v>0.68469999999999998</v>
      </c>
      <c r="L1320" s="19">
        <v>0.57843137299999992</v>
      </c>
      <c r="M1320" s="19">
        <v>0.6986</v>
      </c>
      <c r="N1320" s="19">
        <v>0.5</v>
      </c>
      <c r="O1320" s="19">
        <v>0.68420000000000003</v>
      </c>
      <c r="P1320" s="19">
        <v>0.5</v>
      </c>
      <c r="Q1320" s="19"/>
      <c r="R1320" s="20">
        <v>57865</v>
      </c>
      <c r="S1320" s="21" t="str">
        <f>HYPERLINK("https://www.collegecostcalculator.org/merrimack", "$26102")</f>
        <v>$26102</v>
      </c>
      <c r="T1320" s="20">
        <v>29370</v>
      </c>
      <c r="U1320" s="20">
        <v>31481</v>
      </c>
      <c r="V1320" s="20">
        <v>2450</v>
      </c>
      <c r="W1320" s="20">
        <v>23652</v>
      </c>
      <c r="Y1320" s="19">
        <v>0.19170000000000001</v>
      </c>
      <c r="Z1320" s="19">
        <v>0.22620000000000001</v>
      </c>
      <c r="AB1320" s="18">
        <v>3404</v>
      </c>
      <c r="AC1320" s="18">
        <v>4</v>
      </c>
    </row>
    <row r="1321" spans="1:29" ht="15.75" customHeight="1" x14ac:dyDescent="0.2">
      <c r="A1321" s="36" t="str">
        <f>HYPERLINK("https://www.mesacc.edu", "Mesa Community College")</f>
        <v>Mesa Community College</v>
      </c>
      <c r="B1321" s="18" t="s">
        <v>49</v>
      </c>
      <c r="C1321" s="18" t="s">
        <v>354</v>
      </c>
      <c r="D1321" s="18" t="s">
        <v>556</v>
      </c>
      <c r="E1321" s="18" t="s">
        <v>36</v>
      </c>
      <c r="F1321" s="18" t="s">
        <v>36</v>
      </c>
      <c r="J1321" s="19"/>
      <c r="K1321" s="19">
        <v>0.1585</v>
      </c>
      <c r="L1321" s="19">
        <v>1.2229745E-2</v>
      </c>
      <c r="M1321" s="19">
        <v>0.18160000000000001</v>
      </c>
      <c r="N1321" s="19">
        <v>0.1207</v>
      </c>
      <c r="O1321" s="19">
        <v>0.1225</v>
      </c>
      <c r="P1321" s="19">
        <v>0.2281</v>
      </c>
      <c r="Q1321" s="19">
        <v>0.16115876800000001</v>
      </c>
      <c r="R1321" s="20">
        <v>21565</v>
      </c>
      <c r="S1321" s="21" t="str">
        <f>HYPERLINK("https://www.mesacc.edu/students/net-price-calculator.html", "$16304")</f>
        <v>$16304</v>
      </c>
      <c r="T1321" s="20">
        <v>18984</v>
      </c>
      <c r="U1321" s="20">
        <v>20970</v>
      </c>
      <c r="V1321" s="20">
        <v>7907</v>
      </c>
      <c r="W1321" s="20">
        <v>8397.9</v>
      </c>
      <c r="Y1321" s="19">
        <v>0.29049999999999998</v>
      </c>
      <c r="Z1321" s="19">
        <v>0.54149999999999998</v>
      </c>
      <c r="AB1321" s="18">
        <v>15759</v>
      </c>
      <c r="AC1321" s="18">
        <v>6</v>
      </c>
    </row>
    <row r="1322" spans="1:29" ht="15.75" customHeight="1" x14ac:dyDescent="0.2">
      <c r="A1322" s="36" t="str">
        <f>HYPERLINK("https://mesivtaofeasternparkway.com", "Mesivta of Eastern Parkway-Yeshiva Zichron Meilech")</f>
        <v>Mesivta of Eastern Parkway-Yeshiva Zichron Meilech</v>
      </c>
      <c r="B1322" s="18" t="s">
        <v>32</v>
      </c>
      <c r="C1322" s="18" t="s">
        <v>38</v>
      </c>
      <c r="D1322" s="18" t="s">
        <v>593</v>
      </c>
      <c r="E1322" s="18" t="s">
        <v>36</v>
      </c>
      <c r="F1322" s="18" t="s">
        <v>45</v>
      </c>
      <c r="J1322" s="19"/>
      <c r="K1322" s="19">
        <v>0.1429</v>
      </c>
      <c r="L1322" s="19" t="s">
        <v>36</v>
      </c>
      <c r="M1322" s="19">
        <v>0.1429</v>
      </c>
      <c r="N1322" s="19" t="s">
        <v>36</v>
      </c>
      <c r="O1322" s="19" t="s">
        <v>36</v>
      </c>
      <c r="P1322" s="19" t="s">
        <v>36</v>
      </c>
      <c r="Q1322" s="19" t="s">
        <v>36</v>
      </c>
      <c r="R1322" s="20">
        <v>16625</v>
      </c>
      <c r="S1322" s="21" t="str">
        <f>HYPERLINK("https://sites.google.com/site/mesivtaofeasternparkway", "$7890")</f>
        <v>$7890</v>
      </c>
      <c r="T1322" s="20">
        <v>8000</v>
      </c>
      <c r="U1322" s="20" t="s">
        <v>36</v>
      </c>
      <c r="V1322" s="20">
        <v>4000</v>
      </c>
      <c r="W1322" s="20">
        <v>3890</v>
      </c>
      <c r="Y1322" s="19">
        <v>0.66669999999999996</v>
      </c>
      <c r="Z1322" s="19">
        <v>3.3300000000000003E-2</v>
      </c>
      <c r="AB1322" s="18">
        <v>30</v>
      </c>
      <c r="AC1322" s="18">
        <v>6</v>
      </c>
    </row>
    <row r="1323" spans="1:29" ht="15.75" customHeight="1" x14ac:dyDescent="0.2">
      <c r="A1323" s="36" t="str">
        <f>HYPERLINK("https://www.messiah.edu", "Messiah College")</f>
        <v>Messiah College</v>
      </c>
      <c r="B1323" s="18" t="s">
        <v>32</v>
      </c>
      <c r="C1323" s="18" t="s">
        <v>65</v>
      </c>
      <c r="D1323" s="18" t="s">
        <v>416</v>
      </c>
      <c r="E1323" s="18">
        <v>1212</v>
      </c>
      <c r="F1323" s="18" t="s">
        <v>35</v>
      </c>
      <c r="J1323" s="19"/>
      <c r="K1323" s="19">
        <v>0.80520000000000003</v>
      </c>
      <c r="L1323" s="19">
        <v>0.607594937</v>
      </c>
      <c r="M1323" s="19">
        <v>0.81799999999999995</v>
      </c>
      <c r="N1323" s="19">
        <v>0.6</v>
      </c>
      <c r="O1323" s="19">
        <v>0.6522</v>
      </c>
      <c r="P1323" s="19">
        <v>0.81820000000000004</v>
      </c>
      <c r="Q1323" s="19"/>
      <c r="R1323" s="20">
        <v>47930</v>
      </c>
      <c r="S1323" s="21" t="str">
        <f>HYPERLINK("https://www.messiah.edu/info/21387/net_price_calculator", "$21188")</f>
        <v>$21188</v>
      </c>
      <c r="T1323" s="20">
        <v>23119</v>
      </c>
      <c r="U1323" s="20">
        <v>27521</v>
      </c>
      <c r="V1323" s="20">
        <v>3550</v>
      </c>
      <c r="W1323" s="20">
        <v>17638</v>
      </c>
      <c r="Y1323" s="19">
        <v>0.1779</v>
      </c>
      <c r="Z1323" s="19">
        <v>0.1903</v>
      </c>
      <c r="AB1323" s="18">
        <v>2670</v>
      </c>
      <c r="AC1323" s="18">
        <v>3</v>
      </c>
    </row>
    <row r="1324" spans="1:29" ht="15.75" customHeight="1" x14ac:dyDescent="0.2">
      <c r="A1324" s="36" t="str">
        <f>HYPERLINK("https://www.methodist.edu", "Methodist University")</f>
        <v>Methodist University</v>
      </c>
      <c r="B1324" s="18" t="s">
        <v>32</v>
      </c>
      <c r="C1324" s="18" t="s">
        <v>103</v>
      </c>
      <c r="D1324" s="18" t="s">
        <v>498</v>
      </c>
      <c r="E1324" s="18">
        <v>1050</v>
      </c>
      <c r="F1324" s="18" t="s">
        <v>35</v>
      </c>
      <c r="J1324" s="19"/>
      <c r="K1324" s="19">
        <v>0.31380000000000002</v>
      </c>
      <c r="L1324" s="19">
        <v>0.120437956</v>
      </c>
      <c r="M1324" s="19">
        <v>0.38019999999999998</v>
      </c>
      <c r="N1324" s="19">
        <v>0.14180000000000001</v>
      </c>
      <c r="O1324" s="19">
        <v>4.5499999999999999E-2</v>
      </c>
      <c r="P1324" s="19">
        <v>1</v>
      </c>
      <c r="Q1324" s="19"/>
      <c r="R1324" s="20">
        <v>54529</v>
      </c>
      <c r="S1324" s="21" t="str">
        <f>HYPERLINK("https://methodist.studentaidcalculator.com/survey.aspx", "$28443")</f>
        <v>$28443</v>
      </c>
      <c r="T1324" s="20">
        <v>31227</v>
      </c>
      <c r="U1324" s="20">
        <v>33374</v>
      </c>
      <c r="V1324" s="20">
        <v>9459</v>
      </c>
      <c r="W1324" s="20">
        <v>18984</v>
      </c>
      <c r="Y1324" s="19">
        <v>0.38540000000000002</v>
      </c>
      <c r="Z1324" s="19">
        <v>0.57230000000000003</v>
      </c>
      <c r="AB1324" s="18">
        <v>1908</v>
      </c>
      <c r="AC1324" s="18">
        <v>4</v>
      </c>
    </row>
    <row r="1325" spans="1:29" ht="15.75" customHeight="1" x14ac:dyDescent="0.2">
      <c r="A1325" s="36" t="str">
        <f>HYPERLINK("https://www.metrobusinesscollege.edu", "Metro Business College-Jefferson City")</f>
        <v>Metro Business College-Jefferson City</v>
      </c>
      <c r="B1325" s="18" t="s">
        <v>368</v>
      </c>
      <c r="C1325" s="18" t="s">
        <v>164</v>
      </c>
      <c r="D1325" s="18" t="s">
        <v>623</v>
      </c>
      <c r="E1325" s="18" t="s">
        <v>36</v>
      </c>
      <c r="F1325" s="18" t="s">
        <v>36</v>
      </c>
      <c r="J1325" s="19"/>
      <c r="K1325" s="19">
        <v>0.61109999999999998</v>
      </c>
      <c r="L1325" s="19">
        <v>0.48642533900000001</v>
      </c>
      <c r="M1325" s="19">
        <v>0.6</v>
      </c>
      <c r="N1325" s="19">
        <v>0.66669999999999996</v>
      </c>
      <c r="O1325" s="19" t="s">
        <v>36</v>
      </c>
      <c r="P1325" s="19" t="s">
        <v>36</v>
      </c>
      <c r="Q1325" s="19">
        <v>2.4221453E-2</v>
      </c>
      <c r="R1325" s="20">
        <v>16849</v>
      </c>
      <c r="S1325" s="21" t="str">
        <f>HYPERLINK("https://www.metrobusinesscollege.edu/npcalc.htm", "$8979")</f>
        <v>$8979</v>
      </c>
      <c r="T1325" s="20">
        <v>13077</v>
      </c>
      <c r="U1325" s="20">
        <v>16392</v>
      </c>
      <c r="V1325" s="20" t="s">
        <v>36</v>
      </c>
      <c r="W1325" s="20" t="s">
        <v>36</v>
      </c>
      <c r="Y1325" s="19">
        <v>0.77590000000000003</v>
      </c>
      <c r="Z1325" s="19">
        <v>0.24490000000000001</v>
      </c>
      <c r="AB1325" s="18">
        <v>49</v>
      </c>
      <c r="AC1325" s="18">
        <v>6</v>
      </c>
    </row>
    <row r="1326" spans="1:29" ht="15.75" customHeight="1" x14ac:dyDescent="0.2">
      <c r="A1326" s="36" t="str">
        <f>HYPERLINK("https://www.metrobusinesscollege.edu", "Metro Business College-Rolla")</f>
        <v>Metro Business College-Rolla</v>
      </c>
      <c r="B1326" s="18" t="s">
        <v>368</v>
      </c>
      <c r="C1326" s="18" t="s">
        <v>164</v>
      </c>
      <c r="D1326" s="18" t="s">
        <v>420</v>
      </c>
      <c r="E1326" s="18" t="s">
        <v>36</v>
      </c>
      <c r="F1326" s="18" t="s">
        <v>36</v>
      </c>
      <c r="J1326" s="19"/>
      <c r="K1326" s="19">
        <v>0.4</v>
      </c>
      <c r="L1326" s="19">
        <v>0.48642533900000001</v>
      </c>
      <c r="M1326" s="19">
        <v>0.42859999999999998</v>
      </c>
      <c r="N1326" s="19">
        <v>0</v>
      </c>
      <c r="O1326" s="19" t="s">
        <v>36</v>
      </c>
      <c r="P1326" s="19" t="s">
        <v>36</v>
      </c>
      <c r="Q1326" s="19">
        <v>2.4221453E-2</v>
      </c>
      <c r="R1326" s="20">
        <v>16827</v>
      </c>
      <c r="S1326" s="21" t="str">
        <f>HYPERLINK("https://www.metrobusinesscollege.edu/npcalc.htm", "Not reported")</f>
        <v>Not reported</v>
      </c>
      <c r="T1326" s="20" t="s">
        <v>36</v>
      </c>
      <c r="U1326" s="20" t="s">
        <v>36</v>
      </c>
      <c r="V1326" s="20">
        <v>1533</v>
      </c>
      <c r="W1326" s="20" t="s">
        <v>36</v>
      </c>
      <c r="Y1326" s="19">
        <v>0.75680000000000003</v>
      </c>
      <c r="Z1326" s="19">
        <v>0.1389</v>
      </c>
      <c r="AB1326" s="18">
        <v>36</v>
      </c>
      <c r="AC1326" s="18">
        <v>6</v>
      </c>
    </row>
    <row r="1327" spans="1:29" ht="15.75" customHeight="1" x14ac:dyDescent="0.2">
      <c r="A1327" s="36" t="str">
        <f>HYPERLINK("https://www.mcny.edu", "Metropolitan College of New York")</f>
        <v>Metropolitan College of New York</v>
      </c>
      <c r="B1327" s="18" t="s">
        <v>32</v>
      </c>
      <c r="C1327" s="18" t="s">
        <v>38</v>
      </c>
      <c r="D1327" s="18" t="s">
        <v>39</v>
      </c>
      <c r="E1327" s="18" t="s">
        <v>36</v>
      </c>
      <c r="F1327" s="18" t="s">
        <v>90</v>
      </c>
      <c r="J1327" s="19"/>
      <c r="K1327" s="19">
        <v>0.22339999999999999</v>
      </c>
      <c r="L1327" s="19">
        <v>0.30232558100000001</v>
      </c>
      <c r="M1327" s="19">
        <v>0</v>
      </c>
      <c r="N1327" s="19">
        <v>0.20749999999999999</v>
      </c>
      <c r="O1327" s="19">
        <v>0.13039999999999999</v>
      </c>
      <c r="P1327" s="19">
        <v>0</v>
      </c>
      <c r="Q1327" s="19"/>
      <c r="R1327" s="20">
        <v>23280</v>
      </c>
      <c r="S1327" s="21" t="str">
        <f>HYPERLINK("https://apply.mcny.edu/register/npc", "$20339")</f>
        <v>$20339</v>
      </c>
      <c r="T1327" s="20">
        <v>23075</v>
      </c>
      <c r="U1327" s="20">
        <v>29591</v>
      </c>
      <c r="V1327" s="20">
        <v>4100</v>
      </c>
      <c r="W1327" s="20">
        <v>16239</v>
      </c>
      <c r="Y1327" s="19">
        <v>0.75900000000000001</v>
      </c>
      <c r="Z1327" s="19">
        <v>0.96630000000000005</v>
      </c>
      <c r="AB1327" s="18">
        <v>772</v>
      </c>
      <c r="AC1327" s="18">
        <v>3</v>
      </c>
    </row>
    <row r="1328" spans="1:29" ht="15.75" customHeight="1" x14ac:dyDescent="0.2">
      <c r="A1328" s="36" t="str">
        <f>HYPERLINK("https://www.mccneb.edu", "Metropolitan Community College Area")</f>
        <v>Metropolitan Community College Area</v>
      </c>
      <c r="B1328" s="18" t="s">
        <v>49</v>
      </c>
      <c r="C1328" s="18" t="s">
        <v>341</v>
      </c>
      <c r="D1328" s="18" t="s">
        <v>345</v>
      </c>
      <c r="E1328" s="18" t="s">
        <v>36</v>
      </c>
      <c r="F1328" s="18" t="s">
        <v>36</v>
      </c>
      <c r="J1328" s="19"/>
      <c r="K1328" s="19">
        <v>0.15809999999999999</v>
      </c>
      <c r="L1328" s="19">
        <v>0.108713693</v>
      </c>
      <c r="M1328" s="19">
        <v>0.2046</v>
      </c>
      <c r="N1328" s="19">
        <v>0.1037</v>
      </c>
      <c r="O1328" s="19">
        <v>7.5200000000000003E-2</v>
      </c>
      <c r="P1328" s="19">
        <v>0.18920000000000001</v>
      </c>
      <c r="Q1328" s="19">
        <v>9.9777035E-2</v>
      </c>
      <c r="R1328" s="20">
        <v>14423</v>
      </c>
      <c r="S1328" s="21" t="str">
        <f>HYPERLINK("https://mccneb.studentaidcalculator.com/survey.aspx", "$9819")</f>
        <v>$9819</v>
      </c>
      <c r="T1328" s="20">
        <v>11599</v>
      </c>
      <c r="U1328" s="20">
        <v>13361</v>
      </c>
      <c r="V1328" s="20">
        <v>3600</v>
      </c>
      <c r="W1328" s="20">
        <v>6219.9885057471256</v>
      </c>
      <c r="Y1328" s="19">
        <v>0.2802</v>
      </c>
      <c r="Z1328" s="19">
        <v>0.46429999999999999</v>
      </c>
      <c r="AB1328" s="18">
        <v>7107</v>
      </c>
      <c r="AC1328" s="18">
        <v>6</v>
      </c>
    </row>
    <row r="1329" spans="1:29" ht="15.75" customHeight="1" x14ac:dyDescent="0.2">
      <c r="A1329" s="36" t="str">
        <f>HYPERLINK("https://www.mcckc.edu", "Metropolitan Community College-Kansas City")</f>
        <v>Metropolitan Community College-Kansas City</v>
      </c>
      <c r="B1329" s="18" t="s">
        <v>49</v>
      </c>
      <c r="C1329" s="18" t="s">
        <v>164</v>
      </c>
      <c r="D1329" s="18" t="s">
        <v>515</v>
      </c>
      <c r="E1329" s="18" t="s">
        <v>36</v>
      </c>
      <c r="F1329" s="18" t="s">
        <v>36</v>
      </c>
      <c r="J1329" s="19"/>
      <c r="K1329" s="19">
        <v>0.21199999999999999</v>
      </c>
      <c r="L1329" s="19">
        <v>0.15841340200000001</v>
      </c>
      <c r="M1329" s="19">
        <v>0.23280000000000001</v>
      </c>
      <c r="N1329" s="19">
        <v>0.14099999999999999</v>
      </c>
      <c r="O1329" s="19">
        <v>0.1983</v>
      </c>
      <c r="P1329" s="19">
        <v>0.2545</v>
      </c>
      <c r="Q1329" s="19">
        <v>9.4528974000000002E-2</v>
      </c>
      <c r="R1329" s="20">
        <v>21130</v>
      </c>
      <c r="S1329" s="21" t="str">
        <f>HYPERLINK("https://www.mcckc.edu/pay/calculator.htm", "$16049")</f>
        <v>$16049</v>
      </c>
      <c r="T1329" s="20">
        <v>17751</v>
      </c>
      <c r="U1329" s="20">
        <v>18896</v>
      </c>
      <c r="V1329" s="20">
        <v>7662</v>
      </c>
      <c r="W1329" s="20">
        <v>8387.4278350515451</v>
      </c>
      <c r="Y1329" s="19">
        <v>0.36520000000000002</v>
      </c>
      <c r="Z1329" s="19">
        <v>0.4143</v>
      </c>
      <c r="AB1329" s="18">
        <v>14276</v>
      </c>
      <c r="AC1329" s="18">
        <v>6</v>
      </c>
    </row>
    <row r="1330" spans="1:29" ht="15.75" customHeight="1" x14ac:dyDescent="0.2">
      <c r="A1330" s="36" t="str">
        <f>HYPERLINK("https://www.metrostate.edu", "Metropolitan State University")</f>
        <v>Metropolitan State University</v>
      </c>
      <c r="B1330" s="18" t="s">
        <v>49</v>
      </c>
      <c r="C1330" s="18" t="s">
        <v>72</v>
      </c>
      <c r="D1330" s="18" t="s">
        <v>131</v>
      </c>
      <c r="E1330" s="18" t="s">
        <v>36</v>
      </c>
      <c r="F1330" s="18" t="s">
        <v>90</v>
      </c>
      <c r="J1330" s="19"/>
      <c r="K1330" s="19">
        <v>0.27450000000000002</v>
      </c>
      <c r="L1330" s="19">
        <v>0.50859454000000004</v>
      </c>
      <c r="M1330" s="19">
        <v>0.4</v>
      </c>
      <c r="N1330" s="19">
        <v>9.0899999999999995E-2</v>
      </c>
      <c r="O1330" s="19">
        <v>0</v>
      </c>
      <c r="P1330" s="19">
        <v>0.29170000000000001</v>
      </c>
      <c r="Q1330" s="19"/>
      <c r="R1330" s="20">
        <v>34646</v>
      </c>
      <c r="S1330" s="21" t="str">
        <f>HYPERLINK("https://www.minnstate.edu/admissions/calculator/metrostate.html", "$27891")</f>
        <v>$27891</v>
      </c>
      <c r="T1330" s="20">
        <v>28284</v>
      </c>
      <c r="U1330" s="20">
        <v>34525</v>
      </c>
      <c r="V1330" s="20">
        <v>9866</v>
      </c>
      <c r="W1330" s="20">
        <v>18025.599999999999</v>
      </c>
      <c r="Y1330" s="19">
        <v>0.42280000000000001</v>
      </c>
      <c r="Z1330" s="19">
        <v>0.48970000000000002</v>
      </c>
      <c r="AB1330" s="18">
        <v>7080</v>
      </c>
      <c r="AC1330" s="18">
        <v>4</v>
      </c>
    </row>
    <row r="1331" spans="1:29" ht="15.75" customHeight="1" x14ac:dyDescent="0.2">
      <c r="A1331" s="36" t="str">
        <f>HYPERLINK("https://www.msudenver.edu/", "Metropolitan State University of Denver")</f>
        <v>Metropolitan State University of Denver</v>
      </c>
      <c r="B1331" s="18" t="s">
        <v>49</v>
      </c>
      <c r="C1331" s="18" t="s">
        <v>87</v>
      </c>
      <c r="D1331" s="18" t="s">
        <v>508</v>
      </c>
      <c r="E1331" s="18">
        <v>1010</v>
      </c>
      <c r="F1331" s="18" t="s">
        <v>35</v>
      </c>
      <c r="J1331" s="19"/>
      <c r="K1331" s="19">
        <v>0.28289999999999998</v>
      </c>
      <c r="L1331" s="19">
        <v>0.28372694900000001</v>
      </c>
      <c r="M1331" s="19">
        <v>0.32700000000000001</v>
      </c>
      <c r="N1331" s="19">
        <v>0.19</v>
      </c>
      <c r="O1331" s="19">
        <v>0.23699999999999999</v>
      </c>
      <c r="P1331" s="19">
        <v>0.32200000000000001</v>
      </c>
      <c r="Q1331" s="19"/>
      <c r="R1331" s="20">
        <v>37979</v>
      </c>
      <c r="S1331" s="21" t="str">
        <f>HYPERLINK("https://www.msudenver.edu/net-price-calculator/", "$30188")</f>
        <v>$30188</v>
      </c>
      <c r="T1331" s="20">
        <v>33288</v>
      </c>
      <c r="U1331" s="20">
        <v>36734</v>
      </c>
      <c r="V1331" s="20">
        <v>7498</v>
      </c>
      <c r="W1331" s="20">
        <v>22690.133333333331</v>
      </c>
      <c r="Y1331" s="19">
        <v>0.3453</v>
      </c>
      <c r="Z1331" s="19">
        <v>0.45779999999999998</v>
      </c>
      <c r="AB1331" s="18">
        <v>18968</v>
      </c>
      <c r="AC1331" s="18">
        <v>5</v>
      </c>
    </row>
    <row r="1332" spans="1:29" ht="15.75" customHeight="1" x14ac:dyDescent="0.2">
      <c r="A1332" s="36" t="str">
        <f>HYPERLINK("https://www.mdc.edu/main/", "Miami Dade College")</f>
        <v>Miami Dade College</v>
      </c>
      <c r="B1332" s="18" t="s">
        <v>49</v>
      </c>
      <c r="C1332" s="18" t="s">
        <v>162</v>
      </c>
      <c r="D1332" s="18" t="s">
        <v>359</v>
      </c>
      <c r="E1332" s="18" t="s">
        <v>36</v>
      </c>
      <c r="F1332" s="18" t="s">
        <v>36</v>
      </c>
      <c r="J1332" s="19"/>
      <c r="K1332" s="19">
        <v>0.31190000000000001</v>
      </c>
      <c r="L1332" s="19">
        <v>0.279060904</v>
      </c>
      <c r="M1332" s="19">
        <v>0.36870000000000003</v>
      </c>
      <c r="N1332" s="19">
        <v>0.24410000000000001</v>
      </c>
      <c r="O1332" s="19">
        <v>0.31559999999999999</v>
      </c>
      <c r="P1332" s="19">
        <v>0.68120000000000003</v>
      </c>
      <c r="Q1332" s="19">
        <v>7.0776935999999999E-2</v>
      </c>
      <c r="R1332" s="20">
        <v>33676</v>
      </c>
      <c r="S1332" s="21" t="str">
        <f>HYPERLINK("https://www.mdc.edu/netpricecalculator/npcalc.htm", "$28065")</f>
        <v>$28065</v>
      </c>
      <c r="T1332" s="20">
        <v>29805</v>
      </c>
      <c r="U1332" s="20">
        <v>31283</v>
      </c>
      <c r="V1332" s="20">
        <v>7680</v>
      </c>
      <c r="W1332" s="20">
        <v>20385.55962171053</v>
      </c>
      <c r="Y1332" s="19">
        <v>0.49180000000000001</v>
      </c>
      <c r="Z1332" s="19">
        <v>0.94550000000000001</v>
      </c>
      <c r="AB1332" s="18">
        <v>51015</v>
      </c>
      <c r="AC1332" s="18">
        <v>6</v>
      </c>
    </row>
    <row r="1333" spans="1:29" ht="15.75" customHeight="1" x14ac:dyDescent="0.2">
      <c r="A1333" s="36" t="str">
        <f>HYPERLINK("https://www.mru.edu", "Management Resources College")</f>
        <v>Management Resources College</v>
      </c>
      <c r="B1333" s="18" t="s">
        <v>368</v>
      </c>
      <c r="C1333" s="18" t="s">
        <v>162</v>
      </c>
      <c r="D1333" s="18" t="s">
        <v>1524</v>
      </c>
      <c r="E1333" s="18" t="s">
        <v>36</v>
      </c>
      <c r="F1333" s="18" t="s">
        <v>45</v>
      </c>
      <c r="J1333" s="19"/>
      <c r="K1333" s="19">
        <v>0.67920000000000003</v>
      </c>
      <c r="L1333" s="19">
        <v>0.46626984100000002</v>
      </c>
      <c r="M1333" s="19">
        <v>0.625</v>
      </c>
      <c r="N1333" s="19">
        <v>0.66669999999999996</v>
      </c>
      <c r="O1333" s="19">
        <v>0.68030000000000002</v>
      </c>
      <c r="P1333" s="19" t="s">
        <v>36</v>
      </c>
      <c r="Q1333" s="19" t="s">
        <v>36</v>
      </c>
      <c r="R1333" s="20" t="s">
        <v>36</v>
      </c>
      <c r="S1333" s="21" t="str">
        <f>HYPERLINK("https://mru.edu/NetPriceCalculator/npcalc.htm", "$20285")</f>
        <v>$20285</v>
      </c>
      <c r="T1333" s="20">
        <v>20806</v>
      </c>
      <c r="U1333" s="20">
        <v>20842</v>
      </c>
      <c r="V1333" s="20" t="s">
        <v>36</v>
      </c>
      <c r="W1333" s="20" t="s">
        <v>36</v>
      </c>
      <c r="Y1333" s="19">
        <v>0.31669999999999998</v>
      </c>
      <c r="Z1333" s="19">
        <v>0.99060000000000004</v>
      </c>
      <c r="AB1333" s="18">
        <v>638</v>
      </c>
      <c r="AC1333" s="18">
        <v>6</v>
      </c>
    </row>
    <row r="1334" spans="1:29" ht="15.75" customHeight="1" x14ac:dyDescent="0.2">
      <c r="A1334" s="36" t="str">
        <f>HYPERLINK("https://miamioh.edu/regionals/", "Miami University-Hamilton")</f>
        <v>Miami University-Hamilton</v>
      </c>
      <c r="B1334" s="18" t="s">
        <v>49</v>
      </c>
      <c r="C1334" s="18" t="s">
        <v>75</v>
      </c>
      <c r="D1334" s="18" t="s">
        <v>80</v>
      </c>
      <c r="E1334" s="18" t="s">
        <v>36</v>
      </c>
      <c r="F1334" s="18" t="s">
        <v>36</v>
      </c>
      <c r="J1334" s="19"/>
      <c r="K1334" s="19">
        <v>0.25519999999999998</v>
      </c>
      <c r="L1334" s="19">
        <v>0.29063360900000001</v>
      </c>
      <c r="M1334" s="19">
        <v>0.26190000000000002</v>
      </c>
      <c r="N1334" s="19">
        <v>0.1389</v>
      </c>
      <c r="O1334" s="19">
        <v>0.35709999999999997</v>
      </c>
      <c r="P1334" s="19">
        <v>0.36359999999999998</v>
      </c>
      <c r="Q1334" s="19"/>
      <c r="R1334" s="20">
        <v>33024</v>
      </c>
      <c r="S1334" s="21" t="str">
        <f>HYPERLINK("https://miamioh.edu/onestop/your-money/tuition-fees/net-price-calculators/", "$28095")</f>
        <v>$28095</v>
      </c>
      <c r="T1334" s="20">
        <v>30787</v>
      </c>
      <c r="U1334" s="20">
        <v>32706</v>
      </c>
      <c r="V1334" s="20">
        <v>4594</v>
      </c>
      <c r="W1334" s="20">
        <v>23501.307692307691</v>
      </c>
      <c r="Y1334" s="19">
        <v>0.37209999999999999</v>
      </c>
      <c r="Z1334" s="19">
        <v>0.22159999999999999</v>
      </c>
      <c r="AB1334" s="18">
        <v>2545</v>
      </c>
      <c r="AC1334" s="18">
        <v>3</v>
      </c>
    </row>
    <row r="1335" spans="1:29" ht="15.75" customHeight="1" x14ac:dyDescent="0.2">
      <c r="A1335" s="36" t="str">
        <f>HYPERLINK("https://miamioh.edu/regionals/", "Miami University-Middletown")</f>
        <v>Miami University-Middletown</v>
      </c>
      <c r="B1335" s="18" t="s">
        <v>49</v>
      </c>
      <c r="C1335" s="18" t="s">
        <v>75</v>
      </c>
      <c r="D1335" s="18" t="s">
        <v>183</v>
      </c>
      <c r="E1335" s="18" t="s">
        <v>36</v>
      </c>
      <c r="F1335" s="18" t="s">
        <v>36</v>
      </c>
      <c r="J1335" s="19"/>
      <c r="K1335" s="19">
        <v>0.2437</v>
      </c>
      <c r="L1335" s="19">
        <v>0.29063360900000001</v>
      </c>
      <c r="M1335" s="19">
        <v>0.26960000000000001</v>
      </c>
      <c r="N1335" s="19">
        <v>2.1299999999999999E-2</v>
      </c>
      <c r="O1335" s="19">
        <v>0.2727</v>
      </c>
      <c r="P1335" s="19">
        <v>1</v>
      </c>
      <c r="Q1335" s="19"/>
      <c r="R1335" s="20">
        <v>33024</v>
      </c>
      <c r="S1335" s="21" t="str">
        <f>HYPERLINK("https://miamioh.edu/onestop/your-money/tuition-fees/net-price-calculators/", "$27752")</f>
        <v>$27752</v>
      </c>
      <c r="T1335" s="20">
        <v>30365</v>
      </c>
      <c r="U1335" s="20">
        <v>32239</v>
      </c>
      <c r="V1335" s="20">
        <v>4594</v>
      </c>
      <c r="W1335" s="20">
        <v>23158.78378378378</v>
      </c>
      <c r="Y1335" s="19">
        <v>0.29210000000000003</v>
      </c>
      <c r="Z1335" s="19">
        <v>0.2482</v>
      </c>
      <c r="AB1335" s="18">
        <v>1519</v>
      </c>
      <c r="AC1335" s="18">
        <v>3</v>
      </c>
    </row>
    <row r="1336" spans="1:29" ht="15.75" customHeight="1" x14ac:dyDescent="0.2">
      <c r="A1336" s="36" t="str">
        <f>HYPERLINK("https://miamioh.edu", "Miami University-Oxford")</f>
        <v>Miami University-Oxford</v>
      </c>
      <c r="B1336" s="18" t="s">
        <v>49</v>
      </c>
      <c r="C1336" s="18" t="s">
        <v>75</v>
      </c>
      <c r="D1336" s="18" t="s">
        <v>230</v>
      </c>
      <c r="E1336" s="18">
        <v>1332</v>
      </c>
      <c r="F1336" s="18" t="s">
        <v>35</v>
      </c>
      <c r="J1336" s="19"/>
      <c r="K1336" s="19">
        <v>0.79139999999999999</v>
      </c>
      <c r="L1336" s="19">
        <v>0.29063360900000001</v>
      </c>
      <c r="M1336" s="19">
        <v>0.80830000000000002</v>
      </c>
      <c r="N1336" s="19">
        <v>0.65149999999999997</v>
      </c>
      <c r="O1336" s="19">
        <v>0.67200000000000004</v>
      </c>
      <c r="P1336" s="19">
        <v>0.85</v>
      </c>
      <c r="Q1336" s="19"/>
      <c r="R1336" s="20">
        <v>51064</v>
      </c>
      <c r="S1336" s="21" t="str">
        <f>HYPERLINK("https://miamioh.edu/onestop/your-money/tuition-fees/net-price-calculators/", "$33231")</f>
        <v>$33231</v>
      </c>
      <c r="T1336" s="20">
        <v>39102</v>
      </c>
      <c r="U1336" s="20">
        <v>43046</v>
      </c>
      <c r="V1336" s="20">
        <v>3651</v>
      </c>
      <c r="W1336" s="20">
        <v>29580.19672131148</v>
      </c>
      <c r="Y1336" s="19">
        <v>0.1096</v>
      </c>
      <c r="Z1336" s="19">
        <v>0.27610000000000001</v>
      </c>
      <c r="AB1336" s="18">
        <v>16816</v>
      </c>
      <c r="AC1336" s="18">
        <v>2</v>
      </c>
    </row>
    <row r="1337" spans="1:29" ht="15.75" customHeight="1" x14ac:dyDescent="0.2">
      <c r="A1337" s="36" t="str">
        <f>HYPERLINK("https://www.miamijacobs.edu", "Miami-Jacobs Career College-Columbus")</f>
        <v>Miami-Jacobs Career College-Columbus</v>
      </c>
      <c r="B1337" s="18" t="s">
        <v>368</v>
      </c>
      <c r="C1337" s="18" t="s">
        <v>75</v>
      </c>
      <c r="D1337" s="18" t="s">
        <v>237</v>
      </c>
      <c r="E1337" s="18" t="s">
        <v>36</v>
      </c>
      <c r="F1337" s="18" t="s">
        <v>36</v>
      </c>
      <c r="J1337" s="19"/>
      <c r="K1337" s="19">
        <v>0.15379999999999999</v>
      </c>
      <c r="L1337" s="19">
        <v>0.28839830900000002</v>
      </c>
      <c r="M1337" s="19">
        <v>0.2</v>
      </c>
      <c r="N1337" s="19">
        <v>0.1522</v>
      </c>
      <c r="O1337" s="19">
        <v>1</v>
      </c>
      <c r="P1337" s="19">
        <v>0</v>
      </c>
      <c r="Q1337" s="19">
        <v>2.2719448999999999E-2</v>
      </c>
      <c r="R1337" s="20">
        <v>28509</v>
      </c>
      <c r="S1337" s="21" t="str">
        <f>HYPERLINK("https://disclosure.miamijacobs.edu/npc/npcalc-columbusoh.htm", "$23116")</f>
        <v>$23116</v>
      </c>
      <c r="T1337" s="20" t="s">
        <v>36</v>
      </c>
      <c r="U1337" s="20" t="s">
        <v>36</v>
      </c>
      <c r="V1337" s="20">
        <v>8584</v>
      </c>
      <c r="W1337" s="20">
        <v>14532</v>
      </c>
      <c r="Y1337" s="19">
        <v>0.8659</v>
      </c>
      <c r="Z1337" s="19">
        <v>0.79169999999999996</v>
      </c>
      <c r="AB1337" s="18">
        <v>48</v>
      </c>
      <c r="AC1337" s="18">
        <v>6</v>
      </c>
    </row>
    <row r="1338" spans="1:29" ht="15.75" customHeight="1" x14ac:dyDescent="0.2">
      <c r="A1338" s="36" t="str">
        <f>HYPERLINK("https://www.miamijacobs.edu", "Miami-Jacobs Career College-Dayton")</f>
        <v>Miami-Jacobs Career College-Dayton</v>
      </c>
      <c r="B1338" s="18" t="s">
        <v>368</v>
      </c>
      <c r="C1338" s="18" t="s">
        <v>75</v>
      </c>
      <c r="D1338" s="18" t="s">
        <v>506</v>
      </c>
      <c r="E1338" s="18" t="s">
        <v>36</v>
      </c>
      <c r="F1338" s="18" t="s">
        <v>36</v>
      </c>
      <c r="J1338" s="19"/>
      <c r="K1338" s="19">
        <v>0.25929999999999997</v>
      </c>
      <c r="L1338" s="19">
        <v>0.28839830900000002</v>
      </c>
      <c r="M1338" s="19">
        <v>0.2727</v>
      </c>
      <c r="N1338" s="19">
        <v>0.25</v>
      </c>
      <c r="O1338" s="19" t="s">
        <v>36</v>
      </c>
      <c r="P1338" s="19" t="s">
        <v>36</v>
      </c>
      <c r="Q1338" s="19">
        <v>2.2719448999999999E-2</v>
      </c>
      <c r="R1338" s="20">
        <v>28659</v>
      </c>
      <c r="S1338" s="21" t="str">
        <f t="shared" ref="S1338:S1339" si="5">HYPERLINK("https://disclosure.miamijacobs.edu/npc/npcalc-dayton.htm", "Not reported")</f>
        <v>Not reported</v>
      </c>
      <c r="T1338" s="20" t="s">
        <v>36</v>
      </c>
      <c r="U1338" s="20" t="s">
        <v>36</v>
      </c>
      <c r="V1338" s="20">
        <v>9134</v>
      </c>
      <c r="W1338" s="20" t="s">
        <v>36</v>
      </c>
      <c r="Y1338" s="19">
        <v>0.90380000000000005</v>
      </c>
      <c r="Z1338" s="19">
        <v>0.63640000000000008</v>
      </c>
      <c r="AB1338" s="18">
        <v>11</v>
      </c>
      <c r="AC1338" s="18">
        <v>6</v>
      </c>
    </row>
    <row r="1339" spans="1:29" ht="15.75" customHeight="1" x14ac:dyDescent="0.2">
      <c r="A1339" s="36" t="str">
        <f>HYPERLINK("https://www.miamijacobs.edu", "Miami-Jacobs Career College-Troy")</f>
        <v>Miami-Jacobs Career College-Troy</v>
      </c>
      <c r="B1339" s="18" t="s">
        <v>368</v>
      </c>
      <c r="C1339" s="18" t="s">
        <v>75</v>
      </c>
      <c r="D1339" s="18" t="s">
        <v>145</v>
      </c>
      <c r="E1339" s="18" t="s">
        <v>36</v>
      </c>
      <c r="F1339" s="18" t="s">
        <v>36</v>
      </c>
      <c r="J1339" s="19"/>
      <c r="K1339" s="19">
        <v>0.51219999999999999</v>
      </c>
      <c r="L1339" s="19">
        <v>0.28839830900000002</v>
      </c>
      <c r="M1339" s="19">
        <v>0.55259999999999998</v>
      </c>
      <c r="N1339" s="19">
        <v>0</v>
      </c>
      <c r="O1339" s="19">
        <v>0</v>
      </c>
      <c r="P1339" s="19" t="s">
        <v>36</v>
      </c>
      <c r="Q1339" s="19">
        <v>2.2719448999999999E-2</v>
      </c>
      <c r="R1339" s="20">
        <v>28899</v>
      </c>
      <c r="S1339" s="21" t="str">
        <f t="shared" si="5"/>
        <v>Not reported</v>
      </c>
      <c r="T1339" s="20" t="s">
        <v>36</v>
      </c>
      <c r="U1339" s="20" t="s">
        <v>36</v>
      </c>
      <c r="V1339" s="20">
        <v>9134</v>
      </c>
      <c r="W1339" s="20" t="s">
        <v>36</v>
      </c>
      <c r="Y1339" s="19">
        <v>0.7349</v>
      </c>
      <c r="Z1339" s="19">
        <v>0.1111</v>
      </c>
      <c r="AB1339" s="18">
        <v>18</v>
      </c>
      <c r="AC1339" s="18">
        <v>6</v>
      </c>
    </row>
    <row r="1340" spans="1:29" ht="15.75" customHeight="1" x14ac:dyDescent="0.2">
      <c r="A1340" s="36" t="str">
        <f>HYPERLINK("https://www.msu.edu", "Michigan State University")</f>
        <v>Michigan State University</v>
      </c>
      <c r="B1340" s="18" t="s">
        <v>49</v>
      </c>
      <c r="C1340" s="18" t="s">
        <v>226</v>
      </c>
      <c r="D1340" s="18" t="s">
        <v>417</v>
      </c>
      <c r="E1340" s="18">
        <v>1220</v>
      </c>
      <c r="F1340" s="18" t="s">
        <v>35</v>
      </c>
      <c r="J1340" s="19"/>
      <c r="K1340" s="19">
        <v>0.79339999999999999</v>
      </c>
      <c r="L1340" s="19">
        <v>0.66976455999999995</v>
      </c>
      <c r="M1340" s="19">
        <v>0.82240000000000002</v>
      </c>
      <c r="N1340" s="19">
        <v>0.65149999999999997</v>
      </c>
      <c r="O1340" s="19">
        <v>0.69010000000000005</v>
      </c>
      <c r="P1340" s="19">
        <v>0.80259999999999998</v>
      </c>
      <c r="Q1340" s="19"/>
      <c r="R1340" s="20">
        <v>53424</v>
      </c>
      <c r="S1340" s="21" t="str">
        <f>HYPERLINK("https://finaid.msu.edu/calc.asp", "$35335")</f>
        <v>$35335</v>
      </c>
      <c r="T1340" s="20">
        <v>45982</v>
      </c>
      <c r="U1340" s="20">
        <v>50493</v>
      </c>
      <c r="V1340" s="20">
        <v>3992</v>
      </c>
      <c r="W1340" s="20">
        <v>31343.641156462589</v>
      </c>
      <c r="Y1340" s="19">
        <v>0.21809999999999999</v>
      </c>
      <c r="Z1340" s="19">
        <v>0.32509999999999989</v>
      </c>
      <c r="AB1340" s="18">
        <v>38770</v>
      </c>
      <c r="AC1340" s="18">
        <v>3</v>
      </c>
    </row>
    <row r="1341" spans="1:29" ht="15.75" customHeight="1" x14ac:dyDescent="0.2">
      <c r="A1341" s="36" t="str">
        <f>HYPERLINK("https://www.mtu.edu", "Michigan Technological University")</f>
        <v>Michigan Technological University</v>
      </c>
      <c r="B1341" s="18" t="s">
        <v>49</v>
      </c>
      <c r="C1341" s="18" t="s">
        <v>226</v>
      </c>
      <c r="D1341" s="18" t="s">
        <v>381</v>
      </c>
      <c r="E1341" s="18">
        <v>1277</v>
      </c>
      <c r="F1341" s="18" t="s">
        <v>35</v>
      </c>
      <c r="J1341" s="19"/>
      <c r="K1341" s="19">
        <v>0.66520000000000001</v>
      </c>
      <c r="L1341" s="19">
        <v>0.49615384600000001</v>
      </c>
      <c r="M1341" s="19">
        <v>0.66830000000000001</v>
      </c>
      <c r="N1341" s="19">
        <v>0.375</v>
      </c>
      <c r="O1341" s="19">
        <v>0.55559999999999998</v>
      </c>
      <c r="P1341" s="19">
        <v>0.7</v>
      </c>
      <c r="Q1341" s="19"/>
      <c r="R1341" s="20">
        <v>46344</v>
      </c>
      <c r="S1341" s="21" t="str">
        <f>HYPERLINK("https://www.mtu.edu/admissions/tuition/calculator/", "$27109")</f>
        <v>$27109</v>
      </c>
      <c r="T1341" s="20">
        <v>32040</v>
      </c>
      <c r="U1341" s="20">
        <v>35518</v>
      </c>
      <c r="V1341" s="20">
        <v>3549</v>
      </c>
      <c r="W1341" s="20">
        <v>23560.4802259887</v>
      </c>
      <c r="Y1341" s="19">
        <v>0.23200000000000001</v>
      </c>
      <c r="Z1341" s="19">
        <v>0.1197</v>
      </c>
      <c r="AB1341" s="18">
        <v>5829</v>
      </c>
      <c r="AC1341" s="18">
        <v>3</v>
      </c>
    </row>
    <row r="1342" spans="1:29" ht="15.75" customHeight="1" x14ac:dyDescent="0.2">
      <c r="A1342" s="36" t="str">
        <f>HYPERLINK("https://www.midmich.edu", "Mid Michigan Community College")</f>
        <v>Mid Michigan Community College</v>
      </c>
      <c r="B1342" s="18" t="s">
        <v>49</v>
      </c>
      <c r="C1342" s="18" t="s">
        <v>226</v>
      </c>
      <c r="D1342" s="18" t="s">
        <v>1525</v>
      </c>
      <c r="E1342" s="18" t="s">
        <v>36</v>
      </c>
      <c r="F1342" s="18" t="s">
        <v>36</v>
      </c>
      <c r="J1342" s="19"/>
      <c r="K1342" s="19">
        <v>0.1166</v>
      </c>
      <c r="L1342" s="19">
        <v>0.129256966</v>
      </c>
      <c r="M1342" s="19">
        <v>0.14000000000000001</v>
      </c>
      <c r="N1342" s="19">
        <v>7.1400000000000005E-2</v>
      </c>
      <c r="O1342" s="19">
        <v>0</v>
      </c>
      <c r="P1342" s="19">
        <v>0</v>
      </c>
      <c r="Q1342" s="19">
        <v>9.1387560000000007E-2</v>
      </c>
      <c r="R1342" s="20">
        <v>17850</v>
      </c>
      <c r="S1342" s="21" t="str">
        <f>HYPERLINK("https://www.midmich.edu/?gid=2&amp;sid=32&amp;pid=2869", "$11563")</f>
        <v>$11563</v>
      </c>
      <c r="T1342" s="20">
        <v>14582</v>
      </c>
      <c r="U1342" s="20">
        <v>16708</v>
      </c>
      <c r="V1342" s="20">
        <v>4968</v>
      </c>
      <c r="W1342" s="20">
        <v>6595.6552901023897</v>
      </c>
      <c r="Y1342" s="19">
        <v>0.40789999999999998</v>
      </c>
      <c r="Z1342" s="19">
        <v>0.21829999999999999</v>
      </c>
      <c r="AB1342" s="18">
        <v>2913</v>
      </c>
      <c r="AC1342" s="18">
        <v>6</v>
      </c>
    </row>
    <row r="1343" spans="1:29" ht="15.75" customHeight="1" x14ac:dyDescent="0.2">
      <c r="A1343" s="36" t="str">
        <f>HYPERLINK("https://www.mid-america.edu", "Mid-America College of Funeral Service")</f>
        <v>Mid-America College of Funeral Service</v>
      </c>
      <c r="B1343" s="18" t="s">
        <v>32</v>
      </c>
      <c r="C1343" s="18" t="s">
        <v>148</v>
      </c>
      <c r="D1343" s="18" t="s">
        <v>1526</v>
      </c>
      <c r="E1343" s="18" t="s">
        <v>36</v>
      </c>
      <c r="F1343" s="18" t="s">
        <v>36</v>
      </c>
      <c r="J1343" s="19"/>
      <c r="K1343" s="19">
        <v>0.92859999999999998</v>
      </c>
      <c r="L1343" s="19">
        <v>0.57446808500000002</v>
      </c>
      <c r="M1343" s="19">
        <v>0.91669999999999996</v>
      </c>
      <c r="N1343" s="19">
        <v>1</v>
      </c>
      <c r="O1343" s="19">
        <v>1</v>
      </c>
      <c r="P1343" s="19" t="s">
        <v>36</v>
      </c>
      <c r="Q1343" s="19" t="s">
        <v>36</v>
      </c>
      <c r="R1343" s="20">
        <v>27110</v>
      </c>
      <c r="S1343" s="21" t="str">
        <f>HYPERLINK("https://mid-america.edu/net-price-calculator", "$18666")</f>
        <v>$18666</v>
      </c>
      <c r="T1343" s="20">
        <v>18666</v>
      </c>
      <c r="U1343" s="20" t="s">
        <v>36</v>
      </c>
      <c r="V1343" s="20" t="s">
        <v>36</v>
      </c>
      <c r="W1343" s="20" t="s">
        <v>36</v>
      </c>
      <c r="Y1343" s="19">
        <v>0.49299999999999999</v>
      </c>
      <c r="Z1343" s="19">
        <v>0.2079</v>
      </c>
      <c r="AB1343" s="18">
        <v>101</v>
      </c>
      <c r="AC1343" s="18">
        <v>6</v>
      </c>
    </row>
    <row r="1344" spans="1:29" ht="15.75" customHeight="1" x14ac:dyDescent="0.2">
      <c r="A1344" s="36" t="str">
        <f>HYPERLINK("https://www.mpcc.edu", "Mid-Plains Community College")</f>
        <v>Mid-Plains Community College</v>
      </c>
      <c r="B1344" s="18" t="s">
        <v>49</v>
      </c>
      <c r="C1344" s="18" t="s">
        <v>341</v>
      </c>
      <c r="D1344" s="18" t="s">
        <v>1527</v>
      </c>
      <c r="E1344" s="18" t="s">
        <v>36</v>
      </c>
      <c r="F1344" s="18" t="s">
        <v>36</v>
      </c>
      <c r="J1344" s="19"/>
      <c r="K1344" s="19">
        <v>0.34939999999999999</v>
      </c>
      <c r="L1344" s="19">
        <v>0.24705882400000001</v>
      </c>
      <c r="M1344" s="19">
        <v>0.34810000000000002</v>
      </c>
      <c r="N1344" s="19">
        <v>0.21429999999999999</v>
      </c>
      <c r="O1344" s="19">
        <v>0.35</v>
      </c>
      <c r="P1344" s="19">
        <v>0</v>
      </c>
      <c r="Q1344" s="19">
        <v>7.8341014E-2</v>
      </c>
      <c r="R1344" s="20">
        <v>13760</v>
      </c>
      <c r="S1344" s="21" t="str">
        <f>HYPERLINK("https://www.mpcc.edu/financial-services/financial-aid", "$8416")</f>
        <v>$8416</v>
      </c>
      <c r="T1344" s="20">
        <v>10605</v>
      </c>
      <c r="U1344" s="20">
        <v>12845</v>
      </c>
      <c r="V1344" s="20">
        <v>3430</v>
      </c>
      <c r="W1344" s="20">
        <v>4986.58</v>
      </c>
      <c r="Y1344" s="19">
        <v>0.25659999999999999</v>
      </c>
      <c r="Z1344" s="19">
        <v>0.20910000000000001</v>
      </c>
      <c r="AB1344" s="18">
        <v>1205</v>
      </c>
      <c r="AC1344" s="18">
        <v>6</v>
      </c>
    </row>
    <row r="1345" spans="1:29" ht="15.75" customHeight="1" x14ac:dyDescent="0.2">
      <c r="A1345" s="36" t="str">
        <f>HYPERLINK("https://www.mnu.edu", "MidAmerica Nazarene University")</f>
        <v>MidAmerica Nazarene University</v>
      </c>
      <c r="B1345" s="18" t="s">
        <v>32</v>
      </c>
      <c r="C1345" s="18" t="s">
        <v>307</v>
      </c>
      <c r="D1345" s="18" t="s">
        <v>963</v>
      </c>
      <c r="E1345" s="18">
        <v>1064</v>
      </c>
      <c r="F1345" s="18" t="s">
        <v>115</v>
      </c>
      <c r="J1345" s="19"/>
      <c r="K1345" s="19">
        <v>0.51459999999999995</v>
      </c>
      <c r="L1345" s="19">
        <v>0.53488372100000003</v>
      </c>
      <c r="M1345" s="19">
        <v>0.52990000000000004</v>
      </c>
      <c r="N1345" s="19">
        <v>0.3125</v>
      </c>
      <c r="O1345" s="19">
        <v>0.66669999999999996</v>
      </c>
      <c r="P1345" s="19">
        <v>0.33329999999999999</v>
      </c>
      <c r="Q1345" s="19"/>
      <c r="R1345" s="20">
        <v>42042</v>
      </c>
      <c r="S1345" s="21" t="str">
        <f>HYPERLINK("https://www.mnu.edu/undergraduate/financial-aid/net-price-calculator", "$18664")</f>
        <v>$18664</v>
      </c>
      <c r="T1345" s="20">
        <v>17089</v>
      </c>
      <c r="U1345" s="20">
        <v>20358</v>
      </c>
      <c r="V1345" s="20">
        <v>4234</v>
      </c>
      <c r="W1345" s="20">
        <v>14430</v>
      </c>
      <c r="Y1345" s="19">
        <v>0.37280000000000002</v>
      </c>
      <c r="Z1345" s="19">
        <v>0.39589999999999997</v>
      </c>
      <c r="AB1345" s="18">
        <v>1215</v>
      </c>
      <c r="AC1345" s="18">
        <v>4</v>
      </c>
    </row>
    <row r="1346" spans="1:29" ht="15.75" customHeight="1" x14ac:dyDescent="0.2">
      <c r="A1346" s="36" t="str">
        <f>HYPERLINK("https://www.mtsu.edu", "Middle Tennessee State University")</f>
        <v>Middle Tennessee State University</v>
      </c>
      <c r="B1346" s="18" t="s">
        <v>49</v>
      </c>
      <c r="C1346" s="18" t="s">
        <v>174</v>
      </c>
      <c r="D1346" s="18" t="s">
        <v>964</v>
      </c>
      <c r="E1346" s="18">
        <v>1124</v>
      </c>
      <c r="F1346" s="18" t="s">
        <v>35</v>
      </c>
      <c r="J1346" s="19"/>
      <c r="K1346" s="19">
        <v>0.44009999999999999</v>
      </c>
      <c r="L1346" s="19">
        <v>0.42490118599999999</v>
      </c>
      <c r="M1346" s="19">
        <v>0.46010000000000001</v>
      </c>
      <c r="N1346" s="19">
        <v>0.379</v>
      </c>
      <c r="O1346" s="19">
        <v>0.54679999999999995</v>
      </c>
      <c r="P1346" s="19">
        <v>0.44440000000000002</v>
      </c>
      <c r="Q1346" s="19"/>
      <c r="R1346" s="20">
        <v>40458</v>
      </c>
      <c r="S1346" s="21" t="str">
        <f>HYPERLINK("https://www.mtsu.edu/financialaid/npcalc/npcalc.htm", "$29578")</f>
        <v>$29578</v>
      </c>
      <c r="T1346" s="20">
        <v>35137</v>
      </c>
      <c r="U1346" s="20">
        <v>36832</v>
      </c>
      <c r="V1346" s="20">
        <v>5718</v>
      </c>
      <c r="W1346" s="20">
        <v>23860.393996247651</v>
      </c>
      <c r="Y1346" s="19">
        <v>0.40189999999999998</v>
      </c>
      <c r="Z1346" s="19">
        <v>0.36990000000000001</v>
      </c>
      <c r="AB1346" s="18">
        <v>18600</v>
      </c>
      <c r="AC1346" s="18">
        <v>4</v>
      </c>
    </row>
    <row r="1347" spans="1:29" ht="15.75" customHeight="1" x14ac:dyDescent="0.2">
      <c r="A1347" s="36" t="str">
        <f>HYPERLINK("https://www.middlebury.edu", "Middlebury College")</f>
        <v>Middlebury College</v>
      </c>
      <c r="B1347" s="18" t="s">
        <v>32</v>
      </c>
      <c r="C1347" s="18" t="s">
        <v>47</v>
      </c>
      <c r="D1347" s="18" t="s">
        <v>133</v>
      </c>
      <c r="E1347" s="18">
        <v>1446</v>
      </c>
      <c r="F1347" s="18" t="s">
        <v>35</v>
      </c>
      <c r="J1347" s="19"/>
      <c r="K1347" s="19">
        <v>0.94520000000000004</v>
      </c>
      <c r="L1347" s="19" t="s">
        <v>36</v>
      </c>
      <c r="M1347" s="19">
        <v>0.95669999999999999</v>
      </c>
      <c r="N1347" s="19">
        <v>1</v>
      </c>
      <c r="O1347" s="19">
        <v>0.95920000000000005</v>
      </c>
      <c r="P1347" s="19">
        <v>0.92500000000000004</v>
      </c>
      <c r="Q1347" s="19"/>
      <c r="R1347" s="20">
        <v>69464</v>
      </c>
      <c r="S1347" s="21" t="str">
        <f>HYPERLINK("https://middlebury.studentaidcalculator.com/survey.aspx", "$7703")</f>
        <v>$7703</v>
      </c>
      <c r="T1347" s="20">
        <v>11186</v>
      </c>
      <c r="U1347" s="20">
        <v>18577</v>
      </c>
      <c r="V1347" s="20">
        <v>2000</v>
      </c>
      <c r="W1347" s="20">
        <v>5703</v>
      </c>
      <c r="X1347" s="18" t="s">
        <v>37</v>
      </c>
      <c r="Y1347" s="19">
        <v>0.14069999999999999</v>
      </c>
      <c r="Z1347" s="19">
        <v>0.36370000000000002</v>
      </c>
      <c r="AA1347" s="18" t="s">
        <v>37</v>
      </c>
      <c r="AB1347" s="18">
        <v>2532</v>
      </c>
      <c r="AC1347" s="18">
        <v>1</v>
      </c>
    </row>
    <row r="1348" spans="1:29" ht="15.75" customHeight="1" x14ac:dyDescent="0.2">
      <c r="A1348" s="36" t="str">
        <f>HYPERLINK("https://www.middlesex.mass.edu", "Middlesex Community College")</f>
        <v>Middlesex Community College</v>
      </c>
      <c r="B1348" s="18" t="s">
        <v>49</v>
      </c>
      <c r="C1348" s="18" t="s">
        <v>33</v>
      </c>
      <c r="D1348" s="18" t="s">
        <v>997</v>
      </c>
      <c r="E1348" s="18" t="s">
        <v>36</v>
      </c>
      <c r="F1348" s="18" t="s">
        <v>36</v>
      </c>
      <c r="J1348" s="19"/>
      <c r="K1348" s="19">
        <v>0.19309999999999999</v>
      </c>
      <c r="L1348" s="19">
        <v>0.19629927599999999</v>
      </c>
      <c r="M1348" s="19">
        <v>0.224</v>
      </c>
      <c r="N1348" s="19">
        <v>9.0899999999999995E-2</v>
      </c>
      <c r="O1348" s="19">
        <v>0.12989999999999999</v>
      </c>
      <c r="P1348" s="19">
        <v>0.2</v>
      </c>
      <c r="Q1348" s="19">
        <v>9.6720631000000001E-2</v>
      </c>
      <c r="R1348" s="20">
        <v>23686</v>
      </c>
      <c r="S1348" s="21" t="str">
        <f>HYPERLINK("https://www.middlesex.mass.edu/netpricecalc/", "$17767")</f>
        <v>$17767</v>
      </c>
      <c r="T1348" s="20">
        <v>18791</v>
      </c>
      <c r="U1348" s="20">
        <v>22524</v>
      </c>
      <c r="V1348" s="20">
        <v>3445</v>
      </c>
      <c r="W1348" s="20">
        <v>14322.711538461541</v>
      </c>
      <c r="Y1348" s="19">
        <v>0.3135</v>
      </c>
      <c r="Z1348" s="19">
        <v>0.45190000000000002</v>
      </c>
      <c r="AB1348" s="18">
        <v>7183</v>
      </c>
      <c r="AC1348" s="18">
        <v>6</v>
      </c>
    </row>
    <row r="1349" spans="1:29" ht="15.75" customHeight="1" x14ac:dyDescent="0.2">
      <c r="A1349" s="36" t="str">
        <f>HYPERLINK("https://www.mxcc.edu", "Middlesex Community College")</f>
        <v>Middlesex Community College</v>
      </c>
      <c r="B1349" s="18" t="s">
        <v>49</v>
      </c>
      <c r="C1349" s="18" t="s">
        <v>94</v>
      </c>
      <c r="D1349" s="18" t="s">
        <v>183</v>
      </c>
      <c r="E1349" s="18" t="s">
        <v>36</v>
      </c>
      <c r="F1349" s="18" t="s">
        <v>36</v>
      </c>
      <c r="J1349" s="19"/>
      <c r="K1349" s="19">
        <v>0.1754</v>
      </c>
      <c r="L1349" s="19">
        <v>0.113300493</v>
      </c>
      <c r="M1349" s="19">
        <v>0.19839999999999999</v>
      </c>
      <c r="N1349" s="19">
        <v>0.1351</v>
      </c>
      <c r="O1349" s="19">
        <v>0.1429</v>
      </c>
      <c r="P1349" s="19">
        <v>0.25</v>
      </c>
      <c r="Q1349" s="19">
        <v>0.10223642199999999</v>
      </c>
      <c r="R1349" s="20">
        <v>25478</v>
      </c>
      <c r="S1349" s="21" t="str">
        <f>HYPERLINK("https://www.commnet.edu/finaid/netprice/f_npcalc.htm", "$20125")</f>
        <v>$20125</v>
      </c>
      <c r="T1349" s="20" t="s">
        <v>36</v>
      </c>
      <c r="U1349" s="20" t="s">
        <v>36</v>
      </c>
      <c r="V1349" s="20">
        <v>5150</v>
      </c>
      <c r="W1349" s="20">
        <v>14975.29677419355</v>
      </c>
      <c r="Y1349" s="19">
        <v>0.36520000000000002</v>
      </c>
      <c r="Z1349" s="19">
        <v>0.38800000000000001</v>
      </c>
      <c r="AB1349" s="18">
        <v>2304</v>
      </c>
      <c r="AC1349" s="18">
        <v>6</v>
      </c>
    </row>
    <row r="1350" spans="1:29" ht="15.75" customHeight="1" x14ac:dyDescent="0.2">
      <c r="A1350" s="36" t="str">
        <f>HYPERLINK("https://www.middlesexcc.edu", "Middlesex County College")</f>
        <v>Middlesex County College</v>
      </c>
      <c r="B1350" s="18" t="s">
        <v>49</v>
      </c>
      <c r="C1350" s="18" t="s">
        <v>141</v>
      </c>
      <c r="D1350" s="18" t="s">
        <v>1528</v>
      </c>
      <c r="E1350" s="18" t="s">
        <v>36</v>
      </c>
      <c r="F1350" s="18" t="s">
        <v>36</v>
      </c>
      <c r="J1350" s="19"/>
      <c r="K1350" s="19">
        <v>0.17660000000000001</v>
      </c>
      <c r="L1350" s="19">
        <v>0.20035992799999999</v>
      </c>
      <c r="M1350" s="19">
        <v>0.24410000000000001</v>
      </c>
      <c r="N1350" s="19">
        <v>0.106</v>
      </c>
      <c r="O1350" s="19">
        <v>0.1265</v>
      </c>
      <c r="P1350" s="19">
        <v>0.21249999999999999</v>
      </c>
      <c r="Q1350" s="19">
        <v>8.6630286999999986E-2</v>
      </c>
      <c r="R1350" s="20">
        <v>24769</v>
      </c>
      <c r="S1350" s="21" t="str">
        <f>HYPERLINK("https://www.middlesexcc.edu/financial-aid/net-price-calculator-2/", "$18636")</f>
        <v>$18636</v>
      </c>
      <c r="T1350" s="20">
        <v>21125</v>
      </c>
      <c r="U1350" s="20">
        <v>24244</v>
      </c>
      <c r="V1350" s="20">
        <v>7366</v>
      </c>
      <c r="W1350" s="20">
        <v>11270.29107981221</v>
      </c>
      <c r="Y1350" s="19">
        <v>0.34799999999999998</v>
      </c>
      <c r="Z1350" s="19">
        <v>0.71340000000000003</v>
      </c>
      <c r="AB1350" s="18">
        <v>10478</v>
      </c>
      <c r="AC1350" s="18">
        <v>6</v>
      </c>
    </row>
    <row r="1351" spans="1:29" ht="15.75" customHeight="1" x14ac:dyDescent="0.2">
      <c r="A1351" s="36" t="str">
        <f>HYPERLINK("https://www.midland.edu", "Midland College")</f>
        <v>Midland College</v>
      </c>
      <c r="B1351" s="18" t="s">
        <v>49</v>
      </c>
      <c r="C1351" s="18" t="s">
        <v>146</v>
      </c>
      <c r="D1351" s="18" t="s">
        <v>710</v>
      </c>
      <c r="E1351" s="18" t="s">
        <v>36</v>
      </c>
      <c r="F1351" s="18" t="s">
        <v>36</v>
      </c>
      <c r="J1351" s="19"/>
      <c r="K1351" s="19">
        <v>0.1905</v>
      </c>
      <c r="L1351" s="19">
        <v>0.14500684</v>
      </c>
      <c r="M1351" s="19">
        <v>0.24440000000000001</v>
      </c>
      <c r="N1351" s="19">
        <v>7.6899999999999996E-2</v>
      </c>
      <c r="O1351" s="19">
        <v>0.15279999999999999</v>
      </c>
      <c r="P1351" s="19">
        <v>0</v>
      </c>
      <c r="Q1351" s="19">
        <v>4.8133595000000001E-2</v>
      </c>
      <c r="R1351" s="20">
        <v>13956</v>
      </c>
      <c r="S1351" s="21" t="str">
        <f>HYPERLINK("https://www.collegeforalltexans.com/apps/CollegeMoney/", "$9327")</f>
        <v>$9327</v>
      </c>
      <c r="T1351" s="20">
        <v>11459</v>
      </c>
      <c r="U1351" s="20">
        <v>13474</v>
      </c>
      <c r="V1351" s="20">
        <v>3566</v>
      </c>
      <c r="W1351" s="20">
        <v>5761.5</v>
      </c>
      <c r="Y1351" s="19">
        <v>0.2364</v>
      </c>
      <c r="Z1351" s="19">
        <v>0.62619999999999998</v>
      </c>
      <c r="AB1351" s="18">
        <v>3983</v>
      </c>
      <c r="AC1351" s="18">
        <v>6</v>
      </c>
    </row>
    <row r="1352" spans="1:29" ht="15.75" customHeight="1" x14ac:dyDescent="0.2">
      <c r="A1352" s="36" t="str">
        <f>HYPERLINK("https://www.midlandu.edu", "Midland University")</f>
        <v>Midland University</v>
      </c>
      <c r="B1352" s="18" t="s">
        <v>32</v>
      </c>
      <c r="C1352" s="18" t="s">
        <v>341</v>
      </c>
      <c r="D1352" s="18" t="s">
        <v>966</v>
      </c>
      <c r="E1352" s="18">
        <v>1039</v>
      </c>
      <c r="F1352" s="18" t="s">
        <v>35</v>
      </c>
      <c r="J1352" s="19"/>
      <c r="K1352" s="19">
        <v>0.48680000000000001</v>
      </c>
      <c r="L1352" s="19">
        <v>0.21621621599999999</v>
      </c>
      <c r="M1352" s="19">
        <v>0.55000000000000004</v>
      </c>
      <c r="N1352" s="19">
        <v>0.41670000000000001</v>
      </c>
      <c r="O1352" s="19">
        <v>9.5200000000000007E-2</v>
      </c>
      <c r="P1352" s="19">
        <v>1</v>
      </c>
      <c r="Q1352" s="19"/>
      <c r="R1352" s="20">
        <v>43400</v>
      </c>
      <c r="S1352" s="21" t="str">
        <f>HYPERLINK("https://www.midlandu.edu/net-price-calculator", "$21580")</f>
        <v>$21580</v>
      </c>
      <c r="T1352" s="20">
        <v>22080</v>
      </c>
      <c r="U1352" s="20">
        <v>24115</v>
      </c>
      <c r="V1352" s="20">
        <v>3496</v>
      </c>
      <c r="W1352" s="20">
        <v>18084</v>
      </c>
      <c r="Y1352" s="19">
        <v>0.28939999999999999</v>
      </c>
      <c r="Z1352" s="19">
        <v>0.60610000000000008</v>
      </c>
      <c r="AB1352" s="18">
        <v>1211</v>
      </c>
      <c r="AC1352" s="18">
        <v>4</v>
      </c>
    </row>
    <row r="1353" spans="1:29" ht="15.75" customHeight="1" x14ac:dyDescent="0.2">
      <c r="A1353" s="36" t="str">
        <f>HYPERLINK("https://www.midlandstech.edu", "Midlands Technical College")</f>
        <v>Midlands Technical College</v>
      </c>
      <c r="B1353" s="18" t="s">
        <v>49</v>
      </c>
      <c r="C1353" s="18" t="s">
        <v>208</v>
      </c>
      <c r="D1353" s="18" t="s">
        <v>1529</v>
      </c>
      <c r="E1353" s="18" t="s">
        <v>36</v>
      </c>
      <c r="F1353" s="18" t="s">
        <v>36</v>
      </c>
      <c r="J1353" s="19"/>
      <c r="K1353" s="19">
        <v>8.77E-2</v>
      </c>
      <c r="L1353" s="19">
        <v>0.132539092</v>
      </c>
      <c r="M1353" s="19">
        <v>0.108</v>
      </c>
      <c r="N1353" s="19">
        <v>4.3400000000000001E-2</v>
      </c>
      <c r="O1353" s="19">
        <v>8.5699999999999998E-2</v>
      </c>
      <c r="P1353" s="19">
        <v>0.1429</v>
      </c>
      <c r="Q1353" s="19">
        <v>0.104304259</v>
      </c>
      <c r="R1353" s="20">
        <v>24844</v>
      </c>
      <c r="S1353" s="21" t="str">
        <f>HYPERLINK("https://www.midlandstech.edu/net-price-calculator", "$18440")</f>
        <v>$18440</v>
      </c>
      <c r="T1353" s="20">
        <v>19889</v>
      </c>
      <c r="U1353" s="20">
        <v>20671</v>
      </c>
      <c r="V1353" s="20">
        <v>6270</v>
      </c>
      <c r="W1353" s="20">
        <v>12170.945288753799</v>
      </c>
      <c r="Y1353" s="19">
        <v>0.45040000000000002</v>
      </c>
      <c r="Z1353" s="19">
        <v>0.53679999999999994</v>
      </c>
      <c r="AB1353" s="18">
        <v>9918</v>
      </c>
      <c r="AC1353" s="18">
        <v>6</v>
      </c>
    </row>
    <row r="1354" spans="1:29" ht="15.75" customHeight="1" x14ac:dyDescent="0.2">
      <c r="A1354" s="36" t="str">
        <f>HYPERLINK("https://www.midway.edu", "Midway University")</f>
        <v>Midway University</v>
      </c>
      <c r="B1354" s="18" t="s">
        <v>32</v>
      </c>
      <c r="C1354" s="18" t="s">
        <v>205</v>
      </c>
      <c r="D1354" s="18" t="s">
        <v>968</v>
      </c>
      <c r="E1354" s="18">
        <v>1050</v>
      </c>
      <c r="F1354" s="18" t="s">
        <v>35</v>
      </c>
      <c r="J1354" s="19"/>
      <c r="K1354" s="19">
        <v>0.52429999999999999</v>
      </c>
      <c r="L1354" s="19">
        <v>0.33774834399999998</v>
      </c>
      <c r="M1354" s="19">
        <v>0.48</v>
      </c>
      <c r="N1354" s="19">
        <v>0.33329999999999999</v>
      </c>
      <c r="O1354" s="19">
        <v>1</v>
      </c>
      <c r="P1354" s="19">
        <v>1</v>
      </c>
      <c r="Q1354" s="19"/>
      <c r="R1354" s="20">
        <v>40630</v>
      </c>
      <c r="S1354" s="21" t="str">
        <f>HYPERLINK("https://www.midway.edu/admissions-aid/cost-aid/net-price-calculator/", "$21713")</f>
        <v>$21713</v>
      </c>
      <c r="T1354" s="20">
        <v>26364</v>
      </c>
      <c r="U1354" s="20">
        <v>29635</v>
      </c>
      <c r="V1354" s="20">
        <v>8200</v>
      </c>
      <c r="W1354" s="20">
        <v>13513</v>
      </c>
      <c r="Y1354" s="19">
        <v>0.46970000000000001</v>
      </c>
      <c r="Z1354" s="19">
        <v>0.23050000000000001</v>
      </c>
      <c r="AB1354" s="18">
        <v>989</v>
      </c>
      <c r="AC1354" s="18">
        <v>4</v>
      </c>
    </row>
    <row r="1355" spans="1:29" ht="15.75" customHeight="1" x14ac:dyDescent="0.2">
      <c r="A1355" s="36" t="str">
        <f>HYPERLINK("https://www.mwsu.edu", "Midwestern State University")</f>
        <v>Midwestern State University</v>
      </c>
      <c r="B1355" s="18" t="s">
        <v>49</v>
      </c>
      <c r="C1355" s="18" t="s">
        <v>146</v>
      </c>
      <c r="D1355" s="18" t="s">
        <v>969</v>
      </c>
      <c r="E1355" s="18">
        <v>1034</v>
      </c>
      <c r="F1355" s="18" t="s">
        <v>35</v>
      </c>
      <c r="J1355" s="19"/>
      <c r="K1355" s="19">
        <v>0.44550000000000001</v>
      </c>
      <c r="L1355" s="19">
        <v>0.46111111100000002</v>
      </c>
      <c r="M1355" s="19">
        <v>0.48770000000000002</v>
      </c>
      <c r="N1355" s="19">
        <v>0.2462</v>
      </c>
      <c r="O1355" s="19">
        <v>0.3</v>
      </c>
      <c r="P1355" s="19">
        <v>0.76470000000000005</v>
      </c>
      <c r="Q1355" s="19"/>
      <c r="R1355" s="20">
        <v>22096</v>
      </c>
      <c r="S1355" s="21" t="str">
        <f>HYPERLINK("https://www.mwsu.edu/finaid/net-price", "$11133")</f>
        <v>$11133</v>
      </c>
      <c r="T1355" s="20">
        <v>15897</v>
      </c>
      <c r="U1355" s="20">
        <v>19409</v>
      </c>
      <c r="V1355" s="20">
        <v>2918</v>
      </c>
      <c r="W1355" s="20">
        <v>8215.9090909090901</v>
      </c>
      <c r="Y1355" s="19">
        <v>0.38790000000000002</v>
      </c>
      <c r="Z1355" s="19">
        <v>0.50719999999999998</v>
      </c>
      <c r="AB1355" s="18">
        <v>5329</v>
      </c>
      <c r="AC1355" s="18">
        <v>4</v>
      </c>
    </row>
    <row r="1356" spans="1:29" ht="15.75" customHeight="1" x14ac:dyDescent="0.2">
      <c r="A1356" s="36" t="str">
        <f>HYPERLINK("https://www.midwifery.edu/", "Midwives College of Utah")</f>
        <v>Midwives College of Utah</v>
      </c>
      <c r="B1356" s="18" t="s">
        <v>32</v>
      </c>
      <c r="C1356" s="18" t="s">
        <v>199</v>
      </c>
      <c r="D1356" s="18" t="s">
        <v>525</v>
      </c>
      <c r="E1356" s="18" t="s">
        <v>36</v>
      </c>
      <c r="F1356" s="18" t="s">
        <v>45</v>
      </c>
      <c r="J1356" s="19"/>
      <c r="K1356" s="19" t="s">
        <v>36</v>
      </c>
      <c r="L1356" s="19" t="s">
        <v>36</v>
      </c>
      <c r="M1356" s="19" t="s">
        <v>36</v>
      </c>
      <c r="N1356" s="19" t="s">
        <v>36</v>
      </c>
      <c r="O1356" s="19" t="s">
        <v>36</v>
      </c>
      <c r="P1356" s="19" t="s">
        <v>36</v>
      </c>
      <c r="Q1356" s="19" t="s">
        <v>36</v>
      </c>
      <c r="R1356" s="20">
        <v>26040</v>
      </c>
      <c r="S1356" s="21" t="str">
        <f>HYPERLINK("https://www.midwifery.edu/wordpress/wp-content/uploads/2013/06/npcalc.htm", "$21256")</f>
        <v>$21256</v>
      </c>
      <c r="T1356" s="20" t="s">
        <v>36</v>
      </c>
      <c r="U1356" s="20" t="s">
        <v>36</v>
      </c>
      <c r="V1356" s="20">
        <v>6416</v>
      </c>
      <c r="W1356" s="20">
        <v>14840</v>
      </c>
      <c r="Y1356" s="19">
        <v>0.30209999999999998</v>
      </c>
      <c r="Z1356" s="19">
        <v>0.2107</v>
      </c>
      <c r="AB1356" s="18">
        <v>242</v>
      </c>
      <c r="AC1356" s="18">
        <v>6</v>
      </c>
    </row>
    <row r="1357" spans="1:29" ht="15.75" customHeight="1" x14ac:dyDescent="0.2">
      <c r="A1357" s="36" t="str">
        <f>HYPERLINK("https://www.mildred-elley.edu", "Mildred Elley School-Albany Campus")</f>
        <v>Mildred Elley School-Albany Campus</v>
      </c>
      <c r="B1357" s="18" t="s">
        <v>368</v>
      </c>
      <c r="C1357" s="18" t="s">
        <v>38</v>
      </c>
      <c r="D1357" s="18" t="s">
        <v>550</v>
      </c>
      <c r="E1357" s="18" t="s">
        <v>36</v>
      </c>
      <c r="F1357" s="18" t="s">
        <v>36</v>
      </c>
      <c r="J1357" s="19"/>
      <c r="K1357" s="19">
        <v>0.33329999999999999</v>
      </c>
      <c r="L1357" s="19">
        <v>0.43320848899999997</v>
      </c>
      <c r="M1357" s="19">
        <v>0.36</v>
      </c>
      <c r="N1357" s="19">
        <v>0.22919999999999999</v>
      </c>
      <c r="O1357" s="19">
        <v>0.46150000000000002</v>
      </c>
      <c r="P1357" s="19">
        <v>0.66669999999999996</v>
      </c>
      <c r="Q1357" s="19">
        <v>1.4127143999999999E-2</v>
      </c>
      <c r="R1357" s="20">
        <v>25359</v>
      </c>
      <c r="S1357" s="21" t="str">
        <f>HYPERLINK("https://www.mildred-elley.edu/admissions/financial-aid", "$19359")</f>
        <v>$19359</v>
      </c>
      <c r="T1357" s="20">
        <v>22452</v>
      </c>
      <c r="U1357" s="20">
        <v>23407</v>
      </c>
      <c r="V1357" s="20">
        <v>6298</v>
      </c>
      <c r="W1357" s="20">
        <v>13061</v>
      </c>
      <c r="Y1357" s="19">
        <v>0.65300000000000002</v>
      </c>
      <c r="Z1357" s="19">
        <v>0.70829999999999993</v>
      </c>
      <c r="AB1357" s="18">
        <v>521</v>
      </c>
      <c r="AC1357" s="18">
        <v>6</v>
      </c>
    </row>
    <row r="1358" spans="1:29" ht="15.75" customHeight="1" x14ac:dyDescent="0.2">
      <c r="A1358" s="36" t="str">
        <f>HYPERLINK("https://www.mildred-elley.edu", "Mildred Elley-New York Campus")</f>
        <v>Mildred Elley-New York Campus</v>
      </c>
      <c r="B1358" s="18" t="s">
        <v>368</v>
      </c>
      <c r="C1358" s="18" t="s">
        <v>38</v>
      </c>
      <c r="D1358" s="18" t="s">
        <v>39</v>
      </c>
      <c r="E1358" s="18" t="s">
        <v>36</v>
      </c>
      <c r="F1358" s="18" t="s">
        <v>36</v>
      </c>
      <c r="J1358" s="19"/>
      <c r="K1358" s="19">
        <v>0.4219</v>
      </c>
      <c r="L1358" s="19">
        <v>0.43320848899999997</v>
      </c>
      <c r="M1358" s="19">
        <v>1</v>
      </c>
      <c r="N1358" s="19">
        <v>0.4103</v>
      </c>
      <c r="O1358" s="19">
        <v>0.4375</v>
      </c>
      <c r="P1358" s="19">
        <v>0.75</v>
      </c>
      <c r="Q1358" s="19">
        <v>1.4127143999999999E-2</v>
      </c>
      <c r="R1358" s="20">
        <v>18597</v>
      </c>
      <c r="S1358" s="21" t="str">
        <f>HYPERLINK("https://www.mildred-elley.edu/admissions/financial-aid", "$17841")</f>
        <v>$17841</v>
      </c>
      <c r="T1358" s="20">
        <v>20795</v>
      </c>
      <c r="U1358" s="20">
        <v>22206</v>
      </c>
      <c r="V1358" s="20">
        <v>5232</v>
      </c>
      <c r="W1358" s="20">
        <v>12609</v>
      </c>
      <c r="Y1358" s="19">
        <v>0.78269999999999995</v>
      </c>
      <c r="Z1358" s="19">
        <v>0.97860000000000003</v>
      </c>
      <c r="AB1358" s="18">
        <v>1077</v>
      </c>
      <c r="AC1358" s="18">
        <v>6</v>
      </c>
    </row>
    <row r="1359" spans="1:29" ht="15.75" customHeight="1" x14ac:dyDescent="0.2">
      <c r="A1359" s="36" t="str">
        <f>HYPERLINK("https://www.miles.edu", "Miles College")</f>
        <v>Miles College</v>
      </c>
      <c r="B1359" s="18" t="s">
        <v>32</v>
      </c>
      <c r="C1359" s="18" t="s">
        <v>300</v>
      </c>
      <c r="D1359" s="18" t="s">
        <v>356</v>
      </c>
      <c r="E1359" s="18" t="s">
        <v>36</v>
      </c>
      <c r="F1359" s="18" t="s">
        <v>36</v>
      </c>
      <c r="J1359" s="19"/>
      <c r="K1359" s="19">
        <v>0.21299999999999999</v>
      </c>
      <c r="L1359" s="19">
        <v>0.20042194099999999</v>
      </c>
      <c r="M1359" s="19">
        <v>0.33329999999999999</v>
      </c>
      <c r="N1359" s="19">
        <v>0.21279999999999999</v>
      </c>
      <c r="O1359" s="19">
        <v>0</v>
      </c>
      <c r="P1359" s="19" t="s">
        <v>36</v>
      </c>
      <c r="Q1359" s="19"/>
      <c r="R1359" s="20">
        <v>23080</v>
      </c>
      <c r="S1359" s="21" t="str">
        <f>HYPERLINK("https://miles.studentaidcalculator.com/survey.aspx", "$15440")</f>
        <v>$15440</v>
      </c>
      <c r="T1359" s="20">
        <v>17610</v>
      </c>
      <c r="U1359" s="20">
        <v>19610</v>
      </c>
      <c r="V1359" s="20">
        <v>4032</v>
      </c>
      <c r="W1359" s="20">
        <v>11408</v>
      </c>
      <c r="Y1359" s="19">
        <v>0.84840000000000004</v>
      </c>
      <c r="Z1359" s="19">
        <v>0.97689999999999999</v>
      </c>
      <c r="AB1359" s="18">
        <v>1647</v>
      </c>
      <c r="AC1359" s="18">
        <v>5</v>
      </c>
    </row>
    <row r="1360" spans="1:29" ht="15.75" customHeight="1" x14ac:dyDescent="0.2">
      <c r="A1360" s="36" t="str">
        <f>HYPERLINK("https://www.milescc.edu/", "Miles Community College")</f>
        <v>Miles Community College</v>
      </c>
      <c r="B1360" s="18" t="s">
        <v>49</v>
      </c>
      <c r="C1360" s="18" t="s">
        <v>421</v>
      </c>
      <c r="D1360" s="18" t="s">
        <v>1530</v>
      </c>
      <c r="E1360" s="18" t="s">
        <v>36</v>
      </c>
      <c r="F1360" s="18" t="s">
        <v>36</v>
      </c>
      <c r="J1360" s="19"/>
      <c r="K1360" s="19">
        <v>0.4375</v>
      </c>
      <c r="L1360" s="19">
        <v>0.32380952400000002</v>
      </c>
      <c r="M1360" s="19">
        <v>0.43020000000000003</v>
      </c>
      <c r="N1360" s="19">
        <v>0.4</v>
      </c>
      <c r="O1360" s="19" t="s">
        <v>36</v>
      </c>
      <c r="P1360" s="19">
        <v>1</v>
      </c>
      <c r="Q1360" s="19" t="s">
        <v>36</v>
      </c>
      <c r="R1360" s="20">
        <v>17845</v>
      </c>
      <c r="S1360" s="21" t="str">
        <f>HYPERLINK("https://www.milescc.edu/CampusServices/FinancialAid/NetPriceCalc/", "$12671")</f>
        <v>$12671</v>
      </c>
      <c r="T1360" s="20">
        <v>15560</v>
      </c>
      <c r="U1360" s="20">
        <v>16669</v>
      </c>
      <c r="V1360" s="20">
        <v>2500</v>
      </c>
      <c r="W1360" s="20">
        <v>10171.142857142861</v>
      </c>
      <c r="Y1360" s="19">
        <v>0.31790000000000002</v>
      </c>
      <c r="Z1360" s="19">
        <v>0.1414</v>
      </c>
      <c r="AB1360" s="18">
        <v>389</v>
      </c>
      <c r="AC1360" s="18">
        <v>6</v>
      </c>
    </row>
    <row r="1361" spans="1:29" ht="15.75" customHeight="1" x14ac:dyDescent="0.2">
      <c r="A1361" s="36" t="str">
        <f>HYPERLINK("https://www.miller-motte.edu/", "Miller-Motte Technical College-Lynchburg")</f>
        <v>Miller-Motte Technical College-Lynchburg</v>
      </c>
      <c r="B1361" s="18" t="s">
        <v>368</v>
      </c>
      <c r="C1361" s="18" t="s">
        <v>83</v>
      </c>
      <c r="D1361" s="18" t="s">
        <v>449</v>
      </c>
      <c r="E1361" s="18" t="s">
        <v>36</v>
      </c>
      <c r="F1361" s="18" t="s">
        <v>36</v>
      </c>
      <c r="J1361" s="19"/>
      <c r="K1361" s="19">
        <v>0.32079999999999997</v>
      </c>
      <c r="L1361" s="19">
        <v>0.38731117799999998</v>
      </c>
      <c r="M1361" s="19">
        <v>0.36359999999999998</v>
      </c>
      <c r="N1361" s="19">
        <v>0.2</v>
      </c>
      <c r="O1361" s="19">
        <v>1</v>
      </c>
      <c r="P1361" s="19" t="s">
        <v>36</v>
      </c>
      <c r="Q1361" s="19">
        <v>2.3877745999999998E-2</v>
      </c>
      <c r="R1361" s="20">
        <v>27589</v>
      </c>
      <c r="S1361" s="21" t="str">
        <f>HYPERLINK("https://disclosure.miller-motte.edu/npc/npcalc-lynchburg.htm", "$18147")</f>
        <v>$18147</v>
      </c>
      <c r="T1361" s="20" t="s">
        <v>36</v>
      </c>
      <c r="U1361" s="20" t="s">
        <v>36</v>
      </c>
      <c r="V1361" s="20">
        <v>7984</v>
      </c>
      <c r="W1361" s="20">
        <v>10163</v>
      </c>
      <c r="Y1361" s="19">
        <v>0.88160000000000005</v>
      </c>
      <c r="Z1361" s="19">
        <v>0.45800000000000002</v>
      </c>
      <c r="AB1361" s="18">
        <v>131</v>
      </c>
      <c r="AC1361" s="18">
        <v>6</v>
      </c>
    </row>
    <row r="1362" spans="1:29" ht="15.75" customHeight="1" x14ac:dyDescent="0.2">
      <c r="A1362" s="36" t="str">
        <f>HYPERLINK("https://www.millersville.edu", "Millersville University of Pennsylvania")</f>
        <v>Millersville University of Pennsylvania</v>
      </c>
      <c r="B1362" s="18" t="s">
        <v>49</v>
      </c>
      <c r="C1362" s="18" t="s">
        <v>65</v>
      </c>
      <c r="D1362" s="18" t="s">
        <v>971</v>
      </c>
      <c r="E1362" s="18">
        <v>1065</v>
      </c>
      <c r="F1362" s="18" t="s">
        <v>35</v>
      </c>
      <c r="J1362" s="19"/>
      <c r="K1362" s="19">
        <v>0.61550000000000005</v>
      </c>
      <c r="L1362" s="19">
        <v>0.43970315399999998</v>
      </c>
      <c r="M1362" s="19">
        <v>0.64329999999999998</v>
      </c>
      <c r="N1362" s="19">
        <v>0.4667</v>
      </c>
      <c r="O1362" s="19">
        <v>0.55420000000000003</v>
      </c>
      <c r="P1362" s="19">
        <v>0.65380000000000005</v>
      </c>
      <c r="Q1362" s="19"/>
      <c r="R1362" s="20">
        <v>38569</v>
      </c>
      <c r="S1362" s="21" t="str">
        <f>HYPERLINK("https://www.passhe.edu/answers/Calculator/MI/npcalc-214041.htm", "$29432")</f>
        <v>$29432</v>
      </c>
      <c r="T1362" s="20">
        <v>33351</v>
      </c>
      <c r="U1362" s="20">
        <v>36693</v>
      </c>
      <c r="V1362" s="20">
        <v>3344</v>
      </c>
      <c r="W1362" s="20">
        <v>26088.833333333339</v>
      </c>
      <c r="Y1362" s="19">
        <v>0.29670000000000002</v>
      </c>
      <c r="Z1362" s="19">
        <v>0.26479999999999998</v>
      </c>
      <c r="AB1362" s="18">
        <v>6613</v>
      </c>
      <c r="AC1362" s="18">
        <v>4</v>
      </c>
    </row>
    <row r="1363" spans="1:29" ht="15.75" customHeight="1" x14ac:dyDescent="0.2">
      <c r="A1363" s="36" t="str">
        <f>HYPERLINK("https://www.millikin.edu", "Millikin University")</f>
        <v>Millikin University</v>
      </c>
      <c r="B1363" s="18" t="s">
        <v>32</v>
      </c>
      <c r="C1363" s="18" t="s">
        <v>137</v>
      </c>
      <c r="D1363" s="18" t="s">
        <v>189</v>
      </c>
      <c r="E1363" s="18">
        <v>1127</v>
      </c>
      <c r="F1363" s="18" t="s">
        <v>35</v>
      </c>
      <c r="J1363" s="19"/>
      <c r="K1363" s="19">
        <v>0.60560000000000003</v>
      </c>
      <c r="L1363" s="19">
        <v>0.54639175299999998</v>
      </c>
      <c r="M1363" s="19">
        <v>0.67820000000000003</v>
      </c>
      <c r="N1363" s="19">
        <v>0.36249999999999999</v>
      </c>
      <c r="O1363" s="19">
        <v>0.66669999999999996</v>
      </c>
      <c r="P1363" s="19">
        <v>0.66669999999999996</v>
      </c>
      <c r="Q1363" s="19"/>
      <c r="R1363" s="20">
        <v>47664</v>
      </c>
      <c r="S1363" s="21" t="str">
        <f>HYPERLINK("https://millikin.studentaidcalculator.com", "$17528")</f>
        <v>$17528</v>
      </c>
      <c r="T1363" s="20">
        <v>19327</v>
      </c>
      <c r="U1363" s="20">
        <v>23014</v>
      </c>
      <c r="V1363" s="20">
        <v>3100</v>
      </c>
      <c r="W1363" s="20">
        <v>14428</v>
      </c>
      <c r="Y1363" s="19">
        <v>0.36980000000000002</v>
      </c>
      <c r="Z1363" s="19">
        <v>0.30589999999999989</v>
      </c>
      <c r="AB1363" s="18">
        <v>1883</v>
      </c>
      <c r="AC1363" s="18">
        <v>4</v>
      </c>
    </row>
    <row r="1364" spans="1:29" ht="15.75" customHeight="1" x14ac:dyDescent="0.2">
      <c r="A1364" s="36" t="str">
        <f>HYPERLINK("https://www.mills.edu", "Mills College")</f>
        <v>Mills College</v>
      </c>
      <c r="B1364" s="18" t="s">
        <v>32</v>
      </c>
      <c r="C1364" s="18" t="s">
        <v>68</v>
      </c>
      <c r="D1364" s="18" t="s">
        <v>418</v>
      </c>
      <c r="E1364" s="18" t="s">
        <v>36</v>
      </c>
      <c r="F1364" s="18" t="s">
        <v>45</v>
      </c>
      <c r="J1364" s="19"/>
      <c r="K1364" s="19">
        <v>0.6905</v>
      </c>
      <c r="L1364" s="19">
        <v>0.64625850299999998</v>
      </c>
      <c r="M1364" s="19">
        <v>0.66669999999999996</v>
      </c>
      <c r="N1364" s="19">
        <v>0.44440000000000002</v>
      </c>
      <c r="O1364" s="19">
        <v>0.88460000000000005</v>
      </c>
      <c r="P1364" s="19">
        <v>0.86960000000000004</v>
      </c>
      <c r="Q1364" s="19"/>
      <c r="R1364" s="20">
        <v>63767</v>
      </c>
      <c r="S1364" s="21" t="str">
        <f>HYPERLINK("https://tcc.noellevitz.com/(S(4bgxyozk2ejy4wajqx3hoapx))/Mills%20College/Freshman-Students", "$19275")</f>
        <v>$19275</v>
      </c>
      <c r="T1364" s="20">
        <v>23691</v>
      </c>
      <c r="U1364" s="20">
        <v>26472</v>
      </c>
      <c r="V1364" s="20">
        <v>3917</v>
      </c>
      <c r="W1364" s="20">
        <v>15358</v>
      </c>
      <c r="Y1364" s="19">
        <v>0.47149999999999997</v>
      </c>
      <c r="Z1364" s="19">
        <v>0.58519999999999994</v>
      </c>
      <c r="AB1364" s="18">
        <v>757</v>
      </c>
      <c r="AC1364" s="18">
        <v>3</v>
      </c>
    </row>
    <row r="1365" spans="1:29" ht="15.75" customHeight="1" x14ac:dyDescent="0.2">
      <c r="A1365" s="36" t="str">
        <f>HYPERLINK("https://www.millsaps.edu", "Millsaps College")</f>
        <v>Millsaps College</v>
      </c>
      <c r="B1365" s="18" t="s">
        <v>32</v>
      </c>
      <c r="C1365" s="18" t="s">
        <v>59</v>
      </c>
      <c r="D1365" s="18" t="s">
        <v>419</v>
      </c>
      <c r="E1365" s="18">
        <v>1215</v>
      </c>
      <c r="F1365" s="18" t="s">
        <v>35</v>
      </c>
      <c r="J1365" s="19"/>
      <c r="K1365" s="19">
        <v>0.66520000000000001</v>
      </c>
      <c r="L1365" s="19">
        <v>0.31481481500000003</v>
      </c>
      <c r="M1365" s="19">
        <v>0.6784</v>
      </c>
      <c r="N1365" s="19">
        <v>0.53569999999999995</v>
      </c>
      <c r="O1365" s="19">
        <v>1</v>
      </c>
      <c r="P1365" s="19">
        <v>0.83330000000000004</v>
      </c>
      <c r="Q1365" s="19"/>
      <c r="R1365" s="20">
        <v>55322</v>
      </c>
      <c r="S1365" s="21" t="str">
        <f>HYPERLINK("https://www.millsaps.edu/secure/financial-aid-net-price-calculator.php", "$17593")</f>
        <v>$17593</v>
      </c>
      <c r="T1365" s="20">
        <v>21195</v>
      </c>
      <c r="U1365" s="20">
        <v>23668</v>
      </c>
      <c r="V1365" s="20">
        <v>2992</v>
      </c>
      <c r="W1365" s="20">
        <v>14601</v>
      </c>
      <c r="Y1365" s="19">
        <v>0.23730000000000001</v>
      </c>
      <c r="Z1365" s="19">
        <v>0.30209999999999998</v>
      </c>
      <c r="AB1365" s="18">
        <v>801</v>
      </c>
      <c r="AC1365" s="18">
        <v>3</v>
      </c>
    </row>
    <row r="1366" spans="1:29" ht="15.75" customHeight="1" x14ac:dyDescent="0.2">
      <c r="A1366" s="36" t="str">
        <f>HYPERLINK("https://matc.edu", "Milwaukee Area Technical College")</f>
        <v>Milwaukee Area Technical College</v>
      </c>
      <c r="B1366" s="18" t="s">
        <v>49</v>
      </c>
      <c r="C1366" s="18" t="s">
        <v>196</v>
      </c>
      <c r="D1366" s="18" t="s">
        <v>410</v>
      </c>
      <c r="E1366" s="18" t="s">
        <v>36</v>
      </c>
      <c r="F1366" s="18" t="s">
        <v>36</v>
      </c>
      <c r="J1366" s="19"/>
      <c r="K1366" s="19">
        <v>0.1099</v>
      </c>
      <c r="L1366" s="19">
        <v>0.16588462600000001</v>
      </c>
      <c r="M1366" s="19">
        <v>0.1328</v>
      </c>
      <c r="N1366" s="19">
        <v>0.13220000000000001</v>
      </c>
      <c r="O1366" s="19">
        <v>5.6300000000000003E-2</v>
      </c>
      <c r="P1366" s="19">
        <v>0.125</v>
      </c>
      <c r="Q1366" s="19">
        <v>6.1654663999999998E-2</v>
      </c>
      <c r="R1366" s="20">
        <v>19500</v>
      </c>
      <c r="S1366" s="21" t="str">
        <f>HYPERLINK("https://www.matc.edu/student/resources/financial_aid/NetPriceCalculator/npcalc.htm", "$14292")</f>
        <v>$14292</v>
      </c>
      <c r="T1366" s="20">
        <v>16824</v>
      </c>
      <c r="U1366" s="20">
        <v>18890</v>
      </c>
      <c r="V1366" s="20">
        <v>5722</v>
      </c>
      <c r="W1366" s="20">
        <v>8570.9611197511658</v>
      </c>
      <c r="Y1366" s="19">
        <v>0.4592</v>
      </c>
      <c r="Z1366" s="19">
        <v>0.60799999999999998</v>
      </c>
      <c r="AB1366" s="18">
        <v>12692</v>
      </c>
      <c r="AC1366" s="18">
        <v>6</v>
      </c>
    </row>
    <row r="1367" spans="1:29" ht="15.75" customHeight="1" x14ac:dyDescent="0.2">
      <c r="A1367" s="36" t="str">
        <f>HYPERLINK("https://www.msoe.edu", "Milwaukee School of Engineering")</f>
        <v>Milwaukee School of Engineering</v>
      </c>
      <c r="B1367" s="18" t="s">
        <v>32</v>
      </c>
      <c r="C1367" s="18" t="s">
        <v>196</v>
      </c>
      <c r="D1367" s="18" t="s">
        <v>410</v>
      </c>
      <c r="E1367" s="18">
        <v>1305</v>
      </c>
      <c r="F1367" s="18" t="s">
        <v>35</v>
      </c>
      <c r="J1367" s="19"/>
      <c r="K1367" s="19">
        <v>0.66890000000000005</v>
      </c>
      <c r="L1367" s="19">
        <v>0.51315789499999998</v>
      </c>
      <c r="M1367" s="19">
        <v>0.70660000000000001</v>
      </c>
      <c r="N1367" s="19">
        <v>0.53849999999999998</v>
      </c>
      <c r="O1367" s="19">
        <v>0.4375</v>
      </c>
      <c r="P1367" s="19">
        <v>0.5</v>
      </c>
      <c r="Q1367" s="19"/>
      <c r="R1367" s="20">
        <v>52046</v>
      </c>
      <c r="S1367" s="21" t="str">
        <f>HYPERLINK("https://www.msoe.edu/admissions-aid/financial-aid-scholarships/financial-aid-basics/financial-aid-estimator/", "$15580")</f>
        <v>$15580</v>
      </c>
      <c r="T1367" s="20">
        <v>17866</v>
      </c>
      <c r="U1367" s="20">
        <v>21517</v>
      </c>
      <c r="V1367" s="20">
        <v>3200</v>
      </c>
      <c r="W1367" s="20">
        <v>12380</v>
      </c>
      <c r="Y1367" s="19">
        <v>0.27250000000000002</v>
      </c>
      <c r="Z1367" s="19">
        <v>0.33009999999999989</v>
      </c>
      <c r="AB1367" s="18">
        <v>2605</v>
      </c>
      <c r="AC1367" s="18">
        <v>3</v>
      </c>
    </row>
    <row r="1368" spans="1:29" ht="15.75" customHeight="1" x14ac:dyDescent="0.2">
      <c r="A1368" s="36" t="str">
        <f>HYPERLINK("https://www.mineralarea.edu", "Mineral Area College")</f>
        <v>Mineral Area College</v>
      </c>
      <c r="B1368" s="18" t="s">
        <v>49</v>
      </c>
      <c r="C1368" s="18" t="s">
        <v>164</v>
      </c>
      <c r="D1368" s="18" t="s">
        <v>1531</v>
      </c>
      <c r="E1368" s="18" t="s">
        <v>36</v>
      </c>
      <c r="F1368" s="18" t="s">
        <v>36</v>
      </c>
      <c r="J1368" s="19"/>
      <c r="K1368" s="19">
        <v>0.33119999999999999</v>
      </c>
      <c r="L1368" s="19">
        <v>0.25730994200000001</v>
      </c>
      <c r="M1368" s="19">
        <v>0.35870000000000002</v>
      </c>
      <c r="N1368" s="19">
        <v>2.4400000000000002E-2</v>
      </c>
      <c r="O1368" s="19">
        <v>0</v>
      </c>
      <c r="P1368" s="19">
        <v>0</v>
      </c>
      <c r="Q1368" s="19">
        <v>6.4856711999999997E-2</v>
      </c>
      <c r="R1368" s="20">
        <v>18580</v>
      </c>
      <c r="S1368" s="21" t="str">
        <f>HYPERLINK("https://my.mineralarea.edu/ICS/Admissions/Public.jnz?portlet=Net_Price_Calculator_2015-02-13T09-18-07-273", "$13172")</f>
        <v>$13172</v>
      </c>
      <c r="T1368" s="20">
        <v>14927</v>
      </c>
      <c r="U1368" s="20">
        <v>17026</v>
      </c>
      <c r="V1368" s="20">
        <v>5062</v>
      </c>
      <c r="W1368" s="20">
        <v>8110.106109324759</v>
      </c>
      <c r="Y1368" s="19">
        <v>0.33019999999999999</v>
      </c>
      <c r="Z1368" s="19">
        <v>9.6600000000000019E-2</v>
      </c>
      <c r="AB1368" s="18">
        <v>2774</v>
      </c>
      <c r="AC1368" s="18">
        <v>6</v>
      </c>
    </row>
    <row r="1369" spans="1:29" ht="15.75" customHeight="1" x14ac:dyDescent="0.2">
      <c r="A1369" s="36" t="str">
        <f>HYPERLINK("https://MCAD.EDU", "Minneapolis College of Art and Design")</f>
        <v>Minneapolis College of Art and Design</v>
      </c>
      <c r="B1369" s="18" t="s">
        <v>32</v>
      </c>
      <c r="C1369" s="18" t="s">
        <v>72</v>
      </c>
      <c r="D1369" s="18" t="s">
        <v>283</v>
      </c>
      <c r="E1369" s="18">
        <v>1141</v>
      </c>
      <c r="F1369" s="18" t="s">
        <v>35</v>
      </c>
      <c r="J1369" s="19"/>
      <c r="K1369" s="19">
        <v>0.59260000000000002</v>
      </c>
      <c r="L1369" s="19">
        <v>0.47169811299999997</v>
      </c>
      <c r="M1369" s="19">
        <v>0.53700000000000003</v>
      </c>
      <c r="N1369" s="19">
        <v>0.5</v>
      </c>
      <c r="O1369" s="19">
        <v>1</v>
      </c>
      <c r="P1369" s="19">
        <v>0.66669999999999996</v>
      </c>
      <c r="Q1369" s="19"/>
      <c r="R1369" s="20">
        <v>49688</v>
      </c>
      <c r="S1369" s="21" t="str">
        <f>HYPERLINK("https://mcad.edu/tuition-calculator", "$23085")</f>
        <v>$23085</v>
      </c>
      <c r="T1369" s="20">
        <v>24500</v>
      </c>
      <c r="U1369" s="20">
        <v>27502</v>
      </c>
      <c r="V1369" s="20">
        <v>4326</v>
      </c>
      <c r="W1369" s="20">
        <v>18759</v>
      </c>
      <c r="Y1369" s="19">
        <v>0.4168</v>
      </c>
      <c r="Z1369" s="19">
        <v>0.33040000000000003</v>
      </c>
      <c r="AB1369" s="18">
        <v>675</v>
      </c>
      <c r="AC1369" s="18">
        <v>4</v>
      </c>
    </row>
    <row r="1370" spans="1:29" ht="15.75" customHeight="1" x14ac:dyDescent="0.2">
      <c r="A1370" s="36" t="str">
        <f>HYPERLINK("https://www.minneapolis.edu", "Minneapolis Community and Technical College")</f>
        <v>Minneapolis Community and Technical College</v>
      </c>
      <c r="B1370" s="18" t="s">
        <v>49</v>
      </c>
      <c r="C1370" s="18" t="s">
        <v>72</v>
      </c>
      <c r="D1370" s="18" t="s">
        <v>283</v>
      </c>
      <c r="E1370" s="18" t="s">
        <v>36</v>
      </c>
      <c r="F1370" s="18" t="s">
        <v>36</v>
      </c>
      <c r="J1370" s="19"/>
      <c r="K1370" s="19">
        <v>0.1615</v>
      </c>
      <c r="L1370" s="19">
        <v>8.6829268000000001E-2</v>
      </c>
      <c r="M1370" s="19">
        <v>0.20180000000000001</v>
      </c>
      <c r="N1370" s="19">
        <v>0.12859999999999999</v>
      </c>
      <c r="O1370" s="19">
        <v>0.15790000000000001</v>
      </c>
      <c r="P1370" s="19">
        <v>0.14000000000000001</v>
      </c>
      <c r="Q1370" s="19">
        <v>9.4731978000000008E-2</v>
      </c>
      <c r="R1370" s="20">
        <v>23524</v>
      </c>
      <c r="S1370" s="21" t="str">
        <f>HYPERLINK("https://www.minnstate.edu/admissions/calculator/minneapolis.html?_ga=2.41113442.1933815707.1534515365-1056090733.1512683119", "$18226")</f>
        <v>$18226</v>
      </c>
      <c r="T1370" s="20">
        <v>20119</v>
      </c>
      <c r="U1370" s="20">
        <v>22402</v>
      </c>
      <c r="V1370" s="20">
        <v>7070</v>
      </c>
      <c r="W1370" s="20">
        <v>11156.045112781951</v>
      </c>
      <c r="Y1370" s="19">
        <v>0.441</v>
      </c>
      <c r="Z1370" s="19">
        <v>0.62050000000000005</v>
      </c>
      <c r="AB1370" s="18">
        <v>6218</v>
      </c>
      <c r="AC1370" s="18">
        <v>6</v>
      </c>
    </row>
    <row r="1371" spans="1:29" ht="15.75" customHeight="1" x14ac:dyDescent="0.2">
      <c r="A1371" s="36" t="str">
        <f>HYPERLINK("https://www.minnesota.edu", "Minnesota State Community and Technical College")</f>
        <v>Minnesota State Community and Technical College</v>
      </c>
      <c r="B1371" s="18" t="s">
        <v>49</v>
      </c>
      <c r="C1371" s="18" t="s">
        <v>72</v>
      </c>
      <c r="D1371" s="18" t="s">
        <v>1532</v>
      </c>
      <c r="E1371" s="18" t="s">
        <v>36</v>
      </c>
      <c r="F1371" s="18" t="s">
        <v>36</v>
      </c>
      <c r="J1371" s="19"/>
      <c r="K1371" s="19">
        <v>0.35709999999999997</v>
      </c>
      <c r="L1371" s="19">
        <v>0.261087866</v>
      </c>
      <c r="M1371" s="19">
        <v>0.40629999999999999</v>
      </c>
      <c r="N1371" s="19">
        <v>7.6899999999999996E-2</v>
      </c>
      <c r="O1371" s="19">
        <v>0.21879999999999999</v>
      </c>
      <c r="P1371" s="19">
        <v>0.1429</v>
      </c>
      <c r="Q1371" s="19">
        <v>5.5090347999999997E-2</v>
      </c>
      <c r="R1371" s="20">
        <v>16819</v>
      </c>
      <c r="S1371" s="21" t="str">
        <f>HYPERLINK("https://www.MinnState.edu/admissions/calculator/msctc.html", "$11042")</f>
        <v>$11042</v>
      </c>
      <c r="T1371" s="20">
        <v>12488</v>
      </c>
      <c r="U1371" s="20">
        <v>14650</v>
      </c>
      <c r="V1371" s="20">
        <v>4760</v>
      </c>
      <c r="W1371" s="20">
        <v>6282.5932203389821</v>
      </c>
      <c r="Y1371" s="19">
        <v>0.32929999999999998</v>
      </c>
      <c r="Z1371" s="19">
        <v>0.26219999999999999</v>
      </c>
      <c r="AB1371" s="18">
        <v>4191</v>
      </c>
      <c r="AC1371" s="18">
        <v>6</v>
      </c>
    </row>
    <row r="1372" spans="1:29" ht="15.75" customHeight="1" x14ac:dyDescent="0.2">
      <c r="A1372" s="36" t="str">
        <f>HYPERLINK("https://www.mnstate.edu/", "Minnesota State University Moorhead")</f>
        <v>Minnesota State University Moorhead</v>
      </c>
      <c r="B1372" s="18" t="s">
        <v>49</v>
      </c>
      <c r="C1372" s="18" t="s">
        <v>72</v>
      </c>
      <c r="D1372" s="18" t="s">
        <v>679</v>
      </c>
      <c r="E1372" s="18">
        <v>1123</v>
      </c>
      <c r="F1372" s="18" t="s">
        <v>35</v>
      </c>
      <c r="J1372" s="19"/>
      <c r="K1372" s="19">
        <v>0.4632</v>
      </c>
      <c r="L1372" s="19">
        <v>0.48616600799999998</v>
      </c>
      <c r="M1372" s="19">
        <v>0.46600000000000003</v>
      </c>
      <c r="N1372" s="19">
        <v>0.38890000000000002</v>
      </c>
      <c r="O1372" s="19">
        <v>0.42859999999999998</v>
      </c>
      <c r="P1372" s="19">
        <v>0.33329999999999999</v>
      </c>
      <c r="Q1372" s="19"/>
      <c r="R1372" s="20">
        <v>29156</v>
      </c>
      <c r="S1372" s="21" t="str">
        <f>HYPERLINK("https://www.mnstate.edu/cost-aid/net-price-calculator.aspx", "$20731")</f>
        <v>$20731</v>
      </c>
      <c r="T1372" s="20">
        <v>24178</v>
      </c>
      <c r="U1372" s="20">
        <v>26936</v>
      </c>
      <c r="V1372" s="20">
        <v>4270</v>
      </c>
      <c r="W1372" s="20">
        <v>16461.805309734511</v>
      </c>
      <c r="Y1372" s="19">
        <v>0.27450000000000002</v>
      </c>
      <c r="Z1372" s="19">
        <v>0.21310000000000001</v>
      </c>
      <c r="AB1372" s="18">
        <v>4834</v>
      </c>
      <c r="AC1372" s="18">
        <v>4</v>
      </c>
    </row>
    <row r="1373" spans="1:29" ht="15.75" customHeight="1" x14ac:dyDescent="0.2">
      <c r="A1373" s="36" t="str">
        <f>HYPERLINK("https://mankato.mnsu.edu/", "Minnesota State University-Mankato")</f>
        <v>Minnesota State University-Mankato</v>
      </c>
      <c r="B1373" s="18" t="s">
        <v>49</v>
      </c>
      <c r="C1373" s="18" t="s">
        <v>72</v>
      </c>
      <c r="D1373" s="18" t="s">
        <v>975</v>
      </c>
      <c r="E1373" s="18">
        <v>1105</v>
      </c>
      <c r="F1373" s="18" t="s">
        <v>35</v>
      </c>
      <c r="J1373" s="19"/>
      <c r="K1373" s="19">
        <v>0.4768</v>
      </c>
      <c r="L1373" s="19">
        <v>0.41437908499999998</v>
      </c>
      <c r="M1373" s="19">
        <v>0.51029999999999998</v>
      </c>
      <c r="N1373" s="19">
        <v>0.19020000000000001</v>
      </c>
      <c r="O1373" s="19">
        <v>0.2442</v>
      </c>
      <c r="P1373" s="19">
        <v>0.3896</v>
      </c>
      <c r="Q1373" s="19"/>
      <c r="R1373" s="20">
        <v>28278</v>
      </c>
      <c r="S1373" s="21" t="str">
        <f>HYPERLINK("https://minnstate.edu/admissions/calculator/msumankato.html", "$20469")</f>
        <v>$20469</v>
      </c>
      <c r="T1373" s="20">
        <v>23265</v>
      </c>
      <c r="U1373" s="20">
        <v>26860</v>
      </c>
      <c r="V1373" s="20">
        <v>2966</v>
      </c>
      <c r="W1373" s="20">
        <v>17503.351800554021</v>
      </c>
      <c r="Y1373" s="19">
        <v>0.26190000000000002</v>
      </c>
      <c r="Z1373" s="19">
        <v>0.27300000000000002</v>
      </c>
      <c r="AB1373" s="18">
        <v>11966</v>
      </c>
      <c r="AC1373" s="18">
        <v>4</v>
      </c>
    </row>
    <row r="1374" spans="1:29" ht="15.75" customHeight="1" x14ac:dyDescent="0.2">
      <c r="A1374" s="36" t="str">
        <f>HYPERLINK("https://www.minotstateu.edu", "Minot State University")</f>
        <v>Minot State University</v>
      </c>
      <c r="B1374" s="18" t="s">
        <v>49</v>
      </c>
      <c r="C1374" s="18" t="s">
        <v>730</v>
      </c>
      <c r="D1374" s="18" t="s">
        <v>976</v>
      </c>
      <c r="E1374" s="18">
        <v>1090</v>
      </c>
      <c r="F1374" s="18" t="s">
        <v>35</v>
      </c>
      <c r="J1374" s="19"/>
      <c r="K1374" s="19">
        <v>0.37009999999999998</v>
      </c>
      <c r="L1374" s="19">
        <v>0.29927007300000003</v>
      </c>
      <c r="M1374" s="19">
        <v>0.37</v>
      </c>
      <c r="N1374" s="19">
        <v>0.375</v>
      </c>
      <c r="O1374" s="19">
        <v>7.6899999999999996E-2</v>
      </c>
      <c r="P1374" s="19">
        <v>0.5</v>
      </c>
      <c r="Q1374" s="19"/>
      <c r="R1374" s="20">
        <v>17754</v>
      </c>
      <c r="S1374" s="21" t="str">
        <f>HYPERLINK("https://www.minotstateu.edu/finaid/net_calc.shtml", "$9925")</f>
        <v>$9925</v>
      </c>
      <c r="T1374" s="20">
        <v>12518</v>
      </c>
      <c r="U1374" s="20">
        <v>14906</v>
      </c>
      <c r="V1374" s="20">
        <v>4600</v>
      </c>
      <c r="W1374" s="20">
        <v>5325</v>
      </c>
      <c r="Y1374" s="19">
        <v>0.2009</v>
      </c>
      <c r="Z1374" s="19">
        <v>0.31059999999999999</v>
      </c>
      <c r="AB1374" s="18">
        <v>2466</v>
      </c>
      <c r="AC1374" s="18">
        <v>4</v>
      </c>
    </row>
    <row r="1375" spans="1:29" ht="15.75" customHeight="1" x14ac:dyDescent="0.2">
      <c r="A1375" s="36" t="str">
        <f>HYPERLINK("https://www.misericordia.edu", "Misericordia University")</f>
        <v>Misericordia University</v>
      </c>
      <c r="B1375" s="18" t="s">
        <v>32</v>
      </c>
      <c r="C1375" s="18" t="s">
        <v>65</v>
      </c>
      <c r="D1375" s="18" t="s">
        <v>152</v>
      </c>
      <c r="E1375" s="18">
        <v>1127</v>
      </c>
      <c r="F1375" s="18" t="s">
        <v>35</v>
      </c>
      <c r="J1375" s="19"/>
      <c r="K1375" s="19">
        <v>0.76090000000000002</v>
      </c>
      <c r="L1375" s="19">
        <v>0.52879581200000003</v>
      </c>
      <c r="M1375" s="19">
        <v>0.75790000000000002</v>
      </c>
      <c r="N1375" s="19">
        <v>1</v>
      </c>
      <c r="O1375" s="19">
        <v>0.77780000000000005</v>
      </c>
      <c r="P1375" s="19">
        <v>0.75</v>
      </c>
      <c r="Q1375" s="19"/>
      <c r="R1375" s="20">
        <v>47460</v>
      </c>
      <c r="S1375" s="21" t="str">
        <f>HYPERLINK("https://www.misericordia.edu/financialaid", "$19306")</f>
        <v>$19306</v>
      </c>
      <c r="T1375" s="20">
        <v>22353</v>
      </c>
      <c r="U1375" s="20">
        <v>26785</v>
      </c>
      <c r="V1375" s="20">
        <v>2250</v>
      </c>
      <c r="W1375" s="20">
        <v>17056</v>
      </c>
      <c r="Y1375" s="19">
        <v>0.26919999999999999</v>
      </c>
      <c r="Z1375" s="19">
        <v>0.13139999999999999</v>
      </c>
      <c r="AB1375" s="18">
        <v>2100</v>
      </c>
      <c r="AC1375" s="18">
        <v>4</v>
      </c>
    </row>
    <row r="1376" spans="1:29" ht="15.75" customHeight="1" x14ac:dyDescent="0.2">
      <c r="A1376" s="36" t="str">
        <f>HYPERLINK("https://www.missioncollege.edu/", "Mission College")</f>
        <v>Mission College</v>
      </c>
      <c r="B1376" s="18" t="s">
        <v>49</v>
      </c>
      <c r="C1376" s="18" t="s">
        <v>68</v>
      </c>
      <c r="D1376" s="18" t="s">
        <v>150</v>
      </c>
      <c r="E1376" s="18" t="s">
        <v>36</v>
      </c>
      <c r="F1376" s="18" t="s">
        <v>36</v>
      </c>
      <c r="J1376" s="19"/>
      <c r="K1376" s="19">
        <v>0.24490000000000001</v>
      </c>
      <c r="L1376" s="19">
        <v>5.1818181999999997E-2</v>
      </c>
      <c r="M1376" s="19">
        <v>0.2286</v>
      </c>
      <c r="N1376" s="19">
        <v>0.1111</v>
      </c>
      <c r="O1376" s="19">
        <v>0.22</v>
      </c>
      <c r="P1376" s="19">
        <v>0.23860000000000001</v>
      </c>
      <c r="Q1376" s="19">
        <v>0.116058394</v>
      </c>
      <c r="R1376" s="20">
        <v>24546</v>
      </c>
      <c r="S1376" s="21" t="str">
        <f>HYPERLINK("https://misweb.cccco.edu/npc/492/npcalc.htm", "$17141")</f>
        <v>$17141</v>
      </c>
      <c r="T1376" s="20">
        <v>19927</v>
      </c>
      <c r="U1376" s="20">
        <v>20858</v>
      </c>
      <c r="V1376" s="20">
        <v>5949</v>
      </c>
      <c r="W1376" s="20">
        <v>11192.37931034483</v>
      </c>
      <c r="Y1376" s="19">
        <v>0.18490000000000001</v>
      </c>
      <c r="Z1376" s="19">
        <v>0.83600000000000008</v>
      </c>
      <c r="AB1376" s="18">
        <v>5993</v>
      </c>
      <c r="AC1376" s="18">
        <v>6</v>
      </c>
    </row>
    <row r="1377" spans="1:29" ht="15.75" customHeight="1" x14ac:dyDescent="0.2">
      <c r="A1377" s="36" t="str">
        <f>HYPERLINK("https://www.mc.edu", "Mississippi College")</f>
        <v>Mississippi College</v>
      </c>
      <c r="B1377" s="18" t="s">
        <v>32</v>
      </c>
      <c r="C1377" s="18" t="s">
        <v>59</v>
      </c>
      <c r="D1377" s="18" t="s">
        <v>118</v>
      </c>
      <c r="E1377" s="18">
        <v>1229</v>
      </c>
      <c r="F1377" s="18" t="s">
        <v>35</v>
      </c>
      <c r="J1377" s="19"/>
      <c r="K1377" s="19">
        <v>0.59189999999999998</v>
      </c>
      <c r="L1377" s="19">
        <v>0.40384615400000001</v>
      </c>
      <c r="M1377" s="19">
        <v>0.6522</v>
      </c>
      <c r="N1377" s="19">
        <v>0.3412</v>
      </c>
      <c r="O1377" s="19">
        <v>0.5</v>
      </c>
      <c r="P1377" s="19">
        <v>1</v>
      </c>
      <c r="Q1377" s="19"/>
      <c r="R1377" s="20">
        <v>32385</v>
      </c>
      <c r="S1377" s="21" t="str">
        <f>HYPERLINK("https://www.mc.edu/npc", "$14830")</f>
        <v>$14830</v>
      </c>
      <c r="T1377" s="20">
        <v>16485</v>
      </c>
      <c r="U1377" s="20">
        <v>18219</v>
      </c>
      <c r="V1377" s="20">
        <v>5383</v>
      </c>
      <c r="W1377" s="20">
        <v>9447</v>
      </c>
      <c r="Y1377" s="19">
        <v>0.29349999999999998</v>
      </c>
      <c r="Z1377" s="19">
        <v>0.30059999999999998</v>
      </c>
      <c r="AB1377" s="18">
        <v>3041</v>
      </c>
      <c r="AC1377" s="18">
        <v>4</v>
      </c>
    </row>
    <row r="1378" spans="1:29" ht="15.75" customHeight="1" x14ac:dyDescent="0.2">
      <c r="A1378" s="36" t="str">
        <f>HYPERLINK("https://www.msdelta.edu/", "Mississippi Delta Community College")</f>
        <v>Mississippi Delta Community College</v>
      </c>
      <c r="B1378" s="18" t="s">
        <v>49</v>
      </c>
      <c r="C1378" s="18" t="s">
        <v>59</v>
      </c>
      <c r="D1378" s="18" t="s">
        <v>679</v>
      </c>
      <c r="E1378" s="18" t="s">
        <v>36</v>
      </c>
      <c r="F1378" s="18" t="s">
        <v>36</v>
      </c>
      <c r="J1378" s="19"/>
      <c r="K1378" s="19">
        <v>0.3599</v>
      </c>
      <c r="L1378" s="19">
        <v>6.0374150000000001E-2</v>
      </c>
      <c r="M1378" s="19">
        <v>0.44230000000000003</v>
      </c>
      <c r="N1378" s="19">
        <v>0.32529999999999998</v>
      </c>
      <c r="O1378" s="19">
        <v>0.54549999999999998</v>
      </c>
      <c r="P1378" s="19">
        <v>0</v>
      </c>
      <c r="Q1378" s="19">
        <v>9.6252754999999995E-2</v>
      </c>
      <c r="R1378" s="20">
        <v>10718</v>
      </c>
      <c r="S1378" s="21" t="str">
        <f>HYPERLINK("https://www.msdelta.edu/index.php/net-price-calculator", "$4965")</f>
        <v>$4965</v>
      </c>
      <c r="T1378" s="20">
        <v>5550</v>
      </c>
      <c r="U1378" s="20">
        <v>5590</v>
      </c>
      <c r="V1378" s="20">
        <v>3200</v>
      </c>
      <c r="W1378" s="20">
        <v>1765.6473429951691</v>
      </c>
      <c r="Y1378" s="19">
        <v>0.70099999999999996</v>
      </c>
      <c r="Z1378" s="19">
        <v>0.71879999999999999</v>
      </c>
      <c r="AB1378" s="18">
        <v>2034</v>
      </c>
      <c r="AC1378" s="18">
        <v>6</v>
      </c>
    </row>
    <row r="1379" spans="1:29" ht="15.75" customHeight="1" x14ac:dyDescent="0.2">
      <c r="A1379" s="36" t="str">
        <f>HYPERLINK("https://www.mgccc.edu", "Mississippi Gulf Coast Community College")</f>
        <v>Mississippi Gulf Coast Community College</v>
      </c>
      <c r="B1379" s="18" t="s">
        <v>49</v>
      </c>
      <c r="C1379" s="18" t="s">
        <v>59</v>
      </c>
      <c r="D1379" s="18" t="s">
        <v>1533</v>
      </c>
      <c r="E1379" s="18" t="s">
        <v>36</v>
      </c>
      <c r="F1379" s="18" t="s">
        <v>36</v>
      </c>
      <c r="J1379" s="19"/>
      <c r="K1379" s="19">
        <v>0.35560000000000003</v>
      </c>
      <c r="L1379" s="19">
        <v>4.9271637E-2</v>
      </c>
      <c r="M1379" s="19">
        <v>0.37959999999999999</v>
      </c>
      <c r="N1379" s="19">
        <v>0.29099999999999998</v>
      </c>
      <c r="O1379" s="19">
        <v>0.4</v>
      </c>
      <c r="P1379" s="19">
        <v>0.42109999999999997</v>
      </c>
      <c r="Q1379" s="19">
        <v>0.113754193</v>
      </c>
      <c r="R1379" s="20">
        <v>15220</v>
      </c>
      <c r="S1379" s="21" t="str">
        <f>HYPERLINK("https://mgccc.edu/enroll/financial-aid/net-price-calculator/", "$9233")</f>
        <v>$9233</v>
      </c>
      <c r="T1379" s="20">
        <v>11921</v>
      </c>
      <c r="U1379" s="20">
        <v>13799</v>
      </c>
      <c r="V1379" s="20">
        <v>3750</v>
      </c>
      <c r="W1379" s="20">
        <v>5483.0782122905039</v>
      </c>
      <c r="Y1379" s="19">
        <v>0.48680000000000001</v>
      </c>
      <c r="Z1379" s="19">
        <v>0.38800000000000001</v>
      </c>
      <c r="AB1379" s="18">
        <v>7858</v>
      </c>
      <c r="AC1379" s="18">
        <v>6</v>
      </c>
    </row>
    <row r="1380" spans="1:29" ht="15.75" customHeight="1" x14ac:dyDescent="0.2">
      <c r="A1380" s="36" t="str">
        <f>HYPERLINK("https://www.msstate.edu", "Mississippi State University")</f>
        <v>Mississippi State University</v>
      </c>
      <c r="B1380" s="18" t="s">
        <v>49</v>
      </c>
      <c r="C1380" s="18" t="s">
        <v>59</v>
      </c>
      <c r="D1380" s="18" t="s">
        <v>980</v>
      </c>
      <c r="E1380" s="18">
        <v>1195</v>
      </c>
      <c r="F1380" s="18" t="s">
        <v>35</v>
      </c>
      <c r="J1380" s="19"/>
      <c r="K1380" s="19">
        <v>0.57899999999999996</v>
      </c>
      <c r="L1380" s="19">
        <v>0.44746787599999999</v>
      </c>
      <c r="M1380" s="19">
        <v>0.66120000000000001</v>
      </c>
      <c r="N1380" s="19">
        <v>0.3846</v>
      </c>
      <c r="O1380" s="19">
        <v>0.53449999999999998</v>
      </c>
      <c r="P1380" s="19">
        <v>0.74360000000000004</v>
      </c>
      <c r="Q1380" s="19"/>
      <c r="R1380" s="20">
        <v>38410</v>
      </c>
      <c r="S1380" s="21" t="str">
        <f>HYPERLINK("https://tcc.noellevitz.com/%28S%28e2egpuxdatl2c35cpxwfecks%29%29/Mississippi%20State%20University/Freshman-Students", "$29006")</f>
        <v>$29006</v>
      </c>
      <c r="T1380" s="20">
        <v>33347</v>
      </c>
      <c r="U1380" s="20">
        <v>34351</v>
      </c>
      <c r="V1380" s="20">
        <v>6438</v>
      </c>
      <c r="W1380" s="20">
        <v>22568</v>
      </c>
      <c r="Y1380" s="19">
        <v>0.31850000000000001</v>
      </c>
      <c r="Z1380" s="19">
        <v>0.27910000000000001</v>
      </c>
      <c r="AB1380" s="18">
        <v>17723</v>
      </c>
      <c r="AC1380" s="18">
        <v>4</v>
      </c>
    </row>
    <row r="1381" spans="1:29" ht="15.75" customHeight="1" x14ac:dyDescent="0.2">
      <c r="A1381" s="36" t="str">
        <f>HYPERLINK("https://www.muw.edu", "Mississippi University for Women")</f>
        <v>Mississippi University for Women</v>
      </c>
      <c r="B1381" s="18" t="s">
        <v>49</v>
      </c>
      <c r="C1381" s="18" t="s">
        <v>59</v>
      </c>
      <c r="D1381" s="18" t="s">
        <v>237</v>
      </c>
      <c r="E1381" s="18">
        <v>1046</v>
      </c>
      <c r="F1381" s="18" t="s">
        <v>35</v>
      </c>
      <c r="J1381" s="19"/>
      <c r="K1381" s="19">
        <v>0.43819999999999998</v>
      </c>
      <c r="L1381" s="19">
        <v>0.42635658900000001</v>
      </c>
      <c r="M1381" s="19">
        <v>0.48720000000000002</v>
      </c>
      <c r="N1381" s="19">
        <v>0.39329999999999998</v>
      </c>
      <c r="O1381" s="19">
        <v>0.5</v>
      </c>
      <c r="P1381" s="19">
        <v>0</v>
      </c>
      <c r="Q1381" s="19"/>
      <c r="R1381" s="20">
        <v>30687</v>
      </c>
      <c r="S1381" s="21" t="str">
        <f>HYPERLINK("https://www.muw.edu/finaid/freshmancalculator", "$22373")</f>
        <v>$22373</v>
      </c>
      <c r="T1381" s="20">
        <v>23927</v>
      </c>
      <c r="U1381" s="20">
        <v>26874</v>
      </c>
      <c r="V1381" s="20">
        <v>5500</v>
      </c>
      <c r="W1381" s="20">
        <v>16873.505617977531</v>
      </c>
      <c r="Y1381" s="19">
        <v>0.4128</v>
      </c>
      <c r="Z1381" s="19">
        <v>0.43869999999999998</v>
      </c>
      <c r="AB1381" s="18">
        <v>2302</v>
      </c>
      <c r="AC1381" s="18">
        <v>5</v>
      </c>
    </row>
    <row r="1382" spans="1:29" ht="15.75" customHeight="1" x14ac:dyDescent="0.2">
      <c r="A1382" s="36" t="str">
        <f>HYPERLINK("https://www.mvsu.edu", "Mississippi Valley State University")</f>
        <v>Mississippi Valley State University</v>
      </c>
      <c r="B1382" s="18" t="s">
        <v>49</v>
      </c>
      <c r="C1382" s="18" t="s">
        <v>59</v>
      </c>
      <c r="D1382" s="18" t="s">
        <v>785</v>
      </c>
      <c r="E1382" s="18">
        <v>930</v>
      </c>
      <c r="F1382" s="18" t="s">
        <v>35</v>
      </c>
      <c r="J1382" s="19"/>
      <c r="K1382" s="19">
        <v>0.3</v>
      </c>
      <c r="L1382" s="19">
        <v>0.23954983899999999</v>
      </c>
      <c r="M1382" s="19">
        <v>0</v>
      </c>
      <c r="N1382" s="19">
        <v>0.33729999999999999</v>
      </c>
      <c r="O1382" s="19">
        <v>0</v>
      </c>
      <c r="P1382" s="19" t="s">
        <v>36</v>
      </c>
      <c r="Q1382" s="19"/>
      <c r="R1382" s="20">
        <v>19986</v>
      </c>
      <c r="S1382" s="21" t="str">
        <f>HYPERLINK("https://sutton2.mvsu.edu/npcalc.htm", "$14549")</f>
        <v>$14549</v>
      </c>
      <c r="T1382" s="20">
        <v>8141</v>
      </c>
      <c r="U1382" s="20">
        <v>16843</v>
      </c>
      <c r="V1382" s="20">
        <v>5800</v>
      </c>
      <c r="W1382" s="20">
        <v>8749.5042253521133</v>
      </c>
      <c r="Y1382" s="19">
        <v>0.67830000000000001</v>
      </c>
      <c r="Z1382" s="19">
        <v>0.97309999999999997</v>
      </c>
      <c r="AB1382" s="18">
        <v>1713</v>
      </c>
      <c r="AC1382" s="18">
        <v>5</v>
      </c>
    </row>
    <row r="1383" spans="1:29" ht="15.75" customHeight="1" x14ac:dyDescent="0.2">
      <c r="A1383" s="36" t="str">
        <f>HYPERLINK("https://www.mobap.edu", "Missouri Baptist University")</f>
        <v>Missouri Baptist University</v>
      </c>
      <c r="B1383" s="18" t="s">
        <v>32</v>
      </c>
      <c r="C1383" s="18" t="s">
        <v>164</v>
      </c>
      <c r="D1383" s="18" t="s">
        <v>179</v>
      </c>
      <c r="E1383" s="18">
        <v>1041</v>
      </c>
      <c r="F1383" s="18" t="s">
        <v>35</v>
      </c>
      <c r="J1383" s="19"/>
      <c r="K1383" s="19">
        <v>0.37719999999999998</v>
      </c>
      <c r="L1383" s="19">
        <v>0.37551020400000001</v>
      </c>
      <c r="M1383" s="19">
        <v>0.44579999999999997</v>
      </c>
      <c r="N1383" s="19">
        <v>0.18920000000000001</v>
      </c>
      <c r="O1383" s="19">
        <v>0</v>
      </c>
      <c r="P1383" s="19">
        <v>0</v>
      </c>
      <c r="Q1383" s="19"/>
      <c r="R1383" s="20">
        <v>41185</v>
      </c>
      <c r="S1383" s="21" t="str">
        <f>HYPERLINK("https://www.mobap.edu/freshmannetcostcalculator/", "$16264")</f>
        <v>$16264</v>
      </c>
      <c r="T1383" s="20">
        <v>19145</v>
      </c>
      <c r="U1383" s="20">
        <v>22303</v>
      </c>
      <c r="V1383" s="20">
        <v>4060</v>
      </c>
      <c r="W1383" s="20">
        <v>12204</v>
      </c>
      <c r="Y1383" s="19">
        <v>0.18049999999999999</v>
      </c>
      <c r="Z1383" s="19">
        <v>0.2732</v>
      </c>
      <c r="AB1383" s="18">
        <v>1819</v>
      </c>
      <c r="AC1383" s="18">
        <v>4</v>
      </c>
    </row>
    <row r="1384" spans="1:29" ht="15.75" customHeight="1" x14ac:dyDescent="0.2">
      <c r="A1384" s="36" t="str">
        <f>HYPERLINK("https://www.mssu.edu", "Missouri Southern State University")</f>
        <v>Missouri Southern State University</v>
      </c>
      <c r="B1384" s="18" t="s">
        <v>49</v>
      </c>
      <c r="C1384" s="18" t="s">
        <v>164</v>
      </c>
      <c r="D1384" s="18" t="s">
        <v>981</v>
      </c>
      <c r="E1384" s="18">
        <v>1085</v>
      </c>
      <c r="F1384" s="18" t="s">
        <v>35</v>
      </c>
      <c r="J1384" s="19"/>
      <c r="K1384" s="19">
        <v>0.33189999999999997</v>
      </c>
      <c r="L1384" s="19">
        <v>0.30218446599999998</v>
      </c>
      <c r="M1384" s="19">
        <v>0.34279999999999999</v>
      </c>
      <c r="N1384" s="19">
        <v>0.36170000000000002</v>
      </c>
      <c r="O1384" s="19">
        <v>0.25</v>
      </c>
      <c r="P1384" s="19">
        <v>0.4667</v>
      </c>
      <c r="Q1384" s="19"/>
      <c r="R1384" s="20">
        <v>22621</v>
      </c>
      <c r="S1384" s="21" t="str">
        <f>HYPERLINK("https://www.mssu.edu/student-affairs/financial-aid/npcalc.htm", "$15611")</f>
        <v>$15611</v>
      </c>
      <c r="T1384" s="20">
        <v>18462</v>
      </c>
      <c r="U1384" s="20">
        <v>19832</v>
      </c>
      <c r="V1384" s="20">
        <v>4152</v>
      </c>
      <c r="W1384" s="20">
        <v>11459.96394230769</v>
      </c>
      <c r="Y1384" s="19">
        <v>0.44469999999999998</v>
      </c>
      <c r="Z1384" s="19">
        <v>0.25640000000000002</v>
      </c>
      <c r="AB1384" s="18">
        <v>5426</v>
      </c>
      <c r="AC1384" s="18">
        <v>4</v>
      </c>
    </row>
    <row r="1385" spans="1:29" ht="15.75" customHeight="1" x14ac:dyDescent="0.2">
      <c r="A1385" s="36" t="str">
        <f>HYPERLINK("https://www.missouristate.edu", "Missouri State University-Springfield")</f>
        <v>Missouri State University-Springfield</v>
      </c>
      <c r="B1385" s="18" t="s">
        <v>49</v>
      </c>
      <c r="C1385" s="18" t="s">
        <v>164</v>
      </c>
      <c r="D1385" s="18" t="s">
        <v>349</v>
      </c>
      <c r="E1385" s="18">
        <v>1164</v>
      </c>
      <c r="F1385" s="18" t="s">
        <v>35</v>
      </c>
      <c r="J1385" s="19"/>
      <c r="K1385" s="19">
        <v>0.54910000000000003</v>
      </c>
      <c r="L1385" s="19">
        <v>0.431677019</v>
      </c>
      <c r="M1385" s="19">
        <v>0.5595</v>
      </c>
      <c r="N1385" s="19">
        <v>0.45190000000000002</v>
      </c>
      <c r="O1385" s="19">
        <v>0.48649999999999999</v>
      </c>
      <c r="P1385" s="19">
        <v>0.5</v>
      </c>
      <c r="Q1385" s="19"/>
      <c r="R1385" s="20">
        <v>28502</v>
      </c>
      <c r="S1385" s="21" t="str">
        <f>HYPERLINK("https://missouristate.studentaidcalculator.com/welcome.aspx", "$20666")</f>
        <v>$20666</v>
      </c>
      <c r="T1385" s="20">
        <v>23372</v>
      </c>
      <c r="U1385" s="20">
        <v>25184</v>
      </c>
      <c r="V1385" s="20">
        <v>5219</v>
      </c>
      <c r="W1385" s="20">
        <v>15447.17410071943</v>
      </c>
      <c r="Y1385" s="19">
        <v>0.2913</v>
      </c>
      <c r="Z1385" s="19">
        <v>0.18759999999999999</v>
      </c>
      <c r="AB1385" s="18">
        <v>17371</v>
      </c>
      <c r="AC1385" s="18">
        <v>3</v>
      </c>
    </row>
    <row r="1386" spans="1:29" ht="15.75" customHeight="1" x14ac:dyDescent="0.2">
      <c r="A1386" s="36" t="str">
        <f>HYPERLINK("https://www.wp.missouristate.edu", "Missouri State University-West Plains")</f>
        <v>Missouri State University-West Plains</v>
      </c>
      <c r="B1386" s="18" t="s">
        <v>49</v>
      </c>
      <c r="C1386" s="18" t="s">
        <v>164</v>
      </c>
      <c r="D1386" s="18" t="s">
        <v>1534</v>
      </c>
      <c r="E1386" s="18" t="s">
        <v>36</v>
      </c>
      <c r="F1386" s="18" t="s">
        <v>36</v>
      </c>
      <c r="J1386" s="19"/>
      <c r="K1386" s="19">
        <v>0.20530000000000001</v>
      </c>
      <c r="L1386" s="19">
        <v>0.177165354</v>
      </c>
      <c r="M1386" s="19">
        <v>0.20810000000000001</v>
      </c>
      <c r="N1386" s="19">
        <v>0.16</v>
      </c>
      <c r="O1386" s="19">
        <v>0.25</v>
      </c>
      <c r="P1386" s="19">
        <v>0</v>
      </c>
      <c r="Q1386" s="19">
        <v>8.045977E-2</v>
      </c>
      <c r="R1386" s="20">
        <v>18034</v>
      </c>
      <c r="S1386" s="21" t="str">
        <f>HYPERLINK("https://grizzlyden.missouristate.edu:9010/npcalc.htm", "$12493")</f>
        <v>$12493</v>
      </c>
      <c r="T1386" s="20">
        <v>10730</v>
      </c>
      <c r="U1386" s="20">
        <v>18034</v>
      </c>
      <c r="V1386" s="20">
        <v>4174</v>
      </c>
      <c r="W1386" s="20">
        <v>8319.2754716981144</v>
      </c>
      <c r="Y1386" s="19">
        <v>0.45800000000000002</v>
      </c>
      <c r="Z1386" s="19">
        <v>0.16189999999999999</v>
      </c>
      <c r="AB1386" s="18">
        <v>1229</v>
      </c>
      <c r="AC1386" s="18">
        <v>6</v>
      </c>
    </row>
    <row r="1387" spans="1:29" ht="15.75" customHeight="1" x14ac:dyDescent="0.2">
      <c r="A1387" s="36" t="str">
        <f>HYPERLINK("https://www.mst.edu/", "Missouri University of Science and Technology")</f>
        <v>Missouri University of Science and Technology</v>
      </c>
      <c r="B1387" s="18" t="s">
        <v>49</v>
      </c>
      <c r="C1387" s="18" t="s">
        <v>164</v>
      </c>
      <c r="D1387" s="18" t="s">
        <v>420</v>
      </c>
      <c r="E1387" s="18">
        <v>1323</v>
      </c>
      <c r="F1387" s="18" t="s">
        <v>35</v>
      </c>
      <c r="J1387" s="19"/>
      <c r="K1387" s="19">
        <v>0.64129999999999998</v>
      </c>
      <c r="L1387" s="19">
        <v>0.47619047599999997</v>
      </c>
      <c r="M1387" s="19">
        <v>0.65329999999999999</v>
      </c>
      <c r="N1387" s="19">
        <v>0.4884</v>
      </c>
      <c r="O1387" s="19">
        <v>0.4667</v>
      </c>
      <c r="P1387" s="19">
        <v>0.8125</v>
      </c>
      <c r="Q1387" s="19"/>
      <c r="R1387" s="20">
        <v>38684</v>
      </c>
      <c r="S1387" s="21" t="str">
        <f>HYPERLINK("https://sfa.mst.edu/", "$27302")</f>
        <v>$27302</v>
      </c>
      <c r="T1387" s="20">
        <v>31088</v>
      </c>
      <c r="U1387" s="20">
        <v>33212</v>
      </c>
      <c r="V1387" s="20">
        <v>2672</v>
      </c>
      <c r="W1387" s="20">
        <v>24630.448132780079</v>
      </c>
      <c r="Y1387" s="19">
        <v>0.24729999999999999</v>
      </c>
      <c r="Z1387" s="19">
        <v>0.18920000000000001</v>
      </c>
      <c r="AB1387" s="18">
        <v>6872</v>
      </c>
      <c r="AC1387" s="18">
        <v>3</v>
      </c>
    </row>
    <row r="1388" spans="1:29" ht="15.75" customHeight="1" x14ac:dyDescent="0.2">
      <c r="A1388" s="36" t="str">
        <f>HYPERLINK("https://www.moval.edu", "Missouri Valley College")</f>
        <v>Missouri Valley College</v>
      </c>
      <c r="B1388" s="18" t="s">
        <v>32</v>
      </c>
      <c r="C1388" s="18" t="s">
        <v>164</v>
      </c>
      <c r="D1388" s="18" t="s">
        <v>709</v>
      </c>
      <c r="E1388" s="18" t="s">
        <v>36</v>
      </c>
      <c r="F1388" s="18" t="s">
        <v>90</v>
      </c>
      <c r="J1388" s="19"/>
      <c r="K1388" s="19">
        <v>0.2853</v>
      </c>
      <c r="L1388" s="19">
        <v>0.248962656</v>
      </c>
      <c r="M1388" s="19">
        <v>0.30170000000000002</v>
      </c>
      <c r="N1388" s="19">
        <v>0.18990000000000001</v>
      </c>
      <c r="O1388" s="19">
        <v>0.30430000000000001</v>
      </c>
      <c r="P1388" s="19">
        <v>0</v>
      </c>
      <c r="Q1388" s="19"/>
      <c r="R1388" s="20">
        <v>33830</v>
      </c>
      <c r="S1388" s="21" t="str">
        <f>HYPERLINK("https://npc.collegeboard.org/student/app/moval", "$16619")</f>
        <v>$16619</v>
      </c>
      <c r="T1388" s="20">
        <v>19660</v>
      </c>
      <c r="U1388" s="20">
        <v>20504</v>
      </c>
      <c r="V1388" s="20">
        <v>4880</v>
      </c>
      <c r="W1388" s="20">
        <v>11739</v>
      </c>
      <c r="Y1388" s="19">
        <v>0.37669999999999998</v>
      </c>
      <c r="Z1388" s="19">
        <v>0.5403</v>
      </c>
      <c r="AB1388" s="18">
        <v>1329</v>
      </c>
      <c r="AC1388" s="18">
        <v>4</v>
      </c>
    </row>
    <row r="1389" spans="1:29" ht="15.75" customHeight="1" x14ac:dyDescent="0.2">
      <c r="A1389" s="36" t="str">
        <f>HYPERLINK("https://www.missouriwestern.edu", "Missouri Western State University")</f>
        <v>Missouri Western State University</v>
      </c>
      <c r="B1389" s="18" t="s">
        <v>49</v>
      </c>
      <c r="C1389" s="18" t="s">
        <v>164</v>
      </c>
      <c r="D1389" s="18" t="s">
        <v>336</v>
      </c>
      <c r="E1389" s="18" t="s">
        <v>36</v>
      </c>
      <c r="F1389" s="18" t="s">
        <v>36</v>
      </c>
      <c r="J1389" s="19"/>
      <c r="K1389" s="19">
        <v>0.29380000000000001</v>
      </c>
      <c r="L1389" s="19">
        <v>0.20463320500000001</v>
      </c>
      <c r="M1389" s="19">
        <v>0.30809999999999998</v>
      </c>
      <c r="N1389" s="19">
        <v>0.10589999999999999</v>
      </c>
      <c r="O1389" s="19">
        <v>0.25</v>
      </c>
      <c r="P1389" s="19">
        <v>0.71430000000000005</v>
      </c>
      <c r="Q1389" s="19"/>
      <c r="R1389" s="20">
        <v>25860</v>
      </c>
      <c r="S1389" s="21" t="str">
        <f>HYPERLINK("https://forms.missouriwestern.edu/finaid/npcalc1.htm", "$16883")</f>
        <v>$16883</v>
      </c>
      <c r="T1389" s="20">
        <v>19465</v>
      </c>
      <c r="U1389" s="20">
        <v>22353</v>
      </c>
      <c r="V1389" s="20">
        <v>3665</v>
      </c>
      <c r="W1389" s="20">
        <v>13218.162544169611</v>
      </c>
      <c r="Y1389" s="19">
        <v>0.36330000000000001</v>
      </c>
      <c r="Z1389" s="19">
        <v>0.23330000000000001</v>
      </c>
      <c r="AB1389" s="18">
        <v>4171</v>
      </c>
      <c r="AC1389" s="18">
        <v>5</v>
      </c>
    </row>
    <row r="1390" spans="1:29" ht="15.75" customHeight="1" x14ac:dyDescent="0.2">
      <c r="A1390" s="36" t="str">
        <f>HYPERLINK("https://www.mitchell.edu", "Mitchell College")</f>
        <v>Mitchell College</v>
      </c>
      <c r="B1390" s="18" t="s">
        <v>32</v>
      </c>
      <c r="C1390" s="18" t="s">
        <v>94</v>
      </c>
      <c r="D1390" s="18" t="s">
        <v>95</v>
      </c>
      <c r="E1390" s="18" t="s">
        <v>36</v>
      </c>
      <c r="F1390" s="18" t="s">
        <v>45</v>
      </c>
      <c r="J1390" s="19"/>
      <c r="K1390" s="19">
        <v>0.39579999999999999</v>
      </c>
      <c r="L1390" s="19">
        <v>0.37647058799999999</v>
      </c>
      <c r="M1390" s="19">
        <v>0.47199999999999998</v>
      </c>
      <c r="N1390" s="19">
        <v>0.17860000000000001</v>
      </c>
      <c r="O1390" s="19">
        <v>0.28000000000000003</v>
      </c>
      <c r="P1390" s="19">
        <v>0.33329999999999999</v>
      </c>
      <c r="Q1390" s="19"/>
      <c r="R1390" s="20">
        <v>49592</v>
      </c>
      <c r="S1390" s="21" t="str">
        <f>HYPERLINK("https://community.mitchell.edu/CostCalculator", "$18478")</f>
        <v>$18478</v>
      </c>
      <c r="T1390" s="20">
        <v>24246</v>
      </c>
      <c r="U1390" s="20">
        <v>27221</v>
      </c>
      <c r="V1390" s="20">
        <v>4400</v>
      </c>
      <c r="W1390" s="20">
        <v>14078</v>
      </c>
      <c r="Y1390" s="19">
        <v>0.33090000000000003</v>
      </c>
      <c r="Z1390" s="19">
        <v>0.46679999999999999</v>
      </c>
      <c r="AB1390" s="18">
        <v>617</v>
      </c>
      <c r="AC1390" s="18">
        <v>4</v>
      </c>
    </row>
    <row r="1391" spans="1:29" ht="15.75" customHeight="1" x14ac:dyDescent="0.2">
      <c r="A1391" s="36" t="str">
        <f>HYPERLINK("https://mitchellcc.edu", "Mitchell Community College")</f>
        <v>Mitchell Community College</v>
      </c>
      <c r="B1391" s="18" t="s">
        <v>49</v>
      </c>
      <c r="C1391" s="18" t="s">
        <v>103</v>
      </c>
      <c r="D1391" s="18" t="s">
        <v>1535</v>
      </c>
      <c r="E1391" s="18" t="s">
        <v>36</v>
      </c>
      <c r="F1391" s="18" t="s">
        <v>36</v>
      </c>
      <c r="J1391" s="19"/>
      <c r="K1391" s="19">
        <v>0.2477</v>
      </c>
      <c r="L1391" s="19">
        <v>0.17663817700000001</v>
      </c>
      <c r="M1391" s="19">
        <v>0.27429999999999999</v>
      </c>
      <c r="N1391" s="19">
        <v>0.1351</v>
      </c>
      <c r="O1391" s="19">
        <v>0.1875</v>
      </c>
      <c r="P1391" s="19">
        <v>0.3</v>
      </c>
      <c r="Q1391" s="19">
        <v>4.8218029000000003E-2</v>
      </c>
      <c r="R1391" s="20">
        <v>26747</v>
      </c>
      <c r="S1391" s="21" t="str">
        <f>HYPERLINK("https://mitchellcc.edu/tuition-calculator", "$21251")</f>
        <v>$21251</v>
      </c>
      <c r="T1391" s="20">
        <v>21433</v>
      </c>
      <c r="U1391" s="20">
        <v>25332</v>
      </c>
      <c r="V1391" s="20">
        <v>7206</v>
      </c>
      <c r="W1391" s="20">
        <v>14045.707692307689</v>
      </c>
      <c r="Y1391" s="19">
        <v>0.33090000000000003</v>
      </c>
      <c r="Z1391" s="19">
        <v>0.30549999999999999</v>
      </c>
      <c r="AB1391" s="18">
        <v>2000</v>
      </c>
      <c r="AC1391" s="18">
        <v>6</v>
      </c>
    </row>
    <row r="1392" spans="1:29" ht="15.75" customHeight="1" x14ac:dyDescent="0.2">
      <c r="A1392" s="36" t="str">
        <f>HYPERLINK("https://www.mitchelltech.edu", "Mitchell Technical Institute")</f>
        <v>Mitchell Technical Institute</v>
      </c>
      <c r="B1392" s="18" t="s">
        <v>49</v>
      </c>
      <c r="C1392" s="18" t="s">
        <v>302</v>
      </c>
      <c r="D1392" s="18" t="s">
        <v>698</v>
      </c>
      <c r="E1392" s="18" t="s">
        <v>36</v>
      </c>
      <c r="F1392" s="18" t="s">
        <v>36</v>
      </c>
      <c r="J1392" s="19"/>
      <c r="K1392" s="19">
        <v>0.68389999999999995</v>
      </c>
      <c r="L1392" s="19">
        <v>0.56016597499999998</v>
      </c>
      <c r="M1392" s="19">
        <v>0.69779999999999998</v>
      </c>
      <c r="N1392" s="19" t="s">
        <v>36</v>
      </c>
      <c r="O1392" s="19">
        <v>0</v>
      </c>
      <c r="P1392" s="19">
        <v>1</v>
      </c>
      <c r="Q1392" s="19">
        <v>2.2044088E-2</v>
      </c>
      <c r="R1392" s="20">
        <v>15992</v>
      </c>
      <c r="S1392" s="21" t="str">
        <f>HYPERLINK("https://www.mitchelltech.edu/admissions/financial-aid-options/net-price-calculator", "$10070")</f>
        <v>$10070</v>
      </c>
      <c r="T1392" s="20">
        <v>13947</v>
      </c>
      <c r="U1392" s="20">
        <v>14860</v>
      </c>
      <c r="V1392" s="20">
        <v>3400</v>
      </c>
      <c r="W1392" s="20">
        <v>6670.0873786407756</v>
      </c>
      <c r="Y1392" s="19">
        <v>0.2737</v>
      </c>
      <c r="Z1392" s="19">
        <v>0.10249999999999999</v>
      </c>
      <c r="AB1392" s="18">
        <v>1005</v>
      </c>
      <c r="AC1392" s="18">
        <v>6</v>
      </c>
    </row>
    <row r="1393" spans="1:29" ht="15.75" customHeight="1" x14ac:dyDescent="0.2">
      <c r="A1393" s="36" t="str">
        <f>HYPERLINK("https://www.macc.edu", "Moberly Area Community College")</f>
        <v>Moberly Area Community College</v>
      </c>
      <c r="B1393" s="18" t="s">
        <v>49</v>
      </c>
      <c r="C1393" s="18" t="s">
        <v>164</v>
      </c>
      <c r="D1393" s="18" t="s">
        <v>1536</v>
      </c>
      <c r="E1393" s="18" t="s">
        <v>36</v>
      </c>
      <c r="F1393" s="18" t="s">
        <v>36</v>
      </c>
      <c r="J1393" s="19"/>
      <c r="K1393" s="19">
        <v>0.30180000000000001</v>
      </c>
      <c r="L1393" s="19">
        <v>0.15931721200000001</v>
      </c>
      <c r="M1393" s="19">
        <v>0.31769999999999998</v>
      </c>
      <c r="N1393" s="19">
        <v>0.125</v>
      </c>
      <c r="O1393" s="19">
        <v>0.25929999999999997</v>
      </c>
      <c r="P1393" s="19">
        <v>0.21429999999999999</v>
      </c>
      <c r="Q1393" s="19">
        <v>0.102892366</v>
      </c>
      <c r="R1393" s="20">
        <v>15866</v>
      </c>
      <c r="S1393" s="21" t="str">
        <f>HYPERLINK("https://my.macc.edu/ics/Admissions/Admissions_Homepage.jnz?portlet=Net_Price_Calculator", "$10505")</f>
        <v>$10505</v>
      </c>
      <c r="T1393" s="20">
        <v>12026</v>
      </c>
      <c r="U1393" s="20">
        <v>13757</v>
      </c>
      <c r="V1393" s="20">
        <v>3434</v>
      </c>
      <c r="W1393" s="20">
        <v>7071.3843749999996</v>
      </c>
      <c r="Y1393" s="19">
        <v>0.44619999999999999</v>
      </c>
      <c r="Z1393" s="19">
        <v>0.22389999999999999</v>
      </c>
      <c r="AB1393" s="18">
        <v>3635</v>
      </c>
      <c r="AC1393" s="18">
        <v>6</v>
      </c>
    </row>
    <row r="1394" spans="1:29" ht="15.75" customHeight="1" x14ac:dyDescent="0.2">
      <c r="A1394" s="36" t="str">
        <f>HYPERLINK("https://www.mjc.edu", "Modesto Junior College")</f>
        <v>Modesto Junior College</v>
      </c>
      <c r="B1394" s="18" t="s">
        <v>49</v>
      </c>
      <c r="C1394" s="18" t="s">
        <v>68</v>
      </c>
      <c r="D1394" s="18" t="s">
        <v>745</v>
      </c>
      <c r="E1394" s="18" t="s">
        <v>36</v>
      </c>
      <c r="F1394" s="18" t="s">
        <v>36</v>
      </c>
      <c r="J1394" s="19"/>
      <c r="K1394" s="19">
        <v>0.1888</v>
      </c>
      <c r="L1394" s="19">
        <v>7.4958124000000001E-2</v>
      </c>
      <c r="M1394" s="19">
        <v>0.21099999999999999</v>
      </c>
      <c r="N1394" s="19">
        <v>8.5699999999999998E-2</v>
      </c>
      <c r="O1394" s="19">
        <v>0.17050000000000001</v>
      </c>
      <c r="P1394" s="19">
        <v>0.1875</v>
      </c>
      <c r="Q1394" s="19">
        <v>9.1193983000000006E-2</v>
      </c>
      <c r="R1394" s="20">
        <v>24589</v>
      </c>
      <c r="S1394" s="21" t="str">
        <f>HYPERLINK("https://misweb.cccco.edu/npc/592/npcalc.htm", "$17997")</f>
        <v>$17997</v>
      </c>
      <c r="T1394" s="20">
        <v>20645</v>
      </c>
      <c r="U1394" s="20">
        <v>22014</v>
      </c>
      <c r="V1394" s="20">
        <v>5841</v>
      </c>
      <c r="W1394" s="20">
        <v>12156.536842105261</v>
      </c>
      <c r="Y1394" s="19">
        <v>0.37509999999999999</v>
      </c>
      <c r="Z1394" s="19">
        <v>0.63660000000000005</v>
      </c>
      <c r="AB1394" s="18">
        <v>16425</v>
      </c>
      <c r="AC1394" s="18">
        <v>6</v>
      </c>
    </row>
    <row r="1395" spans="1:29" ht="15.75" customHeight="1" x14ac:dyDescent="0.2">
      <c r="A1395" s="36" t="str">
        <f>HYPERLINK("https://www.mohave.edu", "Mohave Community College")</f>
        <v>Mohave Community College</v>
      </c>
      <c r="B1395" s="18" t="s">
        <v>49</v>
      </c>
      <c r="C1395" s="18" t="s">
        <v>354</v>
      </c>
      <c r="D1395" s="18" t="s">
        <v>1537</v>
      </c>
      <c r="E1395" s="18" t="s">
        <v>36</v>
      </c>
      <c r="F1395" s="18" t="s">
        <v>36</v>
      </c>
      <c r="J1395" s="19"/>
      <c r="K1395" s="19">
        <v>0.13950000000000001</v>
      </c>
      <c r="L1395" s="19">
        <v>0.163265306</v>
      </c>
      <c r="M1395" s="19">
        <v>0.15890000000000001</v>
      </c>
      <c r="N1395" s="19" t="s">
        <v>36</v>
      </c>
      <c r="O1395" s="19">
        <v>0.1163</v>
      </c>
      <c r="P1395" s="19">
        <v>0</v>
      </c>
      <c r="Q1395" s="19">
        <v>3.9132485000000002E-2</v>
      </c>
      <c r="R1395" s="20">
        <v>20424</v>
      </c>
      <c r="S1395" s="21" t="str">
        <f>HYPERLINK("https://www.mohave.edu/assets/NetPriceCalculator1415/npcalc.htm", "$15571")</f>
        <v>$15571</v>
      </c>
      <c r="T1395" s="20">
        <v>18207</v>
      </c>
      <c r="U1395" s="20">
        <v>19036</v>
      </c>
      <c r="V1395" s="20">
        <v>5322</v>
      </c>
      <c r="W1395" s="20">
        <v>10249.206896551719</v>
      </c>
      <c r="Y1395" s="19">
        <v>0.38229999999999997</v>
      </c>
      <c r="Z1395" s="19">
        <v>0.32629999999999998</v>
      </c>
      <c r="AB1395" s="18">
        <v>2875</v>
      </c>
      <c r="AC1395" s="18">
        <v>6</v>
      </c>
    </row>
    <row r="1396" spans="1:29" ht="15.75" customHeight="1" x14ac:dyDescent="0.2">
      <c r="A1396" s="36" t="str">
        <f>HYPERLINK("https://www.mvcc.edu", "SUNY Mohawk Valley Community College")</f>
        <v>SUNY Mohawk Valley Community College</v>
      </c>
      <c r="B1396" s="18" t="s">
        <v>49</v>
      </c>
      <c r="C1396" s="18" t="s">
        <v>38</v>
      </c>
      <c r="D1396" s="18" t="s">
        <v>463</v>
      </c>
      <c r="E1396" s="18" t="s">
        <v>36</v>
      </c>
      <c r="F1396" s="18" t="s">
        <v>36</v>
      </c>
      <c r="J1396" s="19"/>
      <c r="K1396" s="19">
        <v>0.30049999999999999</v>
      </c>
      <c r="L1396" s="19">
        <v>0.196637427</v>
      </c>
      <c r="M1396" s="19">
        <v>0.34799999999999998</v>
      </c>
      <c r="N1396" s="19">
        <v>0.1603</v>
      </c>
      <c r="O1396" s="19">
        <v>0.18310000000000001</v>
      </c>
      <c r="P1396" s="19">
        <v>0.25</v>
      </c>
      <c r="Q1396" s="19">
        <v>5.6043495999999998E-2</v>
      </c>
      <c r="R1396" s="20">
        <v>18443</v>
      </c>
      <c r="S1396" s="21" t="str">
        <f>HYPERLINK("https://www.mvcc.edu/institutional-research-and-assessment/npc", "$6224")</f>
        <v>$6224</v>
      </c>
      <c r="T1396" s="20">
        <v>10552</v>
      </c>
      <c r="U1396" s="20">
        <v>12768</v>
      </c>
      <c r="V1396" s="20">
        <v>3020</v>
      </c>
      <c r="W1396" s="20">
        <v>3204</v>
      </c>
      <c r="Y1396" s="19">
        <v>0.41460000000000002</v>
      </c>
      <c r="Z1396" s="19">
        <v>0.29490000000000011</v>
      </c>
      <c r="AB1396" s="18">
        <v>4171</v>
      </c>
      <c r="AC1396" s="18">
        <v>6</v>
      </c>
    </row>
    <row r="1397" spans="1:29" ht="15.75" customHeight="1" x14ac:dyDescent="0.2">
      <c r="A1397" s="36" t="str">
        <f>HYPERLINK("https://www.molloy.edu", "Molloy College")</f>
        <v>Molloy College</v>
      </c>
      <c r="B1397" s="18" t="s">
        <v>32</v>
      </c>
      <c r="C1397" s="18" t="s">
        <v>38</v>
      </c>
      <c r="D1397" s="18" t="s">
        <v>983</v>
      </c>
      <c r="E1397" s="18">
        <v>1148</v>
      </c>
      <c r="F1397" s="18" t="s">
        <v>35</v>
      </c>
      <c r="J1397" s="19"/>
      <c r="K1397" s="19">
        <v>0.71970000000000001</v>
      </c>
      <c r="L1397" s="19">
        <v>0.68421052599999999</v>
      </c>
      <c r="M1397" s="19">
        <v>0.77439999999999998</v>
      </c>
      <c r="N1397" s="19">
        <v>0.5</v>
      </c>
      <c r="O1397" s="19">
        <v>0.55559999999999998</v>
      </c>
      <c r="P1397" s="19">
        <v>0.8</v>
      </c>
      <c r="Q1397" s="19"/>
      <c r="R1397" s="20">
        <v>50356</v>
      </c>
      <c r="S1397" s="21" t="str">
        <f>HYPERLINK("https://www.molloy.edu/admissions/financial-aid/net-price-calculator", "$24573")</f>
        <v>$24573</v>
      </c>
      <c r="T1397" s="20">
        <v>26936</v>
      </c>
      <c r="U1397" s="20">
        <v>28440</v>
      </c>
      <c r="V1397" s="20">
        <v>5334</v>
      </c>
      <c r="W1397" s="20">
        <v>19239</v>
      </c>
      <c r="Y1397" s="19">
        <v>0.29409999999999997</v>
      </c>
      <c r="Z1397" s="19">
        <v>0.39600000000000002</v>
      </c>
      <c r="AB1397" s="18">
        <v>3505</v>
      </c>
      <c r="AC1397" s="18">
        <v>4</v>
      </c>
    </row>
    <row r="1398" spans="1:29" ht="15.75" customHeight="1" x14ac:dyDescent="0.2">
      <c r="A1398" s="36" t="str">
        <f>HYPERLINK("https://www.monmouthcollege.edu", "Monmouth College")</f>
        <v>Monmouth College</v>
      </c>
      <c r="B1398" s="18" t="s">
        <v>32</v>
      </c>
      <c r="C1398" s="18" t="s">
        <v>137</v>
      </c>
      <c r="D1398" s="18" t="s">
        <v>984</v>
      </c>
      <c r="E1398" s="18">
        <v>1115</v>
      </c>
      <c r="F1398" s="18" t="s">
        <v>35</v>
      </c>
      <c r="J1398" s="19"/>
      <c r="K1398" s="19">
        <v>0.5988</v>
      </c>
      <c r="L1398" s="19">
        <v>0.44186046499999998</v>
      </c>
      <c r="M1398" s="19">
        <v>0.63519999999999999</v>
      </c>
      <c r="N1398" s="19">
        <v>0.40539999999999998</v>
      </c>
      <c r="O1398" s="19">
        <v>0.62860000000000005</v>
      </c>
      <c r="P1398" s="19">
        <v>0</v>
      </c>
      <c r="Q1398" s="19"/>
      <c r="R1398" s="20">
        <v>47970</v>
      </c>
      <c r="S1398" s="21" t="str">
        <f>HYPERLINK("https://ou.monmouthcollege.edu/admissions/financial-aid/calculator.aspx", "$12993")</f>
        <v>$12993</v>
      </c>
      <c r="T1398" s="20">
        <v>15566</v>
      </c>
      <c r="U1398" s="20">
        <v>18603</v>
      </c>
      <c r="V1398" s="20">
        <v>2950</v>
      </c>
      <c r="W1398" s="20">
        <v>10043</v>
      </c>
      <c r="Y1398" s="19">
        <v>0.37230000000000002</v>
      </c>
      <c r="Z1398" s="19">
        <v>0.37330000000000002</v>
      </c>
      <c r="AB1398" s="18">
        <v>1010</v>
      </c>
      <c r="AC1398" s="18">
        <v>4</v>
      </c>
    </row>
    <row r="1399" spans="1:29" ht="15.75" customHeight="1" x14ac:dyDescent="0.2">
      <c r="A1399" s="36" t="str">
        <f>HYPERLINK("https://www.monmouth.edu", "Monmouth University")</f>
        <v>Monmouth University</v>
      </c>
      <c r="B1399" s="18" t="s">
        <v>32</v>
      </c>
      <c r="C1399" s="18" t="s">
        <v>141</v>
      </c>
      <c r="D1399" s="18" t="s">
        <v>986</v>
      </c>
      <c r="E1399" s="18">
        <v>1088</v>
      </c>
      <c r="F1399" s="18" t="s">
        <v>35</v>
      </c>
      <c r="J1399" s="19"/>
      <c r="K1399" s="19">
        <v>0.70440000000000003</v>
      </c>
      <c r="L1399" s="19">
        <v>0.62698412700000006</v>
      </c>
      <c r="M1399" s="19">
        <v>0.72589999999999999</v>
      </c>
      <c r="N1399" s="19">
        <v>0.59089999999999998</v>
      </c>
      <c r="O1399" s="19">
        <v>0.63529999999999998</v>
      </c>
      <c r="P1399" s="19">
        <v>0.66669999999999996</v>
      </c>
      <c r="Q1399" s="19"/>
      <c r="R1399" s="20">
        <v>54859</v>
      </c>
      <c r="S1399" s="21" t="str">
        <f>HYPERLINK("https://monmouth.studentaidcalculator.com/survey.aspx", "$20628")</f>
        <v>$20628</v>
      </c>
      <c r="T1399" s="20">
        <v>27296</v>
      </c>
      <c r="U1399" s="20">
        <v>34305</v>
      </c>
      <c r="V1399" s="20">
        <v>4676</v>
      </c>
      <c r="W1399" s="20">
        <v>15952</v>
      </c>
      <c r="Y1399" s="19">
        <v>0.27850000000000003</v>
      </c>
      <c r="Z1399" s="19">
        <v>0.28810000000000002</v>
      </c>
      <c r="AB1399" s="18">
        <v>4683</v>
      </c>
      <c r="AC1399" s="18">
        <v>4</v>
      </c>
    </row>
    <row r="1400" spans="1:29" ht="15.75" customHeight="1" x14ac:dyDescent="0.2">
      <c r="A1400" s="36" t="str">
        <f>HYPERLINK("https://www.monroecollege.edu", "Monroe College")</f>
        <v>Monroe College</v>
      </c>
      <c r="B1400" s="18" t="s">
        <v>368</v>
      </c>
      <c r="C1400" s="18" t="s">
        <v>38</v>
      </c>
      <c r="D1400" s="18" t="s">
        <v>217</v>
      </c>
      <c r="E1400" s="18" t="s">
        <v>36</v>
      </c>
      <c r="F1400" s="18" t="s">
        <v>90</v>
      </c>
      <c r="J1400" s="19"/>
      <c r="K1400" s="19">
        <v>0.53059999999999996</v>
      </c>
      <c r="L1400" s="19">
        <v>0.46830692200000001</v>
      </c>
      <c r="M1400" s="19">
        <v>0.4</v>
      </c>
      <c r="N1400" s="19">
        <v>0.52439999999999998</v>
      </c>
      <c r="O1400" s="19">
        <v>0.54269999999999996</v>
      </c>
      <c r="P1400" s="19">
        <v>0.3</v>
      </c>
      <c r="Q1400" s="19">
        <v>2.1911718E-2</v>
      </c>
      <c r="R1400" s="20">
        <v>30006</v>
      </c>
      <c r="S1400" s="21" t="str">
        <f>HYPERLINK("https://www.monroecollege.edu", "$10883")</f>
        <v>$10883</v>
      </c>
      <c r="T1400" s="20">
        <v>14954</v>
      </c>
      <c r="U1400" s="20">
        <v>16976</v>
      </c>
      <c r="V1400" s="20">
        <v>4900</v>
      </c>
      <c r="W1400" s="20">
        <v>5983</v>
      </c>
      <c r="Y1400" s="19">
        <v>0.69799999999999995</v>
      </c>
      <c r="Z1400" s="19">
        <v>0.97530000000000006</v>
      </c>
      <c r="AB1400" s="18">
        <v>5417</v>
      </c>
      <c r="AC1400" s="18">
        <v>6</v>
      </c>
    </row>
    <row r="1401" spans="1:29" ht="15.75" customHeight="1" x14ac:dyDescent="0.2">
      <c r="A1401" s="36" t="str">
        <f>HYPERLINK("https://www.monroecc.edu/", "SUNY Monroe Community College")</f>
        <v>SUNY Monroe Community College</v>
      </c>
      <c r="B1401" s="18" t="s">
        <v>49</v>
      </c>
      <c r="C1401" s="18" t="s">
        <v>38</v>
      </c>
      <c r="D1401" s="18" t="s">
        <v>170</v>
      </c>
      <c r="E1401" s="18" t="s">
        <v>36</v>
      </c>
      <c r="F1401" s="18" t="s">
        <v>36</v>
      </c>
      <c r="G1401" s="18" t="s">
        <v>51</v>
      </c>
      <c r="I1401" s="18" t="s">
        <v>1538</v>
      </c>
      <c r="J1401" s="19"/>
      <c r="K1401" s="19">
        <v>0.2135</v>
      </c>
      <c r="L1401" s="19">
        <v>0.22394249399999999</v>
      </c>
      <c r="M1401" s="19">
        <v>0.27560000000000001</v>
      </c>
      <c r="N1401" s="19">
        <v>8.2299999999999998E-2</v>
      </c>
      <c r="O1401" s="19">
        <v>0.15440000000000001</v>
      </c>
      <c r="P1401" s="19">
        <v>0.21099999999999999</v>
      </c>
      <c r="Q1401" s="19">
        <v>6.5713842000000008E-2</v>
      </c>
      <c r="R1401" s="20">
        <v>17589</v>
      </c>
      <c r="S1401" s="21" t="str">
        <f>HYPERLINK("https://www.suny.edu/howmuch/netpricecalculator.xhtml?embed=n&amp;headerUrl=www.monroecc.edu/images/header_images/mcc_home_header_01.gif&amp;bgColor=FCF", "$5054")</f>
        <v>$5054</v>
      </c>
      <c r="T1401" s="20">
        <v>9777</v>
      </c>
      <c r="U1401" s="20">
        <v>11867</v>
      </c>
      <c r="V1401" s="20">
        <v>3900</v>
      </c>
      <c r="W1401" s="20">
        <v>1154</v>
      </c>
      <c r="Y1401" s="19">
        <v>0.47210000000000002</v>
      </c>
      <c r="Z1401" s="19">
        <v>0.4173</v>
      </c>
      <c r="AB1401" s="18">
        <v>11878</v>
      </c>
      <c r="AC1401" s="18">
        <v>6</v>
      </c>
    </row>
    <row r="1402" spans="1:29" ht="15.75" customHeight="1" x14ac:dyDescent="0.2">
      <c r="A1402" s="36" t="str">
        <f>HYPERLINK("https://www.monroeccc.edu", "Monroe County Community College")</f>
        <v>Monroe County Community College</v>
      </c>
      <c r="B1402" s="18" t="s">
        <v>49</v>
      </c>
      <c r="C1402" s="18" t="s">
        <v>226</v>
      </c>
      <c r="D1402" s="18" t="s">
        <v>1282</v>
      </c>
      <c r="E1402" s="18" t="s">
        <v>36</v>
      </c>
      <c r="F1402" s="18" t="s">
        <v>36</v>
      </c>
      <c r="J1402" s="19"/>
      <c r="K1402" s="19">
        <v>0.1542</v>
      </c>
      <c r="L1402" s="19">
        <v>0.101359703</v>
      </c>
      <c r="M1402" s="19">
        <v>0.14749999999999999</v>
      </c>
      <c r="N1402" s="19">
        <v>0</v>
      </c>
      <c r="O1402" s="19">
        <v>0</v>
      </c>
      <c r="P1402" s="19" t="s">
        <v>36</v>
      </c>
      <c r="Q1402" s="19">
        <v>9.0836653000000003E-2</v>
      </c>
      <c r="R1402" s="20">
        <v>17774</v>
      </c>
      <c r="S1402" s="21" t="str">
        <f>HYPERLINK("https://www.monroeccc.edu/financialaid/netprice/npcalc.htm", "$12123")</f>
        <v>$12123</v>
      </c>
      <c r="T1402" s="20">
        <v>14210</v>
      </c>
      <c r="U1402" s="20">
        <v>16752</v>
      </c>
      <c r="V1402" s="20">
        <v>4143</v>
      </c>
      <c r="W1402" s="20">
        <v>7980.3896103896113</v>
      </c>
      <c r="Y1402" s="19">
        <v>0.29210000000000003</v>
      </c>
      <c r="Z1402" s="19">
        <v>0.14760000000000001</v>
      </c>
      <c r="AB1402" s="18">
        <v>2249</v>
      </c>
      <c r="AC1402" s="18">
        <v>6</v>
      </c>
    </row>
    <row r="1403" spans="1:29" ht="15.75" customHeight="1" x14ac:dyDescent="0.2">
      <c r="A1403" s="36" t="str">
        <f>HYPERLINK("https://www.montana.edu/", "Montana State University")</f>
        <v>Montana State University</v>
      </c>
      <c r="B1403" s="18" t="s">
        <v>49</v>
      </c>
      <c r="C1403" s="18" t="s">
        <v>421</v>
      </c>
      <c r="D1403" s="18" t="s">
        <v>422</v>
      </c>
      <c r="E1403" s="18">
        <v>1195</v>
      </c>
      <c r="F1403" s="18" t="s">
        <v>35</v>
      </c>
      <c r="J1403" s="19"/>
      <c r="K1403" s="19">
        <v>0.54490000000000005</v>
      </c>
      <c r="L1403" s="19">
        <v>0.35070575500000001</v>
      </c>
      <c r="M1403" s="19">
        <v>0.56210000000000004</v>
      </c>
      <c r="N1403" s="19">
        <v>0.30769999999999997</v>
      </c>
      <c r="O1403" s="19">
        <v>0.35089999999999999</v>
      </c>
      <c r="P1403" s="19">
        <v>0.46150000000000002</v>
      </c>
      <c r="Q1403" s="19"/>
      <c r="R1403" s="20">
        <v>38121</v>
      </c>
      <c r="S1403" s="21" t="str">
        <f>HYPERLINK("https://www.montana.edu/tuitioncalc/", "$33075")</f>
        <v>$33075</v>
      </c>
      <c r="T1403" s="20">
        <v>35869</v>
      </c>
      <c r="U1403" s="20">
        <v>37984</v>
      </c>
      <c r="V1403" s="20">
        <v>4800</v>
      </c>
      <c r="W1403" s="20">
        <v>28275.555910543131</v>
      </c>
      <c r="Y1403" s="19">
        <v>0.24049999999999999</v>
      </c>
      <c r="Z1403" s="19">
        <v>0.15440000000000001</v>
      </c>
      <c r="AB1403" s="18">
        <v>14383</v>
      </c>
      <c r="AC1403" s="18">
        <v>3</v>
      </c>
    </row>
    <row r="1404" spans="1:29" ht="15.75" customHeight="1" x14ac:dyDescent="0.2">
      <c r="A1404" s="36" t="str">
        <f>HYPERLINK("https://www.msubillings.edu", "Montana State University-Billings")</f>
        <v>Montana State University-Billings</v>
      </c>
      <c r="B1404" s="18" t="s">
        <v>49</v>
      </c>
      <c r="C1404" s="18" t="s">
        <v>421</v>
      </c>
      <c r="D1404" s="18" t="s">
        <v>685</v>
      </c>
      <c r="E1404" s="18" t="s">
        <v>36</v>
      </c>
      <c r="F1404" s="18" t="s">
        <v>36</v>
      </c>
      <c r="J1404" s="19"/>
      <c r="K1404" s="19">
        <v>0.2717</v>
      </c>
      <c r="L1404" s="19">
        <v>0.15279672599999999</v>
      </c>
      <c r="M1404" s="19">
        <v>0.29680000000000001</v>
      </c>
      <c r="N1404" s="19">
        <v>0</v>
      </c>
      <c r="O1404" s="19">
        <v>0.1081</v>
      </c>
      <c r="P1404" s="19">
        <v>0.1429</v>
      </c>
      <c r="Q1404" s="19"/>
      <c r="R1404" s="20">
        <v>32473</v>
      </c>
      <c r="S1404" s="21" t="str">
        <f>HYPERLINK("https://www.msubillings.edu/geninfo/aboutmsub.htm", "$27981")</f>
        <v>$27981</v>
      </c>
      <c r="T1404" s="20">
        <v>30960</v>
      </c>
      <c r="U1404" s="20">
        <v>32421</v>
      </c>
      <c r="V1404" s="20">
        <v>5930</v>
      </c>
      <c r="W1404" s="20">
        <v>22051.76086956522</v>
      </c>
      <c r="Y1404" s="19">
        <v>0.3155</v>
      </c>
      <c r="Z1404" s="19">
        <v>0.19289999999999999</v>
      </c>
      <c r="AB1404" s="18">
        <v>3478</v>
      </c>
      <c r="AC1404" s="18">
        <v>5</v>
      </c>
    </row>
    <row r="1405" spans="1:29" ht="15.75" customHeight="1" x14ac:dyDescent="0.2">
      <c r="A1405" s="36" t="str">
        <f>HYPERLINK("https://www.mtech.edu", "Montana Tech of the University of Montana")</f>
        <v>Montana Tech of the University of Montana</v>
      </c>
      <c r="B1405" s="18" t="s">
        <v>49</v>
      </c>
      <c r="C1405" s="18" t="s">
        <v>421</v>
      </c>
      <c r="D1405" s="18" t="s">
        <v>987</v>
      </c>
      <c r="E1405" s="18">
        <v>1201</v>
      </c>
      <c r="F1405" s="18" t="s">
        <v>35</v>
      </c>
      <c r="J1405" s="19"/>
      <c r="K1405" s="19">
        <v>0.41370000000000001</v>
      </c>
      <c r="L1405" s="19">
        <v>0.20519480500000001</v>
      </c>
      <c r="M1405" s="19">
        <v>0.43130000000000002</v>
      </c>
      <c r="N1405" s="19">
        <v>0.2</v>
      </c>
      <c r="O1405" s="19">
        <v>0.1</v>
      </c>
      <c r="P1405" s="19">
        <v>0.66669999999999996</v>
      </c>
      <c r="Q1405" s="19"/>
      <c r="R1405" s="20">
        <v>35755</v>
      </c>
      <c r="S1405" s="21" t="str">
        <f>HYPERLINK("https://www.mtech.edu/financial-aid/", "$27738")</f>
        <v>$27738</v>
      </c>
      <c r="T1405" s="20">
        <v>30719</v>
      </c>
      <c r="U1405" s="20">
        <v>33134</v>
      </c>
      <c r="V1405" s="20">
        <v>4510</v>
      </c>
      <c r="W1405" s="20">
        <v>23228.15384615384</v>
      </c>
      <c r="Y1405" s="19">
        <v>0.29830000000000001</v>
      </c>
      <c r="Z1405" s="19">
        <v>0.24210000000000001</v>
      </c>
      <c r="AB1405" s="18">
        <v>1640</v>
      </c>
      <c r="AC1405" s="18">
        <v>4</v>
      </c>
    </row>
    <row r="1406" spans="1:29" ht="15.75" customHeight="1" x14ac:dyDescent="0.2">
      <c r="A1406" s="36" t="str">
        <f>HYPERLINK("https://www.montclair.edu", "Montclair State University")</f>
        <v>Montclair State University</v>
      </c>
      <c r="B1406" s="18" t="s">
        <v>49</v>
      </c>
      <c r="C1406" s="18" t="s">
        <v>141</v>
      </c>
      <c r="D1406" s="18" t="s">
        <v>988</v>
      </c>
      <c r="E1406" s="18">
        <v>1070</v>
      </c>
      <c r="F1406" s="18" t="s">
        <v>115</v>
      </c>
      <c r="J1406" s="19"/>
      <c r="K1406" s="19">
        <v>0.65329999999999999</v>
      </c>
      <c r="L1406" s="19">
        <v>0.65475070599999996</v>
      </c>
      <c r="M1406" s="19">
        <v>0.66359999999999997</v>
      </c>
      <c r="N1406" s="19">
        <v>0.62619999999999998</v>
      </c>
      <c r="O1406" s="19">
        <v>0.63980000000000004</v>
      </c>
      <c r="P1406" s="19">
        <v>0.61950000000000005</v>
      </c>
      <c r="Q1406" s="19"/>
      <c r="R1406" s="20">
        <v>38435</v>
      </c>
      <c r="S1406" s="21" t="str">
        <f>HYPERLINK("https://montclair.studentaidcalculator.com/survey.aspx", "$26888")</f>
        <v>$26888</v>
      </c>
      <c r="T1406" s="20">
        <v>33333</v>
      </c>
      <c r="U1406" s="20">
        <v>37480</v>
      </c>
      <c r="V1406" s="20">
        <v>3410</v>
      </c>
      <c r="W1406" s="20">
        <v>23478.502604166661</v>
      </c>
      <c r="Y1406" s="19">
        <v>0.41739999999999999</v>
      </c>
      <c r="Z1406" s="19">
        <v>0.58539999999999992</v>
      </c>
      <c r="AB1406" s="18">
        <v>16673</v>
      </c>
      <c r="AC1406" s="18">
        <v>4</v>
      </c>
    </row>
    <row r="1407" spans="1:29" ht="15.75" customHeight="1" x14ac:dyDescent="0.2">
      <c r="A1407" s="36" t="str">
        <f>HYPERLINK("https://www.monteclaro.edu", "Monteclaro Escuela de Hoteleria y Artes Culinarias")</f>
        <v>Monteclaro Escuela de Hoteleria y Artes Culinarias</v>
      </c>
      <c r="B1407" s="18" t="s">
        <v>32</v>
      </c>
      <c r="C1407" s="18" t="s">
        <v>284</v>
      </c>
      <c r="D1407" s="18" t="s">
        <v>1539</v>
      </c>
      <c r="E1407" s="18" t="s">
        <v>36</v>
      </c>
      <c r="F1407" s="18" t="s">
        <v>45</v>
      </c>
      <c r="J1407" s="19"/>
      <c r="K1407" s="19">
        <v>0.85709999999999997</v>
      </c>
      <c r="L1407" s="19" t="s">
        <v>36</v>
      </c>
      <c r="M1407" s="19" t="s">
        <v>36</v>
      </c>
      <c r="N1407" s="19" t="s">
        <v>36</v>
      </c>
      <c r="O1407" s="19">
        <v>0.85709999999999997</v>
      </c>
      <c r="P1407" s="19" t="s">
        <v>36</v>
      </c>
      <c r="Q1407" s="19" t="s">
        <v>36</v>
      </c>
      <c r="R1407" s="20" t="s">
        <v>36</v>
      </c>
      <c r="S1407" s="21" t="str">
        <f>HYPERLINK("https://www.monteclaro.edu/AyudaEcon%c3%b3mica/Matr%c3%adculayCostos.aspx", "$2109")</f>
        <v>$2109</v>
      </c>
      <c r="T1407" s="20" t="s">
        <v>36</v>
      </c>
      <c r="U1407" s="20" t="s">
        <v>36</v>
      </c>
      <c r="V1407" s="20" t="s">
        <v>36</v>
      </c>
      <c r="W1407" s="20" t="s">
        <v>36</v>
      </c>
      <c r="Y1407" s="19">
        <v>1</v>
      </c>
      <c r="Z1407" s="19">
        <v>1</v>
      </c>
      <c r="AB1407" s="18">
        <v>16</v>
      </c>
      <c r="AC1407" s="18">
        <v>6</v>
      </c>
    </row>
    <row r="1408" spans="1:29" ht="15.75" customHeight="1" x14ac:dyDescent="0.2">
      <c r="A1408" s="36" t="str">
        <f>HYPERLINK("https://www.mpc.edu", "Monterey Peninsula College")</f>
        <v>Monterey Peninsula College</v>
      </c>
      <c r="B1408" s="18" t="s">
        <v>49</v>
      </c>
      <c r="C1408" s="18" t="s">
        <v>68</v>
      </c>
      <c r="D1408" s="18" t="s">
        <v>1540</v>
      </c>
      <c r="E1408" s="18" t="s">
        <v>36</v>
      </c>
      <c r="F1408" s="18" t="s">
        <v>36</v>
      </c>
      <c r="J1408" s="19"/>
      <c r="K1408" s="19">
        <v>0.26729999999999998</v>
      </c>
      <c r="L1408" s="19">
        <v>0.108416548</v>
      </c>
      <c r="M1408" s="19">
        <v>0.28460000000000002</v>
      </c>
      <c r="N1408" s="19">
        <v>0.21740000000000001</v>
      </c>
      <c r="O1408" s="19">
        <v>0.25590000000000002</v>
      </c>
      <c r="P1408" s="19">
        <v>0.37780000000000002</v>
      </c>
      <c r="Q1408" s="19">
        <v>0.12286002</v>
      </c>
      <c r="R1408" s="20">
        <v>30221</v>
      </c>
      <c r="S1408" s="21" t="str">
        <f>HYPERLINK("https://www.mpc.edu/financial-aid/getting-started/net-price-calculator", "$22168")</f>
        <v>$22168</v>
      </c>
      <c r="T1408" s="20">
        <v>23491</v>
      </c>
      <c r="U1408" s="20">
        <v>21354</v>
      </c>
      <c r="V1408" s="20">
        <v>6131</v>
      </c>
      <c r="W1408" s="20">
        <v>16037.91489361702</v>
      </c>
      <c r="Y1408" s="19">
        <v>0.18579999999999999</v>
      </c>
      <c r="Z1408" s="19">
        <v>0.63190000000000002</v>
      </c>
      <c r="AB1408" s="18">
        <v>6856</v>
      </c>
      <c r="AC1408" s="18">
        <v>6</v>
      </c>
    </row>
    <row r="1409" spans="1:29" ht="15.75" customHeight="1" x14ac:dyDescent="0.2">
      <c r="A1409" s="36" t="str">
        <f>HYPERLINK("https://www.montgomerycollege.edu", "Montgomery College")</f>
        <v>Montgomery College</v>
      </c>
      <c r="B1409" s="18" t="s">
        <v>49</v>
      </c>
      <c r="C1409" s="18" t="s">
        <v>124</v>
      </c>
      <c r="D1409" s="18" t="s">
        <v>1541</v>
      </c>
      <c r="E1409" s="18" t="s">
        <v>36</v>
      </c>
      <c r="F1409" s="18" t="s">
        <v>36</v>
      </c>
      <c r="J1409" s="19"/>
      <c r="K1409" s="19">
        <v>0.22509999999999999</v>
      </c>
      <c r="L1409" s="19">
        <v>0.184074074</v>
      </c>
      <c r="M1409" s="19">
        <v>0.27100000000000002</v>
      </c>
      <c r="N1409" s="19">
        <v>0.14899999999999999</v>
      </c>
      <c r="O1409" s="19">
        <v>0.18129999999999999</v>
      </c>
      <c r="P1409" s="19">
        <v>0.27100000000000002</v>
      </c>
      <c r="Q1409" s="19">
        <v>0.127240927</v>
      </c>
      <c r="R1409" s="20">
        <v>32598</v>
      </c>
      <c r="S1409" s="21" t="str">
        <f>HYPERLINK("https://appserv.montgomerycollege.edu/netprice/NetPriceCalculator/npcalc.htm", "$26588")</f>
        <v>$26588</v>
      </c>
      <c r="T1409" s="20">
        <v>29146</v>
      </c>
      <c r="U1409" s="20">
        <v>31664</v>
      </c>
      <c r="V1409" s="20">
        <v>5550</v>
      </c>
      <c r="W1409" s="20">
        <v>21038.259459459459</v>
      </c>
      <c r="Y1409" s="19">
        <v>0.31190000000000001</v>
      </c>
      <c r="Z1409" s="19">
        <v>0.7681</v>
      </c>
      <c r="AB1409" s="18">
        <v>18915</v>
      </c>
      <c r="AC1409" s="18">
        <v>6</v>
      </c>
    </row>
    <row r="1410" spans="1:29" ht="15.75" customHeight="1" x14ac:dyDescent="0.2">
      <c r="A1410" s="36" t="str">
        <f>HYPERLINK("https://www.mc3.edu", "Montgomery County Community College")</f>
        <v>Montgomery County Community College</v>
      </c>
      <c r="B1410" s="18" t="s">
        <v>49</v>
      </c>
      <c r="C1410" s="18" t="s">
        <v>65</v>
      </c>
      <c r="D1410" s="18" t="s">
        <v>1542</v>
      </c>
      <c r="E1410" s="18" t="s">
        <v>36</v>
      </c>
      <c r="F1410" s="18" t="s">
        <v>36</v>
      </c>
      <c r="J1410" s="19"/>
      <c r="K1410" s="19">
        <v>0.21310000000000001</v>
      </c>
      <c r="L1410" s="19">
        <v>0.174725983</v>
      </c>
      <c r="M1410" s="19">
        <v>0.24490000000000001</v>
      </c>
      <c r="N1410" s="19">
        <v>8.6400000000000005E-2</v>
      </c>
      <c r="O1410" s="19">
        <v>0.15659999999999999</v>
      </c>
      <c r="P1410" s="19">
        <v>0.21740000000000001</v>
      </c>
      <c r="Q1410" s="19">
        <v>0.109045068</v>
      </c>
      <c r="R1410" s="20">
        <v>26460</v>
      </c>
      <c r="S1410" s="21" t="str">
        <f>HYPERLINK("https://www3.mc3.edu/calculator/", "$21176")</f>
        <v>$21176</v>
      </c>
      <c r="T1410" s="20">
        <v>23786</v>
      </c>
      <c r="U1410" s="20">
        <v>26020</v>
      </c>
      <c r="V1410" s="20">
        <v>2940</v>
      </c>
      <c r="W1410" s="20">
        <v>18236.590476190471</v>
      </c>
      <c r="Y1410" s="19">
        <v>0.27500000000000002</v>
      </c>
      <c r="Z1410" s="19">
        <v>0.41710000000000003</v>
      </c>
      <c r="AB1410" s="18">
        <v>8948</v>
      </c>
      <c r="AC1410" s="18">
        <v>6</v>
      </c>
    </row>
    <row r="1411" spans="1:29" ht="15.75" customHeight="1" x14ac:dyDescent="0.2">
      <c r="A1411" s="36" t="str">
        <f>HYPERLINK("https://www.montserrat.edu/", "Montserrat College of Art")</f>
        <v>Montserrat College of Art</v>
      </c>
      <c r="B1411" s="18" t="s">
        <v>32</v>
      </c>
      <c r="C1411" s="18" t="s">
        <v>33</v>
      </c>
      <c r="D1411" s="18" t="s">
        <v>739</v>
      </c>
      <c r="E1411" s="18" t="s">
        <v>36</v>
      </c>
      <c r="F1411" s="18" t="s">
        <v>36</v>
      </c>
      <c r="J1411" s="19"/>
      <c r="K1411" s="19">
        <v>0.56589999999999996</v>
      </c>
      <c r="L1411" s="19">
        <v>0.4</v>
      </c>
      <c r="M1411" s="19">
        <v>0.56189999999999996</v>
      </c>
      <c r="N1411" s="19">
        <v>0.8</v>
      </c>
      <c r="O1411" s="19">
        <v>0.57140000000000002</v>
      </c>
      <c r="P1411" s="19">
        <v>0</v>
      </c>
      <c r="Q1411" s="19"/>
      <c r="R1411" s="20">
        <v>47100</v>
      </c>
      <c r="S1411" s="21" t="str">
        <f>HYPERLINK("https://www.montserrat.edu/admissions/tuition-and-financial-aid/net-price-calculator/", "$24761")</f>
        <v>$24761</v>
      </c>
      <c r="T1411" s="20">
        <v>26007</v>
      </c>
      <c r="U1411" s="20">
        <v>33269</v>
      </c>
      <c r="V1411" s="20">
        <v>3600</v>
      </c>
      <c r="W1411" s="20">
        <v>21161</v>
      </c>
      <c r="Y1411" s="19">
        <v>0.39129999999999998</v>
      </c>
      <c r="Z1411" s="19">
        <v>0.5655</v>
      </c>
      <c r="AB1411" s="18">
        <v>359</v>
      </c>
      <c r="AC1411" s="18">
        <v>4</v>
      </c>
    </row>
    <row r="1412" spans="1:29" ht="15.75" customHeight="1" x14ac:dyDescent="0.2">
      <c r="A1412" s="36" t="str">
        <f>HYPERLINK("https://www.moore.edu", "Moore College of Art and Design")</f>
        <v>Moore College of Art and Design</v>
      </c>
      <c r="B1412" s="18" t="s">
        <v>32</v>
      </c>
      <c r="C1412" s="18" t="s">
        <v>65</v>
      </c>
      <c r="D1412" s="18" t="s">
        <v>168</v>
      </c>
      <c r="E1412" s="18">
        <v>1140</v>
      </c>
      <c r="F1412" s="18" t="s">
        <v>115</v>
      </c>
      <c r="J1412" s="19"/>
      <c r="K1412" s="19">
        <v>0.56520000000000004</v>
      </c>
      <c r="L1412" s="19">
        <v>0.625</v>
      </c>
      <c r="M1412" s="19">
        <v>0.6</v>
      </c>
      <c r="N1412" s="19">
        <v>0.3846</v>
      </c>
      <c r="O1412" s="19">
        <v>0.75</v>
      </c>
      <c r="P1412" s="19">
        <v>0.66669999999999996</v>
      </c>
      <c r="Q1412" s="19"/>
      <c r="R1412" s="20">
        <v>58798</v>
      </c>
      <c r="S1412" s="21" t="str">
        <f>HYPERLINK("https://www.moore.edu/bfa_admissions/tuition_and_financial_aid", "$33183")</f>
        <v>$33183</v>
      </c>
      <c r="T1412" s="20">
        <v>36838</v>
      </c>
      <c r="U1412" s="20">
        <v>37838</v>
      </c>
      <c r="V1412" s="20">
        <v>4000</v>
      </c>
      <c r="W1412" s="20">
        <v>29183</v>
      </c>
      <c r="Y1412" s="19">
        <v>0.38140000000000002</v>
      </c>
      <c r="Z1412" s="19">
        <v>0.46110000000000001</v>
      </c>
      <c r="AB1412" s="18">
        <v>373</v>
      </c>
      <c r="AC1412" s="18">
        <v>4</v>
      </c>
    </row>
    <row r="1413" spans="1:29" ht="15.75" customHeight="1" x14ac:dyDescent="0.2">
      <c r="A1413" s="36" t="str">
        <f>HYPERLINK("https://www.moorparkcollege.edu/index.shtml", "Moorpark College")</f>
        <v>Moorpark College</v>
      </c>
      <c r="B1413" s="18" t="s">
        <v>49</v>
      </c>
      <c r="C1413" s="18" t="s">
        <v>68</v>
      </c>
      <c r="D1413" s="18" t="s">
        <v>1543</v>
      </c>
      <c r="E1413" s="18" t="s">
        <v>36</v>
      </c>
      <c r="F1413" s="18" t="s">
        <v>36</v>
      </c>
      <c r="J1413" s="19"/>
      <c r="K1413" s="19">
        <v>0.37719999999999998</v>
      </c>
      <c r="L1413" s="19">
        <v>0.15796178299999999</v>
      </c>
      <c r="M1413" s="19">
        <v>0.4259</v>
      </c>
      <c r="N1413" s="19">
        <v>0.4</v>
      </c>
      <c r="O1413" s="19">
        <v>0.29189999999999999</v>
      </c>
      <c r="P1413" s="19">
        <v>0.43180000000000002</v>
      </c>
      <c r="Q1413" s="19">
        <v>0.16798592800000001</v>
      </c>
      <c r="R1413" s="20">
        <v>25491</v>
      </c>
      <c r="S1413" s="21" t="str">
        <f>HYPERLINK("https://www.moorparkcollege.edu/services_for_students/financial_aid/index.shtml", "$18333")</f>
        <v>$18333</v>
      </c>
      <c r="T1413" s="20">
        <v>21461</v>
      </c>
      <c r="U1413" s="20">
        <v>23021</v>
      </c>
      <c r="V1413" s="20">
        <v>5949</v>
      </c>
      <c r="W1413" s="20">
        <v>12384.428571428571</v>
      </c>
      <c r="Y1413" s="19">
        <v>0.18640000000000001</v>
      </c>
      <c r="Z1413" s="19">
        <v>0.51910000000000001</v>
      </c>
      <c r="AB1413" s="18">
        <v>13378</v>
      </c>
      <c r="AC1413" s="18">
        <v>6</v>
      </c>
    </row>
    <row r="1414" spans="1:29" ht="15.75" customHeight="1" x14ac:dyDescent="0.2">
      <c r="A1414" s="36" t="str">
        <f>HYPERLINK("https://www.morainevalley.edu", "Moraine Valley Community College")</f>
        <v>Moraine Valley Community College</v>
      </c>
      <c r="B1414" s="18" t="s">
        <v>49</v>
      </c>
      <c r="C1414" s="18" t="s">
        <v>137</v>
      </c>
      <c r="D1414" s="18" t="s">
        <v>1544</v>
      </c>
      <c r="E1414" s="18" t="s">
        <v>36</v>
      </c>
      <c r="F1414" s="18" t="s">
        <v>36</v>
      </c>
      <c r="J1414" s="19"/>
      <c r="K1414" s="19">
        <v>0.27450000000000002</v>
      </c>
      <c r="L1414" s="19">
        <v>0.172394679</v>
      </c>
      <c r="M1414" s="19">
        <v>0.33489999999999998</v>
      </c>
      <c r="N1414" s="19">
        <v>0.15790000000000001</v>
      </c>
      <c r="O1414" s="19">
        <v>0.24299999999999999</v>
      </c>
      <c r="P1414" s="19">
        <v>0.33329999999999999</v>
      </c>
      <c r="Q1414" s="19">
        <v>0.14035714299999999</v>
      </c>
      <c r="R1414" s="20">
        <v>24656</v>
      </c>
      <c r="S1414" s="21" t="str">
        <f>HYPERLINK("https://netcalc.apps.morainevalley.edu/", "$18279")</f>
        <v>$18279</v>
      </c>
      <c r="T1414" s="20">
        <v>21635</v>
      </c>
      <c r="U1414" s="20">
        <v>24280</v>
      </c>
      <c r="V1414" s="20">
        <v>6664</v>
      </c>
      <c r="W1414" s="20">
        <v>11615.73929961089</v>
      </c>
      <c r="Y1414" s="19">
        <v>0.27460000000000001</v>
      </c>
      <c r="Z1414" s="19">
        <v>0.48909999999999998</v>
      </c>
      <c r="AB1414" s="18">
        <v>11104</v>
      </c>
      <c r="AC1414" s="18">
        <v>6</v>
      </c>
    </row>
    <row r="1415" spans="1:29" ht="15.75" customHeight="1" x14ac:dyDescent="0.2">
      <c r="A1415" s="36" t="str">
        <f>HYPERLINK("https://www.moravian.edu", "Moravian College")</f>
        <v>Moravian College</v>
      </c>
      <c r="B1415" s="18" t="s">
        <v>32</v>
      </c>
      <c r="C1415" s="18" t="s">
        <v>65</v>
      </c>
      <c r="D1415" s="18" t="s">
        <v>130</v>
      </c>
      <c r="E1415" s="18">
        <v>1121</v>
      </c>
      <c r="F1415" s="18" t="s">
        <v>35</v>
      </c>
      <c r="J1415" s="19"/>
      <c r="K1415" s="19">
        <v>0.63100000000000001</v>
      </c>
      <c r="L1415" s="19">
        <v>0.56730769199999997</v>
      </c>
      <c r="M1415" s="19">
        <v>0.67569999999999997</v>
      </c>
      <c r="N1415" s="19">
        <v>0.17649999999999999</v>
      </c>
      <c r="O1415" s="19">
        <v>0.5</v>
      </c>
      <c r="P1415" s="19">
        <v>0.33329999999999999</v>
      </c>
      <c r="Q1415" s="19"/>
      <c r="R1415" s="20">
        <v>57868</v>
      </c>
      <c r="S1415" s="21" t="str">
        <f>HYPERLINK("https://www.moravian.edu/admissions/resources/calculator", "$21059")</f>
        <v>$21059</v>
      </c>
      <c r="T1415" s="20">
        <v>23827</v>
      </c>
      <c r="U1415" s="20">
        <v>27295</v>
      </c>
      <c r="V1415" s="20">
        <v>3150</v>
      </c>
      <c r="W1415" s="20">
        <v>17909</v>
      </c>
      <c r="Y1415" s="19">
        <v>0.2792</v>
      </c>
      <c r="Z1415" s="19">
        <v>0.29599999999999987</v>
      </c>
      <c r="AB1415" s="18">
        <v>2007</v>
      </c>
      <c r="AC1415" s="18">
        <v>3</v>
      </c>
    </row>
    <row r="1416" spans="1:29" ht="15.75" customHeight="1" x14ac:dyDescent="0.2">
      <c r="A1416" s="36" t="str">
        <f>HYPERLINK("https://www.moreheadstate.edu", "Morehead State University")</f>
        <v>Morehead State University</v>
      </c>
      <c r="B1416" s="18" t="s">
        <v>49</v>
      </c>
      <c r="C1416" s="18" t="s">
        <v>205</v>
      </c>
      <c r="D1416" s="18" t="s">
        <v>992</v>
      </c>
      <c r="E1416" s="18">
        <v>1144</v>
      </c>
      <c r="F1416" s="18" t="s">
        <v>35</v>
      </c>
      <c r="J1416" s="19"/>
      <c r="K1416" s="19">
        <v>0.41749999999999998</v>
      </c>
      <c r="L1416" s="19">
        <v>0.38181818200000001</v>
      </c>
      <c r="M1416" s="19">
        <v>0.41899999999999998</v>
      </c>
      <c r="N1416" s="19">
        <v>0.35709999999999997</v>
      </c>
      <c r="O1416" s="19">
        <v>0.1176</v>
      </c>
      <c r="P1416" s="19">
        <v>0.5</v>
      </c>
      <c r="Q1416" s="19"/>
      <c r="R1416" s="20">
        <v>26802</v>
      </c>
      <c r="S1416" s="21" t="str">
        <f>HYPERLINK("https://npc.collegeboard.org/student/app/moreheadstate", "$16354")</f>
        <v>$16354</v>
      </c>
      <c r="T1416" s="20">
        <v>19463</v>
      </c>
      <c r="U1416" s="20">
        <v>21776</v>
      </c>
      <c r="V1416" s="20">
        <v>3940</v>
      </c>
      <c r="W1416" s="20">
        <v>12414.384615384621</v>
      </c>
      <c r="Y1416" s="19">
        <v>0.3221</v>
      </c>
      <c r="Z1416" s="19">
        <v>0.11700000000000001</v>
      </c>
      <c r="AB1416" s="18">
        <v>6410</v>
      </c>
      <c r="AC1416" s="18">
        <v>4</v>
      </c>
    </row>
    <row r="1417" spans="1:29" ht="15.75" customHeight="1" x14ac:dyDescent="0.2">
      <c r="A1417" s="36" t="str">
        <f>HYPERLINK("https://www.morehouse.edu", "Morehouse College")</f>
        <v>Morehouse College</v>
      </c>
      <c r="B1417" s="18" t="s">
        <v>32</v>
      </c>
      <c r="C1417" s="18" t="s">
        <v>107</v>
      </c>
      <c r="D1417" s="18" t="s">
        <v>108</v>
      </c>
      <c r="E1417" s="18">
        <v>1050</v>
      </c>
      <c r="F1417" s="18" t="s">
        <v>35</v>
      </c>
      <c r="J1417" s="19"/>
      <c r="K1417" s="19">
        <v>0.5524</v>
      </c>
      <c r="L1417" s="19">
        <v>0.33193277300000001</v>
      </c>
      <c r="M1417" s="19">
        <v>1</v>
      </c>
      <c r="N1417" s="19">
        <v>0.55559999999999998</v>
      </c>
      <c r="O1417" s="19">
        <v>0.5</v>
      </c>
      <c r="P1417" s="19">
        <v>0</v>
      </c>
      <c r="Q1417" s="19"/>
      <c r="R1417" s="20">
        <v>48723</v>
      </c>
      <c r="S1417" s="21" t="str">
        <f>HYPERLINK("https://morehouse.studentaidcalculator.com/survey.aspx", "$30884")</f>
        <v>$30884</v>
      </c>
      <c r="T1417" s="20">
        <v>37922</v>
      </c>
      <c r="U1417" s="20">
        <v>40859</v>
      </c>
      <c r="V1417" s="20">
        <v>7888</v>
      </c>
      <c r="W1417" s="20">
        <v>22996</v>
      </c>
      <c r="Y1417" s="19">
        <v>0.4824</v>
      </c>
      <c r="Z1417" s="19">
        <v>0.99770000000000003</v>
      </c>
      <c r="AB1417" s="18">
        <v>2199</v>
      </c>
      <c r="AC1417" s="18">
        <v>4</v>
      </c>
    </row>
    <row r="1418" spans="1:29" ht="15.75" customHeight="1" x14ac:dyDescent="0.2">
      <c r="A1418" s="36" t="str">
        <f>HYPERLINK("https://www.mvc.edu/", "Moreno Valley College")</f>
        <v>Moreno Valley College</v>
      </c>
      <c r="B1418" s="18" t="s">
        <v>49</v>
      </c>
      <c r="C1418" s="18" t="s">
        <v>68</v>
      </c>
      <c r="D1418" s="18" t="s">
        <v>1545</v>
      </c>
      <c r="E1418" s="18" t="s">
        <v>36</v>
      </c>
      <c r="F1418" s="18" t="s">
        <v>36</v>
      </c>
      <c r="J1418" s="19"/>
      <c r="K1418" s="19">
        <v>0.1706</v>
      </c>
      <c r="L1418" s="19" t="s">
        <v>36</v>
      </c>
      <c r="M1418" s="19">
        <v>0.2</v>
      </c>
      <c r="N1418" s="19">
        <v>0.1017</v>
      </c>
      <c r="O1418" s="19">
        <v>0.17610000000000001</v>
      </c>
      <c r="P1418" s="19">
        <v>0.15790000000000001</v>
      </c>
      <c r="Q1418" s="19" t="s">
        <v>36</v>
      </c>
      <c r="R1418" s="20">
        <v>31220</v>
      </c>
      <c r="S1418" s="21" t="str">
        <f>HYPERLINK("https://misweb.cccco.edu/npc/962/npcalc.htm", "$24860")</f>
        <v>$24860</v>
      </c>
      <c r="T1418" s="20">
        <v>27199</v>
      </c>
      <c r="U1418" s="20">
        <v>27583</v>
      </c>
      <c r="V1418" s="20">
        <v>6094</v>
      </c>
      <c r="W1418" s="20">
        <v>18766.807560137458</v>
      </c>
      <c r="Y1418" s="19">
        <v>0.27050000000000002</v>
      </c>
      <c r="Z1418" s="19">
        <v>0.84460000000000002</v>
      </c>
      <c r="AB1418" s="18">
        <v>8087</v>
      </c>
      <c r="AC1418" s="18">
        <v>6</v>
      </c>
    </row>
    <row r="1419" spans="1:29" ht="15.75" customHeight="1" x14ac:dyDescent="0.2">
      <c r="A1419" s="36" t="str">
        <f>HYPERLINK("https://www.morgan.edu", "Morgan State University")</f>
        <v>Morgan State University</v>
      </c>
      <c r="B1419" s="18" t="s">
        <v>49</v>
      </c>
      <c r="C1419" s="18" t="s">
        <v>124</v>
      </c>
      <c r="D1419" s="18" t="s">
        <v>125</v>
      </c>
      <c r="E1419" s="18">
        <v>977</v>
      </c>
      <c r="F1419" s="18" t="s">
        <v>35</v>
      </c>
      <c r="J1419" s="19"/>
      <c r="K1419" s="19">
        <v>0.37519999999999998</v>
      </c>
      <c r="L1419" s="19">
        <v>0.315136476</v>
      </c>
      <c r="M1419" s="19">
        <v>0.125</v>
      </c>
      <c r="N1419" s="19">
        <v>0.37180000000000002</v>
      </c>
      <c r="O1419" s="19">
        <v>0.26669999999999999</v>
      </c>
      <c r="P1419" s="19">
        <v>0.66669999999999996</v>
      </c>
      <c r="Q1419" s="19"/>
      <c r="R1419" s="20">
        <v>33362</v>
      </c>
      <c r="S1419" s="21" t="str">
        <f>HYPERLINK("https://www.morgan.edu/netpricecalc/", "$23944")</f>
        <v>$23944</v>
      </c>
      <c r="T1419" s="20">
        <v>26443</v>
      </c>
      <c r="U1419" s="20">
        <v>30196</v>
      </c>
      <c r="V1419" s="20">
        <v>5744</v>
      </c>
      <c r="W1419" s="20">
        <v>18200.00952380952</v>
      </c>
      <c r="Y1419" s="19">
        <v>0.51539999999999997</v>
      </c>
      <c r="Z1419" s="19">
        <v>0.98099999999999998</v>
      </c>
      <c r="AB1419" s="18">
        <v>6426</v>
      </c>
      <c r="AC1419" s="18">
        <v>3</v>
      </c>
    </row>
    <row r="1420" spans="1:29" ht="15.75" customHeight="1" x14ac:dyDescent="0.2">
      <c r="A1420" s="36" t="str">
        <f>HYPERLINK("https://www.morris.edu", "Morris College")</f>
        <v>Morris College</v>
      </c>
      <c r="B1420" s="18" t="s">
        <v>32</v>
      </c>
      <c r="C1420" s="18" t="s">
        <v>208</v>
      </c>
      <c r="D1420" s="18" t="s">
        <v>787</v>
      </c>
      <c r="E1420" s="18" t="s">
        <v>36</v>
      </c>
      <c r="F1420" s="18" t="s">
        <v>36</v>
      </c>
      <c r="J1420" s="19"/>
      <c r="K1420" s="19">
        <v>0.2064</v>
      </c>
      <c r="L1420" s="19">
        <v>0.33663366300000003</v>
      </c>
      <c r="M1420" s="19">
        <v>0</v>
      </c>
      <c r="N1420" s="19">
        <v>0.20960000000000001</v>
      </c>
      <c r="O1420" s="19">
        <v>0.5</v>
      </c>
      <c r="P1420" s="19" t="s">
        <v>36</v>
      </c>
      <c r="Q1420" s="19"/>
      <c r="R1420" s="20">
        <v>25370</v>
      </c>
      <c r="S1420" s="21" t="str">
        <f>HYPERLINK("https://npc.collegeboard.org/student/app/morris", "$16121")</f>
        <v>$16121</v>
      </c>
      <c r="T1420" s="20">
        <v>20845</v>
      </c>
      <c r="U1420" s="20">
        <v>23344</v>
      </c>
      <c r="V1420" s="20">
        <v>6175</v>
      </c>
      <c r="W1420" s="20">
        <v>9946</v>
      </c>
      <c r="Y1420" s="19">
        <v>0.86960000000000004</v>
      </c>
      <c r="Z1420" s="19">
        <v>0.99870000000000003</v>
      </c>
      <c r="AB1420" s="18">
        <v>743</v>
      </c>
      <c r="AC1420" s="18">
        <v>5</v>
      </c>
    </row>
    <row r="1421" spans="1:29" ht="15.75" customHeight="1" x14ac:dyDescent="0.2">
      <c r="A1421" s="36" t="str">
        <f>HYPERLINK("https://www.morrisontech.edu", "Morrison Institute of Technology")</f>
        <v>Morrison Institute of Technology</v>
      </c>
      <c r="B1421" s="18" t="s">
        <v>32</v>
      </c>
      <c r="C1421" s="18" t="s">
        <v>137</v>
      </c>
      <c r="D1421" s="18" t="s">
        <v>1546</v>
      </c>
      <c r="E1421" s="18" t="s">
        <v>36</v>
      </c>
      <c r="F1421" s="18" t="s">
        <v>36</v>
      </c>
      <c r="J1421" s="19"/>
      <c r="K1421" s="19">
        <v>0.69230000000000003</v>
      </c>
      <c r="L1421" s="19" t="s">
        <v>36</v>
      </c>
      <c r="M1421" s="19">
        <v>0.71430000000000005</v>
      </c>
      <c r="N1421" s="19" t="s">
        <v>36</v>
      </c>
      <c r="O1421" s="19">
        <v>1</v>
      </c>
      <c r="P1421" s="19" t="s">
        <v>36</v>
      </c>
      <c r="Q1421" s="19" t="s">
        <v>36</v>
      </c>
      <c r="R1421" s="20">
        <v>28575</v>
      </c>
      <c r="S1421" s="21" t="str">
        <f>HYPERLINK("https://www.morrisontech.edu/netpricecalculator2/npcalc.htm", "$13242")</f>
        <v>$13242</v>
      </c>
      <c r="T1421" s="20">
        <v>17550</v>
      </c>
      <c r="U1421" s="20">
        <v>21606</v>
      </c>
      <c r="V1421" s="20">
        <v>6930</v>
      </c>
      <c r="W1421" s="20">
        <v>6312</v>
      </c>
      <c r="Y1421" s="19">
        <v>0.46150000000000002</v>
      </c>
      <c r="Z1421" s="19">
        <v>0.2059</v>
      </c>
      <c r="AB1421" s="18">
        <v>102</v>
      </c>
      <c r="AC1421" s="18">
        <v>6</v>
      </c>
    </row>
    <row r="1422" spans="1:29" ht="15.75" customHeight="1" x14ac:dyDescent="0.2">
      <c r="A1422" s="36" t="str">
        <f>HYPERLINK("https://www.morton.edu", "Morton College")</f>
        <v>Morton College</v>
      </c>
      <c r="B1422" s="18" t="s">
        <v>49</v>
      </c>
      <c r="C1422" s="18" t="s">
        <v>137</v>
      </c>
      <c r="D1422" s="18" t="s">
        <v>1547</v>
      </c>
      <c r="E1422" s="18" t="s">
        <v>36</v>
      </c>
      <c r="F1422" s="18" t="s">
        <v>36</v>
      </c>
      <c r="J1422" s="19"/>
      <c r="K1422" s="19">
        <v>0.2404</v>
      </c>
      <c r="L1422" s="19">
        <v>6.6592675000000004E-2</v>
      </c>
      <c r="M1422" s="19">
        <v>0.30769999999999997</v>
      </c>
      <c r="N1422" s="19">
        <v>0</v>
      </c>
      <c r="O1422" s="19">
        <v>0.23530000000000001</v>
      </c>
      <c r="P1422" s="19">
        <v>0.33329999999999999</v>
      </c>
      <c r="Q1422" s="19">
        <v>0.103557312</v>
      </c>
      <c r="R1422" s="20">
        <v>27060</v>
      </c>
      <c r="S1422" s="21" t="str">
        <f>HYPERLINK("https://morton.edu/Net_Price_Calculator/", "$21126")</f>
        <v>$21126</v>
      </c>
      <c r="T1422" s="20">
        <v>24158</v>
      </c>
      <c r="U1422" s="20">
        <v>26174</v>
      </c>
      <c r="V1422" s="20">
        <v>4800</v>
      </c>
      <c r="W1422" s="20">
        <v>16326.35294117647</v>
      </c>
      <c r="Y1422" s="19">
        <v>0.43099999999999999</v>
      </c>
      <c r="Z1422" s="19">
        <v>0.92569999999999997</v>
      </c>
      <c r="AB1422" s="18">
        <v>3404</v>
      </c>
      <c r="AC1422" s="18">
        <v>6</v>
      </c>
    </row>
    <row r="1423" spans="1:29" ht="15.75" customHeight="1" x14ac:dyDescent="0.2">
      <c r="A1423" s="36" t="str">
        <f>HYPERLINK("https://www.mscc.edu", "Motlow College")</f>
        <v>Motlow College</v>
      </c>
      <c r="B1423" s="18" t="s">
        <v>49</v>
      </c>
      <c r="C1423" s="18" t="s">
        <v>174</v>
      </c>
      <c r="D1423" s="18" t="s">
        <v>1548</v>
      </c>
      <c r="E1423" s="18" t="s">
        <v>36</v>
      </c>
      <c r="F1423" s="18" t="s">
        <v>36</v>
      </c>
      <c r="J1423" s="19"/>
      <c r="K1423" s="19">
        <v>0.3402</v>
      </c>
      <c r="L1423" s="19">
        <v>0.14885496200000001</v>
      </c>
      <c r="M1423" s="19">
        <v>0.34760000000000002</v>
      </c>
      <c r="N1423" s="19">
        <v>0.2029</v>
      </c>
      <c r="O1423" s="19">
        <v>0.31580000000000003</v>
      </c>
      <c r="P1423" s="19">
        <v>0.2727</v>
      </c>
      <c r="Q1423" s="19">
        <v>9.8220640999999997E-2</v>
      </c>
      <c r="R1423" s="20">
        <v>25245</v>
      </c>
      <c r="S1423" s="21" t="str">
        <f>HYPERLINK("https://www.mscc.edu/financialaid/netpricecalculator/npcalc.htm", "$18075")</f>
        <v>$18075</v>
      </c>
      <c r="T1423" s="20">
        <v>20420</v>
      </c>
      <c r="U1423" s="20">
        <v>20307</v>
      </c>
      <c r="V1423" s="20">
        <v>5342</v>
      </c>
      <c r="W1423" s="20">
        <v>12733.40752864157</v>
      </c>
      <c r="Y1423" s="19">
        <v>0.30320000000000003</v>
      </c>
      <c r="Z1423" s="19">
        <v>0.25650000000000001</v>
      </c>
      <c r="AB1423" s="18">
        <v>4896</v>
      </c>
      <c r="AC1423" s="18">
        <v>6</v>
      </c>
    </row>
    <row r="1424" spans="1:29" ht="15.75" customHeight="1" x14ac:dyDescent="0.2">
      <c r="A1424" s="36" t="str">
        <f>HYPERLINK("https://www.mcc.edu", "Mott Community College")</f>
        <v>Mott Community College</v>
      </c>
      <c r="B1424" s="18" t="s">
        <v>49</v>
      </c>
      <c r="C1424" s="18" t="s">
        <v>226</v>
      </c>
      <c r="D1424" s="18" t="s">
        <v>228</v>
      </c>
      <c r="E1424" s="18" t="s">
        <v>36</v>
      </c>
      <c r="F1424" s="18" t="s">
        <v>36</v>
      </c>
      <c r="J1424" s="19"/>
      <c r="K1424" s="19">
        <v>0.14949999999999999</v>
      </c>
      <c r="L1424" s="19">
        <v>8.7768181000000001E-2</v>
      </c>
      <c r="M1424" s="19">
        <v>0.16089999999999999</v>
      </c>
      <c r="N1424" s="19">
        <v>4.1700000000000001E-2</v>
      </c>
      <c r="O1424" s="19">
        <v>0.14810000000000001</v>
      </c>
      <c r="P1424" s="19">
        <v>0.25</v>
      </c>
      <c r="Q1424" s="19">
        <v>6.836569599999999E-2</v>
      </c>
      <c r="R1424" s="20">
        <v>19592</v>
      </c>
      <c r="S1424" s="21" t="str">
        <f>HYPERLINK("https://www.mcc.edu/financial_aid/netpricecalc/fa_npcalc.shtml", "$13779")</f>
        <v>$13779</v>
      </c>
      <c r="T1424" s="20">
        <v>16761</v>
      </c>
      <c r="U1424" s="20">
        <v>18536</v>
      </c>
      <c r="V1424" s="20">
        <v>5358</v>
      </c>
      <c r="W1424" s="20">
        <v>8421.2266666666656</v>
      </c>
      <c r="Y1424" s="19">
        <v>0.44169999999999998</v>
      </c>
      <c r="Z1424" s="19">
        <v>0.31069999999999998</v>
      </c>
      <c r="AB1424" s="18">
        <v>6290</v>
      </c>
      <c r="AC1424" s="18">
        <v>6</v>
      </c>
    </row>
    <row r="1425" spans="1:29" ht="15.75" customHeight="1" x14ac:dyDescent="0.2">
      <c r="A1425" s="36" t="str">
        <f>HYPERLINK("https://www.mtaloy.edu/", "Mount Aloysius College")</f>
        <v>Mount Aloysius College</v>
      </c>
      <c r="B1425" s="18" t="s">
        <v>32</v>
      </c>
      <c r="C1425" s="18" t="s">
        <v>65</v>
      </c>
      <c r="D1425" s="18" t="s">
        <v>789</v>
      </c>
      <c r="E1425" s="18">
        <v>1030</v>
      </c>
      <c r="F1425" s="18" t="s">
        <v>35</v>
      </c>
      <c r="J1425" s="19"/>
      <c r="K1425" s="19">
        <v>0.43369999999999997</v>
      </c>
      <c r="L1425" s="19">
        <v>0.42259414200000001</v>
      </c>
      <c r="M1425" s="19">
        <v>0.4481</v>
      </c>
      <c r="N1425" s="19">
        <v>0.1</v>
      </c>
      <c r="O1425" s="19">
        <v>0</v>
      </c>
      <c r="P1425" s="19" t="s">
        <v>36</v>
      </c>
      <c r="Q1425" s="19"/>
      <c r="R1425" s="20">
        <v>38268</v>
      </c>
      <c r="S1425" s="21" t="str">
        <f>HYPERLINK("https://www.mtaloy.edu/NetPriceCalculator/npcalc.htm", "$20653")</f>
        <v>$20653</v>
      </c>
      <c r="T1425" s="20">
        <v>17989</v>
      </c>
      <c r="U1425" s="20">
        <v>24881</v>
      </c>
      <c r="V1425" s="20">
        <v>5500</v>
      </c>
      <c r="W1425" s="20">
        <v>15153</v>
      </c>
      <c r="Y1425" s="19">
        <v>0.31690000000000002</v>
      </c>
      <c r="Z1425" s="19">
        <v>0.22529999999999989</v>
      </c>
      <c r="AB1425" s="18">
        <v>1185</v>
      </c>
      <c r="AC1425" s="18">
        <v>5</v>
      </c>
    </row>
    <row r="1426" spans="1:29" ht="15.75" customHeight="1" x14ac:dyDescent="0.2">
      <c r="A1426" s="36" t="str">
        <f>HYPERLINK("https://www.mtholyoke.edu", "Mount Holyoke College")</f>
        <v>Mount Holyoke College</v>
      </c>
      <c r="B1426" s="18" t="s">
        <v>32</v>
      </c>
      <c r="C1426" s="18" t="s">
        <v>33</v>
      </c>
      <c r="D1426" s="18" t="s">
        <v>231</v>
      </c>
      <c r="E1426" s="18">
        <v>1393</v>
      </c>
      <c r="F1426" s="18" t="s">
        <v>115</v>
      </c>
      <c r="J1426" s="19"/>
      <c r="K1426" s="19">
        <v>0.86150000000000004</v>
      </c>
      <c r="L1426" s="19">
        <v>0.71969696999999999</v>
      </c>
      <c r="M1426" s="19">
        <v>0.8629</v>
      </c>
      <c r="N1426" s="19">
        <v>0.78049999999999997</v>
      </c>
      <c r="O1426" s="19">
        <v>0.8</v>
      </c>
      <c r="P1426" s="19">
        <v>0.88890000000000002</v>
      </c>
      <c r="Q1426" s="19"/>
      <c r="R1426" s="20">
        <v>63900</v>
      </c>
      <c r="S1426" s="21" t="str">
        <f>HYPERLINK("https://npc.collegeboard.org/app/mtholyoke", "$12399")</f>
        <v>$12399</v>
      </c>
      <c r="T1426" s="20">
        <v>18511</v>
      </c>
      <c r="U1426" s="20">
        <v>23960</v>
      </c>
      <c r="V1426" s="20">
        <v>1900</v>
      </c>
      <c r="W1426" s="20">
        <v>10499</v>
      </c>
      <c r="X1426" s="18" t="s">
        <v>37</v>
      </c>
      <c r="Y1426" s="19">
        <v>0.18959999999999999</v>
      </c>
      <c r="Z1426" s="19">
        <v>0.54620000000000002</v>
      </c>
      <c r="AB1426" s="18">
        <v>2186</v>
      </c>
      <c r="AC1426" s="18">
        <v>2</v>
      </c>
    </row>
    <row r="1427" spans="1:29" ht="15.75" customHeight="1" x14ac:dyDescent="0.2">
      <c r="A1427" s="36" t="str">
        <f>HYPERLINK("https://www.mountida.edu", "Mount Ida College")</f>
        <v>Mount Ida College</v>
      </c>
      <c r="B1427" s="18" t="s">
        <v>32</v>
      </c>
      <c r="C1427" s="18" t="s">
        <v>33</v>
      </c>
      <c r="D1427" s="18" t="s">
        <v>791</v>
      </c>
      <c r="E1427" s="18" t="s">
        <v>36</v>
      </c>
      <c r="F1427" s="18" t="s">
        <v>90</v>
      </c>
      <c r="J1427" s="19"/>
      <c r="K1427" s="19">
        <v>0.3957</v>
      </c>
      <c r="L1427" s="19">
        <v>0.32666666700000002</v>
      </c>
      <c r="M1427" s="19">
        <v>0.43240000000000001</v>
      </c>
      <c r="N1427" s="19">
        <v>0.1918</v>
      </c>
      <c r="O1427" s="19">
        <v>0.42549999999999999</v>
      </c>
      <c r="P1427" s="19">
        <v>0.5</v>
      </c>
      <c r="Q1427" s="19"/>
      <c r="R1427" s="20">
        <v>52472</v>
      </c>
      <c r="S1427" s="21" t="str">
        <f>HYPERLINK("https://www.mountida.edu/admissions-aid/tuition-aid/", "$22870")</f>
        <v>$22870</v>
      </c>
      <c r="T1427" s="20">
        <v>24767</v>
      </c>
      <c r="U1427" s="20">
        <v>28805</v>
      </c>
      <c r="V1427" s="20">
        <v>3072</v>
      </c>
      <c r="W1427" s="20">
        <v>19798</v>
      </c>
      <c r="X1427" s="18" t="s">
        <v>792</v>
      </c>
      <c r="Y1427" s="19">
        <v>0.36549999999999999</v>
      </c>
      <c r="Z1427" s="19">
        <v>0.38030000000000003</v>
      </c>
      <c r="AB1427" s="18">
        <v>1520</v>
      </c>
      <c r="AC1427" s="18">
        <v>5</v>
      </c>
    </row>
    <row r="1428" spans="1:29" ht="15.75" customHeight="1" x14ac:dyDescent="0.2">
      <c r="A1428" s="36" t="str">
        <f>HYPERLINK("https://www.mtmercy.edu", "Mount Mercy University")</f>
        <v>Mount Mercy University</v>
      </c>
      <c r="B1428" s="18" t="s">
        <v>32</v>
      </c>
      <c r="C1428" s="18" t="s">
        <v>211</v>
      </c>
      <c r="D1428" s="18" t="s">
        <v>333</v>
      </c>
      <c r="E1428" s="18">
        <v>1085</v>
      </c>
      <c r="F1428" s="18" t="s">
        <v>35</v>
      </c>
      <c r="J1428" s="19"/>
      <c r="K1428" s="19">
        <v>0.57999999999999996</v>
      </c>
      <c r="L1428" s="19">
        <v>0.66666666699999999</v>
      </c>
      <c r="M1428" s="19">
        <v>0.63080000000000003</v>
      </c>
      <c r="N1428" s="19">
        <v>0.2</v>
      </c>
      <c r="O1428" s="19">
        <v>0</v>
      </c>
      <c r="P1428" s="19">
        <v>0</v>
      </c>
      <c r="Q1428" s="19"/>
      <c r="R1428" s="20">
        <v>44756</v>
      </c>
      <c r="S1428" s="21" t="str">
        <f>HYPERLINK("https://www.mtmercy.edu/net-price-calculator", "$17683")</f>
        <v>$17683</v>
      </c>
      <c r="T1428" s="20">
        <v>20574</v>
      </c>
      <c r="U1428" s="20">
        <v>21326</v>
      </c>
      <c r="V1428" s="20">
        <v>5008</v>
      </c>
      <c r="W1428" s="20">
        <v>12675</v>
      </c>
      <c r="Y1428" s="19">
        <v>0.35570000000000002</v>
      </c>
      <c r="Z1428" s="19">
        <v>0.21110000000000001</v>
      </c>
      <c r="AB1428" s="18">
        <v>1502</v>
      </c>
      <c r="AC1428" s="18">
        <v>4</v>
      </c>
    </row>
    <row r="1429" spans="1:29" ht="15.75" customHeight="1" x14ac:dyDescent="0.2">
      <c r="A1429" s="36" t="str">
        <f>HYPERLINK("https://www.msj.edu", "Mount Saint Joseph University")</f>
        <v>Mount Saint Joseph University</v>
      </c>
      <c r="B1429" s="18" t="s">
        <v>32</v>
      </c>
      <c r="C1429" s="18" t="s">
        <v>75</v>
      </c>
      <c r="D1429" s="18" t="s">
        <v>502</v>
      </c>
      <c r="E1429" s="18">
        <v>1097</v>
      </c>
      <c r="F1429" s="18" t="s">
        <v>35</v>
      </c>
      <c r="J1429" s="19"/>
      <c r="K1429" s="19">
        <v>0.6069</v>
      </c>
      <c r="L1429" s="19">
        <v>0.19047619099999999</v>
      </c>
      <c r="M1429" s="19">
        <v>0.64590000000000003</v>
      </c>
      <c r="N1429" s="19">
        <v>0.23530000000000001</v>
      </c>
      <c r="O1429" s="19">
        <v>0.2727</v>
      </c>
      <c r="P1429" s="19" t="s">
        <v>36</v>
      </c>
      <c r="Q1429" s="19"/>
      <c r="R1429" s="20">
        <v>40566</v>
      </c>
      <c r="S1429" s="21" t="str">
        <f>HYPERLINK("https://msj.aidcalculator.com/", "$13282")</f>
        <v>$13282</v>
      </c>
      <c r="T1429" s="20">
        <v>18105</v>
      </c>
      <c r="U1429" s="20">
        <v>19688</v>
      </c>
      <c r="V1429" s="20">
        <v>2200</v>
      </c>
      <c r="W1429" s="20">
        <v>11082</v>
      </c>
      <c r="Y1429" s="19">
        <v>0.32340000000000002</v>
      </c>
      <c r="Z1429" s="19">
        <v>0.2218</v>
      </c>
      <c r="AB1429" s="18">
        <v>1177</v>
      </c>
      <c r="AC1429" s="18">
        <v>4</v>
      </c>
    </row>
    <row r="1430" spans="1:29" ht="15.75" customHeight="1" x14ac:dyDescent="0.2">
      <c r="A1430" s="36" t="str">
        <f>HYPERLINK("https://www.msmc.edu", "Mount Saint Mary College")</f>
        <v>Mount Saint Mary College</v>
      </c>
      <c r="B1430" s="18" t="s">
        <v>32</v>
      </c>
      <c r="C1430" s="18" t="s">
        <v>38</v>
      </c>
      <c r="D1430" s="18" t="s">
        <v>994</v>
      </c>
      <c r="E1430" s="18">
        <v>1081</v>
      </c>
      <c r="F1430" s="18" t="s">
        <v>35</v>
      </c>
      <c r="G1430" s="18" t="s">
        <v>40</v>
      </c>
      <c r="H1430" s="18" t="s">
        <v>995</v>
      </c>
      <c r="I1430" s="18" t="s">
        <v>996</v>
      </c>
      <c r="J1430" s="19"/>
      <c r="K1430" s="19">
        <v>0.53759999999999997</v>
      </c>
      <c r="L1430" s="19">
        <v>0.54891304399999996</v>
      </c>
      <c r="M1430" s="19">
        <v>0.58299999999999996</v>
      </c>
      <c r="N1430" s="19">
        <v>0.2</v>
      </c>
      <c r="O1430" s="19">
        <v>0.41299999999999998</v>
      </c>
      <c r="P1430" s="19">
        <v>0.4375</v>
      </c>
      <c r="Q1430" s="19"/>
      <c r="R1430" s="20">
        <v>47298</v>
      </c>
      <c r="S1430" s="21" t="str">
        <f>HYPERLINK("https://www.msmc.edu/Student_Services/student_financial_services/Financial_Aid/netprice.be", "$16091")</f>
        <v>$16091</v>
      </c>
      <c r="T1430" s="20">
        <v>23825</v>
      </c>
      <c r="U1430" s="20">
        <v>26609</v>
      </c>
      <c r="V1430" s="20">
        <v>2850</v>
      </c>
      <c r="W1430" s="20">
        <v>13241</v>
      </c>
      <c r="Y1430" s="19">
        <v>0.32100000000000001</v>
      </c>
      <c r="Z1430" s="19">
        <v>0.39359999999999989</v>
      </c>
      <c r="AB1430" s="18">
        <v>2030</v>
      </c>
      <c r="AC1430" s="18">
        <v>4</v>
      </c>
    </row>
    <row r="1431" spans="1:29" ht="15.75" customHeight="1" x14ac:dyDescent="0.2">
      <c r="A1431" s="36" t="str">
        <f>HYPERLINK("https://www.msmu.edu", "Mount Saint Mary's University")</f>
        <v>Mount Saint Mary's University</v>
      </c>
      <c r="B1431" s="18" t="s">
        <v>32</v>
      </c>
      <c r="C1431" s="18" t="s">
        <v>68</v>
      </c>
      <c r="D1431" s="18" t="s">
        <v>140</v>
      </c>
      <c r="E1431" s="18">
        <v>1013</v>
      </c>
      <c r="F1431" s="18" t="s">
        <v>35</v>
      </c>
      <c r="J1431" s="19"/>
      <c r="K1431" s="19">
        <v>0.65799999999999992</v>
      </c>
      <c r="L1431" s="19">
        <v>0.63897763600000002</v>
      </c>
      <c r="M1431" s="19">
        <v>0.7</v>
      </c>
      <c r="N1431" s="19">
        <v>0.5</v>
      </c>
      <c r="O1431" s="19">
        <v>0.67920000000000003</v>
      </c>
      <c r="P1431" s="19">
        <v>0.69569999999999999</v>
      </c>
      <c r="Q1431" s="19"/>
      <c r="R1431" s="20">
        <v>59392</v>
      </c>
      <c r="S1431" s="21" t="str">
        <f>HYPERLINK("https://www.msmu.edu/academics/financial-aid/cost-calculator.aspx", "$25849")</f>
        <v>$25849</v>
      </c>
      <c r="T1431" s="20">
        <v>28060</v>
      </c>
      <c r="U1431" s="20">
        <v>29511</v>
      </c>
      <c r="V1431" s="20">
        <v>7646</v>
      </c>
      <c r="W1431" s="20">
        <v>18203</v>
      </c>
      <c r="Y1431" s="19">
        <v>0.57189999999999996</v>
      </c>
      <c r="Z1431" s="19">
        <v>0.92430000000000001</v>
      </c>
      <c r="AB1431" s="18">
        <v>2575</v>
      </c>
      <c r="AC1431" s="18">
        <v>4</v>
      </c>
    </row>
    <row r="1432" spans="1:29" ht="15.75" customHeight="1" x14ac:dyDescent="0.2">
      <c r="A1432" s="36" t="str">
        <f>HYPERLINK("https://www.msmu.edu", "Mount Saint Mary's University - Doheny Campus")</f>
        <v>Mount Saint Mary's University - Doheny Campus</v>
      </c>
      <c r="B1432" s="18" t="s">
        <v>32</v>
      </c>
      <c r="C1432" s="18" t="s">
        <v>68</v>
      </c>
      <c r="D1432" s="18" t="s">
        <v>140</v>
      </c>
      <c r="E1432" s="18" t="s">
        <v>36</v>
      </c>
      <c r="F1432" s="18" t="s">
        <v>36</v>
      </c>
      <c r="J1432" s="19"/>
      <c r="K1432" s="19" t="s">
        <v>36</v>
      </c>
      <c r="L1432" s="19">
        <v>0.63897763600000002</v>
      </c>
      <c r="M1432" s="19" t="s">
        <v>36</v>
      </c>
      <c r="N1432" s="19" t="s">
        <v>36</v>
      </c>
      <c r="O1432" s="19" t="s">
        <v>36</v>
      </c>
      <c r="P1432" s="19" t="s">
        <v>36</v>
      </c>
      <c r="Q1432" s="19"/>
      <c r="R1432" s="20" t="s">
        <v>36</v>
      </c>
      <c r="S1432" s="35" t="s">
        <v>36</v>
      </c>
      <c r="T1432" s="20" t="s">
        <v>36</v>
      </c>
      <c r="U1432" s="20" t="s">
        <v>36</v>
      </c>
      <c r="V1432" s="20" t="s">
        <v>36</v>
      </c>
      <c r="W1432" s="20" t="s">
        <v>36</v>
      </c>
      <c r="Y1432" s="19" t="s">
        <v>36</v>
      </c>
      <c r="Z1432" s="19" t="s">
        <v>36</v>
      </c>
      <c r="AB1432" s="18" t="s">
        <v>36</v>
      </c>
      <c r="AC1432" s="18">
        <v>4</v>
      </c>
    </row>
    <row r="1433" spans="1:29" ht="15.75" customHeight="1" x14ac:dyDescent="0.2">
      <c r="A1433" s="36" t="str">
        <f>HYPERLINK("https://www.msmary.edu", "Mount St Mary's University")</f>
        <v>Mount St Mary's University</v>
      </c>
      <c r="B1433" s="18" t="s">
        <v>32</v>
      </c>
      <c r="C1433" s="18" t="s">
        <v>124</v>
      </c>
      <c r="D1433" s="18" t="s">
        <v>999</v>
      </c>
      <c r="E1433" s="18">
        <v>1085</v>
      </c>
      <c r="F1433" s="18" t="s">
        <v>35</v>
      </c>
      <c r="G1433" s="19"/>
      <c r="H1433" s="19"/>
      <c r="I1433" s="19"/>
      <c r="J1433" s="19"/>
      <c r="K1433" s="19">
        <v>0.63290000000000002</v>
      </c>
      <c r="L1433" s="19">
        <v>0.52941176499999998</v>
      </c>
      <c r="M1433" s="19">
        <v>0.69969999999999999</v>
      </c>
      <c r="N1433" s="19">
        <v>0.40739999999999998</v>
      </c>
      <c r="O1433" s="19">
        <v>0.57140000000000002</v>
      </c>
      <c r="P1433" s="19">
        <v>0.72729999999999995</v>
      </c>
      <c r="Q1433" s="19"/>
      <c r="R1433" s="20">
        <v>56080</v>
      </c>
      <c r="S1433" s="21" t="str">
        <f>HYPERLINK("https://msmary.edu/admissions/net_price_calculator.html", "$23602")</f>
        <v>$23602</v>
      </c>
      <c r="T1433" s="20">
        <v>29112</v>
      </c>
      <c r="U1433" s="20">
        <v>29840</v>
      </c>
      <c r="V1433" s="20">
        <v>2700</v>
      </c>
      <c r="W1433" s="20">
        <v>20902</v>
      </c>
      <c r="Y1433" s="19">
        <v>0.22439999999999999</v>
      </c>
      <c r="Z1433" s="19">
        <v>0.372</v>
      </c>
      <c r="AB1433" s="18">
        <v>1785</v>
      </c>
      <c r="AC1433" s="18">
        <v>4</v>
      </c>
    </row>
    <row r="1434" spans="1:29" ht="15.75" customHeight="1" x14ac:dyDescent="0.2">
      <c r="A1434" s="36" t="str">
        <f>HYPERLINK("https://www.mvnu.edu", "Mount Vernon Nazarene University")</f>
        <v>Mount Vernon Nazarene University</v>
      </c>
      <c r="B1434" s="18" t="s">
        <v>32</v>
      </c>
      <c r="C1434" s="18" t="s">
        <v>75</v>
      </c>
      <c r="D1434" s="18" t="s">
        <v>212</v>
      </c>
      <c r="E1434" s="18">
        <v>1102</v>
      </c>
      <c r="F1434" s="18" t="s">
        <v>35</v>
      </c>
      <c r="J1434" s="19"/>
      <c r="K1434" s="19">
        <v>0.63200000000000001</v>
      </c>
      <c r="L1434" s="19">
        <v>0.43274853800000002</v>
      </c>
      <c r="M1434" s="19">
        <v>0.64739999999999998</v>
      </c>
      <c r="N1434" s="19">
        <v>0.375</v>
      </c>
      <c r="O1434" s="19">
        <v>0.5</v>
      </c>
      <c r="P1434" s="19">
        <v>0</v>
      </c>
      <c r="Q1434" s="19"/>
      <c r="R1434" s="20">
        <v>41144</v>
      </c>
      <c r="S1434" s="21" t="str">
        <f>HYPERLINK("https://calculator.mvnu.edu/", "$20796")</f>
        <v>$20796</v>
      </c>
      <c r="T1434" s="20">
        <v>21476</v>
      </c>
      <c r="U1434" s="20">
        <v>20670</v>
      </c>
      <c r="V1434" s="20">
        <v>5200</v>
      </c>
      <c r="W1434" s="20">
        <v>15596</v>
      </c>
      <c r="Y1434" s="19">
        <v>0.35120000000000001</v>
      </c>
      <c r="Z1434" s="19">
        <v>0.14910000000000001</v>
      </c>
      <c r="AB1434" s="18">
        <v>1623</v>
      </c>
      <c r="AC1434" s="18">
        <v>4</v>
      </c>
    </row>
    <row r="1435" spans="1:29" ht="15.75" customHeight="1" x14ac:dyDescent="0.2">
      <c r="A1435" s="36" t="str">
        <f>HYPERLINK("https://MWCC.EDU", "Mount Wachusett Community College")</f>
        <v>Mount Wachusett Community College</v>
      </c>
      <c r="B1435" s="18" t="s">
        <v>49</v>
      </c>
      <c r="C1435" s="18" t="s">
        <v>33</v>
      </c>
      <c r="D1435" s="18" t="s">
        <v>1549</v>
      </c>
      <c r="E1435" s="18" t="s">
        <v>36</v>
      </c>
      <c r="F1435" s="18" t="s">
        <v>36</v>
      </c>
      <c r="J1435" s="19"/>
      <c r="K1435" s="19">
        <v>0.2127</v>
      </c>
      <c r="L1435" s="19">
        <v>0.20069605600000001</v>
      </c>
      <c r="M1435" s="19">
        <v>0.25219999999999998</v>
      </c>
      <c r="N1435" s="19">
        <v>3.4500000000000003E-2</v>
      </c>
      <c r="O1435" s="19">
        <v>0.14810000000000001</v>
      </c>
      <c r="P1435" s="19">
        <v>0.22220000000000001</v>
      </c>
      <c r="Q1435" s="19">
        <v>5.9602649000000001E-2</v>
      </c>
      <c r="R1435" s="20">
        <v>22648</v>
      </c>
      <c r="S1435" s="21" t="str">
        <f>HYPERLINK("https://mwcc.edu/about-mwcc/public-disclosure/net-price-calculator/", "$16053")</f>
        <v>$16053</v>
      </c>
      <c r="T1435" s="20">
        <v>18132</v>
      </c>
      <c r="U1435" s="20">
        <v>20832</v>
      </c>
      <c r="V1435" s="20">
        <v>4900</v>
      </c>
      <c r="W1435" s="20">
        <v>11153.647342995169</v>
      </c>
      <c r="Y1435" s="19">
        <v>0.4612</v>
      </c>
      <c r="Z1435" s="19">
        <v>0.3196</v>
      </c>
      <c r="AB1435" s="18">
        <v>3410</v>
      </c>
      <c r="AC1435" s="18">
        <v>6</v>
      </c>
    </row>
    <row r="1436" spans="1:29" ht="15.75" customHeight="1" x14ac:dyDescent="0.2">
      <c r="A1436" s="36" t="str">
        <f>HYPERLINK("https://www.msc.edu", "Mountain State College")</f>
        <v>Mountain State College</v>
      </c>
      <c r="B1436" s="18" t="s">
        <v>368</v>
      </c>
      <c r="C1436" s="18" t="s">
        <v>574</v>
      </c>
      <c r="D1436" s="18" t="s">
        <v>1550</v>
      </c>
      <c r="E1436" s="18" t="s">
        <v>36</v>
      </c>
      <c r="F1436" s="18" t="s">
        <v>36</v>
      </c>
      <c r="J1436" s="19"/>
      <c r="K1436" s="19">
        <v>0.5</v>
      </c>
      <c r="L1436" s="19" t="s">
        <v>36</v>
      </c>
      <c r="M1436" s="19">
        <v>0.5</v>
      </c>
      <c r="N1436" s="19" t="s">
        <v>36</v>
      </c>
      <c r="O1436" s="19" t="s">
        <v>36</v>
      </c>
      <c r="P1436" s="19" t="s">
        <v>36</v>
      </c>
      <c r="Q1436" s="19" t="s">
        <v>36</v>
      </c>
      <c r="R1436" s="20">
        <v>21499</v>
      </c>
      <c r="S1436" s="21" t="str">
        <f>HYPERLINK("https://msc.edu", "$15270")</f>
        <v>$15270</v>
      </c>
      <c r="T1436" s="20">
        <v>16617</v>
      </c>
      <c r="U1436" s="20">
        <v>15467</v>
      </c>
      <c r="V1436" s="20">
        <v>7434</v>
      </c>
      <c r="W1436" s="20">
        <v>7836</v>
      </c>
      <c r="Y1436" s="19">
        <v>0.91959999999999997</v>
      </c>
      <c r="Z1436" s="19">
        <v>0</v>
      </c>
      <c r="AB1436" s="18">
        <v>78</v>
      </c>
      <c r="AC1436" s="18">
        <v>6</v>
      </c>
    </row>
    <row r="1437" spans="1:29" ht="15.75" customHeight="1" x14ac:dyDescent="0.2">
      <c r="A1437" s="36" t="str">
        <f>HYPERLINK("https://www.dcccd.edu", "Mountain View College")</f>
        <v>Mountain View College</v>
      </c>
      <c r="B1437" s="18" t="s">
        <v>49</v>
      </c>
      <c r="C1437" s="18" t="s">
        <v>146</v>
      </c>
      <c r="D1437" s="18" t="s">
        <v>152</v>
      </c>
      <c r="E1437" s="18" t="s">
        <v>36</v>
      </c>
      <c r="F1437" s="18" t="s">
        <v>36</v>
      </c>
      <c r="J1437" s="19"/>
      <c r="K1437" s="19">
        <v>0.1038</v>
      </c>
      <c r="L1437" s="19" t="s">
        <v>36</v>
      </c>
      <c r="M1437" s="19">
        <v>9.6799999999999997E-2</v>
      </c>
      <c r="N1437" s="19">
        <v>6.3E-2</v>
      </c>
      <c r="O1437" s="19">
        <v>0.12130000000000001</v>
      </c>
      <c r="P1437" s="19">
        <v>0</v>
      </c>
      <c r="Q1437" s="19">
        <v>0.107921929</v>
      </c>
      <c r="R1437" s="20">
        <v>20621</v>
      </c>
      <c r="S1437" s="21" t="str">
        <f>HYPERLINK("https://www.dcccd.edu/pc/cost/pages/coa.aspx", "$15279")</f>
        <v>$15279</v>
      </c>
      <c r="T1437" s="20">
        <v>18016</v>
      </c>
      <c r="U1437" s="20">
        <v>19974</v>
      </c>
      <c r="V1437" s="20">
        <v>5456</v>
      </c>
      <c r="W1437" s="20">
        <v>9823.7066666666669</v>
      </c>
      <c r="Y1437" s="19">
        <v>0.30149999999999999</v>
      </c>
      <c r="Z1437" s="19">
        <v>0.90480000000000005</v>
      </c>
      <c r="AB1437" s="18">
        <v>6952</v>
      </c>
      <c r="AC1437" s="18">
        <v>6</v>
      </c>
    </row>
    <row r="1438" spans="1:29" ht="15.75" customHeight="1" x14ac:dyDescent="0.2">
      <c r="A1438" s="36" t="str">
        <f>HYPERLINK("https://www.mhcc.edu", "Mt Hood Community College")</f>
        <v>Mt Hood Community College</v>
      </c>
      <c r="B1438" s="18" t="s">
        <v>49</v>
      </c>
      <c r="C1438" s="18" t="s">
        <v>143</v>
      </c>
      <c r="D1438" s="18" t="s">
        <v>1551</v>
      </c>
      <c r="E1438" s="18" t="s">
        <v>36</v>
      </c>
      <c r="F1438" s="18" t="s">
        <v>36</v>
      </c>
      <c r="J1438" s="19"/>
      <c r="K1438" s="19">
        <v>0.26490000000000002</v>
      </c>
      <c r="L1438" s="19">
        <v>0.142167617</v>
      </c>
      <c r="M1438" s="19">
        <v>0.28310000000000002</v>
      </c>
      <c r="N1438" s="19">
        <v>0.12770000000000001</v>
      </c>
      <c r="O1438" s="19">
        <v>0.25640000000000002</v>
      </c>
      <c r="P1438" s="19">
        <v>0.3226</v>
      </c>
      <c r="Q1438" s="19">
        <v>7.2102220999999994E-2</v>
      </c>
      <c r="R1438" s="20">
        <v>22136</v>
      </c>
      <c r="S1438" s="21" t="str">
        <f>HYPERLINK("https://my.mhcc.edu/ics/Resources/MyMHCC_Portal_Documentation_for_Students.jnz?portlet=External_Content", "$17518")</f>
        <v>$17518</v>
      </c>
      <c r="T1438" s="20">
        <v>19388</v>
      </c>
      <c r="U1438" s="20">
        <v>21011</v>
      </c>
      <c r="V1438" s="20">
        <v>4725</v>
      </c>
      <c r="W1438" s="20">
        <v>12793.52542372881</v>
      </c>
      <c r="Y1438" s="19">
        <v>0.26840000000000003</v>
      </c>
      <c r="Z1438" s="19">
        <v>0.50209999999999999</v>
      </c>
      <c r="AB1438" s="18">
        <v>7168</v>
      </c>
      <c r="AC1438" s="18">
        <v>6</v>
      </c>
    </row>
    <row r="1439" spans="1:29" ht="15.75" customHeight="1" x14ac:dyDescent="0.2">
      <c r="A1439" s="36" t="str">
        <f>HYPERLINK("https://www.mtsac.edu", "Mt San Antonio College")</f>
        <v>Mt San Antonio College</v>
      </c>
      <c r="B1439" s="18" t="s">
        <v>49</v>
      </c>
      <c r="C1439" s="18" t="s">
        <v>68</v>
      </c>
      <c r="D1439" s="18" t="s">
        <v>1552</v>
      </c>
      <c r="E1439" s="18" t="s">
        <v>36</v>
      </c>
      <c r="F1439" s="18" t="s">
        <v>36</v>
      </c>
      <c r="J1439" s="19"/>
      <c r="K1439" s="19">
        <v>0.3236</v>
      </c>
      <c r="L1439" s="19">
        <v>0.136594095</v>
      </c>
      <c r="M1439" s="19">
        <v>0.38329999999999997</v>
      </c>
      <c r="N1439" s="19">
        <v>0.20269999999999999</v>
      </c>
      <c r="O1439" s="19">
        <v>0.2535</v>
      </c>
      <c r="P1439" s="19">
        <v>0.5323</v>
      </c>
      <c r="Q1439" s="19">
        <v>0.135066042</v>
      </c>
      <c r="R1439" s="20">
        <v>27036</v>
      </c>
      <c r="S1439" s="21" t="str">
        <f>HYPERLINK("https://www.mtsac.edu/financialaid/resources/npcalc.html", "$19416")</f>
        <v>$19416</v>
      </c>
      <c r="T1439" s="20">
        <v>22818</v>
      </c>
      <c r="U1439" s="20">
        <v>24074</v>
      </c>
      <c r="V1439" s="20">
        <v>5002</v>
      </c>
      <c r="W1439" s="20">
        <v>14414.64453125</v>
      </c>
      <c r="Y1439" s="19">
        <v>0.33310000000000001</v>
      </c>
      <c r="Z1439" s="19">
        <v>0.89300000000000002</v>
      </c>
      <c r="AB1439" s="18">
        <v>26865</v>
      </c>
      <c r="AC1439" s="18">
        <v>6</v>
      </c>
    </row>
    <row r="1440" spans="1:29" ht="15.75" customHeight="1" x14ac:dyDescent="0.2">
      <c r="A1440" s="36" t="str">
        <f>HYPERLINK("https://www.msjc.edu", "Mt San Jacinto Community College District")</f>
        <v>Mt San Jacinto Community College District</v>
      </c>
      <c r="B1440" s="18" t="s">
        <v>49</v>
      </c>
      <c r="C1440" s="18" t="s">
        <v>68</v>
      </c>
      <c r="D1440" s="18" t="s">
        <v>1553</v>
      </c>
      <c r="E1440" s="18" t="s">
        <v>36</v>
      </c>
      <c r="F1440" s="18" t="s">
        <v>36</v>
      </c>
      <c r="J1440" s="19"/>
      <c r="K1440" s="19">
        <v>0.26150000000000001</v>
      </c>
      <c r="L1440" s="19">
        <v>2.0542636E-2</v>
      </c>
      <c r="M1440" s="19">
        <v>0.25540000000000002</v>
      </c>
      <c r="N1440" s="19">
        <v>0.1429</v>
      </c>
      <c r="O1440" s="19">
        <v>0.25140000000000001</v>
      </c>
      <c r="P1440" s="19">
        <v>0.45450000000000002</v>
      </c>
      <c r="Q1440" s="19">
        <v>0.112939841</v>
      </c>
      <c r="R1440" s="20">
        <v>28332</v>
      </c>
      <c r="S1440" s="21" t="str">
        <f>HYPERLINK("https://www.msjc.edu/StudentServices/FinancialAid/Pages/default.aspx", "$21755")</f>
        <v>$21755</v>
      </c>
      <c r="T1440" s="20">
        <v>24534</v>
      </c>
      <c r="U1440" s="20">
        <v>24941</v>
      </c>
      <c r="V1440" s="20">
        <v>6093</v>
      </c>
      <c r="W1440" s="20">
        <v>15662.533980582521</v>
      </c>
      <c r="Y1440" s="19">
        <v>0.3523</v>
      </c>
      <c r="Z1440" s="19">
        <v>0.71130000000000004</v>
      </c>
      <c r="AB1440" s="18">
        <v>14620</v>
      </c>
      <c r="AC1440" s="18">
        <v>6</v>
      </c>
    </row>
    <row r="1441" spans="1:29" ht="15.75" customHeight="1" x14ac:dyDescent="0.2">
      <c r="A1441" s="36" t="str">
        <f>HYPERLINK("https://www.muhlenberg.edu", "Muhlenberg College")</f>
        <v>Muhlenberg College</v>
      </c>
      <c r="B1441" s="18" t="s">
        <v>32</v>
      </c>
      <c r="C1441" s="18" t="s">
        <v>65</v>
      </c>
      <c r="D1441" s="18" t="s">
        <v>232</v>
      </c>
      <c r="E1441" s="18">
        <v>1270</v>
      </c>
      <c r="F1441" s="18" t="s">
        <v>115</v>
      </c>
      <c r="J1441" s="19"/>
      <c r="K1441" s="19">
        <v>0.86470000000000002</v>
      </c>
      <c r="L1441" s="19">
        <v>0.70212766000000004</v>
      </c>
      <c r="M1441" s="19">
        <v>0.87280000000000002</v>
      </c>
      <c r="N1441" s="19">
        <v>0.76190000000000002</v>
      </c>
      <c r="O1441" s="19">
        <v>0.86360000000000003</v>
      </c>
      <c r="P1441" s="19">
        <v>0.88239999999999996</v>
      </c>
      <c r="Q1441" s="19"/>
      <c r="R1441" s="20">
        <v>65330</v>
      </c>
      <c r="S1441" s="21" t="str">
        <f>HYPERLINK("https://www.muhlenberg.edu/main/aboutus/finaid/prospectivestudents/netpricecalculator/", "$16767")</f>
        <v>$16767</v>
      </c>
      <c r="T1441" s="20">
        <v>19601</v>
      </c>
      <c r="U1441" s="20">
        <v>28677</v>
      </c>
      <c r="V1441" s="20">
        <v>3080</v>
      </c>
      <c r="W1441" s="20">
        <v>13687</v>
      </c>
      <c r="Y1441" s="19">
        <v>0.13789999999999999</v>
      </c>
      <c r="Z1441" s="19">
        <v>0.25380000000000003</v>
      </c>
      <c r="AB1441" s="18">
        <v>2329</v>
      </c>
      <c r="AC1441" s="18">
        <v>2</v>
      </c>
    </row>
    <row r="1442" spans="1:29" ht="15.75" customHeight="1" x14ac:dyDescent="0.2">
      <c r="A1442" s="36" t="str">
        <f>HYPERLINK("https://www.mscok.edu", "Murray State College")</f>
        <v>Murray State College</v>
      </c>
      <c r="B1442" s="18" t="s">
        <v>49</v>
      </c>
      <c r="C1442" s="18" t="s">
        <v>290</v>
      </c>
      <c r="D1442" s="18" t="s">
        <v>1554</v>
      </c>
      <c r="E1442" s="18" t="s">
        <v>36</v>
      </c>
      <c r="F1442" s="18" t="s">
        <v>36</v>
      </c>
      <c r="J1442" s="19"/>
      <c r="K1442" s="19">
        <v>0.26800000000000002</v>
      </c>
      <c r="L1442" s="19">
        <v>0.144104804</v>
      </c>
      <c r="M1442" s="19">
        <v>0.26140000000000002</v>
      </c>
      <c r="N1442" s="19">
        <v>0.23080000000000001</v>
      </c>
      <c r="O1442" s="19">
        <v>0.26669999999999999</v>
      </c>
      <c r="P1442" s="19">
        <v>0</v>
      </c>
      <c r="Q1442" s="19">
        <v>7.2604065999999995E-2</v>
      </c>
      <c r="R1442" s="20">
        <v>22716</v>
      </c>
      <c r="S1442" s="21" t="str">
        <f>HYPERLINK("https://www.mscok.edu/future_students/cost_of_attending.aspx", "$15583")</f>
        <v>$15583</v>
      </c>
      <c r="T1442" s="20">
        <v>19232</v>
      </c>
      <c r="U1442" s="20">
        <v>20969</v>
      </c>
      <c r="V1442" s="20">
        <v>5326</v>
      </c>
      <c r="W1442" s="20">
        <v>10257.040816326529</v>
      </c>
      <c r="Y1442" s="19">
        <v>0.43120000000000003</v>
      </c>
      <c r="Z1442" s="19">
        <v>0.49690000000000001</v>
      </c>
      <c r="AB1442" s="18">
        <v>1797</v>
      </c>
      <c r="AC1442" s="18">
        <v>6</v>
      </c>
    </row>
    <row r="1443" spans="1:29" ht="15.75" customHeight="1" x14ac:dyDescent="0.2">
      <c r="A1443" s="36" t="str">
        <f>HYPERLINK("https://www.murraystate.edu", "Murray State University")</f>
        <v>Murray State University</v>
      </c>
      <c r="B1443" s="18" t="s">
        <v>49</v>
      </c>
      <c r="C1443" s="18" t="s">
        <v>205</v>
      </c>
      <c r="D1443" s="18" t="s">
        <v>1000</v>
      </c>
      <c r="E1443" s="18">
        <v>1173</v>
      </c>
      <c r="F1443" s="18" t="s">
        <v>35</v>
      </c>
      <c r="J1443" s="19"/>
      <c r="K1443" s="19">
        <v>0.49099999999999999</v>
      </c>
      <c r="L1443" s="19">
        <v>0.40896739100000001</v>
      </c>
      <c r="M1443" s="19">
        <v>0.51919999999999999</v>
      </c>
      <c r="N1443" s="19">
        <v>0.2923</v>
      </c>
      <c r="O1443" s="19">
        <v>0.4138</v>
      </c>
      <c r="P1443" s="19">
        <v>0.5</v>
      </c>
      <c r="Q1443" s="19"/>
      <c r="R1443" s="20">
        <v>37870</v>
      </c>
      <c r="S1443" s="21" t="str">
        <f>HYPERLINK("https://murraystate.studentaidcalculator.com/survey.aspx", "$26860")</f>
        <v>$26860</v>
      </c>
      <c r="T1443" s="20">
        <v>30865</v>
      </c>
      <c r="U1443" s="20">
        <v>33146</v>
      </c>
      <c r="V1443" s="20">
        <v>5144</v>
      </c>
      <c r="W1443" s="20">
        <v>21716.949806949811</v>
      </c>
      <c r="Y1443" s="19">
        <v>0.30819999999999997</v>
      </c>
      <c r="Z1443" s="19">
        <v>0.17749999999999999</v>
      </c>
      <c r="AB1443" s="18">
        <v>7218</v>
      </c>
      <c r="AC1443" s="18">
        <v>4</v>
      </c>
    </row>
    <row r="1444" spans="1:29" ht="15.75" customHeight="1" x14ac:dyDescent="0.2">
      <c r="A1444" s="36" t="str">
        <f>HYPERLINK("https://www.muskegoncc.edu", "Muskegon Community College")</f>
        <v>Muskegon Community College</v>
      </c>
      <c r="B1444" s="18" t="s">
        <v>49</v>
      </c>
      <c r="C1444" s="18" t="s">
        <v>226</v>
      </c>
      <c r="D1444" s="18" t="s">
        <v>634</v>
      </c>
      <c r="E1444" s="18" t="s">
        <v>36</v>
      </c>
      <c r="F1444" s="18" t="s">
        <v>36</v>
      </c>
      <c r="J1444" s="19"/>
      <c r="K1444" s="19">
        <v>0.15540000000000001</v>
      </c>
      <c r="L1444" s="19">
        <v>0.101694915</v>
      </c>
      <c r="M1444" s="19">
        <v>0.17699999999999999</v>
      </c>
      <c r="N1444" s="19">
        <v>9.0899999999999995E-2</v>
      </c>
      <c r="O1444" s="19">
        <v>0</v>
      </c>
      <c r="P1444" s="19">
        <v>0.25</v>
      </c>
      <c r="Q1444" s="19">
        <v>7.7091306999999998E-2</v>
      </c>
      <c r="R1444" s="20">
        <v>19720</v>
      </c>
      <c r="S1444" s="21" t="str">
        <f>HYPERLINK("https://www.muskegoncc.edu/financial-aid/net-price-calculator/", "$15645")</f>
        <v>$15645</v>
      </c>
      <c r="T1444" s="20">
        <v>18468</v>
      </c>
      <c r="U1444" s="20">
        <v>18248</v>
      </c>
      <c r="V1444" s="20">
        <v>3216</v>
      </c>
      <c r="W1444" s="20">
        <v>12429.298804780879</v>
      </c>
      <c r="Y1444" s="19">
        <v>0.32329999999999998</v>
      </c>
      <c r="Z1444" s="19">
        <v>0.23830000000000001</v>
      </c>
      <c r="AB1444" s="18">
        <v>3411</v>
      </c>
      <c r="AC1444" s="18">
        <v>6</v>
      </c>
    </row>
    <row r="1445" spans="1:29" ht="15.75" customHeight="1" x14ac:dyDescent="0.2">
      <c r="A1445" s="36" t="str">
        <f>HYPERLINK("https://www.muskingum.edu/", "Muskingum University")</f>
        <v>Muskingum University</v>
      </c>
      <c r="B1445" s="18" t="s">
        <v>32</v>
      </c>
      <c r="C1445" s="18" t="s">
        <v>75</v>
      </c>
      <c r="D1445" s="18" t="s">
        <v>1001</v>
      </c>
      <c r="E1445" s="18">
        <v>1077</v>
      </c>
      <c r="F1445" s="18" t="s">
        <v>35</v>
      </c>
      <c r="J1445" s="19"/>
      <c r="K1445" s="19">
        <v>0.48230000000000001</v>
      </c>
      <c r="L1445" s="19">
        <v>0.37195122000000003</v>
      </c>
      <c r="M1445" s="19">
        <v>0.51129999999999998</v>
      </c>
      <c r="N1445" s="19">
        <v>0.2258</v>
      </c>
      <c r="O1445" s="19">
        <v>0</v>
      </c>
      <c r="P1445" s="19">
        <v>0</v>
      </c>
      <c r="Q1445" s="19"/>
      <c r="R1445" s="20">
        <v>41420</v>
      </c>
      <c r="S1445" s="21" t="str">
        <f>HYPERLINK("https://muskingum.studentaidcalculator.com/survey.aspx", "$15251")</f>
        <v>$15251</v>
      </c>
      <c r="T1445" s="20">
        <v>18432</v>
      </c>
      <c r="U1445" s="20">
        <v>22196</v>
      </c>
      <c r="V1445" s="20">
        <v>2734</v>
      </c>
      <c r="W1445" s="20">
        <v>12517</v>
      </c>
      <c r="Y1445" s="19">
        <v>0.41830000000000001</v>
      </c>
      <c r="Z1445" s="19">
        <v>0.21049999999999999</v>
      </c>
      <c r="AB1445" s="18">
        <v>1525</v>
      </c>
      <c r="AC1445" s="18">
        <v>4</v>
      </c>
    </row>
    <row r="1446" spans="1:29" ht="15.75" customHeight="1" x14ac:dyDescent="0.2">
      <c r="A1446" s="36" t="str">
        <f>HYPERLINK("https://www.myotherapy.edu", "Myotherapy Institute")</f>
        <v>Myotherapy Institute</v>
      </c>
      <c r="B1446" s="18" t="s">
        <v>368</v>
      </c>
      <c r="C1446" s="18" t="s">
        <v>341</v>
      </c>
      <c r="D1446" s="18" t="s">
        <v>516</v>
      </c>
      <c r="E1446" s="18" t="s">
        <v>36</v>
      </c>
      <c r="F1446" s="18" t="s">
        <v>36</v>
      </c>
      <c r="J1446" s="19"/>
      <c r="K1446" s="19">
        <v>0.76919999999999999</v>
      </c>
      <c r="L1446" s="19" t="s">
        <v>36</v>
      </c>
      <c r="M1446" s="19">
        <v>0.72729999999999995</v>
      </c>
      <c r="N1446" s="19" t="s">
        <v>36</v>
      </c>
      <c r="O1446" s="19">
        <v>1</v>
      </c>
      <c r="P1446" s="19" t="s">
        <v>36</v>
      </c>
      <c r="Q1446" s="19" t="s">
        <v>36</v>
      </c>
      <c r="R1446" s="20">
        <v>32392</v>
      </c>
      <c r="S1446" s="21" t="str">
        <f>HYPERLINK("https://www.myotherapy.edu", "$20934")</f>
        <v>$20934</v>
      </c>
      <c r="T1446" s="20">
        <v>24771</v>
      </c>
      <c r="U1446" s="20" t="s">
        <v>36</v>
      </c>
      <c r="V1446" s="20">
        <v>5670</v>
      </c>
      <c r="W1446" s="20">
        <v>15264</v>
      </c>
      <c r="Y1446" s="19">
        <v>0.51219999999999999</v>
      </c>
      <c r="Z1446" s="19">
        <v>8.7000000000000077E-2</v>
      </c>
      <c r="AB1446" s="18">
        <v>23</v>
      </c>
      <c r="AC1446" s="18">
        <v>6</v>
      </c>
    </row>
    <row r="1447" spans="1:29" ht="15.75" customHeight="1" x14ac:dyDescent="0.2">
      <c r="A1447" s="36" t="str">
        <f>HYPERLINK("https://www.nhti.edu", "NHTI-Concord's Community College")</f>
        <v>NHTI-Concord's Community College</v>
      </c>
      <c r="B1447" s="18" t="s">
        <v>49</v>
      </c>
      <c r="C1447" s="18" t="s">
        <v>101</v>
      </c>
      <c r="D1447" s="18" t="s">
        <v>804</v>
      </c>
      <c r="E1447" s="18" t="s">
        <v>36</v>
      </c>
      <c r="F1447" s="18" t="s">
        <v>36</v>
      </c>
      <c r="J1447" s="19"/>
      <c r="K1447" s="19">
        <v>0.20080000000000001</v>
      </c>
      <c r="L1447" s="19">
        <v>0.25865209500000003</v>
      </c>
      <c r="M1447" s="19">
        <v>0.20280000000000001</v>
      </c>
      <c r="N1447" s="19">
        <v>0.1429</v>
      </c>
      <c r="O1447" s="19">
        <v>0.25</v>
      </c>
      <c r="P1447" s="19">
        <v>0.23080000000000001</v>
      </c>
      <c r="Q1447" s="19">
        <v>8.7741935999999993E-2</v>
      </c>
      <c r="R1447" s="20">
        <v>30112</v>
      </c>
      <c r="S1447" s="21" t="str">
        <f>HYPERLINK("https://www.nhti.edu/admissions/financial-aid/net-price-calculator", "$26669")</f>
        <v>$26669</v>
      </c>
      <c r="T1447" s="20">
        <v>30112</v>
      </c>
      <c r="U1447" s="20">
        <v>30112</v>
      </c>
      <c r="V1447" s="20">
        <v>5306</v>
      </c>
      <c r="W1447" s="20">
        <v>21363.65979381443</v>
      </c>
      <c r="Y1447" s="19">
        <v>0.32290000000000002</v>
      </c>
      <c r="Z1447" s="19">
        <v>0.1804</v>
      </c>
      <c r="AB1447" s="18">
        <v>3309</v>
      </c>
      <c r="AC1447" s="18">
        <v>6</v>
      </c>
    </row>
    <row r="1448" spans="1:29" ht="15.75" customHeight="1" x14ac:dyDescent="0.2">
      <c r="A1448" s="36" t="str">
        <f>HYPERLINK("https://www.napavalley.edu", "Napa Valley College")</f>
        <v>Napa Valley College</v>
      </c>
      <c r="B1448" s="18" t="s">
        <v>49</v>
      </c>
      <c r="C1448" s="18" t="s">
        <v>68</v>
      </c>
      <c r="D1448" s="18" t="s">
        <v>1555</v>
      </c>
      <c r="E1448" s="18" t="s">
        <v>36</v>
      </c>
      <c r="F1448" s="18" t="s">
        <v>36</v>
      </c>
      <c r="J1448" s="19"/>
      <c r="K1448" s="19">
        <v>0.33650000000000002</v>
      </c>
      <c r="L1448" s="19">
        <v>8.1530781999999996E-2</v>
      </c>
      <c r="M1448" s="19">
        <v>0.30880000000000002</v>
      </c>
      <c r="N1448" s="19">
        <v>9.0899999999999995E-2</v>
      </c>
      <c r="O1448" s="19">
        <v>0.3478</v>
      </c>
      <c r="P1448" s="19">
        <v>0.39019999999999999</v>
      </c>
      <c r="Q1448" s="19">
        <v>0.133171913</v>
      </c>
      <c r="R1448" s="20">
        <v>26144</v>
      </c>
      <c r="S1448" s="21" t="str">
        <f>HYPERLINK("https://misweb.cccco.edu/npc/241/npcalc.htm", "$19282")</f>
        <v>$19282</v>
      </c>
      <c r="T1448" s="20">
        <v>22871</v>
      </c>
      <c r="U1448" s="20" t="s">
        <v>36</v>
      </c>
      <c r="V1448" s="20">
        <v>6093</v>
      </c>
      <c r="W1448" s="20">
        <v>13189.77844311377</v>
      </c>
      <c r="Y1448" s="19">
        <v>0.2074</v>
      </c>
      <c r="Z1448" s="19">
        <v>0.71130000000000004</v>
      </c>
      <c r="AB1448" s="18">
        <v>5237</v>
      </c>
      <c r="AC1448" s="18">
        <v>6</v>
      </c>
    </row>
    <row r="1449" spans="1:29" ht="15.75" customHeight="1" x14ac:dyDescent="0.2">
      <c r="A1449" s="36" t="str">
        <f>HYPERLINK("https://www.naropa.edu", "Naropa University")</f>
        <v>Naropa University</v>
      </c>
      <c r="B1449" s="18" t="s">
        <v>32</v>
      </c>
      <c r="C1449" s="18" t="s">
        <v>87</v>
      </c>
      <c r="D1449" s="18" t="s">
        <v>503</v>
      </c>
      <c r="E1449" s="18" t="s">
        <v>36</v>
      </c>
      <c r="F1449" s="18" t="s">
        <v>45</v>
      </c>
      <c r="J1449" s="19"/>
      <c r="K1449" s="19">
        <v>0.30769999999999997</v>
      </c>
      <c r="L1449" s="19">
        <v>0.60714285700000004</v>
      </c>
      <c r="M1449" s="19">
        <v>0.25640000000000002</v>
      </c>
      <c r="N1449" s="19">
        <v>1</v>
      </c>
      <c r="O1449" s="19">
        <v>0.25</v>
      </c>
      <c r="P1449" s="19" t="s">
        <v>36</v>
      </c>
      <c r="Q1449" s="19"/>
      <c r="R1449" s="20">
        <v>49990</v>
      </c>
      <c r="S1449" s="21" t="str">
        <f>HYPERLINK("https://www.naropa.edu/admissions/affording/undergraduate-costs-aid/cost-calculator.php", "$22595")</f>
        <v>$22595</v>
      </c>
      <c r="T1449" s="20">
        <v>23875</v>
      </c>
      <c r="U1449" s="20">
        <v>34790</v>
      </c>
      <c r="V1449" s="20">
        <v>6712</v>
      </c>
      <c r="W1449" s="20">
        <v>15883</v>
      </c>
      <c r="Y1449" s="19">
        <v>0.49480000000000002</v>
      </c>
      <c r="Z1449" s="19">
        <v>0.37759999999999999</v>
      </c>
      <c r="AB1449" s="18">
        <v>384</v>
      </c>
      <c r="AC1449" s="18">
        <v>4</v>
      </c>
    </row>
    <row r="1450" spans="1:29" ht="15.75" customHeight="1" x14ac:dyDescent="0.2">
      <c r="A1450" s="36" t="str">
        <f>HYPERLINK("https://nashuacc.edu", "Nashua Community College")</f>
        <v>Nashua Community College</v>
      </c>
      <c r="B1450" s="18" t="s">
        <v>49</v>
      </c>
      <c r="C1450" s="18" t="s">
        <v>101</v>
      </c>
      <c r="D1450" s="18" t="s">
        <v>450</v>
      </c>
      <c r="E1450" s="18" t="s">
        <v>36</v>
      </c>
      <c r="F1450" s="18" t="s">
        <v>36</v>
      </c>
      <c r="J1450" s="19"/>
      <c r="K1450" s="19">
        <v>0.26140000000000002</v>
      </c>
      <c r="L1450" s="19">
        <v>0.190972222</v>
      </c>
      <c r="M1450" s="19">
        <v>0.27139999999999997</v>
      </c>
      <c r="N1450" s="19">
        <v>0.4</v>
      </c>
      <c r="O1450" s="19">
        <v>8.3299999999999999E-2</v>
      </c>
      <c r="P1450" s="19">
        <v>0.5</v>
      </c>
      <c r="Q1450" s="19">
        <v>0.101010101</v>
      </c>
      <c r="R1450" s="20">
        <v>36054</v>
      </c>
      <c r="S1450" s="21" t="str">
        <f>HYPERLINK("https://nashuacc.edu/npcalc/npcalc.htm", "$32826")</f>
        <v>$32826</v>
      </c>
      <c r="T1450" s="20">
        <v>35967</v>
      </c>
      <c r="U1450" s="20">
        <v>36054</v>
      </c>
      <c r="V1450" s="20">
        <v>5723</v>
      </c>
      <c r="W1450" s="20">
        <v>27103.558139534889</v>
      </c>
      <c r="Y1450" s="19">
        <v>0.30259999999999998</v>
      </c>
      <c r="Z1450" s="19">
        <v>0.24840000000000001</v>
      </c>
      <c r="AB1450" s="18">
        <v>1534</v>
      </c>
      <c r="AC1450" s="18">
        <v>6</v>
      </c>
    </row>
    <row r="1451" spans="1:29" ht="15.75" customHeight="1" x14ac:dyDescent="0.2">
      <c r="A1451" s="36" t="str">
        <f>HYPERLINK("https://www.ncc.edu/", "SUNY Nassau Community College")</f>
        <v>SUNY Nassau Community College</v>
      </c>
      <c r="B1451" s="18" t="s">
        <v>49</v>
      </c>
      <c r="C1451" s="18" t="s">
        <v>38</v>
      </c>
      <c r="D1451" s="18" t="s">
        <v>545</v>
      </c>
      <c r="E1451" s="18" t="s">
        <v>36</v>
      </c>
      <c r="F1451" s="18" t="s">
        <v>36</v>
      </c>
      <c r="G1451" s="18" t="s">
        <v>51</v>
      </c>
      <c r="I1451" s="18" t="s">
        <v>1321</v>
      </c>
      <c r="J1451" s="19"/>
      <c r="K1451" s="19">
        <v>0.23719999999999999</v>
      </c>
      <c r="L1451" s="19">
        <v>0.21366782000000001</v>
      </c>
      <c r="M1451" s="19">
        <v>0.30059999999999998</v>
      </c>
      <c r="N1451" s="19">
        <v>0.13200000000000001</v>
      </c>
      <c r="O1451" s="19">
        <v>0.21590000000000001</v>
      </c>
      <c r="P1451" s="19">
        <v>0.21079999999999999</v>
      </c>
      <c r="Q1451" s="19">
        <v>0.113377193</v>
      </c>
      <c r="R1451" s="20">
        <v>24782</v>
      </c>
      <c r="S1451" s="21" t="str">
        <f>HYPERLINK("https://www.ncc.edu/payingforcollege/net_price_tuition_calculator.shtml", "$2833")</f>
        <v>$2833</v>
      </c>
      <c r="T1451" s="20">
        <v>7151</v>
      </c>
      <c r="U1451" s="20">
        <v>9790</v>
      </c>
      <c r="V1451" s="20">
        <v>4580</v>
      </c>
      <c r="W1451" s="20">
        <v>-1747</v>
      </c>
      <c r="Y1451" s="19">
        <v>0.38940000000000002</v>
      </c>
      <c r="Z1451" s="19">
        <v>0.64799999999999991</v>
      </c>
      <c r="AB1451" s="18">
        <v>16964</v>
      </c>
      <c r="AC1451" s="18">
        <v>6</v>
      </c>
    </row>
    <row r="1452" spans="1:29" ht="15.75" customHeight="1" x14ac:dyDescent="0.2">
      <c r="A1452" s="36" t="str">
        <f>HYPERLINK("https://www.national.edu/locations/campuses/bellevue/", "National American University-Bellevue")</f>
        <v>National American University-Bellevue</v>
      </c>
      <c r="B1452" s="18" t="s">
        <v>368</v>
      </c>
      <c r="C1452" s="18" t="s">
        <v>341</v>
      </c>
      <c r="D1452" s="18" t="s">
        <v>640</v>
      </c>
      <c r="E1452" s="18" t="s">
        <v>36</v>
      </c>
      <c r="F1452" s="18" t="s">
        <v>36</v>
      </c>
      <c r="J1452" s="19"/>
      <c r="K1452" s="19" t="s">
        <v>36</v>
      </c>
      <c r="L1452" s="19">
        <v>0.13367217300000001</v>
      </c>
      <c r="M1452" s="19" t="s">
        <v>36</v>
      </c>
      <c r="N1452" s="19" t="s">
        <v>36</v>
      </c>
      <c r="O1452" s="19" t="s">
        <v>36</v>
      </c>
      <c r="P1452" s="19" t="s">
        <v>36</v>
      </c>
      <c r="Q1452" s="19">
        <v>5.6063480999999998E-2</v>
      </c>
      <c r="R1452" s="20">
        <v>23805</v>
      </c>
      <c r="S1452" s="21" t="str">
        <f t="shared" ref="S1452:S1454" si="6">HYPERLINK("https://www.national.edu/net-price-calculator/", "Not reported")</f>
        <v>Not reported</v>
      </c>
      <c r="T1452" s="20" t="s">
        <v>36</v>
      </c>
      <c r="U1452" s="20" t="s">
        <v>36</v>
      </c>
      <c r="V1452" s="20">
        <v>1623</v>
      </c>
      <c r="W1452" s="20" t="s">
        <v>36</v>
      </c>
      <c r="Y1452" s="19">
        <v>0.73580000000000001</v>
      </c>
      <c r="Z1452" s="19">
        <v>0.40820000000000001</v>
      </c>
      <c r="AB1452" s="18">
        <v>98</v>
      </c>
      <c r="AC1452" s="18">
        <v>6</v>
      </c>
    </row>
    <row r="1453" spans="1:29" ht="15.75" customHeight="1" x14ac:dyDescent="0.2">
      <c r="A1453" s="36" t="str">
        <f>HYPERLINK("https://www.national.edu/locations/campuses/brooklyn-center/", "National American University-Brooklyn Center")</f>
        <v>National American University-Brooklyn Center</v>
      </c>
      <c r="B1453" s="18" t="s">
        <v>368</v>
      </c>
      <c r="C1453" s="18" t="s">
        <v>72</v>
      </c>
      <c r="D1453" s="18" t="s">
        <v>1556</v>
      </c>
      <c r="E1453" s="18" t="s">
        <v>36</v>
      </c>
      <c r="F1453" s="18" t="s">
        <v>36</v>
      </c>
      <c r="J1453" s="19"/>
      <c r="K1453" s="19">
        <v>0</v>
      </c>
      <c r="L1453" s="19">
        <v>0.13367217300000001</v>
      </c>
      <c r="M1453" s="19">
        <v>0</v>
      </c>
      <c r="N1453" s="19">
        <v>0</v>
      </c>
      <c r="O1453" s="19" t="s">
        <v>36</v>
      </c>
      <c r="P1453" s="19" t="s">
        <v>36</v>
      </c>
      <c r="Q1453" s="19">
        <v>5.6063480999999998E-2</v>
      </c>
      <c r="R1453" s="20">
        <v>23805</v>
      </c>
      <c r="S1453" s="21" t="str">
        <f t="shared" si="6"/>
        <v>Not reported</v>
      </c>
      <c r="T1453" s="20" t="s">
        <v>36</v>
      </c>
      <c r="U1453" s="20" t="s">
        <v>36</v>
      </c>
      <c r="V1453" s="20">
        <v>1623</v>
      </c>
      <c r="W1453" s="20" t="s">
        <v>36</v>
      </c>
      <c r="Y1453" s="19">
        <v>0.73880000000000001</v>
      </c>
      <c r="Z1453" s="19">
        <v>0.46400000000000002</v>
      </c>
      <c r="AB1453" s="18">
        <v>125</v>
      </c>
      <c r="AC1453" s="18">
        <v>6</v>
      </c>
    </row>
    <row r="1454" spans="1:29" ht="15.75" customHeight="1" x14ac:dyDescent="0.2">
      <c r="A1454" s="36" t="str">
        <f>HYPERLINK("https://www.national.edu/locations/campuses/burnsville/", "National American University-Burnsville")</f>
        <v>National American University-Burnsville</v>
      </c>
      <c r="B1454" s="18" t="s">
        <v>368</v>
      </c>
      <c r="C1454" s="18" t="s">
        <v>72</v>
      </c>
      <c r="D1454" s="18" t="s">
        <v>1557</v>
      </c>
      <c r="E1454" s="18" t="s">
        <v>36</v>
      </c>
      <c r="F1454" s="18" t="s">
        <v>36</v>
      </c>
      <c r="J1454" s="19"/>
      <c r="K1454" s="19" t="s">
        <v>36</v>
      </c>
      <c r="L1454" s="19">
        <v>0.13367217300000001</v>
      </c>
      <c r="M1454" s="19" t="s">
        <v>36</v>
      </c>
      <c r="N1454" s="19" t="s">
        <v>36</v>
      </c>
      <c r="O1454" s="19" t="s">
        <v>36</v>
      </c>
      <c r="P1454" s="19" t="s">
        <v>36</v>
      </c>
      <c r="Q1454" s="19">
        <v>5.6063480999999998E-2</v>
      </c>
      <c r="R1454" s="20">
        <v>23805</v>
      </c>
      <c r="S1454" s="21" t="str">
        <f t="shared" si="6"/>
        <v>Not reported</v>
      </c>
      <c r="T1454" s="20" t="s">
        <v>36</v>
      </c>
      <c r="U1454" s="20" t="s">
        <v>36</v>
      </c>
      <c r="V1454" s="20">
        <v>1623</v>
      </c>
      <c r="W1454" s="20" t="s">
        <v>36</v>
      </c>
      <c r="Y1454" s="19">
        <v>0.7288</v>
      </c>
      <c r="Z1454" s="19">
        <v>0.47729999999999989</v>
      </c>
      <c r="AB1454" s="18">
        <v>44</v>
      </c>
      <c r="AC1454" s="18">
        <v>6</v>
      </c>
    </row>
    <row r="1455" spans="1:29" ht="15.75" customHeight="1" x14ac:dyDescent="0.2">
      <c r="A1455" s="36" t="str">
        <f>HYPERLINK("https://www.national.edu/locations/campuses/centennial/", "National American University-Centennial")</f>
        <v>National American University-Centennial</v>
      </c>
      <c r="B1455" s="18" t="s">
        <v>368</v>
      </c>
      <c r="C1455" s="18" t="s">
        <v>87</v>
      </c>
      <c r="D1455" s="18" t="s">
        <v>1558</v>
      </c>
      <c r="E1455" s="18" t="s">
        <v>36</v>
      </c>
      <c r="F1455" s="18" t="s">
        <v>36</v>
      </c>
      <c r="J1455" s="19"/>
      <c r="K1455" s="19" t="s">
        <v>36</v>
      </c>
      <c r="L1455" s="19">
        <v>0.13367217300000001</v>
      </c>
      <c r="M1455" s="19" t="s">
        <v>36</v>
      </c>
      <c r="N1455" s="19" t="s">
        <v>36</v>
      </c>
      <c r="O1455" s="19" t="s">
        <v>36</v>
      </c>
      <c r="P1455" s="19" t="s">
        <v>36</v>
      </c>
      <c r="Q1455" s="19">
        <v>5.6063480999999998E-2</v>
      </c>
      <c r="R1455" s="20">
        <v>23805</v>
      </c>
      <c r="S1455" s="21" t="str">
        <f>HYPERLINK("https://www.national.edu/net-price-calculator/", "$11532")</f>
        <v>$11532</v>
      </c>
      <c r="T1455" s="20" t="s">
        <v>36</v>
      </c>
      <c r="U1455" s="20" t="s">
        <v>36</v>
      </c>
      <c r="V1455" s="20">
        <v>1623</v>
      </c>
      <c r="W1455" s="20">
        <v>9909</v>
      </c>
      <c r="Y1455" s="19">
        <v>0.66890000000000005</v>
      </c>
      <c r="Z1455" s="19">
        <v>0.50859999999999994</v>
      </c>
      <c r="AB1455" s="18">
        <v>175</v>
      </c>
      <c r="AC1455" s="18">
        <v>6</v>
      </c>
    </row>
    <row r="1456" spans="1:29" ht="15.75" customHeight="1" x14ac:dyDescent="0.2">
      <c r="A1456" s="36" t="str">
        <f>HYPERLINK("https://www.national.edu/locations/campuses/colorado-springs/", "National American University-Colorado Springs")</f>
        <v>National American University-Colorado Springs</v>
      </c>
      <c r="B1456" s="18" t="s">
        <v>368</v>
      </c>
      <c r="C1456" s="18" t="s">
        <v>87</v>
      </c>
      <c r="D1456" s="18" t="s">
        <v>88</v>
      </c>
      <c r="E1456" s="18" t="s">
        <v>36</v>
      </c>
      <c r="F1456" s="18" t="s">
        <v>36</v>
      </c>
      <c r="J1456" s="19"/>
      <c r="K1456" s="19">
        <v>7.6899999999999996E-2</v>
      </c>
      <c r="L1456" s="19">
        <v>0.13367217300000001</v>
      </c>
      <c r="M1456" s="19">
        <v>0.1429</v>
      </c>
      <c r="N1456" s="19">
        <v>0</v>
      </c>
      <c r="O1456" s="19">
        <v>0</v>
      </c>
      <c r="P1456" s="19">
        <v>0</v>
      </c>
      <c r="Q1456" s="19">
        <v>5.6063480999999998E-2</v>
      </c>
      <c r="R1456" s="20">
        <v>23805</v>
      </c>
      <c r="S1456" s="21" t="str">
        <f t="shared" ref="S1456:S1467" si="7">HYPERLINK("https://www.national.edu/net-price-calculator/", "Not reported")</f>
        <v>Not reported</v>
      </c>
      <c r="T1456" s="20" t="s">
        <v>36</v>
      </c>
      <c r="U1456" s="20" t="s">
        <v>36</v>
      </c>
      <c r="V1456" s="20">
        <v>1623</v>
      </c>
      <c r="W1456" s="20" t="s">
        <v>36</v>
      </c>
      <c r="Y1456" s="19">
        <v>0.57950000000000002</v>
      </c>
      <c r="Z1456" s="19">
        <v>0.53059999999999996</v>
      </c>
      <c r="AB1456" s="18">
        <v>196</v>
      </c>
      <c r="AC1456" s="18">
        <v>6</v>
      </c>
    </row>
    <row r="1457" spans="1:29" ht="15.75" customHeight="1" x14ac:dyDescent="0.2">
      <c r="A1457" s="36" t="str">
        <f>HYPERLINK("https://www.national.edu/locations/campuses/colorado-springs-south/", "National American University-Colorado Springs South")</f>
        <v>National American University-Colorado Springs South</v>
      </c>
      <c r="B1457" s="18" t="s">
        <v>368</v>
      </c>
      <c r="C1457" s="18" t="s">
        <v>87</v>
      </c>
      <c r="D1457" s="18" t="s">
        <v>88</v>
      </c>
      <c r="E1457" s="18" t="s">
        <v>36</v>
      </c>
      <c r="F1457" s="18" t="s">
        <v>36</v>
      </c>
      <c r="J1457" s="19"/>
      <c r="K1457" s="19" t="s">
        <v>36</v>
      </c>
      <c r="L1457" s="19">
        <v>0.13367217300000001</v>
      </c>
      <c r="M1457" s="19" t="s">
        <v>36</v>
      </c>
      <c r="N1457" s="19" t="s">
        <v>36</v>
      </c>
      <c r="O1457" s="19" t="s">
        <v>36</v>
      </c>
      <c r="P1457" s="19" t="s">
        <v>36</v>
      </c>
      <c r="Q1457" s="19">
        <v>5.6063480999999998E-2</v>
      </c>
      <c r="R1457" s="20">
        <v>23805</v>
      </c>
      <c r="S1457" s="21" t="str">
        <f t="shared" si="7"/>
        <v>Not reported</v>
      </c>
      <c r="T1457" s="20" t="s">
        <v>36</v>
      </c>
      <c r="U1457" s="20">
        <v>9593</v>
      </c>
      <c r="V1457" s="20">
        <v>1623</v>
      </c>
      <c r="W1457" s="20" t="s">
        <v>36</v>
      </c>
      <c r="Y1457" s="19">
        <v>0.623</v>
      </c>
      <c r="Z1457" s="19">
        <v>0.55919999999999992</v>
      </c>
      <c r="AB1457" s="18">
        <v>152</v>
      </c>
      <c r="AC1457" s="18">
        <v>6</v>
      </c>
    </row>
    <row r="1458" spans="1:29" ht="15.75" customHeight="1" x14ac:dyDescent="0.2">
      <c r="A1458" s="36" t="str">
        <f>HYPERLINK("https://www.national.edu/locations/campuses/georgetown/", "National American University-Georgetown")</f>
        <v>National American University-Georgetown</v>
      </c>
      <c r="B1458" s="18" t="s">
        <v>368</v>
      </c>
      <c r="C1458" s="18" t="s">
        <v>146</v>
      </c>
      <c r="D1458" s="18" t="s">
        <v>481</v>
      </c>
      <c r="E1458" s="18" t="s">
        <v>36</v>
      </c>
      <c r="F1458" s="18" t="s">
        <v>36</v>
      </c>
      <c r="J1458" s="19"/>
      <c r="K1458" s="19" t="s">
        <v>36</v>
      </c>
      <c r="L1458" s="19">
        <v>0.13367217300000001</v>
      </c>
      <c r="M1458" s="19" t="s">
        <v>36</v>
      </c>
      <c r="N1458" s="19" t="s">
        <v>36</v>
      </c>
      <c r="O1458" s="19" t="s">
        <v>36</v>
      </c>
      <c r="P1458" s="19" t="s">
        <v>36</v>
      </c>
      <c r="Q1458" s="19">
        <v>5.6063480999999998E-2</v>
      </c>
      <c r="R1458" s="20">
        <v>23805</v>
      </c>
      <c r="S1458" s="21" t="str">
        <f t="shared" si="7"/>
        <v>Not reported</v>
      </c>
      <c r="T1458" s="20" t="s">
        <v>36</v>
      </c>
      <c r="U1458" s="20" t="s">
        <v>36</v>
      </c>
      <c r="V1458" s="20">
        <v>1623</v>
      </c>
      <c r="W1458" s="20" t="s">
        <v>36</v>
      </c>
      <c r="Y1458" s="19">
        <v>0.94310000000000005</v>
      </c>
      <c r="Z1458" s="19">
        <v>0.63040000000000007</v>
      </c>
      <c r="AB1458" s="18">
        <v>138</v>
      </c>
      <c r="AC1458" s="18">
        <v>6</v>
      </c>
    </row>
    <row r="1459" spans="1:29" ht="15.75" customHeight="1" x14ac:dyDescent="0.2">
      <c r="A1459" s="36" t="str">
        <f>HYPERLINK("https://www.national.edu/locations/campuses/houston/", "National American University-Houston")</f>
        <v>National American University-Houston</v>
      </c>
      <c r="B1459" s="18" t="s">
        <v>368</v>
      </c>
      <c r="C1459" s="18" t="s">
        <v>146</v>
      </c>
      <c r="D1459" s="18" t="s">
        <v>147</v>
      </c>
      <c r="E1459" s="18" t="s">
        <v>36</v>
      </c>
      <c r="F1459" s="18" t="s">
        <v>36</v>
      </c>
      <c r="J1459" s="19"/>
      <c r="K1459" s="19" t="s">
        <v>36</v>
      </c>
      <c r="L1459" s="19">
        <v>0.13367217300000001</v>
      </c>
      <c r="M1459" s="19" t="s">
        <v>36</v>
      </c>
      <c r="N1459" s="19" t="s">
        <v>36</v>
      </c>
      <c r="O1459" s="19" t="s">
        <v>36</v>
      </c>
      <c r="P1459" s="19" t="s">
        <v>36</v>
      </c>
      <c r="Q1459" s="19">
        <v>5.6063480999999998E-2</v>
      </c>
      <c r="R1459" s="20">
        <v>23805</v>
      </c>
      <c r="S1459" s="21" t="str">
        <f t="shared" si="7"/>
        <v>Not reported</v>
      </c>
      <c r="T1459" s="20" t="s">
        <v>36</v>
      </c>
      <c r="U1459" s="20" t="s">
        <v>36</v>
      </c>
      <c r="V1459" s="20">
        <v>1623</v>
      </c>
      <c r="W1459" s="20" t="s">
        <v>36</v>
      </c>
      <c r="Y1459" s="19">
        <v>0.82430000000000003</v>
      </c>
      <c r="Z1459" s="19">
        <v>0.90910000000000002</v>
      </c>
      <c r="AB1459" s="18">
        <v>77</v>
      </c>
      <c r="AC1459" s="18">
        <v>6</v>
      </c>
    </row>
    <row r="1460" spans="1:29" ht="15.75" customHeight="1" x14ac:dyDescent="0.2">
      <c r="A1460" s="36" t="str">
        <f>HYPERLINK("https://www.national.edu/locations/campuses/independence/", "National American University-Independence")</f>
        <v>National American University-Independence</v>
      </c>
      <c r="B1460" s="18" t="s">
        <v>368</v>
      </c>
      <c r="C1460" s="18" t="s">
        <v>164</v>
      </c>
      <c r="D1460" s="18" t="s">
        <v>801</v>
      </c>
      <c r="E1460" s="18" t="s">
        <v>36</v>
      </c>
      <c r="F1460" s="18" t="s">
        <v>36</v>
      </c>
      <c r="J1460" s="19"/>
      <c r="K1460" s="19">
        <v>0</v>
      </c>
      <c r="L1460" s="19">
        <v>0.13367217300000001</v>
      </c>
      <c r="M1460" s="19">
        <v>0</v>
      </c>
      <c r="N1460" s="19">
        <v>0</v>
      </c>
      <c r="O1460" s="19">
        <v>0</v>
      </c>
      <c r="P1460" s="19" t="s">
        <v>36</v>
      </c>
      <c r="Q1460" s="19">
        <v>5.6063480999999998E-2</v>
      </c>
      <c r="R1460" s="20">
        <v>23805</v>
      </c>
      <c r="S1460" s="21" t="str">
        <f t="shared" si="7"/>
        <v>Not reported</v>
      </c>
      <c r="T1460" s="20" t="s">
        <v>36</v>
      </c>
      <c r="U1460" s="20" t="s">
        <v>36</v>
      </c>
      <c r="V1460" s="20">
        <v>1623</v>
      </c>
      <c r="W1460" s="20" t="s">
        <v>36</v>
      </c>
      <c r="Y1460" s="19">
        <v>0.71660000000000001</v>
      </c>
      <c r="Z1460" s="19">
        <v>0.47839999999999999</v>
      </c>
      <c r="AB1460" s="18">
        <v>255</v>
      </c>
      <c r="AC1460" s="18">
        <v>6</v>
      </c>
    </row>
    <row r="1461" spans="1:29" ht="15.75" customHeight="1" x14ac:dyDescent="0.2">
      <c r="A1461" s="36" t="str">
        <f>HYPERLINK("https://www.national.edu/locations/campuses/indianapolis/", "National American University-Indianapolis")</f>
        <v>National American University-Indianapolis</v>
      </c>
      <c r="B1461" s="18" t="s">
        <v>368</v>
      </c>
      <c r="C1461" s="18" t="s">
        <v>148</v>
      </c>
      <c r="D1461" s="18" t="s">
        <v>316</v>
      </c>
      <c r="E1461" s="18" t="s">
        <v>36</v>
      </c>
      <c r="F1461" s="18" t="s">
        <v>36</v>
      </c>
      <c r="J1461" s="19"/>
      <c r="K1461" s="19" t="s">
        <v>36</v>
      </c>
      <c r="L1461" s="19">
        <v>0.13367217300000001</v>
      </c>
      <c r="M1461" s="19" t="s">
        <v>36</v>
      </c>
      <c r="N1461" s="19" t="s">
        <v>36</v>
      </c>
      <c r="O1461" s="19" t="s">
        <v>36</v>
      </c>
      <c r="P1461" s="19" t="s">
        <v>36</v>
      </c>
      <c r="Q1461" s="19">
        <v>5.6063480999999998E-2</v>
      </c>
      <c r="R1461" s="20">
        <v>23805</v>
      </c>
      <c r="S1461" s="21" t="str">
        <f t="shared" si="7"/>
        <v>Not reported</v>
      </c>
      <c r="T1461" s="20" t="s">
        <v>36</v>
      </c>
      <c r="U1461" s="20" t="s">
        <v>36</v>
      </c>
      <c r="V1461" s="20">
        <v>1623</v>
      </c>
      <c r="W1461" s="20" t="s">
        <v>36</v>
      </c>
      <c r="Y1461" s="19">
        <v>0.84960000000000002</v>
      </c>
      <c r="Z1461" s="19">
        <v>0.60420000000000007</v>
      </c>
      <c r="AB1461" s="18">
        <v>96</v>
      </c>
      <c r="AC1461" s="18">
        <v>6</v>
      </c>
    </row>
    <row r="1462" spans="1:29" ht="15.75" customHeight="1" x14ac:dyDescent="0.2">
      <c r="A1462" s="36" t="str">
        <f>HYPERLINK("https://www.national.edu/locations/campuses/lees-summit/", "National American University-Lee's Summit")</f>
        <v>National American University-Lee's Summit</v>
      </c>
      <c r="B1462" s="18" t="s">
        <v>368</v>
      </c>
      <c r="C1462" s="18" t="s">
        <v>164</v>
      </c>
      <c r="D1462" s="18" t="s">
        <v>1559</v>
      </c>
      <c r="E1462" s="18" t="s">
        <v>36</v>
      </c>
      <c r="F1462" s="18" t="s">
        <v>36</v>
      </c>
      <c r="J1462" s="19"/>
      <c r="K1462" s="19">
        <v>0</v>
      </c>
      <c r="L1462" s="19">
        <v>0.13367217300000001</v>
      </c>
      <c r="M1462" s="19">
        <v>0</v>
      </c>
      <c r="N1462" s="19" t="s">
        <v>36</v>
      </c>
      <c r="O1462" s="19" t="s">
        <v>36</v>
      </c>
      <c r="P1462" s="19" t="s">
        <v>36</v>
      </c>
      <c r="Q1462" s="19">
        <v>5.6063480999999998E-2</v>
      </c>
      <c r="R1462" s="20">
        <v>23805</v>
      </c>
      <c r="S1462" s="21" t="str">
        <f t="shared" si="7"/>
        <v>Not reported</v>
      </c>
      <c r="T1462" s="20" t="s">
        <v>36</v>
      </c>
      <c r="U1462" s="20" t="s">
        <v>36</v>
      </c>
      <c r="V1462" s="20">
        <v>1623</v>
      </c>
      <c r="W1462" s="20" t="s">
        <v>36</v>
      </c>
      <c r="Y1462" s="19">
        <v>0.74860000000000004</v>
      </c>
      <c r="Z1462" s="19">
        <v>0.45450000000000002</v>
      </c>
      <c r="AB1462" s="18">
        <v>154</v>
      </c>
      <c r="AC1462" s="18">
        <v>6</v>
      </c>
    </row>
    <row r="1463" spans="1:29" ht="15.75" customHeight="1" x14ac:dyDescent="0.2">
      <c r="A1463" s="36" t="str">
        <f>HYPERLINK("https://www.national.edu/locations/campuses/mesquite/", "National American University-Mesquite")</f>
        <v>National American University-Mesquite</v>
      </c>
      <c r="B1463" s="18" t="s">
        <v>368</v>
      </c>
      <c r="C1463" s="18" t="s">
        <v>146</v>
      </c>
      <c r="D1463" s="18" t="s">
        <v>1297</v>
      </c>
      <c r="E1463" s="18" t="s">
        <v>36</v>
      </c>
      <c r="F1463" s="18" t="s">
        <v>36</v>
      </c>
      <c r="J1463" s="19"/>
      <c r="K1463" s="19" t="s">
        <v>36</v>
      </c>
      <c r="L1463" s="19">
        <v>0.13367217300000001</v>
      </c>
      <c r="M1463" s="19" t="s">
        <v>36</v>
      </c>
      <c r="N1463" s="19" t="s">
        <v>36</v>
      </c>
      <c r="O1463" s="19" t="s">
        <v>36</v>
      </c>
      <c r="P1463" s="19" t="s">
        <v>36</v>
      </c>
      <c r="Q1463" s="19">
        <v>5.6063480999999998E-2</v>
      </c>
      <c r="R1463" s="20">
        <v>23805</v>
      </c>
      <c r="S1463" s="21" t="str">
        <f t="shared" si="7"/>
        <v>Not reported</v>
      </c>
      <c r="T1463" s="20" t="s">
        <v>36</v>
      </c>
      <c r="U1463" s="20" t="s">
        <v>36</v>
      </c>
      <c r="V1463" s="20">
        <v>1623</v>
      </c>
      <c r="W1463" s="20" t="s">
        <v>36</v>
      </c>
      <c r="Y1463" s="19">
        <v>0.81740000000000002</v>
      </c>
      <c r="Z1463" s="19">
        <v>0.7238</v>
      </c>
      <c r="AB1463" s="18">
        <v>105</v>
      </c>
      <c r="AC1463" s="18">
        <v>6</v>
      </c>
    </row>
    <row r="1464" spans="1:29" ht="15.75" customHeight="1" x14ac:dyDescent="0.2">
      <c r="A1464" s="36" t="str">
        <f>HYPERLINK("https://www.national.edu/locations/campuses/overland-park/", "National American University-Overland Park")</f>
        <v>National American University-Overland Park</v>
      </c>
      <c r="B1464" s="18" t="s">
        <v>368</v>
      </c>
      <c r="C1464" s="18" t="s">
        <v>307</v>
      </c>
      <c r="D1464" s="18" t="s">
        <v>1448</v>
      </c>
      <c r="E1464" s="18" t="s">
        <v>36</v>
      </c>
      <c r="F1464" s="18" t="s">
        <v>36</v>
      </c>
      <c r="J1464" s="19"/>
      <c r="K1464" s="19">
        <v>0</v>
      </c>
      <c r="L1464" s="19">
        <v>0.13367217300000001</v>
      </c>
      <c r="M1464" s="19">
        <v>0</v>
      </c>
      <c r="N1464" s="19">
        <v>0</v>
      </c>
      <c r="O1464" s="19">
        <v>0</v>
      </c>
      <c r="P1464" s="19" t="s">
        <v>36</v>
      </c>
      <c r="Q1464" s="19">
        <v>5.6063480999999998E-2</v>
      </c>
      <c r="R1464" s="20">
        <v>23805</v>
      </c>
      <c r="S1464" s="21" t="str">
        <f t="shared" si="7"/>
        <v>Not reported</v>
      </c>
      <c r="T1464" s="20" t="s">
        <v>36</v>
      </c>
      <c r="U1464" s="20" t="s">
        <v>36</v>
      </c>
      <c r="V1464" s="20">
        <v>1623</v>
      </c>
      <c r="W1464" s="20" t="s">
        <v>36</v>
      </c>
      <c r="Y1464" s="19">
        <v>0.58230000000000004</v>
      </c>
      <c r="Z1464" s="19">
        <v>0.49280000000000002</v>
      </c>
      <c r="AB1464" s="18">
        <v>207</v>
      </c>
      <c r="AC1464" s="18">
        <v>6</v>
      </c>
    </row>
    <row r="1465" spans="1:29" ht="15.75" customHeight="1" x14ac:dyDescent="0.2">
      <c r="A1465" s="36" t="str">
        <f>HYPERLINK("https://www.national.edu/locations/campuses/richardson/", "National American University-Richardson")</f>
        <v>National American University-Richardson</v>
      </c>
      <c r="B1465" s="18" t="s">
        <v>368</v>
      </c>
      <c r="C1465" s="18" t="s">
        <v>146</v>
      </c>
      <c r="D1465" s="18" t="s">
        <v>265</v>
      </c>
      <c r="E1465" s="18" t="s">
        <v>36</v>
      </c>
      <c r="F1465" s="18" t="s">
        <v>36</v>
      </c>
      <c r="J1465" s="19"/>
      <c r="K1465" s="19" t="s">
        <v>36</v>
      </c>
      <c r="L1465" s="19">
        <v>0.13367217300000001</v>
      </c>
      <c r="M1465" s="19" t="s">
        <v>36</v>
      </c>
      <c r="N1465" s="19" t="s">
        <v>36</v>
      </c>
      <c r="O1465" s="19" t="s">
        <v>36</v>
      </c>
      <c r="P1465" s="19" t="s">
        <v>36</v>
      </c>
      <c r="Q1465" s="19">
        <v>5.6063480999999998E-2</v>
      </c>
      <c r="R1465" s="20">
        <v>23805</v>
      </c>
      <c r="S1465" s="21" t="str">
        <f t="shared" si="7"/>
        <v>Not reported</v>
      </c>
      <c r="T1465" s="20" t="s">
        <v>36</v>
      </c>
      <c r="U1465" s="20" t="s">
        <v>36</v>
      </c>
      <c r="V1465" s="20">
        <v>1623</v>
      </c>
      <c r="W1465" s="20" t="s">
        <v>36</v>
      </c>
      <c r="Y1465" s="19">
        <v>0.8014</v>
      </c>
      <c r="Z1465" s="19">
        <v>0.78669999999999995</v>
      </c>
      <c r="AB1465" s="18">
        <v>150</v>
      </c>
      <c r="AC1465" s="18">
        <v>6</v>
      </c>
    </row>
    <row r="1466" spans="1:29" ht="15.75" customHeight="1" x14ac:dyDescent="0.2">
      <c r="A1466" s="36" t="str">
        <f>HYPERLINK("https://www.national.edu/locations/campuses/rochester/", "National American University-Rochester")</f>
        <v>National American University-Rochester</v>
      </c>
      <c r="B1466" s="18" t="s">
        <v>368</v>
      </c>
      <c r="C1466" s="18" t="s">
        <v>72</v>
      </c>
      <c r="D1466" s="18" t="s">
        <v>170</v>
      </c>
      <c r="E1466" s="18" t="s">
        <v>36</v>
      </c>
      <c r="F1466" s="18" t="s">
        <v>36</v>
      </c>
      <c r="J1466" s="19"/>
      <c r="K1466" s="19" t="s">
        <v>36</v>
      </c>
      <c r="L1466" s="19">
        <v>0.13367217300000001</v>
      </c>
      <c r="M1466" s="19" t="s">
        <v>36</v>
      </c>
      <c r="N1466" s="19" t="s">
        <v>36</v>
      </c>
      <c r="O1466" s="19" t="s">
        <v>36</v>
      </c>
      <c r="P1466" s="19" t="s">
        <v>36</v>
      </c>
      <c r="Q1466" s="19">
        <v>5.6063480999999998E-2</v>
      </c>
      <c r="R1466" s="20">
        <v>23805</v>
      </c>
      <c r="S1466" s="21" t="str">
        <f t="shared" si="7"/>
        <v>Not reported</v>
      </c>
      <c r="T1466" s="20" t="s">
        <v>36</v>
      </c>
      <c r="U1466" s="20" t="s">
        <v>36</v>
      </c>
      <c r="V1466" s="20">
        <v>1623</v>
      </c>
      <c r="W1466" s="20" t="s">
        <v>36</v>
      </c>
      <c r="Y1466" s="19">
        <v>0.75760000000000005</v>
      </c>
      <c r="Z1466" s="19">
        <v>0.30859999999999999</v>
      </c>
      <c r="AB1466" s="18">
        <v>81</v>
      </c>
      <c r="AC1466" s="18">
        <v>6</v>
      </c>
    </row>
    <row r="1467" spans="1:29" ht="15.75" customHeight="1" x14ac:dyDescent="0.2">
      <c r="A1467" s="36" t="str">
        <f>HYPERLINK("https://www.national.edu/locations/campuses/roseville/", "National American University-Roseville")</f>
        <v>National American University-Roseville</v>
      </c>
      <c r="B1467" s="18" t="s">
        <v>368</v>
      </c>
      <c r="C1467" s="18" t="s">
        <v>72</v>
      </c>
      <c r="D1467" s="18" t="s">
        <v>1560</v>
      </c>
      <c r="E1467" s="18" t="s">
        <v>36</v>
      </c>
      <c r="F1467" s="18" t="s">
        <v>36</v>
      </c>
      <c r="J1467" s="19"/>
      <c r="K1467" s="19">
        <v>0.125</v>
      </c>
      <c r="L1467" s="19">
        <v>0.13367217300000001</v>
      </c>
      <c r="M1467" s="19">
        <v>0</v>
      </c>
      <c r="N1467" s="19">
        <v>0.33329999999999999</v>
      </c>
      <c r="O1467" s="19" t="s">
        <v>36</v>
      </c>
      <c r="P1467" s="19" t="s">
        <v>36</v>
      </c>
      <c r="Q1467" s="19">
        <v>5.6063480999999998E-2</v>
      </c>
      <c r="R1467" s="20">
        <v>23805</v>
      </c>
      <c r="S1467" s="21" t="str">
        <f t="shared" si="7"/>
        <v>Not reported</v>
      </c>
      <c r="T1467" s="20" t="s">
        <v>36</v>
      </c>
      <c r="U1467" s="20" t="s">
        <v>36</v>
      </c>
      <c r="V1467" s="20">
        <v>1623</v>
      </c>
      <c r="W1467" s="20" t="s">
        <v>36</v>
      </c>
      <c r="Y1467" s="19">
        <v>0.78290000000000004</v>
      </c>
      <c r="Z1467" s="19">
        <v>0.58589999999999998</v>
      </c>
      <c r="AB1467" s="18">
        <v>99</v>
      </c>
      <c r="AC1467" s="18">
        <v>6</v>
      </c>
    </row>
    <row r="1468" spans="1:29" ht="15.75" customHeight="1" x14ac:dyDescent="0.2">
      <c r="A1468" s="36" t="str">
        <f>HYPERLINK("https://www.national.edu/locations/campuses/sioux-falls/", "National American University-Sioux Falls")</f>
        <v>National American University-Sioux Falls</v>
      </c>
      <c r="B1468" s="18" t="s">
        <v>368</v>
      </c>
      <c r="C1468" s="18" t="s">
        <v>302</v>
      </c>
      <c r="D1468" s="18" t="s">
        <v>303</v>
      </c>
      <c r="E1468" s="18" t="s">
        <v>36</v>
      </c>
      <c r="F1468" s="18" t="s">
        <v>36</v>
      </c>
      <c r="J1468" s="19"/>
      <c r="K1468" s="19">
        <v>0.22220000000000001</v>
      </c>
      <c r="L1468" s="19">
        <v>0.13367217300000001</v>
      </c>
      <c r="M1468" s="19">
        <v>0.25</v>
      </c>
      <c r="N1468" s="19">
        <v>0</v>
      </c>
      <c r="O1468" s="19">
        <v>0</v>
      </c>
      <c r="P1468" s="19" t="s">
        <v>36</v>
      </c>
      <c r="Q1468" s="19">
        <v>5.6063480999999998E-2</v>
      </c>
      <c r="R1468" s="20">
        <v>23805</v>
      </c>
      <c r="S1468" s="21" t="str">
        <f>HYPERLINK("https://www.national.edu/net-price-calculator/", "$11583")</f>
        <v>$11583</v>
      </c>
      <c r="T1468" s="20" t="s">
        <v>36</v>
      </c>
      <c r="U1468" s="20" t="s">
        <v>36</v>
      </c>
      <c r="V1468" s="20">
        <v>1623</v>
      </c>
      <c r="W1468" s="20">
        <v>9960</v>
      </c>
      <c r="Y1468" s="19">
        <v>0.70409999999999995</v>
      </c>
      <c r="Z1468" s="19">
        <v>0.28439999999999999</v>
      </c>
      <c r="AB1468" s="18">
        <v>218</v>
      </c>
      <c r="AC1468" s="18">
        <v>6</v>
      </c>
    </row>
    <row r="1469" spans="1:29" ht="15.75" customHeight="1" x14ac:dyDescent="0.2">
      <c r="A1469" s="36" t="str">
        <f>HYPERLINK("https://www.national.edu/locations/campuses/tulsa/", "National American University-Tulsa")</f>
        <v>National American University-Tulsa</v>
      </c>
      <c r="B1469" s="18" t="s">
        <v>368</v>
      </c>
      <c r="C1469" s="18" t="s">
        <v>290</v>
      </c>
      <c r="D1469" s="18" t="s">
        <v>291</v>
      </c>
      <c r="E1469" s="18" t="s">
        <v>36</v>
      </c>
      <c r="F1469" s="18" t="s">
        <v>36</v>
      </c>
      <c r="J1469" s="19"/>
      <c r="K1469" s="19">
        <v>0</v>
      </c>
      <c r="L1469" s="19">
        <v>0.13367217300000001</v>
      </c>
      <c r="M1469" s="19">
        <v>0</v>
      </c>
      <c r="N1469" s="19">
        <v>0</v>
      </c>
      <c r="O1469" s="19" t="s">
        <v>36</v>
      </c>
      <c r="P1469" s="19" t="s">
        <v>36</v>
      </c>
      <c r="Q1469" s="19">
        <v>5.6063480999999998E-2</v>
      </c>
      <c r="R1469" s="20">
        <v>23805</v>
      </c>
      <c r="S1469" s="21" t="str">
        <f>HYPERLINK("https://www.national.edu/net-price-calculator/", "$21684")</f>
        <v>$21684</v>
      </c>
      <c r="T1469" s="20" t="s">
        <v>36</v>
      </c>
      <c r="U1469" s="20" t="s">
        <v>36</v>
      </c>
      <c r="V1469" s="20">
        <v>1623</v>
      </c>
      <c r="W1469" s="20">
        <v>20061</v>
      </c>
      <c r="Y1469" s="19">
        <v>0.83530000000000004</v>
      </c>
      <c r="Z1469" s="19">
        <v>0.47089999999999999</v>
      </c>
      <c r="AB1469" s="18">
        <v>172</v>
      </c>
      <c r="AC1469" s="18">
        <v>6</v>
      </c>
    </row>
    <row r="1470" spans="1:29" ht="15.75" customHeight="1" x14ac:dyDescent="0.2">
      <c r="A1470" s="36" t="str">
        <f>HYPERLINK("https://www.national.edu/locations/campuses/wichita/", "National American University-Wichita")</f>
        <v>National American University-Wichita</v>
      </c>
      <c r="B1470" s="18" t="s">
        <v>368</v>
      </c>
      <c r="C1470" s="18" t="s">
        <v>307</v>
      </c>
      <c r="D1470" s="18" t="s">
        <v>778</v>
      </c>
      <c r="E1470" s="18" t="s">
        <v>36</v>
      </c>
      <c r="F1470" s="18" t="s">
        <v>36</v>
      </c>
      <c r="J1470" s="19"/>
      <c r="K1470" s="19" t="s">
        <v>36</v>
      </c>
      <c r="L1470" s="19">
        <v>0.13367217300000001</v>
      </c>
      <c r="M1470" s="19" t="s">
        <v>36</v>
      </c>
      <c r="N1470" s="19" t="s">
        <v>36</v>
      </c>
      <c r="O1470" s="19" t="s">
        <v>36</v>
      </c>
      <c r="P1470" s="19" t="s">
        <v>36</v>
      </c>
      <c r="Q1470" s="19">
        <v>5.6063480999999998E-2</v>
      </c>
      <c r="R1470" s="20">
        <v>23805</v>
      </c>
      <c r="S1470" s="21" t="str">
        <f t="shared" ref="S1470:S1472" si="8">HYPERLINK("https://www.national.edu/net-price-calculator/", "Not reported")</f>
        <v>Not reported</v>
      </c>
      <c r="T1470" s="20" t="s">
        <v>36</v>
      </c>
      <c r="U1470" s="20" t="s">
        <v>36</v>
      </c>
      <c r="V1470" s="20">
        <v>1623</v>
      </c>
      <c r="W1470" s="20" t="s">
        <v>36</v>
      </c>
      <c r="Y1470" s="19">
        <v>0.84460000000000002</v>
      </c>
      <c r="Z1470" s="19">
        <v>0.50770000000000004</v>
      </c>
      <c r="AB1470" s="18">
        <v>130</v>
      </c>
      <c r="AC1470" s="18">
        <v>6</v>
      </c>
    </row>
    <row r="1471" spans="1:29" ht="15.75" customHeight="1" x14ac:dyDescent="0.2">
      <c r="A1471" s="36" t="str">
        <f>HYPERLINK("https://www.national.edu/locations/campuses/wichita-west/", "National American University-Wichita West")</f>
        <v>National American University-Wichita West</v>
      </c>
      <c r="B1471" s="18" t="s">
        <v>368</v>
      </c>
      <c r="C1471" s="18" t="s">
        <v>307</v>
      </c>
      <c r="D1471" s="18" t="s">
        <v>778</v>
      </c>
      <c r="E1471" s="18" t="s">
        <v>36</v>
      </c>
      <c r="F1471" s="18" t="s">
        <v>36</v>
      </c>
      <c r="J1471" s="19"/>
      <c r="K1471" s="19" t="s">
        <v>36</v>
      </c>
      <c r="L1471" s="19">
        <v>0.13367217300000001</v>
      </c>
      <c r="M1471" s="19" t="s">
        <v>36</v>
      </c>
      <c r="N1471" s="19" t="s">
        <v>36</v>
      </c>
      <c r="O1471" s="19" t="s">
        <v>36</v>
      </c>
      <c r="P1471" s="19" t="s">
        <v>36</v>
      </c>
      <c r="Q1471" s="19">
        <v>5.6063480999999998E-2</v>
      </c>
      <c r="R1471" s="20">
        <v>23805</v>
      </c>
      <c r="S1471" s="21" t="str">
        <f t="shared" si="8"/>
        <v>Not reported</v>
      </c>
      <c r="T1471" s="20" t="s">
        <v>36</v>
      </c>
      <c r="U1471" s="20" t="s">
        <v>36</v>
      </c>
      <c r="V1471" s="20">
        <v>1623</v>
      </c>
      <c r="W1471" s="20" t="s">
        <v>36</v>
      </c>
      <c r="Y1471" s="19">
        <v>0.77780000000000005</v>
      </c>
      <c r="Z1471" s="19">
        <v>0.4</v>
      </c>
      <c r="AB1471" s="18">
        <v>90</v>
      </c>
      <c r="AC1471" s="18">
        <v>6</v>
      </c>
    </row>
    <row r="1472" spans="1:29" ht="15.75" customHeight="1" x14ac:dyDescent="0.2">
      <c r="A1472" s="36" t="str">
        <f>HYPERLINK("https://www.national.edu/locations/campuses/zona-rosa/", "National American University-Zona Rosa")</f>
        <v>National American University-Zona Rosa</v>
      </c>
      <c r="B1472" s="18" t="s">
        <v>368</v>
      </c>
      <c r="C1472" s="18" t="s">
        <v>164</v>
      </c>
      <c r="D1472" s="18" t="s">
        <v>515</v>
      </c>
      <c r="E1472" s="18" t="s">
        <v>36</v>
      </c>
      <c r="F1472" s="18" t="s">
        <v>36</v>
      </c>
      <c r="J1472" s="19"/>
      <c r="K1472" s="19">
        <v>0</v>
      </c>
      <c r="L1472" s="19">
        <v>0.13367217300000001</v>
      </c>
      <c r="M1472" s="19">
        <v>0</v>
      </c>
      <c r="N1472" s="19">
        <v>0</v>
      </c>
      <c r="O1472" s="19">
        <v>0</v>
      </c>
      <c r="P1472" s="19" t="s">
        <v>36</v>
      </c>
      <c r="Q1472" s="19">
        <v>5.6063480999999998E-2</v>
      </c>
      <c r="R1472" s="20">
        <v>23805</v>
      </c>
      <c r="S1472" s="21" t="str">
        <f t="shared" si="8"/>
        <v>Not reported</v>
      </c>
      <c r="T1472" s="20">
        <v>22446</v>
      </c>
      <c r="U1472" s="20" t="s">
        <v>36</v>
      </c>
      <c r="V1472" s="20">
        <v>1623</v>
      </c>
      <c r="W1472" s="20" t="s">
        <v>36</v>
      </c>
      <c r="Y1472" s="19">
        <v>0.79500000000000004</v>
      </c>
      <c r="Z1472" s="19">
        <v>0.39600000000000002</v>
      </c>
      <c r="AB1472" s="18">
        <v>149</v>
      </c>
      <c r="AC1472" s="18">
        <v>6</v>
      </c>
    </row>
    <row r="1473" spans="1:29" ht="15.75" customHeight="1" x14ac:dyDescent="0.2">
      <c r="A1473" s="36" t="str">
        <f>HYPERLINK("https://www.nl.edu", "National Louis University")</f>
        <v>National Louis University</v>
      </c>
      <c r="B1473" s="18" t="s">
        <v>32</v>
      </c>
      <c r="C1473" s="18" t="s">
        <v>137</v>
      </c>
      <c r="D1473" s="18" t="s">
        <v>161</v>
      </c>
      <c r="E1473" s="18" t="s">
        <v>36</v>
      </c>
      <c r="F1473" s="18" t="s">
        <v>45</v>
      </c>
      <c r="J1473" s="19"/>
      <c r="K1473" s="19">
        <v>0.5</v>
      </c>
      <c r="L1473" s="19">
        <v>0.418282549</v>
      </c>
      <c r="M1473" s="19" t="s">
        <v>36</v>
      </c>
      <c r="N1473" s="19">
        <v>0.16669999999999999</v>
      </c>
      <c r="O1473" s="19">
        <v>0.58819999999999995</v>
      </c>
      <c r="P1473" s="19" t="s">
        <v>36</v>
      </c>
      <c r="Q1473" s="19"/>
      <c r="R1473" s="20">
        <v>31680</v>
      </c>
      <c r="S1473" s="21" t="str">
        <f>HYPERLINK("https://www1.nl.edu/netpricecalculator/calculator.cfm", "$15055")</f>
        <v>$15055</v>
      </c>
      <c r="T1473" s="20">
        <v>17250</v>
      </c>
      <c r="U1473" s="20">
        <v>18985</v>
      </c>
      <c r="V1473" s="20" t="s">
        <v>36</v>
      </c>
      <c r="W1473" s="20" t="s">
        <v>36</v>
      </c>
      <c r="Y1473" s="19">
        <v>0.60319999999999996</v>
      </c>
      <c r="Z1473" s="19">
        <v>0.8276</v>
      </c>
      <c r="AB1473" s="18">
        <v>1758</v>
      </c>
      <c r="AC1473" s="18">
        <v>5</v>
      </c>
    </row>
    <row r="1474" spans="1:29" ht="15.75" customHeight="1" x14ac:dyDescent="0.2">
      <c r="A1474" s="36" t="str">
        <f>HYPERLINK("https://nationalparalegal.edu", "National Paralegal College")</f>
        <v>National Paralegal College</v>
      </c>
      <c r="B1474" s="18" t="s">
        <v>368</v>
      </c>
      <c r="C1474" s="18" t="s">
        <v>354</v>
      </c>
      <c r="D1474" s="18" t="s">
        <v>369</v>
      </c>
      <c r="E1474" s="18" t="s">
        <v>36</v>
      </c>
      <c r="F1474" s="18" t="s">
        <v>36</v>
      </c>
      <c r="J1474" s="19"/>
      <c r="K1474" s="19">
        <v>0.3105</v>
      </c>
      <c r="L1474" s="19" t="s">
        <v>36</v>
      </c>
      <c r="M1474" s="19">
        <v>0.52780000000000005</v>
      </c>
      <c r="N1474" s="19">
        <v>0</v>
      </c>
      <c r="O1474" s="19">
        <v>0.5</v>
      </c>
      <c r="P1474" s="19">
        <v>0</v>
      </c>
      <c r="Q1474" s="19" t="s">
        <v>36</v>
      </c>
      <c r="R1474" s="20">
        <v>20283</v>
      </c>
      <c r="S1474" s="21" t="str">
        <f>HYPERLINK("https://nationalparalegal.edu/npcalc/npcalc.html", "$15803")</f>
        <v>$15803</v>
      </c>
      <c r="T1474" s="20">
        <v>18333</v>
      </c>
      <c r="U1474" s="20">
        <v>19119</v>
      </c>
      <c r="V1474" s="20">
        <v>4216</v>
      </c>
      <c r="W1474" s="20">
        <v>11587</v>
      </c>
      <c r="Y1474" s="19">
        <v>0.54120000000000001</v>
      </c>
      <c r="Z1474" s="19">
        <v>0.68530000000000002</v>
      </c>
      <c r="AB1474" s="18">
        <v>753</v>
      </c>
      <c r="AC1474" s="18">
        <v>6</v>
      </c>
    </row>
    <row r="1475" spans="1:29" ht="15.75" customHeight="1" x14ac:dyDescent="0.2">
      <c r="A1475" s="36" t="str">
        <f>HYPERLINK("https://www.np.edu", "National Park Community College")</f>
        <v>National Park Community College</v>
      </c>
      <c r="B1475" s="18" t="s">
        <v>49</v>
      </c>
      <c r="C1475" s="18" t="s">
        <v>371</v>
      </c>
      <c r="D1475" s="18" t="s">
        <v>1561</v>
      </c>
      <c r="E1475" s="18" t="s">
        <v>36</v>
      </c>
      <c r="F1475" s="18" t="s">
        <v>36</v>
      </c>
      <c r="J1475" s="19"/>
      <c r="K1475" s="19">
        <v>0.27200000000000002</v>
      </c>
      <c r="L1475" s="19">
        <v>0.22677322699999999</v>
      </c>
      <c r="M1475" s="19">
        <v>0.29339999999999999</v>
      </c>
      <c r="N1475" s="19">
        <v>0.1613</v>
      </c>
      <c r="O1475" s="19">
        <v>0.36359999999999998</v>
      </c>
      <c r="P1475" s="19">
        <v>0.25</v>
      </c>
      <c r="Q1475" s="19">
        <v>5.1562499999999997E-2</v>
      </c>
      <c r="R1475" s="20">
        <v>19330</v>
      </c>
      <c r="S1475" s="21" t="str">
        <f>HYPERLINK("https://np.edu/admissions/financial-aid/consumer-disclosures/npcalc.htm", "$14905")</f>
        <v>$14905</v>
      </c>
      <c r="T1475" s="20">
        <v>16623</v>
      </c>
      <c r="U1475" s="20">
        <v>16626</v>
      </c>
      <c r="V1475" s="20">
        <v>4930</v>
      </c>
      <c r="W1475" s="20">
        <v>9975.5847457627115</v>
      </c>
      <c r="Y1475" s="19">
        <v>0.5927</v>
      </c>
      <c r="Z1475" s="19">
        <v>0.22620000000000001</v>
      </c>
      <c r="AB1475" s="18">
        <v>2140</v>
      </c>
      <c r="AC1475" s="18">
        <v>6</v>
      </c>
    </row>
    <row r="1476" spans="1:29" ht="15.75" customHeight="1" x14ac:dyDescent="0.2">
      <c r="A1476" s="36" t="str">
        <f>HYPERLINK("https://www.nu.edu", "National University")</f>
        <v>National University</v>
      </c>
      <c r="B1476" s="18" t="s">
        <v>32</v>
      </c>
      <c r="C1476" s="18" t="s">
        <v>68</v>
      </c>
      <c r="D1476" s="18" t="s">
        <v>499</v>
      </c>
      <c r="E1476" s="18" t="s">
        <v>36</v>
      </c>
      <c r="F1476" s="18" t="s">
        <v>36</v>
      </c>
      <c r="J1476" s="19"/>
      <c r="K1476" s="19">
        <v>0.4219</v>
      </c>
      <c r="L1476" s="19">
        <v>0.39146431199999998</v>
      </c>
      <c r="M1476" s="19">
        <v>0.375</v>
      </c>
      <c r="N1476" s="19">
        <v>0.5</v>
      </c>
      <c r="O1476" s="19">
        <v>0.35289999999999999</v>
      </c>
      <c r="P1476" s="19">
        <v>1</v>
      </c>
      <c r="Q1476" s="19"/>
      <c r="R1476" s="20">
        <v>30248</v>
      </c>
      <c r="S1476" s="21" t="str">
        <f>HYPERLINK("https://www.nu.edu/npcalc/npcalc.htm", "$25705")</f>
        <v>$25705</v>
      </c>
      <c r="T1476" s="20">
        <v>25586</v>
      </c>
      <c r="U1476" s="20">
        <v>27409</v>
      </c>
      <c r="V1476" s="20">
        <v>5416</v>
      </c>
      <c r="W1476" s="20">
        <v>20289</v>
      </c>
      <c r="Y1476" s="19">
        <v>0.35499999999999998</v>
      </c>
      <c r="Z1476" s="19">
        <v>0.64660000000000006</v>
      </c>
      <c r="AB1476" s="18">
        <v>7360</v>
      </c>
      <c r="AC1476" s="18">
        <v>4</v>
      </c>
    </row>
    <row r="1477" spans="1:29" ht="15.75" customHeight="1" x14ac:dyDescent="0.2">
      <c r="A1477" s="36" t="str">
        <f>HYPERLINK("https://www.nv.edu", "Naugatuck Valley Community College")</f>
        <v>Naugatuck Valley Community College</v>
      </c>
      <c r="B1477" s="18" t="s">
        <v>49</v>
      </c>
      <c r="C1477" s="18" t="s">
        <v>94</v>
      </c>
      <c r="D1477" s="18" t="s">
        <v>887</v>
      </c>
      <c r="E1477" s="18" t="s">
        <v>36</v>
      </c>
      <c r="F1477" s="18" t="s">
        <v>36</v>
      </c>
      <c r="J1477" s="19"/>
      <c r="K1477" s="19">
        <v>0.17169999999999999</v>
      </c>
      <c r="L1477" s="19">
        <v>0.204494382</v>
      </c>
      <c r="M1477" s="19">
        <v>0.22140000000000001</v>
      </c>
      <c r="N1477" s="19">
        <v>9.2100000000000001E-2</v>
      </c>
      <c r="O1477" s="19">
        <v>0.12889999999999999</v>
      </c>
      <c r="P1477" s="19">
        <v>0.13039999999999999</v>
      </c>
      <c r="Q1477" s="19">
        <v>7.4716478000000003E-2</v>
      </c>
      <c r="R1477" s="20">
        <v>27036</v>
      </c>
      <c r="S1477" s="21" t="str">
        <f>HYPERLINK("https://www.nv.edu/Admissions-and-Aid/Paying-for-College/Financial-Aid", "$21469")</f>
        <v>$21469</v>
      </c>
      <c r="T1477" s="20">
        <v>21975</v>
      </c>
      <c r="U1477" s="20">
        <v>22739</v>
      </c>
      <c r="V1477" s="20">
        <v>5530</v>
      </c>
      <c r="W1477" s="20">
        <v>15939.630170316301</v>
      </c>
      <c r="Y1477" s="19">
        <v>0.40689999999999998</v>
      </c>
      <c r="Z1477" s="19">
        <v>0.5363</v>
      </c>
      <c r="AB1477" s="18">
        <v>5754</v>
      </c>
      <c r="AC1477" s="18">
        <v>6</v>
      </c>
    </row>
    <row r="1478" spans="1:29" ht="15.75" customHeight="1" x14ac:dyDescent="0.2">
      <c r="A1478" s="36" t="str">
        <f>HYPERLINK("https://www.navarrocollege.edu", "Navarro College")</f>
        <v>Navarro College</v>
      </c>
      <c r="B1478" s="18" t="s">
        <v>49</v>
      </c>
      <c r="C1478" s="18" t="s">
        <v>146</v>
      </c>
      <c r="D1478" s="18" t="s">
        <v>1562</v>
      </c>
      <c r="E1478" s="18" t="s">
        <v>36</v>
      </c>
      <c r="F1478" s="18" t="s">
        <v>36</v>
      </c>
      <c r="J1478" s="19"/>
      <c r="K1478" s="19">
        <v>0.1852</v>
      </c>
      <c r="L1478" s="19">
        <v>0.13573141499999999</v>
      </c>
      <c r="M1478" s="19">
        <v>0.21820000000000001</v>
      </c>
      <c r="N1478" s="19">
        <v>0.1061</v>
      </c>
      <c r="O1478" s="19">
        <v>0.25629999999999997</v>
      </c>
      <c r="P1478" s="19">
        <v>8.3299999999999999E-2</v>
      </c>
      <c r="Q1478" s="19">
        <v>8.0933616E-2</v>
      </c>
      <c r="R1478" s="20">
        <v>20665</v>
      </c>
      <c r="S1478" s="21" t="str">
        <f>HYPERLINK("https://www.collegeforalltexans.com/apps/CollegeMoney/index.php", "$17996")</f>
        <v>$17996</v>
      </c>
      <c r="T1478" s="20">
        <v>19378</v>
      </c>
      <c r="U1478" s="20">
        <v>20214</v>
      </c>
      <c r="V1478" s="20">
        <v>8577</v>
      </c>
      <c r="W1478" s="20">
        <v>9419.7228464419459</v>
      </c>
      <c r="Y1478" s="19">
        <v>0.30309999999999998</v>
      </c>
      <c r="Z1478" s="19">
        <v>0.45760000000000001</v>
      </c>
      <c r="AB1478" s="18">
        <v>8968</v>
      </c>
      <c r="AC1478" s="18">
        <v>6</v>
      </c>
    </row>
    <row r="1479" spans="1:29" ht="15.75" customHeight="1" x14ac:dyDescent="0.2">
      <c r="A1479" s="36" t="str">
        <f>HYPERLINK("https://www.naz.edu", "Nazareth College")</f>
        <v>Nazareth College</v>
      </c>
      <c r="B1479" s="18" t="s">
        <v>32</v>
      </c>
      <c r="C1479" s="18" t="s">
        <v>38</v>
      </c>
      <c r="D1479" s="18" t="s">
        <v>170</v>
      </c>
      <c r="E1479" s="18" t="s">
        <v>36</v>
      </c>
      <c r="F1479" s="18" t="s">
        <v>45</v>
      </c>
      <c r="G1479" s="18" t="s">
        <v>40</v>
      </c>
      <c r="H1479" s="18" t="s">
        <v>423</v>
      </c>
      <c r="I1479" s="18" t="s">
        <v>424</v>
      </c>
      <c r="J1479" s="19"/>
      <c r="K1479" s="19">
        <v>0.66739999999999999</v>
      </c>
      <c r="L1479" s="19">
        <v>0.58227848100000001</v>
      </c>
      <c r="M1479" s="19">
        <v>0.6855</v>
      </c>
      <c r="N1479" s="19">
        <v>0.45</v>
      </c>
      <c r="O1479" s="19">
        <v>0.5</v>
      </c>
      <c r="P1479" s="19">
        <v>0.90910000000000002</v>
      </c>
      <c r="Q1479" s="19"/>
      <c r="R1479" s="20">
        <v>49459</v>
      </c>
      <c r="S1479" s="21" t="str">
        <f>HYPERLINK("https://forms.naz.edu/npc/", "$20858")</f>
        <v>$20858</v>
      </c>
      <c r="T1479" s="20">
        <v>27684</v>
      </c>
      <c r="U1479" s="20">
        <v>31924</v>
      </c>
      <c r="V1479" s="20">
        <v>2500</v>
      </c>
      <c r="W1479" s="20">
        <v>18358</v>
      </c>
      <c r="Y1479" s="19">
        <v>0.29370000000000002</v>
      </c>
      <c r="Z1479" s="19">
        <v>0.21060000000000001</v>
      </c>
      <c r="AB1479" s="18">
        <v>2175</v>
      </c>
      <c r="AC1479" s="18">
        <v>3</v>
      </c>
    </row>
    <row r="1480" spans="1:29" ht="15.75" customHeight="1" x14ac:dyDescent="0.2">
      <c r="A1480" s="36" t="str">
        <f>HYPERLINK("https://ncta.unl.edu", "Nebraska College of Technical Agriculture")</f>
        <v>Nebraska College of Technical Agriculture</v>
      </c>
      <c r="B1480" s="18" t="s">
        <v>49</v>
      </c>
      <c r="C1480" s="18" t="s">
        <v>341</v>
      </c>
      <c r="D1480" s="18" t="s">
        <v>1563</v>
      </c>
      <c r="E1480" s="18" t="s">
        <v>36</v>
      </c>
      <c r="F1480" s="18" t="s">
        <v>36</v>
      </c>
      <c r="J1480" s="19"/>
      <c r="K1480" s="19">
        <v>0.48759999999999998</v>
      </c>
      <c r="L1480" s="19">
        <v>0.52961672500000001</v>
      </c>
      <c r="M1480" s="19">
        <v>0.49149999999999999</v>
      </c>
      <c r="N1480" s="19" t="s">
        <v>36</v>
      </c>
      <c r="O1480" s="19">
        <v>0</v>
      </c>
      <c r="P1480" s="19">
        <v>1</v>
      </c>
      <c r="Q1480" s="19">
        <v>0.105390836</v>
      </c>
      <c r="R1480" s="20">
        <v>16770</v>
      </c>
      <c r="S1480" s="21" t="str">
        <f>HYPERLINK("https://ncta.unl.edu/tuition-costs", "$10288")</f>
        <v>$10288</v>
      </c>
      <c r="T1480" s="20">
        <v>13930</v>
      </c>
      <c r="U1480" s="20">
        <v>15038</v>
      </c>
      <c r="V1480" s="20">
        <v>4610</v>
      </c>
      <c r="W1480" s="20">
        <v>5678.1428571428569</v>
      </c>
      <c r="Y1480" s="19">
        <v>0.28360000000000002</v>
      </c>
      <c r="Z1480" s="19">
        <v>3.4599999999999957E-2</v>
      </c>
      <c r="AB1480" s="18">
        <v>260</v>
      </c>
      <c r="AC1480" s="18">
        <v>6</v>
      </c>
    </row>
    <row r="1481" spans="1:29" ht="15.75" customHeight="1" x14ac:dyDescent="0.2">
      <c r="A1481" s="36" t="str">
        <f>HYPERLINK("https://www.thenicc.edu", "Nebraska Indian Community College")</f>
        <v>Nebraska Indian Community College</v>
      </c>
      <c r="B1481" s="18" t="s">
        <v>49</v>
      </c>
      <c r="C1481" s="18" t="s">
        <v>341</v>
      </c>
      <c r="D1481" s="18" t="s">
        <v>1564</v>
      </c>
      <c r="E1481" s="18" t="s">
        <v>36</v>
      </c>
      <c r="F1481" s="18" t="s">
        <v>36</v>
      </c>
      <c r="J1481" s="19"/>
      <c r="K1481" s="19">
        <v>6.6699999999999995E-2</v>
      </c>
      <c r="L1481" s="19" t="s">
        <v>36</v>
      </c>
      <c r="M1481" s="19" t="s">
        <v>36</v>
      </c>
      <c r="N1481" s="19" t="s">
        <v>36</v>
      </c>
      <c r="O1481" s="19" t="s">
        <v>36</v>
      </c>
      <c r="P1481" s="19" t="s">
        <v>36</v>
      </c>
      <c r="Q1481" s="19" t="s">
        <v>36</v>
      </c>
      <c r="R1481" s="20">
        <v>26041</v>
      </c>
      <c r="S1481" s="21" t="str">
        <f>HYPERLINK("https://www.thenicc.edu/NetPriceCalculator/npcalc.htm", "$19343")</f>
        <v>$19343</v>
      </c>
      <c r="T1481" s="20" t="s">
        <v>36</v>
      </c>
      <c r="U1481" s="20" t="s">
        <v>36</v>
      </c>
      <c r="V1481" s="20" t="s">
        <v>36</v>
      </c>
      <c r="W1481" s="20" t="s">
        <v>36</v>
      </c>
      <c r="Y1481" s="19">
        <v>0.38290000000000002</v>
      </c>
      <c r="Z1481" s="19">
        <v>0.97619999999999996</v>
      </c>
      <c r="AB1481" s="18">
        <v>126</v>
      </c>
      <c r="AC1481" s="18">
        <v>6</v>
      </c>
    </row>
    <row r="1482" spans="1:29" ht="15.75" customHeight="1" x14ac:dyDescent="0.2">
      <c r="A1482" s="36" t="str">
        <f>HYPERLINK("https://www.neumann.edu", "Neumann University")</f>
        <v>Neumann University</v>
      </c>
      <c r="B1482" s="18" t="s">
        <v>32</v>
      </c>
      <c r="C1482" s="18" t="s">
        <v>65</v>
      </c>
      <c r="D1482" s="18" t="s">
        <v>794</v>
      </c>
      <c r="E1482" s="18">
        <v>978</v>
      </c>
      <c r="F1482" s="18" t="s">
        <v>35</v>
      </c>
      <c r="J1482" s="19"/>
      <c r="K1482" s="19">
        <v>0.56640000000000001</v>
      </c>
      <c r="L1482" s="19">
        <v>0.340659341</v>
      </c>
      <c r="M1482" s="19">
        <v>0.70860000000000001</v>
      </c>
      <c r="N1482" s="19">
        <v>0.38579999999999998</v>
      </c>
      <c r="O1482" s="19">
        <v>0.41670000000000001</v>
      </c>
      <c r="P1482" s="19">
        <v>0</v>
      </c>
      <c r="Q1482" s="19"/>
      <c r="R1482" s="20">
        <v>46028</v>
      </c>
      <c r="S1482" s="21" t="str">
        <f>HYPERLINK("https://neumann-2017-staging.aidcalculator.com/", "$18096")</f>
        <v>$18096</v>
      </c>
      <c r="T1482" s="20">
        <v>22455</v>
      </c>
      <c r="U1482" s="20">
        <v>24701</v>
      </c>
      <c r="V1482" s="20">
        <v>3458</v>
      </c>
      <c r="W1482" s="20">
        <v>14638</v>
      </c>
      <c r="Y1482" s="19">
        <v>0.37930000000000003</v>
      </c>
      <c r="Z1482" s="19">
        <v>0.46719999999999989</v>
      </c>
      <c r="AB1482" s="18">
        <v>1997</v>
      </c>
      <c r="AC1482" s="18">
        <v>5</v>
      </c>
    </row>
    <row r="1483" spans="1:29" ht="15.75" customHeight="1" x14ac:dyDescent="0.2">
      <c r="A1483" s="36" t="str">
        <f>HYPERLINK("https://www.ncstrades.edu", "New Castle School of Trades")</f>
        <v>New Castle School of Trades</v>
      </c>
      <c r="B1483" s="18" t="s">
        <v>368</v>
      </c>
      <c r="C1483" s="18" t="s">
        <v>65</v>
      </c>
      <c r="D1483" s="18" t="s">
        <v>940</v>
      </c>
      <c r="E1483" s="18" t="s">
        <v>36</v>
      </c>
      <c r="F1483" s="18" t="s">
        <v>45</v>
      </c>
      <c r="J1483" s="19"/>
      <c r="K1483" s="19">
        <v>0.75370000000000004</v>
      </c>
      <c r="L1483" s="19">
        <v>0.52816901399999994</v>
      </c>
      <c r="M1483" s="19">
        <v>0.77229999999999999</v>
      </c>
      <c r="N1483" s="19">
        <v>0.63829999999999998</v>
      </c>
      <c r="O1483" s="19">
        <v>0.72729999999999995</v>
      </c>
      <c r="P1483" s="19" t="s">
        <v>36</v>
      </c>
      <c r="Q1483" s="19" t="s">
        <v>36</v>
      </c>
      <c r="R1483" s="20" t="s">
        <v>36</v>
      </c>
      <c r="S1483" s="21" t="str">
        <f>HYPERLINK("https://ncst.bitballoon.com/npc/npcalc.htm", "$7729")</f>
        <v>$7729</v>
      </c>
      <c r="T1483" s="20">
        <v>9506</v>
      </c>
      <c r="U1483" s="20" t="s">
        <v>36</v>
      </c>
      <c r="V1483" s="20" t="s">
        <v>36</v>
      </c>
      <c r="W1483" s="20" t="s">
        <v>36</v>
      </c>
      <c r="Y1483" s="19">
        <v>0.68789999999999996</v>
      </c>
      <c r="Z1483" s="19">
        <v>0.11799999999999999</v>
      </c>
      <c r="AB1483" s="18">
        <v>763</v>
      </c>
      <c r="AC1483" s="18">
        <v>6</v>
      </c>
    </row>
    <row r="1484" spans="1:29" ht="15.75" customHeight="1" x14ac:dyDescent="0.2">
      <c r="A1484" s="36" t="str">
        <f>HYPERLINK("https://www.ncf.edu", "New College of Florida")</f>
        <v>New College of Florida</v>
      </c>
      <c r="B1484" s="18" t="s">
        <v>49</v>
      </c>
      <c r="C1484" s="18" t="s">
        <v>162</v>
      </c>
      <c r="D1484" s="18" t="s">
        <v>233</v>
      </c>
      <c r="E1484" s="18">
        <v>1296</v>
      </c>
      <c r="F1484" s="18" t="s">
        <v>35</v>
      </c>
      <c r="J1484" s="19"/>
      <c r="K1484" s="19">
        <v>0.64559999999999995</v>
      </c>
      <c r="L1484" s="19">
        <v>0.63934426200000005</v>
      </c>
      <c r="M1484" s="19">
        <v>0.67820000000000003</v>
      </c>
      <c r="N1484" s="19">
        <v>0.5</v>
      </c>
      <c r="O1484" s="19">
        <v>0.5625</v>
      </c>
      <c r="P1484" s="19">
        <v>0.5</v>
      </c>
      <c r="Q1484" s="19"/>
      <c r="R1484" s="20">
        <v>43678</v>
      </c>
      <c r="S1484" s="21" t="str">
        <f>HYPERLINK("https://www.ncf.edu/admissions/cost-and-aid/tuition-and-fees/net-price-calculator/", "$30635")</f>
        <v>$30635</v>
      </c>
      <c r="T1484" s="20">
        <v>35324</v>
      </c>
      <c r="U1484" s="20">
        <v>36987</v>
      </c>
      <c r="V1484" s="20">
        <v>4470</v>
      </c>
      <c r="W1484" s="20">
        <v>26165.62222222222</v>
      </c>
      <c r="Y1484" s="19">
        <v>0.28570000000000001</v>
      </c>
      <c r="Z1484" s="19">
        <v>0.30900000000000011</v>
      </c>
      <c r="AB1484" s="18">
        <v>835</v>
      </c>
      <c r="AC1484" s="18">
        <v>2</v>
      </c>
    </row>
    <row r="1485" spans="1:29" ht="15.75" customHeight="1" x14ac:dyDescent="0.2">
      <c r="A1485" s="36" t="str">
        <f>HYPERLINK("https://www.myunion.edu", "New England Center")</f>
        <v>New England Center</v>
      </c>
      <c r="B1485" s="18" t="s">
        <v>32</v>
      </c>
      <c r="C1485" s="18" t="s">
        <v>47</v>
      </c>
      <c r="D1485" s="18" t="s">
        <v>1002</v>
      </c>
      <c r="E1485" s="18" t="s">
        <v>36</v>
      </c>
      <c r="F1485" s="18" t="s">
        <v>36</v>
      </c>
      <c r="J1485" s="19"/>
      <c r="K1485" s="19" t="s">
        <v>36</v>
      </c>
      <c r="L1485" s="19">
        <v>0.44725738399999998</v>
      </c>
      <c r="M1485" s="19" t="s">
        <v>36</v>
      </c>
      <c r="N1485" s="19" t="s">
        <v>36</v>
      </c>
      <c r="O1485" s="19" t="s">
        <v>36</v>
      </c>
      <c r="P1485" s="19" t="s">
        <v>36</v>
      </c>
      <c r="Q1485" s="19"/>
      <c r="R1485" s="20" t="s">
        <v>36</v>
      </c>
      <c r="S1485" s="35" t="s">
        <v>36</v>
      </c>
      <c r="T1485" s="20" t="s">
        <v>36</v>
      </c>
      <c r="U1485" s="20" t="s">
        <v>36</v>
      </c>
      <c r="V1485" s="20" t="s">
        <v>36</v>
      </c>
      <c r="W1485" s="20" t="s">
        <v>36</v>
      </c>
      <c r="Y1485" s="19" t="s">
        <v>36</v>
      </c>
      <c r="Z1485" s="19" t="s">
        <v>36</v>
      </c>
      <c r="AB1485" s="18" t="s">
        <v>36</v>
      </c>
      <c r="AC1485" s="18">
        <v>4</v>
      </c>
    </row>
    <row r="1486" spans="1:29" ht="15.75" customHeight="1" x14ac:dyDescent="0.2">
      <c r="A1486" s="36" t="str">
        <f>HYPERLINK("https://www.nec.edu/", "New England College")</f>
        <v>New England College</v>
      </c>
      <c r="B1486" s="18" t="s">
        <v>32</v>
      </c>
      <c r="C1486" s="18" t="s">
        <v>101</v>
      </c>
      <c r="D1486" s="18" t="s">
        <v>795</v>
      </c>
      <c r="E1486" s="18" t="s">
        <v>36</v>
      </c>
      <c r="F1486" s="18" t="s">
        <v>45</v>
      </c>
      <c r="J1486" s="19"/>
      <c r="K1486" s="19">
        <v>0.42220000000000002</v>
      </c>
      <c r="L1486" s="19">
        <v>0.303571429</v>
      </c>
      <c r="M1486" s="19">
        <v>0.45689999999999997</v>
      </c>
      <c r="N1486" s="19">
        <v>0.16669999999999999</v>
      </c>
      <c r="O1486" s="19">
        <v>0.26669999999999999</v>
      </c>
      <c r="P1486" s="19">
        <v>0.33329999999999999</v>
      </c>
      <c r="Q1486" s="19"/>
      <c r="R1486" s="20">
        <v>53828</v>
      </c>
      <c r="S1486" s="21" t="str">
        <f>HYPERLINK("https://nec.studentaidcalculator.com/survey.aspx", "$26856")</f>
        <v>$26856</v>
      </c>
      <c r="T1486" s="20">
        <v>27408</v>
      </c>
      <c r="U1486" s="20">
        <v>25560</v>
      </c>
      <c r="V1486" s="20">
        <v>3000</v>
      </c>
      <c r="W1486" s="20">
        <v>23856</v>
      </c>
      <c r="Y1486" s="19">
        <v>0.51959999999999995</v>
      </c>
      <c r="Z1486" s="19">
        <v>0.4849</v>
      </c>
      <c r="AB1486" s="18">
        <v>1819</v>
      </c>
      <c r="AC1486" s="18">
        <v>5</v>
      </c>
    </row>
    <row r="1487" spans="1:29" ht="15.75" customHeight="1" x14ac:dyDescent="0.2">
      <c r="A1487" s="36" t="str">
        <f>HYPERLINK("https://www.neit.edu", "New England Institute of Technology")</f>
        <v>New England Institute of Technology</v>
      </c>
      <c r="B1487" s="18" t="s">
        <v>32</v>
      </c>
      <c r="C1487" s="18" t="s">
        <v>63</v>
      </c>
      <c r="D1487" s="18" t="s">
        <v>1565</v>
      </c>
      <c r="E1487" s="18" t="s">
        <v>36</v>
      </c>
      <c r="F1487" s="18" t="s">
        <v>36</v>
      </c>
      <c r="J1487" s="19"/>
      <c r="K1487" s="19">
        <v>0.52410000000000001</v>
      </c>
      <c r="L1487" s="19">
        <v>0.31310679600000002</v>
      </c>
      <c r="M1487" s="19">
        <v>0.56399999999999995</v>
      </c>
      <c r="N1487" s="19">
        <v>9.5200000000000007E-2</v>
      </c>
      <c r="O1487" s="19">
        <v>0.36109999999999998</v>
      </c>
      <c r="P1487" s="19">
        <v>0.71430000000000005</v>
      </c>
      <c r="Q1487" s="19">
        <v>1.7795637E-2</v>
      </c>
      <c r="R1487" s="20">
        <v>44642</v>
      </c>
      <c r="S1487" s="21" t="str">
        <f>HYPERLINK("https://www.neit.edu/Financial-Aid/Net-Price-Calculator", "$29338")</f>
        <v>$29338</v>
      </c>
      <c r="T1487" s="20">
        <v>32535</v>
      </c>
      <c r="U1487" s="20">
        <v>33645</v>
      </c>
      <c r="V1487" s="20">
        <v>4346</v>
      </c>
      <c r="W1487" s="20">
        <v>24992</v>
      </c>
      <c r="Y1487" s="19">
        <v>0.48230000000000001</v>
      </c>
      <c r="Z1487" s="19">
        <v>0.57450000000000001</v>
      </c>
      <c r="AB1487" s="18">
        <v>2658</v>
      </c>
      <c r="AC1487" s="18">
        <v>6</v>
      </c>
    </row>
    <row r="1488" spans="1:29" ht="15.75" customHeight="1" x14ac:dyDescent="0.2">
      <c r="A1488" s="36" t="str">
        <f>HYPERLINK("https://www.njcu.edu", "New Jersey City University")</f>
        <v>New Jersey City University</v>
      </c>
      <c r="B1488" s="18" t="s">
        <v>49</v>
      </c>
      <c r="C1488" s="18" t="s">
        <v>141</v>
      </c>
      <c r="D1488" s="18" t="s">
        <v>1004</v>
      </c>
      <c r="E1488" s="18">
        <v>975</v>
      </c>
      <c r="F1488" s="18" t="s">
        <v>35</v>
      </c>
      <c r="J1488" s="19"/>
      <c r="K1488" s="19">
        <v>0.32890000000000003</v>
      </c>
      <c r="L1488" s="19">
        <v>0.40114613199999999</v>
      </c>
      <c r="M1488" s="19">
        <v>0.39069999999999999</v>
      </c>
      <c r="N1488" s="19">
        <v>0.2331</v>
      </c>
      <c r="O1488" s="19">
        <v>0.31900000000000001</v>
      </c>
      <c r="P1488" s="19">
        <v>0.5</v>
      </c>
      <c r="Q1488" s="19"/>
      <c r="R1488" s="20">
        <v>39756</v>
      </c>
      <c r="S1488" s="21" t="str">
        <f>HYPERLINK("https://www.njcu.edu/about/bursar/tuition-fees", "$27792")</f>
        <v>$27792</v>
      </c>
      <c r="T1488" s="20">
        <v>31803</v>
      </c>
      <c r="U1488" s="20">
        <v>37067</v>
      </c>
      <c r="V1488" s="20">
        <v>5900</v>
      </c>
      <c r="W1488" s="20">
        <v>21892.304761904761</v>
      </c>
      <c r="Y1488" s="19">
        <v>0.57530000000000003</v>
      </c>
      <c r="Z1488" s="19">
        <v>0.78959999999999997</v>
      </c>
      <c r="AB1488" s="18">
        <v>6359</v>
      </c>
      <c r="AC1488" s="18">
        <v>4</v>
      </c>
    </row>
    <row r="1489" spans="1:29" ht="15.75" customHeight="1" x14ac:dyDescent="0.2">
      <c r="A1489" s="36" t="str">
        <f>HYPERLINK("https://www.njit.edu/", "New Jersey Institute of Technology")</f>
        <v>New Jersey Institute of Technology</v>
      </c>
      <c r="B1489" s="18" t="s">
        <v>49</v>
      </c>
      <c r="C1489" s="18" t="s">
        <v>141</v>
      </c>
      <c r="D1489" s="18" t="s">
        <v>425</v>
      </c>
      <c r="E1489" s="18">
        <v>1282</v>
      </c>
      <c r="F1489" s="18" t="s">
        <v>35</v>
      </c>
      <c r="J1489" s="19"/>
      <c r="K1489" s="19">
        <v>0.63549999999999995</v>
      </c>
      <c r="L1489" s="19">
        <v>0.52697095399999994</v>
      </c>
      <c r="M1489" s="19">
        <v>0.71509999999999996</v>
      </c>
      <c r="N1489" s="19">
        <v>0.41460000000000002</v>
      </c>
      <c r="O1489" s="19">
        <v>0.52100000000000002</v>
      </c>
      <c r="P1489" s="19">
        <v>0.72450000000000003</v>
      </c>
      <c r="Q1489" s="19"/>
      <c r="R1489" s="20">
        <v>51518</v>
      </c>
      <c r="S1489" s="21" t="str">
        <f>HYPERLINK("https://www.njit.edu/admissions/njheoa/", "$35853")</f>
        <v>$35853</v>
      </c>
      <c r="T1489" s="20">
        <v>41896</v>
      </c>
      <c r="U1489" s="20">
        <v>45984</v>
      </c>
      <c r="V1489" s="20">
        <v>6300</v>
      </c>
      <c r="W1489" s="20">
        <v>29553.198347107431</v>
      </c>
      <c r="Y1489" s="19">
        <v>0.34960000000000002</v>
      </c>
      <c r="Z1489" s="19">
        <v>0.65339999999999998</v>
      </c>
      <c r="AB1489" s="18">
        <v>7489</v>
      </c>
      <c r="AC1489" s="18">
        <v>3</v>
      </c>
    </row>
    <row r="1490" spans="1:29" ht="15.75" customHeight="1" x14ac:dyDescent="0.2">
      <c r="A1490" s="36" t="str">
        <f>HYPERLINK("https://www.nmhu.edu", "New Mexico Highlands University")</f>
        <v>New Mexico Highlands University</v>
      </c>
      <c r="B1490" s="18" t="s">
        <v>49</v>
      </c>
      <c r="C1490" s="18" t="s">
        <v>234</v>
      </c>
      <c r="D1490" s="18" t="s">
        <v>796</v>
      </c>
      <c r="E1490" s="18" t="s">
        <v>36</v>
      </c>
      <c r="F1490" s="18" t="s">
        <v>36</v>
      </c>
      <c r="J1490" s="19"/>
      <c r="K1490" s="19">
        <v>0.22220000000000001</v>
      </c>
      <c r="L1490" s="19">
        <v>0.314420804</v>
      </c>
      <c r="M1490" s="19">
        <v>0.1837</v>
      </c>
      <c r="N1490" s="19">
        <v>0.1111</v>
      </c>
      <c r="O1490" s="19">
        <v>0.25779999999999997</v>
      </c>
      <c r="P1490" s="19" t="s">
        <v>36</v>
      </c>
      <c r="Q1490" s="19"/>
      <c r="R1490" s="20">
        <v>22054</v>
      </c>
      <c r="S1490" s="21" t="str">
        <f>HYPERLINK("https://www.collegeportraits.org/NM/NMHU/estimator", "$18004")</f>
        <v>$18004</v>
      </c>
      <c r="T1490" s="20">
        <v>18807</v>
      </c>
      <c r="U1490" s="20">
        <v>20150</v>
      </c>
      <c r="V1490" s="20">
        <v>5112</v>
      </c>
      <c r="W1490" s="20">
        <v>12892.234375</v>
      </c>
      <c r="Y1490" s="19">
        <v>0.6734</v>
      </c>
      <c r="Z1490" s="19">
        <v>0.79710000000000003</v>
      </c>
      <c r="AB1490" s="18">
        <v>1858</v>
      </c>
      <c r="AC1490" s="18">
        <v>5</v>
      </c>
    </row>
    <row r="1491" spans="1:29" ht="15.75" customHeight="1" x14ac:dyDescent="0.2">
      <c r="A1491" s="36" t="str">
        <f>HYPERLINK("https://www.nmt.edu", "New Mexico Institute of Mining and Technology")</f>
        <v>New Mexico Institute of Mining and Technology</v>
      </c>
      <c r="B1491" s="18" t="s">
        <v>49</v>
      </c>
      <c r="C1491" s="18" t="s">
        <v>234</v>
      </c>
      <c r="D1491" s="18" t="s">
        <v>235</v>
      </c>
      <c r="E1491" s="18">
        <v>1259</v>
      </c>
      <c r="F1491" s="18" t="s">
        <v>35</v>
      </c>
      <c r="J1491" s="19"/>
      <c r="K1491" s="19">
        <v>0.47220000000000001</v>
      </c>
      <c r="L1491" s="19">
        <v>0.31034482800000002</v>
      </c>
      <c r="M1491" s="19">
        <v>0.4718</v>
      </c>
      <c r="N1491" s="19">
        <v>0.33329999999999999</v>
      </c>
      <c r="O1491" s="19">
        <v>0.495</v>
      </c>
      <c r="P1491" s="19">
        <v>0.8</v>
      </c>
      <c r="Q1491" s="19"/>
      <c r="R1491" s="20">
        <v>35153</v>
      </c>
      <c r="S1491" s="21" t="str">
        <f>HYPERLINK("https://www.nmt.edu/finaid/netprice/npcalc.htm", "$25077")</f>
        <v>$25077</v>
      </c>
      <c r="T1491" s="20">
        <v>28831</v>
      </c>
      <c r="U1491" s="20">
        <v>30068</v>
      </c>
      <c r="V1491" s="20">
        <v>5960</v>
      </c>
      <c r="W1491" s="20">
        <v>19117.833333333339</v>
      </c>
      <c r="Y1491" s="19">
        <v>0.29759999999999998</v>
      </c>
      <c r="Z1491" s="19">
        <v>0.47939999999999999</v>
      </c>
      <c r="AB1491" s="18">
        <v>1358</v>
      </c>
      <c r="AC1491" s="18">
        <v>2</v>
      </c>
    </row>
    <row r="1492" spans="1:29" ht="15.75" customHeight="1" x14ac:dyDescent="0.2">
      <c r="A1492" s="36" t="str">
        <f>HYPERLINK("https://www.nmjc.edu", "New Mexico Junior College")</f>
        <v>New Mexico Junior College</v>
      </c>
      <c r="B1492" s="18" t="s">
        <v>49</v>
      </c>
      <c r="C1492" s="18" t="s">
        <v>234</v>
      </c>
      <c r="D1492" s="18" t="s">
        <v>1566</v>
      </c>
      <c r="E1492" s="18" t="s">
        <v>36</v>
      </c>
      <c r="F1492" s="18" t="s">
        <v>36</v>
      </c>
      <c r="J1492" s="19"/>
      <c r="K1492" s="19">
        <v>0.33329999999999999</v>
      </c>
      <c r="L1492" s="19">
        <v>6.3136455999999994E-2</v>
      </c>
      <c r="M1492" s="19">
        <v>0.35589999999999999</v>
      </c>
      <c r="N1492" s="19">
        <v>0.26319999999999999</v>
      </c>
      <c r="O1492" s="19">
        <v>0.34179999999999999</v>
      </c>
      <c r="P1492" s="19" t="s">
        <v>36</v>
      </c>
      <c r="Q1492" s="19">
        <v>6.0308555E-2</v>
      </c>
      <c r="R1492" s="20">
        <v>9694</v>
      </c>
      <c r="S1492" s="21" t="str">
        <f>HYPERLINK("https://www.nmjc.edu/NetPrice/npcalc.htm", "$7325")</f>
        <v>$7325</v>
      </c>
      <c r="T1492" s="20" t="s">
        <v>36</v>
      </c>
      <c r="U1492" s="20" t="s">
        <v>36</v>
      </c>
      <c r="V1492" s="20">
        <v>3526</v>
      </c>
      <c r="W1492" s="20">
        <v>3799.6571428571419</v>
      </c>
      <c r="Y1492" s="19">
        <v>0.23449999999999999</v>
      </c>
      <c r="Z1492" s="19">
        <v>0.67049999999999998</v>
      </c>
      <c r="AB1492" s="18">
        <v>2182</v>
      </c>
      <c r="AC1492" s="18">
        <v>6</v>
      </c>
    </row>
    <row r="1493" spans="1:29" ht="15.75" customHeight="1" x14ac:dyDescent="0.2">
      <c r="A1493" s="36" t="str">
        <f>HYPERLINK("https://www.nmmi.edu", "New Mexico Military Institute")</f>
        <v>New Mexico Military Institute</v>
      </c>
      <c r="B1493" s="18" t="s">
        <v>49</v>
      </c>
      <c r="C1493" s="18" t="s">
        <v>234</v>
      </c>
      <c r="D1493" s="18" t="s">
        <v>719</v>
      </c>
      <c r="E1493" s="18">
        <v>1015</v>
      </c>
      <c r="F1493" s="18" t="s">
        <v>35</v>
      </c>
      <c r="J1493" s="19"/>
      <c r="K1493" s="19">
        <v>0.3271</v>
      </c>
      <c r="L1493" s="19" t="s">
        <v>36</v>
      </c>
      <c r="M1493" s="19">
        <v>0.31459999999999999</v>
      </c>
      <c r="N1493" s="19">
        <v>0.27450000000000002</v>
      </c>
      <c r="O1493" s="19">
        <v>0.33929999999999999</v>
      </c>
      <c r="P1493" s="19">
        <v>0.71430000000000005</v>
      </c>
      <c r="Q1493" s="19">
        <v>0.15555555600000001</v>
      </c>
      <c r="R1493" s="20">
        <v>21726</v>
      </c>
      <c r="S1493" s="21" t="str">
        <f>HYPERLINK("https://www.nmmi.edu/financial-aid-scholarships/net-price-calculator/", "$8680")</f>
        <v>$8680</v>
      </c>
      <c r="T1493" s="20">
        <v>13226</v>
      </c>
      <c r="U1493" s="20">
        <v>18566</v>
      </c>
      <c r="V1493" s="20">
        <v>3100</v>
      </c>
      <c r="W1493" s="20">
        <v>5580.5882352941171</v>
      </c>
      <c r="Y1493" s="19">
        <v>0.37680000000000002</v>
      </c>
      <c r="Z1493" s="19">
        <v>0.68740000000000001</v>
      </c>
      <c r="AB1493" s="18">
        <v>419</v>
      </c>
      <c r="AC1493" s="18">
        <v>6</v>
      </c>
    </row>
    <row r="1494" spans="1:29" ht="15.75" customHeight="1" x14ac:dyDescent="0.2">
      <c r="A1494" s="36" t="str">
        <f>HYPERLINK("https://nmsua.edu", "New Mexico State University-Alamogordo")</f>
        <v>New Mexico State University-Alamogordo</v>
      </c>
      <c r="B1494" s="18" t="s">
        <v>49</v>
      </c>
      <c r="C1494" s="18" t="s">
        <v>234</v>
      </c>
      <c r="D1494" s="18" t="s">
        <v>1567</v>
      </c>
      <c r="E1494" s="18" t="s">
        <v>36</v>
      </c>
      <c r="F1494" s="18" t="s">
        <v>36</v>
      </c>
      <c r="J1494" s="19"/>
      <c r="K1494" s="19">
        <v>0.12</v>
      </c>
      <c r="L1494" s="19">
        <v>0.296712109</v>
      </c>
      <c r="M1494" s="19">
        <v>0.125</v>
      </c>
      <c r="N1494" s="19">
        <v>0.125</v>
      </c>
      <c r="O1494" s="19">
        <v>6.9400000000000003E-2</v>
      </c>
      <c r="P1494" s="19">
        <v>1</v>
      </c>
      <c r="Q1494" s="19">
        <v>4.1901292E-2</v>
      </c>
      <c r="R1494" s="20">
        <v>18852</v>
      </c>
      <c r="S1494" s="21" t="str">
        <f>HYPERLINK("https://fa.nmsu.edu/true-cost-calculator/", "$13480")</f>
        <v>$13480</v>
      </c>
      <c r="T1494" s="20">
        <v>14690</v>
      </c>
      <c r="U1494" s="20">
        <v>17868</v>
      </c>
      <c r="V1494" s="20">
        <v>5012</v>
      </c>
      <c r="W1494" s="20">
        <v>8468.8032786885233</v>
      </c>
      <c r="Y1494" s="19">
        <v>0.41949999999999998</v>
      </c>
      <c r="Z1494" s="19">
        <v>0.56210000000000004</v>
      </c>
      <c r="AB1494" s="18">
        <v>717</v>
      </c>
      <c r="AC1494" s="18">
        <v>6</v>
      </c>
    </row>
    <row r="1495" spans="1:29" ht="15.75" customHeight="1" x14ac:dyDescent="0.2">
      <c r="A1495" s="36" t="str">
        <f>HYPERLINK("https://carlsbad.nmsu.edu", "New Mexico State University-Carlsbad")</f>
        <v>New Mexico State University-Carlsbad</v>
      </c>
      <c r="B1495" s="18" t="s">
        <v>49</v>
      </c>
      <c r="C1495" s="18" t="s">
        <v>234</v>
      </c>
      <c r="D1495" s="18" t="s">
        <v>1373</v>
      </c>
      <c r="E1495" s="18" t="s">
        <v>36</v>
      </c>
      <c r="F1495" s="18" t="s">
        <v>36</v>
      </c>
      <c r="J1495" s="19"/>
      <c r="K1495" s="19">
        <v>0.12859999999999999</v>
      </c>
      <c r="L1495" s="19">
        <v>0.296712109</v>
      </c>
      <c r="M1495" s="19">
        <v>0.18179999999999999</v>
      </c>
      <c r="N1495" s="19">
        <v>0</v>
      </c>
      <c r="O1495" s="19">
        <v>0.1</v>
      </c>
      <c r="P1495" s="19">
        <v>0</v>
      </c>
      <c r="Q1495" s="19">
        <v>4.1901292E-2</v>
      </c>
      <c r="R1495" s="20">
        <v>21612</v>
      </c>
      <c r="S1495" s="21" t="str">
        <f>HYPERLINK("https://fa.nmsu.edu/true-cost-calculator", "$15956")</f>
        <v>$15956</v>
      </c>
      <c r="T1495" s="20">
        <v>19209</v>
      </c>
      <c r="U1495" s="20">
        <v>20727</v>
      </c>
      <c r="V1495" s="20">
        <v>5012</v>
      </c>
      <c r="W1495" s="20">
        <v>10944.23728813559</v>
      </c>
      <c r="Y1495" s="19">
        <v>0.25469999999999998</v>
      </c>
      <c r="Z1495" s="19">
        <v>0.61840000000000006</v>
      </c>
      <c r="AB1495" s="18">
        <v>705</v>
      </c>
      <c r="AC1495" s="18">
        <v>6</v>
      </c>
    </row>
    <row r="1496" spans="1:29" ht="15.75" customHeight="1" x14ac:dyDescent="0.2">
      <c r="A1496" s="36" t="str">
        <f>HYPERLINK("https://dacc.nmsu.edu/", "New Mexico State University-Dona Ana")</f>
        <v>New Mexico State University-Dona Ana</v>
      </c>
      <c r="B1496" s="18" t="s">
        <v>49</v>
      </c>
      <c r="C1496" s="18" t="s">
        <v>234</v>
      </c>
      <c r="D1496" s="18" t="s">
        <v>1005</v>
      </c>
      <c r="E1496" s="18" t="s">
        <v>36</v>
      </c>
      <c r="F1496" s="18" t="s">
        <v>36</v>
      </c>
      <c r="J1496" s="19"/>
      <c r="K1496" s="19">
        <v>0.15</v>
      </c>
      <c r="L1496" s="19">
        <v>0.296712109</v>
      </c>
      <c r="M1496" s="19">
        <v>0.14710000000000001</v>
      </c>
      <c r="N1496" s="19">
        <v>7.1400000000000005E-2</v>
      </c>
      <c r="O1496" s="19">
        <v>0.15</v>
      </c>
      <c r="P1496" s="19">
        <v>0</v>
      </c>
      <c r="Q1496" s="19">
        <v>4.1901292E-2</v>
      </c>
      <c r="R1496" s="20">
        <v>19560</v>
      </c>
      <c r="S1496" s="21" t="str">
        <f>HYPERLINK("https://fa.nmsu.edu/true-cost-calculator", "$13907")</f>
        <v>$13907</v>
      </c>
      <c r="T1496" s="20">
        <v>16426</v>
      </c>
      <c r="U1496" s="20">
        <v>18812</v>
      </c>
      <c r="V1496" s="20">
        <v>5012</v>
      </c>
      <c r="W1496" s="20">
        <v>8895</v>
      </c>
      <c r="Y1496" s="19">
        <v>0.47549999999999998</v>
      </c>
      <c r="Z1496" s="19">
        <v>0.85230000000000006</v>
      </c>
      <c r="AB1496" s="18">
        <v>5600</v>
      </c>
      <c r="AC1496" s="18">
        <v>6</v>
      </c>
    </row>
    <row r="1497" spans="1:29" ht="15.75" customHeight="1" x14ac:dyDescent="0.2">
      <c r="A1497" s="36" t="str">
        <f>HYPERLINK("https://grants.nmsu.edu/", "New Mexico State University-Grants")</f>
        <v>New Mexico State University-Grants</v>
      </c>
      <c r="B1497" s="18" t="s">
        <v>49</v>
      </c>
      <c r="C1497" s="18" t="s">
        <v>234</v>
      </c>
      <c r="D1497" s="18" t="s">
        <v>1568</v>
      </c>
      <c r="E1497" s="18" t="s">
        <v>36</v>
      </c>
      <c r="F1497" s="18" t="s">
        <v>36</v>
      </c>
      <c r="J1497" s="19"/>
      <c r="K1497" s="19">
        <v>0.23330000000000001</v>
      </c>
      <c r="L1497" s="19">
        <v>0.296712109</v>
      </c>
      <c r="M1497" s="19">
        <v>0.5</v>
      </c>
      <c r="N1497" s="19" t="s">
        <v>36</v>
      </c>
      <c r="O1497" s="19">
        <v>0.13789999999999999</v>
      </c>
      <c r="P1497" s="19">
        <v>0.5</v>
      </c>
      <c r="Q1497" s="19">
        <v>4.1901292E-2</v>
      </c>
      <c r="R1497" s="20">
        <v>16660</v>
      </c>
      <c r="S1497" s="21" t="str">
        <f>HYPERLINK("https://fa.nmsu.edu/true-cost-calculator", "$10619")</f>
        <v>$10619</v>
      </c>
      <c r="T1497" s="20">
        <v>11540</v>
      </c>
      <c r="U1497" s="20" t="s">
        <v>36</v>
      </c>
      <c r="V1497" s="20">
        <v>5012</v>
      </c>
      <c r="W1497" s="20">
        <v>5607.7000000000007</v>
      </c>
      <c r="Y1497" s="19">
        <v>0.34110000000000001</v>
      </c>
      <c r="Z1497" s="19">
        <v>0.82640000000000002</v>
      </c>
      <c r="AB1497" s="18">
        <v>288</v>
      </c>
      <c r="AC1497" s="18">
        <v>6</v>
      </c>
    </row>
    <row r="1498" spans="1:29" ht="15.75" customHeight="1" x14ac:dyDescent="0.2">
      <c r="A1498" s="36" t="str">
        <f>HYPERLINK("https://www.nmsu.edu/", "New Mexico State University-Main Campus")</f>
        <v>New Mexico State University-Main Campus</v>
      </c>
      <c r="B1498" s="18" t="s">
        <v>49</v>
      </c>
      <c r="C1498" s="18" t="s">
        <v>234</v>
      </c>
      <c r="D1498" s="18" t="s">
        <v>1005</v>
      </c>
      <c r="E1498" s="18">
        <v>1043</v>
      </c>
      <c r="F1498" s="18" t="s">
        <v>35</v>
      </c>
      <c r="J1498" s="19"/>
      <c r="K1498" s="19">
        <v>0.45860000000000001</v>
      </c>
      <c r="L1498" s="19">
        <v>0.296712109</v>
      </c>
      <c r="M1498" s="19">
        <v>0.52759999999999996</v>
      </c>
      <c r="N1498" s="19">
        <v>0.34289999999999998</v>
      </c>
      <c r="O1498" s="19">
        <v>0.4204</v>
      </c>
      <c r="P1498" s="19">
        <v>0.5</v>
      </c>
      <c r="Q1498" s="19"/>
      <c r="R1498" s="20">
        <v>34720</v>
      </c>
      <c r="S1498" s="21" t="str">
        <f>HYPERLINK("https://fa.nmsu.edu/true-cost-calculator/", "$24530")</f>
        <v>$24530</v>
      </c>
      <c r="T1498" s="20">
        <v>27147</v>
      </c>
      <c r="U1498" s="20">
        <v>30784</v>
      </c>
      <c r="V1498" s="20">
        <v>5012</v>
      </c>
      <c r="W1498" s="20">
        <v>19518.46570397112</v>
      </c>
      <c r="Y1498" s="19">
        <v>0.41360000000000002</v>
      </c>
      <c r="Z1498" s="19">
        <v>0.72960000000000003</v>
      </c>
      <c r="AB1498" s="18">
        <v>11173</v>
      </c>
      <c r="AC1498" s="18">
        <v>4</v>
      </c>
    </row>
    <row r="1499" spans="1:29" ht="15.75" customHeight="1" x14ac:dyDescent="0.2">
      <c r="A1499" s="36" t="str">
        <f>HYPERLINK("https://www.nr.edu", "New River Community College")</f>
        <v>New River Community College</v>
      </c>
      <c r="B1499" s="18" t="s">
        <v>49</v>
      </c>
      <c r="C1499" s="18" t="s">
        <v>83</v>
      </c>
      <c r="D1499" s="18" t="s">
        <v>972</v>
      </c>
      <c r="E1499" s="18" t="s">
        <v>36</v>
      </c>
      <c r="F1499" s="18" t="s">
        <v>36</v>
      </c>
      <c r="J1499" s="19"/>
      <c r="K1499" s="19">
        <v>0.2984</v>
      </c>
      <c r="L1499" s="19">
        <v>0.23209549099999999</v>
      </c>
      <c r="M1499" s="19">
        <v>0.315</v>
      </c>
      <c r="N1499" s="19">
        <v>0.17860000000000001</v>
      </c>
      <c r="O1499" s="19">
        <v>0.375</v>
      </c>
      <c r="P1499" s="19">
        <v>0</v>
      </c>
      <c r="Q1499" s="19">
        <v>0.100515464</v>
      </c>
      <c r="R1499" s="20">
        <v>21533</v>
      </c>
      <c r="S1499" s="21" t="str">
        <f>HYPERLINK("https://www.vawizard.org/wizard/npc", "$15386")</f>
        <v>$15386</v>
      </c>
      <c r="T1499" s="20">
        <v>17186</v>
      </c>
      <c r="U1499" s="20">
        <v>20507</v>
      </c>
      <c r="V1499" s="20">
        <v>6420</v>
      </c>
      <c r="W1499" s="20">
        <v>8966.6825396825407</v>
      </c>
      <c r="Y1499" s="19">
        <v>0.27539999999999998</v>
      </c>
      <c r="Z1499" s="19">
        <v>0.16900000000000001</v>
      </c>
      <c r="AB1499" s="18">
        <v>2444</v>
      </c>
      <c r="AC1499" s="18">
        <v>6</v>
      </c>
    </row>
    <row r="1500" spans="1:29" ht="15.75" customHeight="1" x14ac:dyDescent="0.2">
      <c r="A1500" s="36" t="str">
        <f>HYPERLINK("https://www.newriver.edu", "New River Community and Technical College")</f>
        <v>New River Community and Technical College</v>
      </c>
      <c r="B1500" s="18" t="s">
        <v>49</v>
      </c>
      <c r="C1500" s="18" t="s">
        <v>574</v>
      </c>
      <c r="D1500" s="18" t="s">
        <v>1569</v>
      </c>
      <c r="E1500" s="18" t="s">
        <v>36</v>
      </c>
      <c r="F1500" s="18" t="s">
        <v>36</v>
      </c>
      <c r="J1500" s="19"/>
      <c r="K1500" s="19">
        <v>0.17660000000000001</v>
      </c>
      <c r="L1500" s="19">
        <v>5.2738337000000003E-2</v>
      </c>
      <c r="M1500" s="19">
        <v>0.17979999999999999</v>
      </c>
      <c r="N1500" s="19">
        <v>0.1429</v>
      </c>
      <c r="O1500" s="19">
        <v>0</v>
      </c>
      <c r="P1500" s="19">
        <v>0</v>
      </c>
      <c r="Q1500" s="19">
        <v>6.2547099000000009E-2</v>
      </c>
      <c r="R1500" s="20">
        <v>12884</v>
      </c>
      <c r="S1500" s="21" t="str">
        <f>HYPERLINK("https://www.newriver.edu/wp-content/uploads/2017/11/npcalc.htm", "$10019")</f>
        <v>$10019</v>
      </c>
      <c r="T1500" s="20">
        <v>9968</v>
      </c>
      <c r="U1500" s="20">
        <v>12328</v>
      </c>
      <c r="V1500" s="20">
        <v>3850</v>
      </c>
      <c r="W1500" s="20">
        <v>6169.7937219730939</v>
      </c>
      <c r="Y1500" s="19">
        <v>0.56610000000000005</v>
      </c>
      <c r="Z1500" s="19">
        <v>0.1124000000000001</v>
      </c>
      <c r="AB1500" s="18">
        <v>961</v>
      </c>
      <c r="AC1500" s="18">
        <v>6</v>
      </c>
    </row>
    <row r="1501" spans="1:29" ht="15.75" customHeight="1" x14ac:dyDescent="0.2">
      <c r="A1501" s="36" t="str">
        <f>HYPERLINK("https://www.nycollege.edu", "New York College of Health Professions")</f>
        <v>New York College of Health Professions</v>
      </c>
      <c r="B1501" s="18" t="s">
        <v>32</v>
      </c>
      <c r="C1501" s="18" t="s">
        <v>38</v>
      </c>
      <c r="D1501" s="18" t="s">
        <v>1570</v>
      </c>
      <c r="E1501" s="18" t="s">
        <v>36</v>
      </c>
      <c r="F1501" s="18" t="s">
        <v>36</v>
      </c>
      <c r="J1501" s="19"/>
      <c r="K1501" s="19">
        <v>0.4355</v>
      </c>
      <c r="L1501" s="19">
        <v>0.29113924099999999</v>
      </c>
      <c r="M1501" s="19">
        <v>0.56669999999999998</v>
      </c>
      <c r="N1501" s="19">
        <v>0.1</v>
      </c>
      <c r="O1501" s="19">
        <v>0.5</v>
      </c>
      <c r="P1501" s="19">
        <v>0.5</v>
      </c>
      <c r="Q1501" s="19" t="s">
        <v>36</v>
      </c>
      <c r="R1501" s="20">
        <v>30196</v>
      </c>
      <c r="S1501" s="21" t="str">
        <f>HYPERLINK("https://www.nycollege.edu", "$20477")</f>
        <v>$20477</v>
      </c>
      <c r="T1501" s="20" t="s">
        <v>36</v>
      </c>
      <c r="U1501" s="20">
        <v>26378</v>
      </c>
      <c r="V1501" s="20">
        <v>3970</v>
      </c>
      <c r="W1501" s="20">
        <v>16507</v>
      </c>
      <c r="Y1501" s="19">
        <v>0.62890000000000001</v>
      </c>
      <c r="Z1501" s="19">
        <v>0.66049999999999998</v>
      </c>
      <c r="AB1501" s="18">
        <v>380</v>
      </c>
      <c r="AC1501" s="18">
        <v>6</v>
      </c>
    </row>
    <row r="1502" spans="1:29" ht="15.75" customHeight="1" x14ac:dyDescent="0.2">
      <c r="A1502" s="36" t="str">
        <f>HYPERLINK("https://www.nycda.edu", "New York Conservatory for Dramatic Arts")</f>
        <v>New York Conservatory for Dramatic Arts</v>
      </c>
      <c r="B1502" s="18" t="s">
        <v>368</v>
      </c>
      <c r="C1502" s="18" t="s">
        <v>38</v>
      </c>
      <c r="D1502" s="18" t="s">
        <v>39</v>
      </c>
      <c r="E1502" s="18" t="s">
        <v>36</v>
      </c>
      <c r="F1502" s="18" t="s">
        <v>90</v>
      </c>
      <c r="J1502" s="19"/>
      <c r="K1502" s="19">
        <v>0.75860000000000005</v>
      </c>
      <c r="L1502" s="19">
        <v>0.48214285699999998</v>
      </c>
      <c r="M1502" s="19">
        <v>0.79169999999999996</v>
      </c>
      <c r="N1502" s="19">
        <v>0.66669999999999996</v>
      </c>
      <c r="O1502" s="19">
        <v>0.63639999999999997</v>
      </c>
      <c r="P1502" s="19">
        <v>1</v>
      </c>
      <c r="Q1502" s="19" t="s">
        <v>36</v>
      </c>
      <c r="R1502" s="20">
        <v>36167</v>
      </c>
      <c r="S1502" s="21" t="str">
        <f>HYPERLINK("https://npc.collegeboard.org/student/app/sft/", "$33366")</f>
        <v>$33366</v>
      </c>
      <c r="T1502" s="20">
        <v>37908</v>
      </c>
      <c r="U1502" s="20">
        <v>39640</v>
      </c>
      <c r="V1502" s="20">
        <v>2925</v>
      </c>
      <c r="W1502" s="20">
        <v>30441</v>
      </c>
      <c r="Y1502" s="19">
        <v>0.39179999999999998</v>
      </c>
      <c r="Z1502" s="19">
        <v>0.59489999999999998</v>
      </c>
      <c r="AB1502" s="18">
        <v>237</v>
      </c>
      <c r="AC1502" s="18">
        <v>6</v>
      </c>
    </row>
    <row r="1503" spans="1:29" ht="15.75" customHeight="1" x14ac:dyDescent="0.2">
      <c r="A1503" s="36" t="str">
        <f>HYPERLINK("https://www.nyit.edu", "New York Institute of Technology")</f>
        <v>New York Institute of Technology</v>
      </c>
      <c r="B1503" s="18" t="s">
        <v>32</v>
      </c>
      <c r="C1503" s="18" t="s">
        <v>38</v>
      </c>
      <c r="D1503" s="18" t="s">
        <v>426</v>
      </c>
      <c r="E1503" s="18">
        <v>1139</v>
      </c>
      <c r="F1503" s="18" t="s">
        <v>35</v>
      </c>
      <c r="G1503" s="18" t="s">
        <v>40</v>
      </c>
      <c r="H1503" s="18" t="s">
        <v>427</v>
      </c>
      <c r="I1503" s="18" t="s">
        <v>428</v>
      </c>
      <c r="J1503" s="19"/>
      <c r="K1503" s="19">
        <v>0.49569999999999997</v>
      </c>
      <c r="L1503" s="19">
        <v>0.35433070900000002</v>
      </c>
      <c r="M1503" s="19">
        <v>0.47870000000000001</v>
      </c>
      <c r="N1503" s="19">
        <v>0.2586</v>
      </c>
      <c r="O1503" s="19">
        <v>0.37269999999999998</v>
      </c>
      <c r="P1503" s="19">
        <v>0.59860000000000002</v>
      </c>
      <c r="Q1503" s="19"/>
      <c r="R1503" s="20">
        <v>57154</v>
      </c>
      <c r="S1503" s="21" t="str">
        <f>HYPERLINK("https://www.nyit.edu/admissions/net_price_calculator", "$19090")</f>
        <v>$19090</v>
      </c>
      <c r="T1503" s="20">
        <v>22553</v>
      </c>
      <c r="U1503" s="20">
        <v>23687</v>
      </c>
      <c r="V1503" s="20">
        <v>4198</v>
      </c>
      <c r="W1503" s="20">
        <v>14892</v>
      </c>
      <c r="Y1503" s="19">
        <v>0.41310000000000002</v>
      </c>
      <c r="Z1503" s="19">
        <v>0.753</v>
      </c>
      <c r="AB1503" s="18">
        <v>3619</v>
      </c>
      <c r="AC1503" s="18">
        <v>3</v>
      </c>
    </row>
    <row r="1504" spans="1:29" ht="15.75" customHeight="1" x14ac:dyDescent="0.2">
      <c r="A1504" s="36" t="str">
        <f>HYPERLINK("https://www.nyu.edu", "New York University")</f>
        <v>New York University</v>
      </c>
      <c r="B1504" s="18" t="s">
        <v>32</v>
      </c>
      <c r="C1504" s="18" t="s">
        <v>38</v>
      </c>
      <c r="D1504" s="18" t="s">
        <v>39</v>
      </c>
      <c r="E1504" s="18">
        <v>1408</v>
      </c>
      <c r="F1504" s="18" t="s">
        <v>35</v>
      </c>
      <c r="G1504" s="18" t="s">
        <v>40</v>
      </c>
      <c r="H1504" s="18" t="s">
        <v>134</v>
      </c>
      <c r="I1504" s="18" t="s">
        <v>135</v>
      </c>
      <c r="J1504" s="19"/>
      <c r="K1504" s="19">
        <v>0.83540000000000003</v>
      </c>
      <c r="L1504" s="19">
        <v>0.68321167900000002</v>
      </c>
      <c r="M1504" s="19">
        <v>0.83350000000000002</v>
      </c>
      <c r="N1504" s="19">
        <v>0.75209999999999999</v>
      </c>
      <c r="O1504" s="19">
        <v>0.80979999999999996</v>
      </c>
      <c r="P1504" s="19">
        <v>0.86370000000000002</v>
      </c>
      <c r="Q1504" s="19"/>
      <c r="R1504" s="20">
        <v>71790</v>
      </c>
      <c r="S1504" s="21" t="str">
        <f>HYPERLINK("https://www.nyu.edu/financial.aid/misc/npc/", "$26100")</f>
        <v>$26100</v>
      </c>
      <c r="T1504" s="20">
        <v>35511</v>
      </c>
      <c r="U1504" s="20">
        <v>42581</v>
      </c>
      <c r="V1504" s="20">
        <v>3662</v>
      </c>
      <c r="W1504" s="20">
        <v>22438</v>
      </c>
      <c r="Y1504" s="19">
        <v>0.2029</v>
      </c>
      <c r="Z1504" s="19">
        <v>0.69399999999999995</v>
      </c>
      <c r="AB1504" s="18">
        <v>26055</v>
      </c>
      <c r="AC1504" s="18">
        <v>1</v>
      </c>
    </row>
    <row r="1505" spans="1:29" ht="15.75" customHeight="1" x14ac:dyDescent="0.2">
      <c r="A1505" s="36" t="str">
        <f>HYPERLINK("https://www.newberry.edu", "Newberry College")</f>
        <v>Newberry College</v>
      </c>
      <c r="B1505" s="18" t="s">
        <v>32</v>
      </c>
      <c r="C1505" s="18" t="s">
        <v>208</v>
      </c>
      <c r="D1505" s="18" t="s">
        <v>797</v>
      </c>
      <c r="E1505" s="18">
        <v>1017</v>
      </c>
      <c r="F1505" s="18" t="s">
        <v>35</v>
      </c>
      <c r="J1505" s="19"/>
      <c r="K1505" s="19">
        <v>0.52129999999999999</v>
      </c>
      <c r="L1505" s="19">
        <v>0.36746988000000003</v>
      </c>
      <c r="M1505" s="19">
        <v>0.5363</v>
      </c>
      <c r="N1505" s="19">
        <v>0.38600000000000001</v>
      </c>
      <c r="O1505" s="19">
        <v>0.8125</v>
      </c>
      <c r="P1505" s="19">
        <v>0.66669999999999996</v>
      </c>
      <c r="Q1505" s="19"/>
      <c r="R1505" s="20">
        <v>40254</v>
      </c>
      <c r="S1505" s="21" t="str">
        <f>HYPERLINK("https://npc.collegeboard.org/student/app/newberry", "$16611")</f>
        <v>$16611</v>
      </c>
      <c r="T1505" s="20">
        <v>20742</v>
      </c>
      <c r="U1505" s="20">
        <v>21789</v>
      </c>
      <c r="V1505" s="20">
        <v>4212</v>
      </c>
      <c r="W1505" s="20">
        <v>12399</v>
      </c>
      <c r="Y1505" s="19">
        <v>0.45789999999999997</v>
      </c>
      <c r="Z1505" s="19">
        <v>0.44500000000000001</v>
      </c>
      <c r="AB1505" s="18">
        <v>1173</v>
      </c>
      <c r="AC1505" s="18">
        <v>5</v>
      </c>
    </row>
    <row r="1506" spans="1:29" ht="15.75" customHeight="1" x14ac:dyDescent="0.2">
      <c r="A1506" s="36" t="str">
        <f>HYPERLINK("https://www.newbury.edu", "Newbury College")</f>
        <v>Newbury College</v>
      </c>
      <c r="B1506" s="18" t="s">
        <v>32</v>
      </c>
      <c r="C1506" s="18" t="s">
        <v>33</v>
      </c>
      <c r="D1506" s="18" t="s">
        <v>1006</v>
      </c>
      <c r="E1506" s="18" t="s">
        <v>36</v>
      </c>
      <c r="F1506" s="18" t="s">
        <v>90</v>
      </c>
      <c r="J1506" s="19"/>
      <c r="K1506" s="19">
        <v>0.39190000000000003</v>
      </c>
      <c r="L1506" s="19">
        <v>0.31159420300000001</v>
      </c>
      <c r="M1506" s="19">
        <v>0.41799999999999998</v>
      </c>
      <c r="N1506" s="19">
        <v>0.3654</v>
      </c>
      <c r="O1506" s="19">
        <v>0.36959999999999998</v>
      </c>
      <c r="P1506" s="19">
        <v>0.5</v>
      </c>
      <c r="Q1506" s="19"/>
      <c r="R1506" s="20">
        <v>52570</v>
      </c>
      <c r="S1506" s="21" t="str">
        <f>HYPERLINK("https://www.newbury.edu/admissions-and-aid/financial-aid-and-billing/financial-aid/net-price-calculator", "$22783")</f>
        <v>$22783</v>
      </c>
      <c r="T1506" s="20">
        <v>24176</v>
      </c>
      <c r="U1506" s="20">
        <v>28519</v>
      </c>
      <c r="V1506" s="20">
        <v>3600</v>
      </c>
      <c r="W1506" s="20">
        <v>19183</v>
      </c>
      <c r="Y1506" s="19">
        <v>0.58589999999999998</v>
      </c>
      <c r="Z1506" s="19">
        <v>0.61450000000000005</v>
      </c>
      <c r="AB1506" s="18">
        <v>620</v>
      </c>
      <c r="AC1506" s="18">
        <v>4</v>
      </c>
    </row>
    <row r="1507" spans="1:29" ht="15.75" customHeight="1" x14ac:dyDescent="0.2">
      <c r="A1507" s="36" t="str">
        <f>HYPERLINK("https://www.newmanu.edu", "Newman University")</f>
        <v>Newman University</v>
      </c>
      <c r="B1507" s="18" t="s">
        <v>32</v>
      </c>
      <c r="C1507" s="18" t="s">
        <v>307</v>
      </c>
      <c r="D1507" s="18" t="s">
        <v>778</v>
      </c>
      <c r="E1507" s="18">
        <v>1107</v>
      </c>
      <c r="F1507" s="18" t="s">
        <v>35</v>
      </c>
      <c r="J1507" s="19"/>
      <c r="K1507" s="19">
        <v>0.52349999999999997</v>
      </c>
      <c r="L1507" s="19">
        <v>0.44578313299999989</v>
      </c>
      <c r="M1507" s="19">
        <v>0.58819999999999995</v>
      </c>
      <c r="N1507" s="19">
        <v>0.1</v>
      </c>
      <c r="O1507" s="19">
        <v>0.52170000000000005</v>
      </c>
      <c r="P1507" s="19">
        <v>0.4</v>
      </c>
      <c r="Q1507" s="19"/>
      <c r="R1507" s="20">
        <v>41994</v>
      </c>
      <c r="S1507" s="21" t="str">
        <f>HYPERLINK("https://collegecostcalculator.org/newmanuniversity", "$10997")</f>
        <v>$10997</v>
      </c>
      <c r="T1507" s="20">
        <v>12037</v>
      </c>
      <c r="U1507" s="20">
        <v>14704</v>
      </c>
      <c r="V1507" s="20">
        <v>4772</v>
      </c>
      <c r="W1507" s="20">
        <v>6225</v>
      </c>
      <c r="Y1507" s="19">
        <v>0.15029999999999999</v>
      </c>
      <c r="Z1507" s="19">
        <v>0.38169999999999998</v>
      </c>
      <c r="AB1507" s="18">
        <v>1103</v>
      </c>
      <c r="AC1507" s="18">
        <v>4</v>
      </c>
    </row>
    <row r="1508" spans="1:29" ht="15.75" customHeight="1" x14ac:dyDescent="0.2">
      <c r="A1508" s="36" t="str">
        <f>HYPERLINK("https://www.niagaracc.suny.edu", "SUNY Niagara County Community College")</f>
        <v>SUNY Niagara County Community College</v>
      </c>
      <c r="B1508" s="18" t="s">
        <v>49</v>
      </c>
      <c r="C1508" s="18" t="s">
        <v>38</v>
      </c>
      <c r="D1508" s="18" t="s">
        <v>1571</v>
      </c>
      <c r="E1508" s="18" t="s">
        <v>36</v>
      </c>
      <c r="F1508" s="18" t="s">
        <v>36</v>
      </c>
      <c r="G1508" s="18" t="s">
        <v>51</v>
      </c>
      <c r="I1508" s="18" t="s">
        <v>1572</v>
      </c>
      <c r="J1508" s="19"/>
      <c r="K1508" s="19">
        <v>0.29899999999999999</v>
      </c>
      <c r="L1508" s="19">
        <v>0.26011560700000003</v>
      </c>
      <c r="M1508" s="19">
        <v>0.33500000000000002</v>
      </c>
      <c r="N1508" s="19">
        <v>0.14449999999999999</v>
      </c>
      <c r="O1508" s="19">
        <v>0.21429999999999999</v>
      </c>
      <c r="P1508" s="19">
        <v>0</v>
      </c>
      <c r="Q1508" s="19">
        <v>6.1609388000000001E-2</v>
      </c>
      <c r="R1508" s="20">
        <v>18946</v>
      </c>
      <c r="S1508" s="21" t="str">
        <f>HYPERLINK("https://www.suny.edu/howmuch/netpricecalculator.xhtml?id=59", "$4046")</f>
        <v>$4046</v>
      </c>
      <c r="T1508" s="20">
        <v>8605</v>
      </c>
      <c r="U1508" s="20">
        <v>10445</v>
      </c>
      <c r="V1508" s="20">
        <v>3050</v>
      </c>
      <c r="W1508" s="20">
        <v>996</v>
      </c>
      <c r="Y1508" s="19">
        <v>0.38379999999999997</v>
      </c>
      <c r="Z1508" s="19">
        <v>0.245</v>
      </c>
      <c r="AB1508" s="18">
        <v>4073</v>
      </c>
      <c r="AC1508" s="18">
        <v>6</v>
      </c>
    </row>
    <row r="1509" spans="1:29" ht="15.75" customHeight="1" x14ac:dyDescent="0.2">
      <c r="A1509" s="36" t="str">
        <f>HYPERLINK("https://www.niagara.edu", "Niagara University")</f>
        <v>Niagara University</v>
      </c>
      <c r="B1509" s="18" t="s">
        <v>32</v>
      </c>
      <c r="C1509" s="18" t="s">
        <v>38</v>
      </c>
      <c r="D1509" s="18" t="s">
        <v>1007</v>
      </c>
      <c r="E1509" s="18">
        <v>1121</v>
      </c>
      <c r="F1509" s="18" t="s">
        <v>35</v>
      </c>
      <c r="G1509" s="18" t="s">
        <v>40</v>
      </c>
      <c r="H1509" s="18" t="s">
        <v>1008</v>
      </c>
      <c r="I1509" s="18" t="s">
        <v>1009</v>
      </c>
      <c r="J1509" s="19"/>
      <c r="K1509" s="19">
        <v>0.67620000000000002</v>
      </c>
      <c r="L1509" s="19">
        <v>0.52542372900000001</v>
      </c>
      <c r="M1509" s="19">
        <v>0.70440000000000003</v>
      </c>
      <c r="N1509" s="19">
        <v>0.4</v>
      </c>
      <c r="O1509" s="19">
        <v>0.59089999999999998</v>
      </c>
      <c r="P1509" s="19">
        <v>1</v>
      </c>
      <c r="Q1509" s="19"/>
      <c r="R1509" s="20">
        <v>47400</v>
      </c>
      <c r="S1509" s="21" t="str">
        <f>HYPERLINK("https://www.niagara.edu/scholarship-and-net-price-calculator", "$13743")</f>
        <v>$13743</v>
      </c>
      <c r="T1509" s="20">
        <v>18296</v>
      </c>
      <c r="U1509" s="20">
        <v>21184</v>
      </c>
      <c r="V1509" s="20">
        <v>2500</v>
      </c>
      <c r="W1509" s="20">
        <v>11243</v>
      </c>
      <c r="Y1509" s="19">
        <v>0.26590000000000003</v>
      </c>
      <c r="Z1509" s="19">
        <v>0.28770000000000001</v>
      </c>
      <c r="AB1509" s="18">
        <v>2902</v>
      </c>
      <c r="AC1509" s="18">
        <v>4</v>
      </c>
    </row>
    <row r="1510" spans="1:29" ht="15.75" customHeight="1" x14ac:dyDescent="0.2">
      <c r="A1510" s="36" t="str">
        <f>HYPERLINK("https://www.nicholls.edu", "Nicholls State University")</f>
        <v>Nicholls State University</v>
      </c>
      <c r="B1510" s="18" t="s">
        <v>49</v>
      </c>
      <c r="C1510" s="18" t="s">
        <v>158</v>
      </c>
      <c r="D1510" s="18" t="s">
        <v>1010</v>
      </c>
      <c r="E1510" s="18">
        <v>1104</v>
      </c>
      <c r="F1510" s="18" t="s">
        <v>35</v>
      </c>
      <c r="J1510" s="19"/>
      <c r="K1510" s="19">
        <v>0.46789999999999998</v>
      </c>
      <c r="L1510" s="19">
        <v>0.36553945300000001</v>
      </c>
      <c r="M1510" s="19">
        <v>0.5212</v>
      </c>
      <c r="N1510" s="19">
        <v>0.30220000000000002</v>
      </c>
      <c r="O1510" s="19">
        <v>0.32140000000000002</v>
      </c>
      <c r="P1510" s="19">
        <v>0.5</v>
      </c>
      <c r="Q1510" s="19"/>
      <c r="R1510" s="20">
        <v>23013</v>
      </c>
      <c r="S1510" s="21" t="str">
        <f>HYPERLINK("https://www.nicholls.edu/apps/ir/net-price-calculator/", "$14300")</f>
        <v>$14300</v>
      </c>
      <c r="T1510" s="20">
        <v>17873</v>
      </c>
      <c r="U1510" s="20">
        <v>19998</v>
      </c>
      <c r="V1510" s="20">
        <v>4746</v>
      </c>
      <c r="W1510" s="20">
        <v>9554.8382687927115</v>
      </c>
      <c r="Y1510" s="19">
        <v>0.37780000000000002</v>
      </c>
      <c r="Z1510" s="19">
        <v>0.31979999999999997</v>
      </c>
      <c r="AB1510" s="18">
        <v>5401</v>
      </c>
      <c r="AC1510" s="18">
        <v>4</v>
      </c>
    </row>
    <row r="1511" spans="1:29" ht="15.75" customHeight="1" x14ac:dyDescent="0.2">
      <c r="A1511" s="36" t="str">
        <f>HYPERLINK("https://www.nichols.edu", "Nichols College")</f>
        <v>Nichols College</v>
      </c>
      <c r="B1511" s="18" t="s">
        <v>32</v>
      </c>
      <c r="C1511" s="18" t="s">
        <v>33</v>
      </c>
      <c r="D1511" s="18" t="s">
        <v>798</v>
      </c>
      <c r="E1511" s="18" t="s">
        <v>36</v>
      </c>
      <c r="F1511" s="18" t="s">
        <v>90</v>
      </c>
      <c r="J1511" s="19"/>
      <c r="K1511" s="19">
        <v>0.51439999999999997</v>
      </c>
      <c r="L1511" s="19">
        <v>0.31578947400000001</v>
      </c>
      <c r="M1511" s="19">
        <v>0.55320000000000003</v>
      </c>
      <c r="N1511" s="19">
        <v>0.19570000000000001</v>
      </c>
      <c r="O1511" s="19">
        <v>0.62860000000000005</v>
      </c>
      <c r="P1511" s="19">
        <v>0.33329999999999999</v>
      </c>
      <c r="Q1511" s="19"/>
      <c r="R1511" s="20">
        <v>51400</v>
      </c>
      <c r="S1511" s="21" t="str">
        <f>HYPERLINK("https://nichols.studentaidcalculator.com/survey.aspx", "$24695")</f>
        <v>$24695</v>
      </c>
      <c r="T1511" s="20">
        <v>28829</v>
      </c>
      <c r="U1511" s="20">
        <v>30708</v>
      </c>
      <c r="V1511" s="20">
        <v>3600</v>
      </c>
      <c r="W1511" s="20">
        <v>21095</v>
      </c>
      <c r="Y1511" s="19">
        <v>0.30020000000000002</v>
      </c>
      <c r="Z1511" s="19">
        <v>0.22320000000000001</v>
      </c>
      <c r="AB1511" s="18">
        <v>1308</v>
      </c>
      <c r="AC1511" s="18">
        <v>5</v>
      </c>
    </row>
    <row r="1512" spans="1:29" ht="15.75" customHeight="1" x14ac:dyDescent="0.2">
      <c r="A1512" s="36" t="str">
        <f>HYPERLINK("https://www.nightingale.edu", "Nightingale College")</f>
        <v>Nightingale College</v>
      </c>
      <c r="B1512" s="18" t="s">
        <v>368</v>
      </c>
      <c r="C1512" s="18" t="s">
        <v>199</v>
      </c>
      <c r="D1512" s="18" t="s">
        <v>525</v>
      </c>
      <c r="E1512" s="18" t="s">
        <v>36</v>
      </c>
      <c r="F1512" s="18" t="s">
        <v>36</v>
      </c>
      <c r="J1512" s="19"/>
      <c r="K1512" s="19">
        <v>0.75</v>
      </c>
      <c r="L1512" s="19" t="s">
        <v>36</v>
      </c>
      <c r="M1512" s="19">
        <v>0.75</v>
      </c>
      <c r="N1512" s="19" t="s">
        <v>36</v>
      </c>
      <c r="O1512" s="19" t="s">
        <v>36</v>
      </c>
      <c r="P1512" s="19" t="s">
        <v>36</v>
      </c>
      <c r="Q1512" s="19" t="s">
        <v>36</v>
      </c>
      <c r="R1512" s="20" t="s">
        <v>36</v>
      </c>
      <c r="S1512" s="21" t="str">
        <f>HYPERLINK("https://www.nightingale.edu/net-price-calculator", "$35059")</f>
        <v>$35059</v>
      </c>
      <c r="T1512" s="20">
        <v>36480</v>
      </c>
      <c r="U1512" s="20">
        <v>38412</v>
      </c>
      <c r="V1512" s="20" t="s">
        <v>36</v>
      </c>
      <c r="W1512" s="20" t="s">
        <v>36</v>
      </c>
      <c r="Y1512" s="19">
        <v>0.49009999999999998</v>
      </c>
      <c r="Z1512" s="19">
        <v>0.20860000000000001</v>
      </c>
      <c r="AB1512" s="18">
        <v>326</v>
      </c>
      <c r="AC1512" s="18">
        <v>6</v>
      </c>
    </row>
    <row r="1513" spans="1:29" ht="15.75" customHeight="1" x14ac:dyDescent="0.2">
      <c r="A1513" s="36" t="str">
        <f>HYPERLINK("https://www.norcocollege.edu/Pages/index.aspx", "Norco College")</f>
        <v>Norco College</v>
      </c>
      <c r="B1513" s="18" t="s">
        <v>49</v>
      </c>
      <c r="C1513" s="18" t="s">
        <v>68</v>
      </c>
      <c r="D1513" s="18" t="s">
        <v>1573</v>
      </c>
      <c r="E1513" s="18" t="s">
        <v>36</v>
      </c>
      <c r="F1513" s="18" t="s">
        <v>36</v>
      </c>
      <c r="J1513" s="19"/>
      <c r="K1513" s="19">
        <v>0.24299999999999999</v>
      </c>
      <c r="L1513" s="19" t="s">
        <v>36</v>
      </c>
      <c r="M1513" s="19">
        <v>0.27639999999999998</v>
      </c>
      <c r="N1513" s="19">
        <v>0.17860000000000001</v>
      </c>
      <c r="O1513" s="19">
        <v>0.23050000000000001</v>
      </c>
      <c r="P1513" s="19">
        <v>0.41670000000000001</v>
      </c>
      <c r="Q1513" s="19" t="s">
        <v>36</v>
      </c>
      <c r="R1513" s="20">
        <v>31220</v>
      </c>
      <c r="S1513" s="21" t="str">
        <f>HYPERLINK("https://misweb.cccco.edu/npc/963/npcalc.htm", "$25045")</f>
        <v>$25045</v>
      </c>
      <c r="T1513" s="20">
        <v>27800</v>
      </c>
      <c r="U1513" s="20" t="s">
        <v>36</v>
      </c>
      <c r="V1513" s="20">
        <v>6094</v>
      </c>
      <c r="W1513" s="20">
        <v>18951.389261744971</v>
      </c>
      <c r="Y1513" s="19">
        <v>0.2268</v>
      </c>
      <c r="Z1513" s="19">
        <v>0.75960000000000005</v>
      </c>
      <c r="AB1513" s="18">
        <v>8647</v>
      </c>
      <c r="AC1513" s="18">
        <v>6</v>
      </c>
    </row>
    <row r="1514" spans="1:29" ht="15.75" customHeight="1" x14ac:dyDescent="0.2">
      <c r="A1514" s="36" t="str">
        <f>HYPERLINK("https://www.nsu.edu", "Norfolk State University")</f>
        <v>Norfolk State University</v>
      </c>
      <c r="B1514" s="18" t="s">
        <v>49</v>
      </c>
      <c r="C1514" s="18" t="s">
        <v>83</v>
      </c>
      <c r="D1514" s="18" t="s">
        <v>800</v>
      </c>
      <c r="E1514" s="18">
        <v>946</v>
      </c>
      <c r="F1514" s="18" t="s">
        <v>35</v>
      </c>
      <c r="J1514" s="19"/>
      <c r="K1514" s="19">
        <v>0.42049999999999998</v>
      </c>
      <c r="L1514" s="19">
        <v>0.30753353999999999</v>
      </c>
      <c r="M1514" s="19">
        <v>0.4667</v>
      </c>
      <c r="N1514" s="19">
        <v>0.41909999999999997</v>
      </c>
      <c r="O1514" s="19">
        <v>0</v>
      </c>
      <c r="P1514" s="19">
        <v>0</v>
      </c>
      <c r="Q1514" s="19"/>
      <c r="R1514" s="20">
        <v>37339</v>
      </c>
      <c r="S1514" s="21" t="str">
        <f>HYPERLINK("https://webapps.nsu.edu/financialaid/calculator.htm", "$26259")</f>
        <v>$26259</v>
      </c>
      <c r="T1514" s="20">
        <v>28929</v>
      </c>
      <c r="U1514" s="20">
        <v>35310</v>
      </c>
      <c r="V1514" s="20">
        <v>6573</v>
      </c>
      <c r="W1514" s="20">
        <v>19686.84329896907</v>
      </c>
      <c r="Y1514" s="19">
        <v>0.64219999999999999</v>
      </c>
      <c r="Z1514" s="19">
        <v>0.96140000000000003</v>
      </c>
      <c r="AB1514" s="18">
        <v>4641</v>
      </c>
      <c r="AC1514" s="18">
        <v>5</v>
      </c>
    </row>
    <row r="1515" spans="1:29" ht="15.75" customHeight="1" x14ac:dyDescent="0.2">
      <c r="A1515" s="36" t="str">
        <f>HYPERLINK("https://www.normandale.edu", "Normandale Community College")</f>
        <v>Normandale Community College</v>
      </c>
      <c r="B1515" s="18" t="s">
        <v>49</v>
      </c>
      <c r="C1515" s="18" t="s">
        <v>72</v>
      </c>
      <c r="D1515" s="18" t="s">
        <v>225</v>
      </c>
      <c r="E1515" s="18" t="s">
        <v>36</v>
      </c>
      <c r="F1515" s="18" t="s">
        <v>36</v>
      </c>
      <c r="J1515" s="19"/>
      <c r="K1515" s="19">
        <v>0.2626</v>
      </c>
      <c r="L1515" s="19">
        <v>0.16738995700000001</v>
      </c>
      <c r="M1515" s="19">
        <v>0.31950000000000001</v>
      </c>
      <c r="N1515" s="19">
        <v>0.14169999999999999</v>
      </c>
      <c r="O1515" s="19">
        <v>0.1263</v>
      </c>
      <c r="P1515" s="19">
        <v>0.33329999999999999</v>
      </c>
      <c r="Q1515" s="19">
        <v>0.15293383299999999</v>
      </c>
      <c r="R1515" s="20">
        <v>21972</v>
      </c>
      <c r="S1515" s="21" t="str">
        <f>HYPERLINK("https://www.minnstate.edu/admissions/calculator/normandale.html", "$16380")</f>
        <v>$16380</v>
      </c>
      <c r="T1515" s="20">
        <v>18205</v>
      </c>
      <c r="U1515" s="20">
        <v>20662</v>
      </c>
      <c r="V1515" s="20">
        <v>8136</v>
      </c>
      <c r="W1515" s="20">
        <v>8244.0468227424753</v>
      </c>
      <c r="Y1515" s="19">
        <v>0.28720000000000001</v>
      </c>
      <c r="Z1515" s="19">
        <v>0.46160000000000001</v>
      </c>
      <c r="AB1515" s="18">
        <v>7222</v>
      </c>
      <c r="AC1515" s="18">
        <v>6</v>
      </c>
    </row>
    <row r="1516" spans="1:29" ht="15.75" customHeight="1" x14ac:dyDescent="0.2">
      <c r="A1516" s="36" t="str">
        <f>HYPERLINK("https://www.ncat.edu", "North Carolina A &amp; T State University")</f>
        <v>North Carolina A &amp; T State University</v>
      </c>
      <c r="B1516" s="18" t="s">
        <v>49</v>
      </c>
      <c r="C1516" s="18" t="s">
        <v>103</v>
      </c>
      <c r="D1516" s="18" t="s">
        <v>643</v>
      </c>
      <c r="E1516" s="18">
        <v>1010</v>
      </c>
      <c r="F1516" s="18" t="s">
        <v>35</v>
      </c>
      <c r="J1516" s="19"/>
      <c r="K1516" s="19">
        <v>0.4274</v>
      </c>
      <c r="L1516" s="19">
        <v>0.19804618099999999</v>
      </c>
      <c r="M1516" s="19">
        <v>0.2162</v>
      </c>
      <c r="N1516" s="19">
        <v>0.43569999999999998</v>
      </c>
      <c r="O1516" s="19">
        <v>0.42109999999999997</v>
      </c>
      <c r="P1516" s="19">
        <v>0.36359999999999998</v>
      </c>
      <c r="Q1516" s="19"/>
      <c r="R1516" s="20">
        <v>30776</v>
      </c>
      <c r="S1516" s="21" t="str">
        <f>HYPERLINK("https://www.ncat.edu/admissions/financial-aid/netprice-calculator/npcalc.htm", "$21490")</f>
        <v>$21490</v>
      </c>
      <c r="T1516" s="20">
        <v>25555</v>
      </c>
      <c r="U1516" s="20">
        <v>28935</v>
      </c>
      <c r="V1516" s="20">
        <v>4100</v>
      </c>
      <c r="W1516" s="20">
        <v>17390.43636363636</v>
      </c>
      <c r="Y1516" s="19">
        <v>0.59670000000000001</v>
      </c>
      <c r="Z1516" s="19">
        <v>0.94699999999999995</v>
      </c>
      <c r="AB1516" s="18">
        <v>10011</v>
      </c>
      <c r="AC1516" s="18">
        <v>5</v>
      </c>
    </row>
    <row r="1517" spans="1:29" ht="15.75" customHeight="1" x14ac:dyDescent="0.2">
      <c r="A1517" s="36" t="str">
        <f>HYPERLINK("https://www.nccu.edu", "North Carolina Central University")</f>
        <v>North Carolina Central University</v>
      </c>
      <c r="B1517" s="18" t="s">
        <v>49</v>
      </c>
      <c r="C1517" s="18" t="s">
        <v>103</v>
      </c>
      <c r="D1517" s="18" t="s">
        <v>106</v>
      </c>
      <c r="E1517" s="18">
        <v>967</v>
      </c>
      <c r="F1517" s="18" t="s">
        <v>35</v>
      </c>
      <c r="J1517" s="19"/>
      <c r="K1517" s="19">
        <v>0.43890000000000001</v>
      </c>
      <c r="L1517" s="19">
        <v>0.43794326200000011</v>
      </c>
      <c r="M1517" s="19">
        <v>0.28570000000000001</v>
      </c>
      <c r="N1517" s="19">
        <v>0.44879999999999998</v>
      </c>
      <c r="O1517" s="19">
        <v>0.42859999999999998</v>
      </c>
      <c r="P1517" s="19">
        <v>0.5</v>
      </c>
      <c r="Q1517" s="19"/>
      <c r="R1517" s="20">
        <v>34905</v>
      </c>
      <c r="S1517" s="21" t="str">
        <f>HYPERLINK("https://www.nccu.edu/admissionsandaid/tuitionandfees/", "$25720")</f>
        <v>$25720</v>
      </c>
      <c r="T1517" s="20">
        <v>29494</v>
      </c>
      <c r="U1517" s="20">
        <v>32959</v>
      </c>
      <c r="V1517" s="20">
        <v>5947</v>
      </c>
      <c r="W1517" s="20">
        <v>19773.226006191951</v>
      </c>
      <c r="Y1517" s="19">
        <v>0.64190000000000003</v>
      </c>
      <c r="Z1517" s="19">
        <v>0.93989999999999996</v>
      </c>
      <c r="AB1517" s="18">
        <v>5939</v>
      </c>
      <c r="AC1517" s="18">
        <v>5</v>
      </c>
    </row>
    <row r="1518" spans="1:29" ht="15.75" customHeight="1" x14ac:dyDescent="0.2">
      <c r="A1518" s="36" t="str">
        <f>HYPERLINK("https://www.ncsu.edu", "North Carolina State University at Raleigh")</f>
        <v>North Carolina State University at Raleigh</v>
      </c>
      <c r="B1518" s="18" t="s">
        <v>49</v>
      </c>
      <c r="C1518" s="18" t="s">
        <v>103</v>
      </c>
      <c r="D1518" s="18" t="s">
        <v>236</v>
      </c>
      <c r="E1518" s="18">
        <v>1331</v>
      </c>
      <c r="F1518" s="18" t="s">
        <v>35</v>
      </c>
      <c r="J1518" s="19"/>
      <c r="K1518" s="19">
        <v>0.78639999999999999</v>
      </c>
      <c r="L1518" s="19">
        <v>0.62837162800000002</v>
      </c>
      <c r="M1518" s="19">
        <v>0.80410000000000004</v>
      </c>
      <c r="N1518" s="19">
        <v>0.71879999999999999</v>
      </c>
      <c r="O1518" s="19">
        <v>0.75</v>
      </c>
      <c r="P1518" s="19">
        <v>0.80720000000000003</v>
      </c>
      <c r="Q1518" s="19"/>
      <c r="R1518" s="20">
        <v>42048</v>
      </c>
      <c r="S1518" s="21" t="str">
        <f>HYPERLINK("https://npc.collegeboard.org/student/app/ncsu", "$26886")</f>
        <v>$26886</v>
      </c>
      <c r="T1518" s="20">
        <v>32457</v>
      </c>
      <c r="U1518" s="20">
        <v>37810</v>
      </c>
      <c r="V1518" s="20">
        <v>3788</v>
      </c>
      <c r="W1518" s="20">
        <v>23098.428571428569</v>
      </c>
      <c r="Y1518" s="19">
        <v>0.20730000000000001</v>
      </c>
      <c r="Z1518" s="19">
        <v>0.28889999999999999</v>
      </c>
      <c r="AB1518" s="18">
        <v>22801</v>
      </c>
      <c r="AC1518" s="18">
        <v>2</v>
      </c>
    </row>
    <row r="1519" spans="1:29" ht="15.75" customHeight="1" x14ac:dyDescent="0.2">
      <c r="A1519" s="36" t="str">
        <f>HYPERLINK("https://www.ncwc.edu", "North Carolina Wesleyan College")</f>
        <v>North Carolina Wesleyan College</v>
      </c>
      <c r="B1519" s="18" t="s">
        <v>32</v>
      </c>
      <c r="C1519" s="18" t="s">
        <v>103</v>
      </c>
      <c r="D1519" s="18" t="s">
        <v>1011</v>
      </c>
      <c r="E1519" s="18">
        <v>967</v>
      </c>
      <c r="F1519" s="18" t="s">
        <v>35</v>
      </c>
      <c r="J1519" s="19"/>
      <c r="K1519" s="19">
        <v>0.31409999999999999</v>
      </c>
      <c r="L1519" s="19">
        <v>0.40076335899999999</v>
      </c>
      <c r="M1519" s="19">
        <v>0.32650000000000001</v>
      </c>
      <c r="N1519" s="19">
        <v>0.3049</v>
      </c>
      <c r="O1519" s="19">
        <v>0.5</v>
      </c>
      <c r="P1519" s="19">
        <v>1</v>
      </c>
      <c r="Q1519" s="19"/>
      <c r="R1519" s="20">
        <v>42450</v>
      </c>
      <c r="S1519" s="21" t="str">
        <f>HYPERLINK("https://ncwc.edu/npcalc.htm", "$14483")</f>
        <v>$14483</v>
      </c>
      <c r="T1519" s="20">
        <v>15260</v>
      </c>
      <c r="U1519" s="20">
        <v>20337</v>
      </c>
      <c r="V1519" s="20">
        <v>2500</v>
      </c>
      <c r="W1519" s="20">
        <v>11983</v>
      </c>
      <c r="Y1519" s="19">
        <v>0.55279999999999996</v>
      </c>
      <c r="Z1519" s="19">
        <v>0.67979999999999996</v>
      </c>
      <c r="AB1519" s="18">
        <v>2086</v>
      </c>
      <c r="AC1519" s="18">
        <v>4</v>
      </c>
    </row>
    <row r="1520" spans="1:29" ht="15.75" customHeight="1" x14ac:dyDescent="0.2">
      <c r="A1520" s="36" t="str">
        <f>HYPERLINK("https://northcentralcollege.edu", "North Central College")</f>
        <v>North Central College</v>
      </c>
      <c r="B1520" s="18" t="s">
        <v>32</v>
      </c>
      <c r="C1520" s="18" t="s">
        <v>137</v>
      </c>
      <c r="D1520" s="18" t="s">
        <v>429</v>
      </c>
      <c r="E1520" s="18">
        <v>1200</v>
      </c>
      <c r="F1520" s="18" t="s">
        <v>35</v>
      </c>
      <c r="J1520" s="19"/>
      <c r="K1520" s="19">
        <v>0.68830000000000002</v>
      </c>
      <c r="L1520" s="19">
        <v>0.49673202599999999</v>
      </c>
      <c r="M1520" s="19">
        <v>0.70040000000000002</v>
      </c>
      <c r="N1520" s="19">
        <v>0.66669999999999996</v>
      </c>
      <c r="O1520" s="19">
        <v>0.68630000000000002</v>
      </c>
      <c r="P1520" s="19">
        <v>0</v>
      </c>
      <c r="Q1520" s="19"/>
      <c r="R1520" s="20">
        <v>51228</v>
      </c>
      <c r="S1520" s="21" t="str">
        <f>HYPERLINK("https://northcentralcollege.edu/financial-aid/estimate", "$18169")</f>
        <v>$18169</v>
      </c>
      <c r="T1520" s="20">
        <v>20133</v>
      </c>
      <c r="U1520" s="20">
        <v>23951</v>
      </c>
      <c r="V1520" s="20">
        <v>2829</v>
      </c>
      <c r="W1520" s="20">
        <v>15340</v>
      </c>
      <c r="Y1520" s="19">
        <v>0.24629999999999999</v>
      </c>
      <c r="Z1520" s="19">
        <v>0.34930000000000011</v>
      </c>
      <c r="AB1520" s="18">
        <v>2688</v>
      </c>
      <c r="AC1520" s="18">
        <v>3</v>
      </c>
    </row>
    <row r="1521" spans="1:29" ht="15.75" customHeight="1" x14ac:dyDescent="0.2">
      <c r="A1521" s="36" t="str">
        <f>HYPERLINK("https://www.ncmich.edu", "North Central Michigan College")</f>
        <v>North Central Michigan College</v>
      </c>
      <c r="B1521" s="18" t="s">
        <v>49</v>
      </c>
      <c r="C1521" s="18" t="s">
        <v>226</v>
      </c>
      <c r="D1521" s="18" t="s">
        <v>1574</v>
      </c>
      <c r="E1521" s="18" t="s">
        <v>36</v>
      </c>
      <c r="F1521" s="18" t="s">
        <v>36</v>
      </c>
      <c r="J1521" s="19"/>
      <c r="K1521" s="19">
        <v>0.1762</v>
      </c>
      <c r="L1521" s="19">
        <v>0.26036484300000001</v>
      </c>
      <c r="M1521" s="19">
        <v>0.2054</v>
      </c>
      <c r="N1521" s="19">
        <v>0</v>
      </c>
      <c r="O1521" s="19">
        <v>8.3299999999999999E-2</v>
      </c>
      <c r="P1521" s="19">
        <v>0.5</v>
      </c>
      <c r="Q1521" s="19">
        <v>5.4209919000000002E-2</v>
      </c>
      <c r="R1521" s="20">
        <v>16702</v>
      </c>
      <c r="S1521" s="21" t="str">
        <f>HYPERLINK("https://www.ncmich.edu", "$10183")</f>
        <v>$10183</v>
      </c>
      <c r="T1521" s="20">
        <v>12533</v>
      </c>
      <c r="U1521" s="20">
        <v>14874</v>
      </c>
      <c r="V1521" s="20">
        <v>2520</v>
      </c>
      <c r="W1521" s="20">
        <v>7663.3666666666668</v>
      </c>
      <c r="Y1521" s="19">
        <v>0.34720000000000001</v>
      </c>
      <c r="Z1521" s="19">
        <v>0.16919999999999999</v>
      </c>
      <c r="AB1521" s="18">
        <v>1578</v>
      </c>
      <c r="AC1521" s="18">
        <v>6</v>
      </c>
    </row>
    <row r="1522" spans="1:29" ht="15.75" customHeight="1" x14ac:dyDescent="0.2">
      <c r="A1522" s="36" t="str">
        <f>HYPERLINK("https://www.ncmissouri.edu", "North Central Missouri College")</f>
        <v>North Central Missouri College</v>
      </c>
      <c r="B1522" s="18" t="s">
        <v>49</v>
      </c>
      <c r="C1522" s="18" t="s">
        <v>164</v>
      </c>
      <c r="D1522" s="18" t="s">
        <v>1245</v>
      </c>
      <c r="E1522" s="18" t="s">
        <v>36</v>
      </c>
      <c r="F1522" s="18" t="s">
        <v>36</v>
      </c>
      <c r="J1522" s="19"/>
      <c r="K1522" s="19">
        <v>0.41389999999999999</v>
      </c>
      <c r="L1522" s="19">
        <v>0.26479750800000001</v>
      </c>
      <c r="M1522" s="19">
        <v>0.42570000000000002</v>
      </c>
      <c r="N1522" s="19">
        <v>0.22220000000000001</v>
      </c>
      <c r="O1522" s="19">
        <v>0.2</v>
      </c>
      <c r="P1522" s="19" t="s">
        <v>36</v>
      </c>
      <c r="Q1522" s="19">
        <v>7.1090047000000003E-2</v>
      </c>
      <c r="R1522" s="20">
        <v>17088</v>
      </c>
      <c r="S1522" s="21" t="str">
        <f>HYPERLINK("https://www.ncmissouri.edu/financialaid/netpricecalculator", "$11226")</f>
        <v>$11226</v>
      </c>
      <c r="T1522" s="20">
        <v>12984</v>
      </c>
      <c r="U1522" s="20">
        <v>14467</v>
      </c>
      <c r="V1522" s="20">
        <v>4942</v>
      </c>
      <c r="W1522" s="20">
        <v>6284.7637795275587</v>
      </c>
      <c r="Y1522" s="19">
        <v>0.34770000000000001</v>
      </c>
      <c r="Z1522" s="19">
        <v>0.12549999999999989</v>
      </c>
      <c r="AB1522" s="18">
        <v>1171</v>
      </c>
      <c r="AC1522" s="18">
        <v>6</v>
      </c>
    </row>
    <row r="1523" spans="1:29" ht="15.75" customHeight="1" x14ac:dyDescent="0.2">
      <c r="A1523" s="36" t="str">
        <f>HYPERLINK("https://www.ncstatecollege.edu", "North Central State College")</f>
        <v>North Central State College</v>
      </c>
      <c r="B1523" s="18" t="s">
        <v>49</v>
      </c>
      <c r="C1523" s="18" t="s">
        <v>75</v>
      </c>
      <c r="D1523" s="18" t="s">
        <v>777</v>
      </c>
      <c r="E1523" s="18" t="s">
        <v>36</v>
      </c>
      <c r="F1523" s="18" t="s">
        <v>36</v>
      </c>
      <c r="J1523" s="19"/>
      <c r="K1523" s="19">
        <v>0.19089999999999999</v>
      </c>
      <c r="L1523" s="19">
        <v>0.152698048</v>
      </c>
      <c r="M1523" s="19">
        <v>0.2077</v>
      </c>
      <c r="N1523" s="19">
        <v>0</v>
      </c>
      <c r="O1523" s="19">
        <v>0</v>
      </c>
      <c r="P1523" s="19" t="s">
        <v>36</v>
      </c>
      <c r="Q1523" s="19">
        <v>4.7921071000000003E-2</v>
      </c>
      <c r="R1523" s="20">
        <v>15875</v>
      </c>
      <c r="S1523" s="21" t="str">
        <f>HYPERLINK("https://www.ncstatecollege.edu/cms/financial-aid/cost/net-price-calculator", "$10898")</f>
        <v>$10898</v>
      </c>
      <c r="T1523" s="20">
        <v>12969</v>
      </c>
      <c r="U1523" s="20">
        <v>14320</v>
      </c>
      <c r="V1523" s="20">
        <v>3792</v>
      </c>
      <c r="W1523" s="20">
        <v>7106.6339285714284</v>
      </c>
      <c r="Y1523" s="19">
        <v>0.28760000000000002</v>
      </c>
      <c r="Z1523" s="19">
        <v>0.14570000000000011</v>
      </c>
      <c r="AB1523" s="18">
        <v>1798</v>
      </c>
      <c r="AC1523" s="18">
        <v>6</v>
      </c>
    </row>
    <row r="1524" spans="1:29" ht="15.75" customHeight="1" x14ac:dyDescent="0.2">
      <c r="A1524" s="36" t="str">
        <f>HYPERLINK("https://www.nctc.edu", "North Central Texas College")</f>
        <v>North Central Texas College</v>
      </c>
      <c r="B1524" s="18" t="s">
        <v>49</v>
      </c>
      <c r="C1524" s="18" t="s">
        <v>146</v>
      </c>
      <c r="D1524" s="18" t="s">
        <v>277</v>
      </c>
      <c r="E1524" s="18" t="s">
        <v>36</v>
      </c>
      <c r="F1524" s="18" t="s">
        <v>36</v>
      </c>
      <c r="J1524" s="19"/>
      <c r="K1524" s="19">
        <v>0.14510000000000001</v>
      </c>
      <c r="L1524" s="19">
        <v>9.7560975999999994E-2</v>
      </c>
      <c r="M1524" s="19">
        <v>0.14860000000000001</v>
      </c>
      <c r="N1524" s="19">
        <v>9.5899999999999999E-2</v>
      </c>
      <c r="O1524" s="19">
        <v>0.16020000000000001</v>
      </c>
      <c r="P1524" s="19">
        <v>0.1071</v>
      </c>
      <c r="Q1524" s="19">
        <v>0.15006412999999999</v>
      </c>
      <c r="R1524" s="20">
        <v>14756</v>
      </c>
      <c r="S1524" s="21" t="str">
        <f>HYPERLINK("https://www.collegeforalltexans.com/apps/CollegeMoney/", "$9405")</f>
        <v>$9405</v>
      </c>
      <c r="T1524" s="20">
        <v>11579</v>
      </c>
      <c r="U1524" s="20">
        <v>14267</v>
      </c>
      <c r="V1524" s="20">
        <v>4786</v>
      </c>
      <c r="W1524" s="20">
        <v>4619.8428571428558</v>
      </c>
      <c r="Y1524" s="19">
        <v>0.26640000000000003</v>
      </c>
      <c r="Z1524" s="19">
        <v>0.41339999999999999</v>
      </c>
      <c r="AB1524" s="18">
        <v>9980</v>
      </c>
      <c r="AC1524" s="18">
        <v>6</v>
      </c>
    </row>
    <row r="1525" spans="1:29" ht="15.75" customHeight="1" x14ac:dyDescent="0.2">
      <c r="A1525" s="36" t="str">
        <f>HYPERLINK("https://www.northcentral.edu", "North Central University")</f>
        <v>North Central University</v>
      </c>
      <c r="B1525" s="18" t="s">
        <v>32</v>
      </c>
      <c r="C1525" s="18" t="s">
        <v>72</v>
      </c>
      <c r="D1525" s="18" t="s">
        <v>283</v>
      </c>
      <c r="E1525" s="18">
        <v>1118</v>
      </c>
      <c r="F1525" s="18" t="s">
        <v>35</v>
      </c>
      <c r="J1525" s="19"/>
      <c r="K1525" s="19">
        <v>0.3992</v>
      </c>
      <c r="L1525" s="19">
        <v>0.30275229399999998</v>
      </c>
      <c r="M1525" s="19">
        <v>0.44230000000000003</v>
      </c>
      <c r="N1525" s="19">
        <v>7.6899999999999996E-2</v>
      </c>
      <c r="O1525" s="19">
        <v>0.2727</v>
      </c>
      <c r="P1525" s="19">
        <v>0.2</v>
      </c>
      <c r="Q1525" s="19"/>
      <c r="R1525" s="20">
        <v>34924</v>
      </c>
      <c r="S1525" s="21" t="str">
        <f>HYPERLINK("https://www.northcentral.edu/financial-aid/net-price-calculator", "$16620")</f>
        <v>$16620</v>
      </c>
      <c r="T1525" s="20">
        <v>19270</v>
      </c>
      <c r="U1525" s="20">
        <v>22864</v>
      </c>
      <c r="V1525" s="20">
        <v>4314</v>
      </c>
      <c r="W1525" s="20">
        <v>12306</v>
      </c>
      <c r="Y1525" s="19">
        <v>0.37130000000000002</v>
      </c>
      <c r="Z1525" s="19">
        <v>0.27550000000000002</v>
      </c>
      <c r="AB1525" s="18">
        <v>893</v>
      </c>
      <c r="AC1525" s="18">
        <v>4</v>
      </c>
    </row>
    <row r="1526" spans="1:29" ht="15.75" customHeight="1" x14ac:dyDescent="0.2">
      <c r="A1526" s="36" t="str">
        <f>HYPERLINK("https://www.nccc.edu", "SUNY North Country Community College")</f>
        <v>SUNY North Country Community College</v>
      </c>
      <c r="B1526" s="18" t="s">
        <v>49</v>
      </c>
      <c r="C1526" s="18" t="s">
        <v>38</v>
      </c>
      <c r="D1526" s="18" t="s">
        <v>1575</v>
      </c>
      <c r="E1526" s="18" t="s">
        <v>36</v>
      </c>
      <c r="F1526" s="18" t="s">
        <v>36</v>
      </c>
      <c r="J1526" s="19"/>
      <c r="K1526" s="19">
        <v>0.34670000000000001</v>
      </c>
      <c r="L1526" s="19">
        <v>0.20731707299999999</v>
      </c>
      <c r="M1526" s="19">
        <v>0.38790000000000002</v>
      </c>
      <c r="N1526" s="19">
        <v>0.28570000000000001</v>
      </c>
      <c r="O1526" s="19" t="s">
        <v>36</v>
      </c>
      <c r="P1526" s="19">
        <v>0.4</v>
      </c>
      <c r="Q1526" s="19">
        <v>5.6360709000000002E-2</v>
      </c>
      <c r="R1526" s="20">
        <v>19264</v>
      </c>
      <c r="S1526" s="21" t="str">
        <f>HYPERLINK("https://www.suny.edu/smarttrack/net-price-calculator/", "$8375")</f>
        <v>$8375</v>
      </c>
      <c r="T1526" s="20">
        <v>13006</v>
      </c>
      <c r="U1526" s="20">
        <v>14814</v>
      </c>
      <c r="V1526" s="20">
        <v>3700</v>
      </c>
      <c r="W1526" s="20">
        <v>4675</v>
      </c>
      <c r="Y1526" s="19">
        <v>0.27960000000000002</v>
      </c>
      <c r="Z1526" s="19">
        <v>0.36180000000000001</v>
      </c>
      <c r="AB1526" s="18">
        <v>995</v>
      </c>
      <c r="AC1526" s="18">
        <v>6</v>
      </c>
    </row>
    <row r="1527" spans="1:29" ht="15.75" customHeight="1" x14ac:dyDescent="0.2">
      <c r="A1527" s="36" t="str">
        <f>HYPERLINK("https://www.ndscs.edu", "North Dakota State College of Science")</f>
        <v>North Dakota State College of Science</v>
      </c>
      <c r="B1527" s="18" t="s">
        <v>49</v>
      </c>
      <c r="C1527" s="18" t="s">
        <v>730</v>
      </c>
      <c r="D1527" s="18" t="s">
        <v>1576</v>
      </c>
      <c r="E1527" s="18" t="s">
        <v>36</v>
      </c>
      <c r="F1527" s="18" t="s">
        <v>36</v>
      </c>
      <c r="J1527" s="19"/>
      <c r="K1527" s="19">
        <v>0.50660000000000005</v>
      </c>
      <c r="L1527" s="19">
        <v>0.28919860600000002</v>
      </c>
      <c r="M1527" s="19">
        <v>0.57169999999999999</v>
      </c>
      <c r="N1527" s="19">
        <v>0.16669999999999999</v>
      </c>
      <c r="O1527" s="19">
        <v>0.2</v>
      </c>
      <c r="P1527" s="19">
        <v>0</v>
      </c>
      <c r="Q1527" s="19">
        <v>4.7619047999999997E-2</v>
      </c>
      <c r="R1527" s="20">
        <v>22430</v>
      </c>
      <c r="S1527" s="21" t="str">
        <f>HYPERLINK("https://www.ndscs.edu/paying-for-college/financial-aid/net-price-calculator/", "$15722")</f>
        <v>$15722</v>
      </c>
      <c r="T1527" s="20">
        <v>18771</v>
      </c>
      <c r="U1527" s="20">
        <v>21017</v>
      </c>
      <c r="V1527" s="20">
        <v>4402</v>
      </c>
      <c r="W1527" s="20">
        <v>11320.176470588231</v>
      </c>
      <c r="Y1527" s="19">
        <v>0.24610000000000001</v>
      </c>
      <c r="Z1527" s="19">
        <v>0.2044</v>
      </c>
      <c r="AB1527" s="18">
        <v>2109</v>
      </c>
      <c r="AC1527" s="18">
        <v>6</v>
      </c>
    </row>
    <row r="1528" spans="1:29" ht="15.75" customHeight="1" x14ac:dyDescent="0.2">
      <c r="A1528" s="36" t="str">
        <f>HYPERLINK("https://www.ndsu.edu", "North Dakota State University-Main Campus")</f>
        <v>North Dakota State University-Main Campus</v>
      </c>
      <c r="B1528" s="18" t="s">
        <v>49</v>
      </c>
      <c r="C1528" s="18" t="s">
        <v>730</v>
      </c>
      <c r="D1528" s="18" t="s">
        <v>1012</v>
      </c>
      <c r="E1528" s="18">
        <v>1166</v>
      </c>
      <c r="F1528" s="18" t="s">
        <v>35</v>
      </c>
      <c r="J1528" s="19"/>
      <c r="K1528" s="19">
        <v>0.57979999999999998</v>
      </c>
      <c r="L1528" s="19">
        <v>0.45423143399999999</v>
      </c>
      <c r="M1528" s="19">
        <v>0.59360000000000002</v>
      </c>
      <c r="N1528" s="19">
        <v>0.31819999999999998</v>
      </c>
      <c r="O1528" s="19">
        <v>0.41670000000000001</v>
      </c>
      <c r="P1528" s="19">
        <v>0.51719999999999999</v>
      </c>
      <c r="Q1528" s="19"/>
      <c r="R1528" s="20">
        <v>33478</v>
      </c>
      <c r="S1528" s="21" t="str">
        <f>HYPERLINK("https://www.ndsu.edu/onestop/finaid/netpricecalculator/", "$24282")</f>
        <v>$24282</v>
      </c>
      <c r="T1528" s="20">
        <v>28334</v>
      </c>
      <c r="U1528" s="20">
        <v>30094</v>
      </c>
      <c r="V1528" s="20">
        <v>4200</v>
      </c>
      <c r="W1528" s="20">
        <v>20082.375</v>
      </c>
      <c r="Y1528" s="19">
        <v>0.1978</v>
      </c>
      <c r="Z1528" s="19">
        <v>0.1308</v>
      </c>
      <c r="AB1528" s="18">
        <v>11687</v>
      </c>
      <c r="AC1528" s="18">
        <v>4</v>
      </c>
    </row>
    <row r="1529" spans="1:29" ht="15.75" customHeight="1" x14ac:dyDescent="0.2">
      <c r="A1529" s="36" t="str">
        <f>HYPERLINK("https://www.nfcc.edu", "North Florida Community College")</f>
        <v>North Florida Community College</v>
      </c>
      <c r="B1529" s="18" t="s">
        <v>49</v>
      </c>
      <c r="C1529" s="18" t="s">
        <v>162</v>
      </c>
      <c r="D1529" s="18" t="s">
        <v>295</v>
      </c>
      <c r="E1529" s="18" t="s">
        <v>36</v>
      </c>
      <c r="F1529" s="18" t="s">
        <v>36</v>
      </c>
      <c r="J1529" s="19"/>
      <c r="K1529" s="19">
        <v>0.41670000000000001</v>
      </c>
      <c r="L1529" s="19" t="s">
        <v>36</v>
      </c>
      <c r="M1529" s="19">
        <v>0.48</v>
      </c>
      <c r="N1529" s="19">
        <v>0.18920000000000001</v>
      </c>
      <c r="O1529" s="19">
        <v>0.4375</v>
      </c>
      <c r="P1529" s="19">
        <v>1</v>
      </c>
      <c r="Q1529" s="19">
        <v>0.113744076</v>
      </c>
      <c r="R1529" s="20">
        <v>21100</v>
      </c>
      <c r="S1529" s="21" t="str">
        <f>HYPERLINK("https://www.nfcc.edu/getting-started/NetPriceCalculator/npcalc.htm", "$15110")</f>
        <v>$15110</v>
      </c>
      <c r="T1529" s="20">
        <v>16476</v>
      </c>
      <c r="U1529" s="20">
        <v>18050</v>
      </c>
      <c r="V1529" s="20">
        <v>4300</v>
      </c>
      <c r="W1529" s="20">
        <v>10810.36</v>
      </c>
      <c r="Y1529" s="19">
        <v>0.43880000000000002</v>
      </c>
      <c r="Z1529" s="19">
        <v>0.34539999999999998</v>
      </c>
      <c r="AB1529" s="18">
        <v>915</v>
      </c>
      <c r="AC1529" s="18">
        <v>6</v>
      </c>
    </row>
    <row r="1530" spans="1:29" ht="15.75" customHeight="1" x14ac:dyDescent="0.2">
      <c r="A1530" s="36" t="str">
        <f>HYPERLINK("https://www.ngu.edu", "North Greenville University")</f>
        <v>North Greenville University</v>
      </c>
      <c r="B1530" s="18" t="s">
        <v>32</v>
      </c>
      <c r="C1530" s="18" t="s">
        <v>208</v>
      </c>
      <c r="D1530" s="18" t="s">
        <v>430</v>
      </c>
      <c r="E1530" s="18">
        <v>1136</v>
      </c>
      <c r="F1530" s="18" t="s">
        <v>35</v>
      </c>
      <c r="J1530" s="19"/>
      <c r="K1530" s="19">
        <v>0.51119999999999999</v>
      </c>
      <c r="L1530" s="19">
        <v>0.43298969100000001</v>
      </c>
      <c r="M1530" s="19">
        <v>0.5302</v>
      </c>
      <c r="N1530" s="19">
        <v>0.31109999999999999</v>
      </c>
      <c r="O1530" s="19">
        <v>0.54549999999999998</v>
      </c>
      <c r="P1530" s="19">
        <v>1</v>
      </c>
      <c r="Q1530" s="19"/>
      <c r="R1530" s="20">
        <v>36000</v>
      </c>
      <c r="S1530" s="21" t="str">
        <f>HYPERLINK("https://www.shoppingsheet.com/Shopping/School/218441", "$26386")</f>
        <v>$26386</v>
      </c>
      <c r="T1530" s="20">
        <v>26389</v>
      </c>
      <c r="U1530" s="20">
        <v>26781</v>
      </c>
      <c r="V1530" s="20">
        <v>6610</v>
      </c>
      <c r="W1530" s="20">
        <v>19776</v>
      </c>
      <c r="Y1530" s="19">
        <v>0.33189999999999997</v>
      </c>
      <c r="Z1530" s="19">
        <v>0.21920000000000001</v>
      </c>
      <c r="AB1530" s="18">
        <v>2167</v>
      </c>
      <c r="AC1530" s="18">
        <v>3</v>
      </c>
    </row>
    <row r="1531" spans="1:29" ht="15.75" customHeight="1" x14ac:dyDescent="0.2">
      <c r="A1531" s="36" t="str">
        <f>HYPERLINK("https://www.nhcc.edu", "North Hennepin Community College")</f>
        <v>North Hennepin Community College</v>
      </c>
      <c r="B1531" s="18" t="s">
        <v>49</v>
      </c>
      <c r="C1531" s="18" t="s">
        <v>72</v>
      </c>
      <c r="D1531" s="18" t="s">
        <v>1577</v>
      </c>
      <c r="E1531" s="18" t="s">
        <v>36</v>
      </c>
      <c r="F1531" s="18" t="s">
        <v>36</v>
      </c>
      <c r="J1531" s="19"/>
      <c r="K1531" s="19">
        <v>0.191</v>
      </c>
      <c r="L1531" s="19">
        <v>0.18597997099999999</v>
      </c>
      <c r="M1531" s="19">
        <v>0.22650000000000001</v>
      </c>
      <c r="N1531" s="19">
        <v>7.0599999999999996E-2</v>
      </c>
      <c r="O1531" s="19">
        <v>0.19350000000000001</v>
      </c>
      <c r="P1531" s="19">
        <v>0.23680000000000001</v>
      </c>
      <c r="Q1531" s="19">
        <v>9.1863516999999992E-2</v>
      </c>
      <c r="R1531" s="20">
        <v>19484</v>
      </c>
      <c r="S1531" s="21" t="str">
        <f>HYPERLINK("https://www.nhcc.edu/about-nhcc/policies-procedures-disclosures/disclosures/net-price-calculator", "$14238")</f>
        <v>$14238</v>
      </c>
      <c r="T1531" s="20">
        <v>16039</v>
      </c>
      <c r="U1531" s="20">
        <v>18901</v>
      </c>
      <c r="V1531" s="20">
        <v>7060</v>
      </c>
      <c r="W1531" s="20">
        <v>7178.9718309859163</v>
      </c>
      <c r="Y1531" s="19">
        <v>0.37380000000000002</v>
      </c>
      <c r="Z1531" s="19">
        <v>0.5726</v>
      </c>
      <c r="AB1531" s="18">
        <v>5124</v>
      </c>
      <c r="AC1531" s="18">
        <v>6</v>
      </c>
    </row>
    <row r="1532" spans="1:29" ht="15.75" customHeight="1" x14ac:dyDescent="0.2">
      <c r="A1532" s="36" t="str">
        <f>HYPERLINK("https://www.nic.edu/", "North Idaho College")</f>
        <v>North Idaho College</v>
      </c>
      <c r="B1532" s="18" t="s">
        <v>49</v>
      </c>
      <c r="C1532" s="18" t="s">
        <v>486</v>
      </c>
      <c r="D1532" s="18" t="s">
        <v>1578</v>
      </c>
      <c r="E1532" s="18" t="s">
        <v>36</v>
      </c>
      <c r="F1532" s="18" t="s">
        <v>36</v>
      </c>
      <c r="J1532" s="19"/>
      <c r="K1532" s="19">
        <v>0.23119999999999999</v>
      </c>
      <c r="L1532" s="19">
        <v>9.0759075999999994E-2</v>
      </c>
      <c r="M1532" s="19">
        <v>0.2485</v>
      </c>
      <c r="N1532" s="19">
        <v>0.21429999999999999</v>
      </c>
      <c r="O1532" s="19">
        <v>0.19570000000000001</v>
      </c>
      <c r="P1532" s="19">
        <v>0</v>
      </c>
      <c r="Q1532" s="19">
        <v>0.106153846</v>
      </c>
      <c r="R1532" s="20">
        <v>20212</v>
      </c>
      <c r="S1532" s="21" t="str">
        <f>HYPERLINK("https://www.nic.edu/financialaid/npcalc.htm", "$14839")</f>
        <v>$14839</v>
      </c>
      <c r="T1532" s="20">
        <v>16943</v>
      </c>
      <c r="U1532" s="20">
        <v>19468</v>
      </c>
      <c r="V1532" s="20">
        <v>3966</v>
      </c>
      <c r="W1532" s="20">
        <v>10873.846153846151</v>
      </c>
      <c r="Y1532" s="19">
        <v>0.34339999999999998</v>
      </c>
      <c r="Z1532" s="19">
        <v>0.2024</v>
      </c>
      <c r="AB1532" s="18">
        <v>3794</v>
      </c>
      <c r="AC1532" s="18">
        <v>6</v>
      </c>
    </row>
    <row r="1533" spans="1:29" ht="15.75" customHeight="1" x14ac:dyDescent="0.2">
      <c r="A1533" s="36" t="str">
        <f>HYPERLINK("https://www.niacc.edu", "North Iowa Area Community College")</f>
        <v>North Iowa Area Community College</v>
      </c>
      <c r="B1533" s="18" t="s">
        <v>49</v>
      </c>
      <c r="C1533" s="18" t="s">
        <v>211</v>
      </c>
      <c r="D1533" s="18" t="s">
        <v>1579</v>
      </c>
      <c r="E1533" s="18" t="s">
        <v>36</v>
      </c>
      <c r="F1533" s="18" t="s">
        <v>36</v>
      </c>
      <c r="J1533" s="19"/>
      <c r="K1533" s="19">
        <v>0.46779999999999999</v>
      </c>
      <c r="L1533" s="19">
        <v>0.26508226699999998</v>
      </c>
      <c r="M1533" s="19">
        <v>0.48970000000000002</v>
      </c>
      <c r="N1533" s="19">
        <v>0.2727</v>
      </c>
      <c r="O1533" s="19">
        <v>0.37930000000000003</v>
      </c>
      <c r="P1533" s="19">
        <v>0.4</v>
      </c>
      <c r="Q1533" s="19">
        <v>7.3436082999999999E-2</v>
      </c>
      <c r="R1533" s="20">
        <v>17863</v>
      </c>
      <c r="S1533" s="21" t="str">
        <f>HYPERLINK("https://www.niacc.edu/admissions/finance-your-education/financial-aid/calculator/", "$12419")</f>
        <v>$12419</v>
      </c>
      <c r="T1533" s="20">
        <v>14833</v>
      </c>
      <c r="U1533" s="20">
        <v>16621</v>
      </c>
      <c r="V1533" s="20">
        <v>3514</v>
      </c>
      <c r="W1533" s="20">
        <v>8905.6511627906984</v>
      </c>
      <c r="Y1533" s="19">
        <v>0.25969999999999999</v>
      </c>
      <c r="Z1533" s="19">
        <v>0.19739999999999999</v>
      </c>
      <c r="AB1533" s="18">
        <v>1682</v>
      </c>
      <c r="AC1533" s="18">
        <v>6</v>
      </c>
    </row>
    <row r="1534" spans="1:29" ht="15.75" customHeight="1" x14ac:dyDescent="0.2">
      <c r="A1534" s="36" t="str">
        <f>HYPERLINK("https://www.northlakecollege.edu", "North Lake College")</f>
        <v>North Lake College</v>
      </c>
      <c r="B1534" s="18" t="s">
        <v>49</v>
      </c>
      <c r="C1534" s="18" t="s">
        <v>146</v>
      </c>
      <c r="D1534" s="18" t="s">
        <v>505</v>
      </c>
      <c r="E1534" s="18" t="s">
        <v>36</v>
      </c>
      <c r="F1534" s="18" t="s">
        <v>36</v>
      </c>
      <c r="J1534" s="19"/>
      <c r="K1534" s="19">
        <v>0.14230000000000001</v>
      </c>
      <c r="L1534" s="19" t="s">
        <v>36</v>
      </c>
      <c r="M1534" s="19">
        <v>0.14560000000000001</v>
      </c>
      <c r="N1534" s="19">
        <v>0.14849999999999999</v>
      </c>
      <c r="O1534" s="19">
        <v>0.13159999999999999</v>
      </c>
      <c r="P1534" s="19">
        <v>0.193</v>
      </c>
      <c r="Q1534" s="19">
        <v>0.16813048899999999</v>
      </c>
      <c r="R1534" s="20">
        <v>20621</v>
      </c>
      <c r="S1534" s="21" t="str">
        <f>HYPERLINK("https://www.northlakecollege.edu/pc/cost/tuition/pages/tuitioncalc.aspx", "$15149")</f>
        <v>$15149</v>
      </c>
      <c r="T1534" s="20">
        <v>17157</v>
      </c>
      <c r="U1534" s="20">
        <v>19597</v>
      </c>
      <c r="V1534" s="20">
        <v>5456</v>
      </c>
      <c r="W1534" s="20">
        <v>9693.9451219512193</v>
      </c>
      <c r="Y1534" s="19">
        <v>0.25</v>
      </c>
      <c r="Z1534" s="19">
        <v>0.8276</v>
      </c>
      <c r="AB1534" s="18">
        <v>8351</v>
      </c>
      <c r="AC1534" s="18">
        <v>6</v>
      </c>
    </row>
    <row r="1535" spans="1:29" ht="15.75" customHeight="1" x14ac:dyDescent="0.2">
      <c r="A1535" s="36" t="str">
        <f>HYPERLINK("https://www.northpark.edu", "North Park University")</f>
        <v>North Park University</v>
      </c>
      <c r="B1535" s="18" t="s">
        <v>32</v>
      </c>
      <c r="C1535" s="18" t="s">
        <v>137</v>
      </c>
      <c r="D1535" s="18" t="s">
        <v>161</v>
      </c>
      <c r="E1535" s="18">
        <v>1086</v>
      </c>
      <c r="F1535" s="18" t="s">
        <v>35</v>
      </c>
      <c r="J1535" s="19"/>
      <c r="K1535" s="19">
        <v>0.58630000000000004</v>
      </c>
      <c r="L1535" s="19">
        <v>0.40201005000000001</v>
      </c>
      <c r="M1535" s="19">
        <v>0.65610000000000002</v>
      </c>
      <c r="N1535" s="19">
        <v>0.51060000000000005</v>
      </c>
      <c r="O1535" s="19">
        <v>0.42620000000000002</v>
      </c>
      <c r="P1535" s="19">
        <v>0.57689999999999997</v>
      </c>
      <c r="Q1535" s="19"/>
      <c r="R1535" s="20">
        <v>41430</v>
      </c>
      <c r="S1535" s="21" t="str">
        <f>HYPERLINK("https://www.northpark.edu/Financial-Aid/Undergraduate/Cost/Net-Price-Calculator", "$17918")</f>
        <v>$17918</v>
      </c>
      <c r="T1535" s="20">
        <v>18188</v>
      </c>
      <c r="U1535" s="20">
        <v>20667</v>
      </c>
      <c r="V1535" s="20">
        <v>3500</v>
      </c>
      <c r="W1535" s="20">
        <v>14418</v>
      </c>
      <c r="Y1535" s="19">
        <v>0.38290000000000002</v>
      </c>
      <c r="Z1535" s="19">
        <v>0.58719999999999994</v>
      </c>
      <c r="AB1535" s="18">
        <v>2018</v>
      </c>
      <c r="AC1535" s="18">
        <v>4</v>
      </c>
    </row>
    <row r="1536" spans="1:29" ht="15.75" customHeight="1" x14ac:dyDescent="0.2">
      <c r="A1536" s="36" t="str">
        <f>HYPERLINK("https://www.northshore.edu", "North Shore Community College")</f>
        <v>North Shore Community College</v>
      </c>
      <c r="B1536" s="18" t="s">
        <v>49</v>
      </c>
      <c r="C1536" s="18" t="s">
        <v>33</v>
      </c>
      <c r="D1536" s="18" t="s">
        <v>1580</v>
      </c>
      <c r="E1536" s="18" t="s">
        <v>36</v>
      </c>
      <c r="F1536" s="18" t="s">
        <v>36</v>
      </c>
      <c r="J1536" s="19"/>
      <c r="K1536" s="19">
        <v>0.18179999999999999</v>
      </c>
      <c r="L1536" s="19">
        <v>0.18175438599999999</v>
      </c>
      <c r="M1536" s="19">
        <v>0.20280000000000001</v>
      </c>
      <c r="N1536" s="19">
        <v>0.15090000000000001</v>
      </c>
      <c r="O1536" s="19">
        <v>0.13639999999999999</v>
      </c>
      <c r="P1536" s="19">
        <v>0.28000000000000003</v>
      </c>
      <c r="Q1536" s="19">
        <v>7.6237182000000001E-2</v>
      </c>
      <c r="R1536" s="20">
        <v>26412</v>
      </c>
      <c r="S1536" s="21" t="str">
        <f>HYPERLINK("https://www.northshore.edu/admissions/netPrice/", "$21049")</f>
        <v>$21049</v>
      </c>
      <c r="T1536" s="20">
        <v>23300</v>
      </c>
      <c r="U1536" s="20">
        <v>25646</v>
      </c>
      <c r="V1536" s="20">
        <v>3900</v>
      </c>
      <c r="W1536" s="20">
        <v>17149.551724137931</v>
      </c>
      <c r="Y1536" s="19">
        <v>0.40749999999999997</v>
      </c>
      <c r="Z1536" s="19">
        <v>0.43819999999999998</v>
      </c>
      <c r="AB1536" s="18">
        <v>5514</v>
      </c>
      <c r="AC1536" s="18">
        <v>6</v>
      </c>
    </row>
    <row r="1537" spans="1:29" ht="15.75" customHeight="1" x14ac:dyDescent="0.2">
      <c r="A1537" s="36" t="str">
        <f>HYPERLINK("https://www.nwacc.edu", "NorthWest Arkansas Community College")</f>
        <v>NorthWest Arkansas Community College</v>
      </c>
      <c r="B1537" s="18" t="s">
        <v>49</v>
      </c>
      <c r="C1537" s="18" t="s">
        <v>371</v>
      </c>
      <c r="D1537" s="18" t="s">
        <v>1581</v>
      </c>
      <c r="E1537" s="18" t="s">
        <v>36</v>
      </c>
      <c r="F1537" s="18" t="s">
        <v>36</v>
      </c>
      <c r="J1537" s="19"/>
      <c r="K1537" s="19">
        <v>0.1996</v>
      </c>
      <c r="L1537" s="19">
        <v>0.139839767</v>
      </c>
      <c r="M1537" s="19">
        <v>0.19189999999999999</v>
      </c>
      <c r="N1537" s="19">
        <v>5.8799999999999998E-2</v>
      </c>
      <c r="O1537" s="19">
        <v>0.25130000000000002</v>
      </c>
      <c r="P1537" s="19">
        <v>0.13789999999999999</v>
      </c>
      <c r="Q1537" s="19">
        <v>0.125380932</v>
      </c>
      <c r="R1537" s="20">
        <v>20392</v>
      </c>
      <c r="S1537" s="21" t="str">
        <f>HYPERLINK("https://content.nwacc.edu/netprice/npcalc.htm", "$14593")</f>
        <v>$14593</v>
      </c>
      <c r="T1537" s="20">
        <v>17200</v>
      </c>
      <c r="U1537" s="20">
        <v>19565</v>
      </c>
      <c r="V1537" s="20">
        <v>4449</v>
      </c>
      <c r="W1537" s="20">
        <v>10144.4</v>
      </c>
      <c r="Y1537" s="19">
        <v>0.28720000000000001</v>
      </c>
      <c r="Z1537" s="19">
        <v>0.34860000000000002</v>
      </c>
      <c r="AB1537" s="18">
        <v>6053</v>
      </c>
      <c r="AC1537" s="18">
        <v>6</v>
      </c>
    </row>
    <row r="1538" spans="1:29" ht="15.75" customHeight="1" x14ac:dyDescent="0.2">
      <c r="A1538" s="36" t="str">
        <f>HYPERLINK("https://www.northampton.edu", "Northampton County Area Community College")</f>
        <v>Northampton County Area Community College</v>
      </c>
      <c r="B1538" s="18" t="s">
        <v>49</v>
      </c>
      <c r="C1538" s="18" t="s">
        <v>65</v>
      </c>
      <c r="D1538" s="18" t="s">
        <v>130</v>
      </c>
      <c r="E1538" s="18" t="s">
        <v>36</v>
      </c>
      <c r="F1538" s="18" t="s">
        <v>36</v>
      </c>
      <c r="J1538" s="19"/>
      <c r="K1538" s="19">
        <v>0.1832</v>
      </c>
      <c r="L1538" s="19">
        <v>0.209399167</v>
      </c>
      <c r="M1538" s="19">
        <v>0.23530000000000001</v>
      </c>
      <c r="N1538" s="19">
        <v>9.0899999999999995E-2</v>
      </c>
      <c r="O1538" s="19">
        <v>0.14130000000000001</v>
      </c>
      <c r="P1538" s="19">
        <v>0.27589999999999998</v>
      </c>
      <c r="Q1538" s="19">
        <v>8.3602324000000006E-2</v>
      </c>
      <c r="R1538" s="20">
        <v>28744</v>
      </c>
      <c r="S1538" s="21" t="str">
        <f>HYPERLINK("https://www.northampton.edu/about/consumer-rights/net-price-calculator.htm", "$22059")</f>
        <v>$22059</v>
      </c>
      <c r="T1538" s="20">
        <v>25492</v>
      </c>
      <c r="U1538" s="20">
        <v>27993</v>
      </c>
      <c r="V1538" s="20">
        <v>6300</v>
      </c>
      <c r="W1538" s="20">
        <v>15759.53023255814</v>
      </c>
      <c r="Y1538" s="19">
        <v>0.41539999999999999</v>
      </c>
      <c r="Z1538" s="19">
        <v>0.44119999999999998</v>
      </c>
      <c r="AB1538" s="18">
        <v>9203</v>
      </c>
      <c r="AC1538" s="18">
        <v>6</v>
      </c>
    </row>
    <row r="1539" spans="1:29" ht="15.75" customHeight="1" x14ac:dyDescent="0.2">
      <c r="A1539" s="36" t="str">
        <f>HYPERLINK("https://www.northeast.edu", "Northeast Community College")</f>
        <v>Northeast Community College</v>
      </c>
      <c r="B1539" s="18" t="s">
        <v>49</v>
      </c>
      <c r="C1539" s="18" t="s">
        <v>341</v>
      </c>
      <c r="D1539" s="18" t="s">
        <v>800</v>
      </c>
      <c r="E1539" s="18" t="s">
        <v>36</v>
      </c>
      <c r="F1539" s="18" t="s">
        <v>36</v>
      </c>
      <c r="J1539" s="19"/>
      <c r="K1539" s="19">
        <v>0.55159999999999998</v>
      </c>
      <c r="L1539" s="19">
        <v>0.37076648799999989</v>
      </c>
      <c r="M1539" s="19">
        <v>0.58640000000000003</v>
      </c>
      <c r="N1539" s="19">
        <v>0.18179999999999999</v>
      </c>
      <c r="O1539" s="19">
        <v>0.44440000000000002</v>
      </c>
      <c r="P1539" s="19">
        <v>1</v>
      </c>
      <c r="Q1539" s="19">
        <v>5.0832602999999997E-2</v>
      </c>
      <c r="R1539" s="20">
        <v>15716</v>
      </c>
      <c r="S1539" s="21" t="str">
        <f>HYPERLINK("https://www.northeast.edu/costs/calculator", "$9905")</f>
        <v>$9905</v>
      </c>
      <c r="T1539" s="20">
        <v>12591</v>
      </c>
      <c r="U1539" s="20">
        <v>14755</v>
      </c>
      <c r="V1539" s="20">
        <v>3006</v>
      </c>
      <c r="W1539" s="20">
        <v>6899.4661354581676</v>
      </c>
      <c r="Y1539" s="19">
        <v>0.22639999999999999</v>
      </c>
      <c r="Z1539" s="19">
        <v>0.24579999999999999</v>
      </c>
      <c r="AB1539" s="18">
        <v>2693</v>
      </c>
      <c r="AC1539" s="18">
        <v>6</v>
      </c>
    </row>
    <row r="1540" spans="1:29" ht="15.75" customHeight="1" x14ac:dyDescent="0.2">
      <c r="A1540" s="36" t="str">
        <f>HYPERLINK("https://www.nicc.edu", "Northeast Iowa Community College")</f>
        <v>Northeast Iowa Community College</v>
      </c>
      <c r="B1540" s="18" t="s">
        <v>49</v>
      </c>
      <c r="C1540" s="18" t="s">
        <v>211</v>
      </c>
      <c r="D1540" s="18" t="s">
        <v>1582</v>
      </c>
      <c r="E1540" s="18" t="s">
        <v>36</v>
      </c>
      <c r="F1540" s="18" t="s">
        <v>36</v>
      </c>
      <c r="J1540" s="19"/>
      <c r="K1540" s="19">
        <v>0.44009999999999999</v>
      </c>
      <c r="L1540" s="19">
        <v>0.22880371699999999</v>
      </c>
      <c r="M1540" s="19">
        <v>0.45579999999999998</v>
      </c>
      <c r="N1540" s="19">
        <v>0</v>
      </c>
      <c r="O1540" s="19">
        <v>0.25</v>
      </c>
      <c r="P1540" s="19">
        <v>0.5</v>
      </c>
      <c r="Q1540" s="19">
        <v>5.552166E-2</v>
      </c>
      <c r="R1540" s="20">
        <v>18479</v>
      </c>
      <c r="S1540" s="21" t="str">
        <f>HYPERLINK("https://web.nicc.edu/Marketing/NetPriceCalculator/npcalc.htm", "$12425")</f>
        <v>$12425</v>
      </c>
      <c r="T1540" s="20">
        <v>15476</v>
      </c>
      <c r="U1540" s="20">
        <v>17713</v>
      </c>
      <c r="V1540" s="20">
        <v>6009</v>
      </c>
      <c r="W1540" s="20">
        <v>6416.6076923076926</v>
      </c>
      <c r="Y1540" s="19">
        <v>0.2437</v>
      </c>
      <c r="Z1540" s="19">
        <v>0.1348</v>
      </c>
      <c r="AB1540" s="18">
        <v>2210</v>
      </c>
      <c r="AC1540" s="18">
        <v>6</v>
      </c>
    </row>
    <row r="1541" spans="1:29" ht="15.75" customHeight="1" x14ac:dyDescent="0.2">
      <c r="A1541" s="36" t="str">
        <f>HYPERLINK("https://www.nemcc.edu", "Northeast Mississippi Community College")</f>
        <v>Northeast Mississippi Community College</v>
      </c>
      <c r="B1541" s="18" t="s">
        <v>49</v>
      </c>
      <c r="C1541" s="18" t="s">
        <v>59</v>
      </c>
      <c r="D1541" s="18" t="s">
        <v>1583</v>
      </c>
      <c r="E1541" s="18" t="s">
        <v>36</v>
      </c>
      <c r="F1541" s="18" t="s">
        <v>36</v>
      </c>
      <c r="J1541" s="19"/>
      <c r="K1541" s="19">
        <v>0.34050000000000002</v>
      </c>
      <c r="L1541" s="19">
        <v>0.20210728</v>
      </c>
      <c r="M1541" s="19">
        <v>0.36149999999999999</v>
      </c>
      <c r="N1541" s="19">
        <v>0.28449999999999998</v>
      </c>
      <c r="O1541" s="19">
        <v>0.43330000000000002</v>
      </c>
      <c r="P1541" s="19">
        <v>0.5</v>
      </c>
      <c r="Q1541" s="19">
        <v>6.1643835999999987E-2</v>
      </c>
      <c r="R1541" s="20">
        <v>15132</v>
      </c>
      <c r="S1541" s="21" t="str">
        <f>HYPERLINK("https://www.nemcc.edu/about/student-consumer-info/", "$9298")</f>
        <v>$9298</v>
      </c>
      <c r="T1541" s="20">
        <v>11328</v>
      </c>
      <c r="U1541" s="20">
        <v>11374</v>
      </c>
      <c r="V1541" s="20">
        <v>4710</v>
      </c>
      <c r="W1541" s="20">
        <v>4588.2663316582912</v>
      </c>
      <c r="Y1541" s="19">
        <v>0.53480000000000005</v>
      </c>
      <c r="Z1541" s="19">
        <v>0.23699999999999999</v>
      </c>
      <c r="AB1541" s="18">
        <v>2975</v>
      </c>
      <c r="AC1541" s="18">
        <v>6</v>
      </c>
    </row>
    <row r="1542" spans="1:29" ht="15.75" customHeight="1" x14ac:dyDescent="0.2">
      <c r="A1542" s="36" t="str">
        <f>HYPERLINK("https://www.northeaststate.edu/", "Northeast State Community College")</f>
        <v>Northeast State Community College</v>
      </c>
      <c r="B1542" s="18" t="s">
        <v>49</v>
      </c>
      <c r="C1542" s="18" t="s">
        <v>174</v>
      </c>
      <c r="D1542" s="18" t="s">
        <v>1584</v>
      </c>
      <c r="E1542" s="18" t="s">
        <v>36</v>
      </c>
      <c r="F1542" s="18" t="s">
        <v>36</v>
      </c>
      <c r="J1542" s="19"/>
      <c r="K1542" s="19">
        <v>0.23860000000000001</v>
      </c>
      <c r="L1542" s="19">
        <v>0.16151866200000001</v>
      </c>
      <c r="M1542" s="19">
        <v>0.2462</v>
      </c>
      <c r="N1542" s="19">
        <v>0</v>
      </c>
      <c r="O1542" s="19">
        <v>0.2069</v>
      </c>
      <c r="P1542" s="19">
        <v>0.57140000000000002</v>
      </c>
      <c r="Q1542" s="19">
        <v>6.9933184999999995E-2</v>
      </c>
      <c r="R1542" s="20">
        <v>29911</v>
      </c>
      <c r="S1542" s="21" t="str">
        <f>HYPERLINK("https://apps.northeaststate.edu/netpricecalc/", "$23312")</f>
        <v>$23312</v>
      </c>
      <c r="T1542" s="20">
        <v>25341</v>
      </c>
      <c r="U1542" s="20">
        <v>25662</v>
      </c>
      <c r="V1542" s="20">
        <v>5523</v>
      </c>
      <c r="W1542" s="20">
        <v>17789.127388535031</v>
      </c>
      <c r="Y1542" s="19">
        <v>0.41460000000000002</v>
      </c>
      <c r="Z1542" s="19">
        <v>0.10929999999999999</v>
      </c>
      <c r="AB1542" s="18">
        <v>5114</v>
      </c>
      <c r="AC1542" s="18">
        <v>6</v>
      </c>
    </row>
    <row r="1543" spans="1:29" ht="15.75" customHeight="1" x14ac:dyDescent="0.2">
      <c r="A1543" s="36" t="str">
        <f>HYPERLINK("https://www.ntcc.edu", "Northeast Texas Community College")</f>
        <v>Northeast Texas Community College</v>
      </c>
      <c r="B1543" s="18" t="s">
        <v>49</v>
      </c>
      <c r="C1543" s="18" t="s">
        <v>146</v>
      </c>
      <c r="D1543" s="18" t="s">
        <v>639</v>
      </c>
      <c r="E1543" s="18" t="s">
        <v>36</v>
      </c>
      <c r="F1543" s="18" t="s">
        <v>36</v>
      </c>
      <c r="J1543" s="19"/>
      <c r="K1543" s="19">
        <v>0.22309999999999999</v>
      </c>
      <c r="L1543" s="19">
        <v>0.201977401</v>
      </c>
      <c r="M1543" s="19">
        <v>0.21029999999999999</v>
      </c>
      <c r="N1543" s="19">
        <v>0.125</v>
      </c>
      <c r="O1543" s="19">
        <v>0.29270000000000002</v>
      </c>
      <c r="P1543" s="19">
        <v>0</v>
      </c>
      <c r="Q1543" s="19">
        <v>8.2259662999999997E-2</v>
      </c>
      <c r="R1543" s="20">
        <v>20570</v>
      </c>
      <c r="S1543" s="21" t="str">
        <f>HYPERLINK("https://www.collegeforalltexans.com/apps/CollegeMoney/", "$14870")</f>
        <v>$14870</v>
      </c>
      <c r="T1543" s="20">
        <v>17493</v>
      </c>
      <c r="U1543" s="20">
        <v>18651</v>
      </c>
      <c r="V1543" s="20">
        <v>7201</v>
      </c>
      <c r="W1543" s="20">
        <v>7669.1221374045799</v>
      </c>
      <c r="Y1543" s="19">
        <v>0.44519999999999998</v>
      </c>
      <c r="Z1543" s="19">
        <v>0.48670000000000002</v>
      </c>
      <c r="AB1543" s="18">
        <v>2137</v>
      </c>
      <c r="AC1543" s="18">
        <v>6</v>
      </c>
    </row>
    <row r="1544" spans="1:29" ht="15.75" customHeight="1" x14ac:dyDescent="0.2">
      <c r="A1544" s="36" t="str">
        <f>HYPERLINK("https://www.neiu.edu/", "Northeastern Illinois University")</f>
        <v>Northeastern Illinois University</v>
      </c>
      <c r="B1544" s="18" t="s">
        <v>49</v>
      </c>
      <c r="C1544" s="18" t="s">
        <v>137</v>
      </c>
      <c r="D1544" s="18" t="s">
        <v>161</v>
      </c>
      <c r="E1544" s="18">
        <v>910</v>
      </c>
      <c r="F1544" s="18" t="s">
        <v>35</v>
      </c>
      <c r="J1544" s="19"/>
      <c r="K1544" s="19">
        <v>0.23019999999999999</v>
      </c>
      <c r="L1544" s="19">
        <v>0.38115942000000003</v>
      </c>
      <c r="M1544" s="19">
        <v>0.36620000000000003</v>
      </c>
      <c r="N1544" s="19">
        <v>8.1100000000000005E-2</v>
      </c>
      <c r="O1544" s="19">
        <v>0.1928</v>
      </c>
      <c r="P1544" s="19">
        <v>0.26879999999999998</v>
      </c>
      <c r="Q1544" s="19"/>
      <c r="R1544" s="20">
        <v>40105</v>
      </c>
      <c r="S1544" s="21" t="str">
        <f>HYPERLINK("https://www.neiu.edu/financial-aid/financing-your-education/calculating-your-net-cost", "$32538")</f>
        <v>$32538</v>
      </c>
      <c r="T1544" s="20">
        <v>36040</v>
      </c>
      <c r="U1544" s="20">
        <v>39518</v>
      </c>
      <c r="V1544" s="20">
        <v>8889</v>
      </c>
      <c r="W1544" s="20">
        <v>23649.909090909088</v>
      </c>
      <c r="Y1544" s="19">
        <v>0.47849999999999998</v>
      </c>
      <c r="Z1544" s="19">
        <v>0.72</v>
      </c>
      <c r="AB1544" s="18">
        <v>7014</v>
      </c>
      <c r="AC1544" s="18">
        <v>4</v>
      </c>
    </row>
    <row r="1545" spans="1:29" ht="15.75" customHeight="1" x14ac:dyDescent="0.2">
      <c r="A1545" s="36" t="str">
        <f>HYPERLINK("https://www.neo.edu", "Northeastern Oklahoma A&amp;M College")</f>
        <v>Northeastern Oklahoma A&amp;M College</v>
      </c>
      <c r="B1545" s="18" t="s">
        <v>49</v>
      </c>
      <c r="C1545" s="18" t="s">
        <v>290</v>
      </c>
      <c r="D1545" s="18" t="s">
        <v>359</v>
      </c>
      <c r="E1545" s="18" t="s">
        <v>36</v>
      </c>
      <c r="F1545" s="18" t="s">
        <v>36</v>
      </c>
      <c r="J1545" s="19"/>
      <c r="K1545" s="19">
        <v>0.223</v>
      </c>
      <c r="L1545" s="19">
        <v>0.17907801400000001</v>
      </c>
      <c r="M1545" s="19">
        <v>0.27679999999999999</v>
      </c>
      <c r="N1545" s="19">
        <v>6.0600000000000001E-2</v>
      </c>
      <c r="O1545" s="19">
        <v>0.21049999999999999</v>
      </c>
      <c r="P1545" s="19">
        <v>0.66669999999999996</v>
      </c>
      <c r="Q1545" s="19">
        <v>0.111583422</v>
      </c>
      <c r="R1545" s="20">
        <v>21488</v>
      </c>
      <c r="S1545" s="21" t="str">
        <f>HYPERLINK("https://www.neo.edu/NetPrice/npcalc.htm", "$15207")</f>
        <v>$15207</v>
      </c>
      <c r="T1545" s="20">
        <v>18355</v>
      </c>
      <c r="U1545" s="20">
        <v>18985</v>
      </c>
      <c r="V1545" s="20">
        <v>5130</v>
      </c>
      <c r="W1545" s="20">
        <v>10077.62171052632</v>
      </c>
      <c r="Y1545" s="19">
        <v>0.63070000000000004</v>
      </c>
      <c r="Z1545" s="19">
        <v>0.5</v>
      </c>
      <c r="AB1545" s="18">
        <v>1812</v>
      </c>
      <c r="AC1545" s="18">
        <v>6</v>
      </c>
    </row>
    <row r="1546" spans="1:29" ht="15.75" customHeight="1" x14ac:dyDescent="0.2">
      <c r="A1546" s="36" t="str">
        <f>HYPERLINK("https://www.nsuok.edu", "Northeastern State University")</f>
        <v>Northeastern State University</v>
      </c>
      <c r="B1546" s="18" t="s">
        <v>49</v>
      </c>
      <c r="C1546" s="18" t="s">
        <v>290</v>
      </c>
      <c r="D1546" s="18" t="s">
        <v>431</v>
      </c>
      <c r="E1546" s="18">
        <v>1083</v>
      </c>
      <c r="F1546" s="18" t="s">
        <v>35</v>
      </c>
      <c r="J1546" s="19"/>
      <c r="K1546" s="19">
        <v>0.316</v>
      </c>
      <c r="L1546" s="19">
        <v>0.34655035699999998</v>
      </c>
      <c r="M1546" s="19">
        <v>0.31540000000000001</v>
      </c>
      <c r="N1546" s="19">
        <v>0.28570000000000001</v>
      </c>
      <c r="O1546" s="19">
        <v>0.23680000000000001</v>
      </c>
      <c r="P1546" s="19">
        <v>0.25</v>
      </c>
      <c r="Q1546" s="19"/>
      <c r="R1546" s="20">
        <v>24986</v>
      </c>
      <c r="S1546" s="21" t="str">
        <f>HYPERLINK("https://offices.nsuok.edu/financialaid/NetPriceCalculator.aspx", "$15875")</f>
        <v>$15875</v>
      </c>
      <c r="T1546" s="20">
        <v>19756</v>
      </c>
      <c r="U1546" s="20">
        <v>22272</v>
      </c>
      <c r="V1546" s="20">
        <v>3200</v>
      </c>
      <c r="W1546" s="20">
        <v>12675.705882352941</v>
      </c>
      <c r="Y1546" s="19">
        <v>0.45979999999999999</v>
      </c>
      <c r="Z1546" s="19">
        <v>0.5302</v>
      </c>
      <c r="AB1546" s="18">
        <v>6401</v>
      </c>
      <c r="AC1546" s="18">
        <v>3</v>
      </c>
    </row>
    <row r="1547" spans="1:29" ht="15.75" customHeight="1" x14ac:dyDescent="0.2">
      <c r="A1547" s="36" t="str">
        <f>HYPERLINK("https://www.northeastern.edu", "Northeastern University Lifelong Learning Network	")</f>
        <v xml:space="preserve">Northeastern University Lifelong Learning Network	</v>
      </c>
      <c r="B1547" s="18" t="s">
        <v>32</v>
      </c>
      <c r="C1547" s="18" t="s">
        <v>33</v>
      </c>
      <c r="D1547" s="18" t="s">
        <v>136</v>
      </c>
      <c r="E1547" s="18">
        <v>1482</v>
      </c>
      <c r="F1547" s="18" t="s">
        <v>35</v>
      </c>
      <c r="J1547" s="19"/>
      <c r="K1547" s="19">
        <v>0.87129999999999996</v>
      </c>
      <c r="L1547" s="19">
        <v>0.48829953199999998</v>
      </c>
      <c r="M1547" s="19">
        <v>0.89629999999999999</v>
      </c>
      <c r="N1547" s="19">
        <v>0.78639999999999999</v>
      </c>
      <c r="O1547" s="19">
        <v>0.85629999999999995</v>
      </c>
      <c r="P1547" s="19">
        <v>0.90580000000000005</v>
      </c>
      <c r="Q1547" s="19"/>
      <c r="R1547" s="20">
        <v>68177</v>
      </c>
      <c r="S1547" s="21" t="str">
        <f>HYPERLINK("https://studentfinance.northeastern.edu/financial-tools-and-calculators/", "$11986")</f>
        <v>$11986</v>
      </c>
      <c r="T1547" s="20">
        <v>18810</v>
      </c>
      <c r="U1547" s="20">
        <v>25860</v>
      </c>
      <c r="V1547" s="20">
        <v>2800</v>
      </c>
      <c r="W1547" s="20">
        <v>9186</v>
      </c>
      <c r="Y1547" s="19">
        <v>0.1217</v>
      </c>
      <c r="Z1547" s="19">
        <v>0.54149999999999998</v>
      </c>
      <c r="AB1547" s="18">
        <v>13666</v>
      </c>
      <c r="AC1547" s="18">
        <v>1</v>
      </c>
    </row>
    <row r="1548" spans="1:29" ht="15.75" customHeight="1" x14ac:dyDescent="0.2">
      <c r="A1548" s="36" t="str">
        <f>HYPERLINK("https://www.northeastern.edu/learnforlife/", "Northeastern University Lifelong Learning Network	")</f>
        <v xml:space="preserve">Northeastern University Lifelong Learning Network	</v>
      </c>
      <c r="B1548" s="18" t="s">
        <v>32</v>
      </c>
      <c r="C1548" s="18" t="s">
        <v>33</v>
      </c>
      <c r="D1548" s="18" t="s">
        <v>136</v>
      </c>
      <c r="E1548" s="18" t="s">
        <v>36</v>
      </c>
      <c r="F1548" s="18" t="s">
        <v>36</v>
      </c>
      <c r="J1548" s="19"/>
      <c r="K1548" s="19" t="s">
        <v>36</v>
      </c>
      <c r="L1548" s="19">
        <v>0.48829953199999998</v>
      </c>
      <c r="M1548" s="19" t="s">
        <v>36</v>
      </c>
      <c r="N1548" s="19" t="s">
        <v>36</v>
      </c>
      <c r="O1548" s="19" t="s">
        <v>36</v>
      </c>
      <c r="P1548" s="19" t="s">
        <v>36</v>
      </c>
      <c r="Q1548" s="19"/>
      <c r="R1548" s="20" t="s">
        <v>36</v>
      </c>
      <c r="S1548" s="21" t="str">
        <f>HYPERLINK("https://studentfinance.northeastern.edu/financial-tools-and-calculators/", "Not reported")</f>
        <v>Not reported</v>
      </c>
      <c r="T1548" s="20" t="s">
        <v>36</v>
      </c>
      <c r="U1548" s="20" t="s">
        <v>36</v>
      </c>
      <c r="V1548" s="20" t="s">
        <v>36</v>
      </c>
      <c r="W1548" s="20" t="s">
        <v>36</v>
      </c>
      <c r="Y1548" s="19">
        <v>0.10489999999999999</v>
      </c>
      <c r="Z1548" s="19">
        <v>0.61519999999999997</v>
      </c>
      <c r="AB1548" s="18">
        <v>1814</v>
      </c>
      <c r="AC1548" s="18">
        <v>2</v>
      </c>
    </row>
    <row r="1549" spans="1:29" ht="15.75" customHeight="1" x14ac:dyDescent="0.2">
      <c r="A1549" s="36" t="str">
        <f>HYPERLINK("https://nau.edu/", "Northern Arizona University")</f>
        <v>Northern Arizona University</v>
      </c>
      <c r="B1549" s="18" t="s">
        <v>49</v>
      </c>
      <c r="C1549" s="18" t="s">
        <v>354</v>
      </c>
      <c r="D1549" s="18" t="s">
        <v>1014</v>
      </c>
      <c r="E1549" s="18" t="s">
        <v>36</v>
      </c>
      <c r="F1549" s="18" t="s">
        <v>90</v>
      </c>
      <c r="J1549" s="19"/>
      <c r="K1549" s="19">
        <v>0.55289999999999995</v>
      </c>
      <c r="L1549" s="19">
        <v>0.46264940199999999</v>
      </c>
      <c r="M1549" s="19">
        <v>0.59289999999999998</v>
      </c>
      <c r="N1549" s="19">
        <v>0.33329999999999999</v>
      </c>
      <c r="O1549" s="19">
        <v>0.48</v>
      </c>
      <c r="P1549" s="19">
        <v>0.48980000000000001</v>
      </c>
      <c r="Q1549" s="19"/>
      <c r="R1549" s="20">
        <v>40705</v>
      </c>
      <c r="S1549" s="21" t="str">
        <f>HYPERLINK("https://nau.edu/office-of-scholarships-and-financial-aid/budgeting-for-college/", "$26047")</f>
        <v>$26047</v>
      </c>
      <c r="T1549" s="20">
        <v>28716</v>
      </c>
      <c r="U1549" s="20">
        <v>32365</v>
      </c>
      <c r="V1549" s="20">
        <v>5920</v>
      </c>
      <c r="W1549" s="20">
        <v>20127.562694300519</v>
      </c>
      <c r="Y1549" s="19">
        <v>0.34620000000000001</v>
      </c>
      <c r="Z1549" s="19">
        <v>0.43120000000000003</v>
      </c>
      <c r="AB1549" s="18">
        <v>26974</v>
      </c>
      <c r="AC1549" s="18">
        <v>4</v>
      </c>
    </row>
    <row r="1550" spans="1:29" ht="15.75" customHeight="1" x14ac:dyDescent="0.2">
      <c r="A1550" s="36" t="str">
        <f>HYPERLINK("https://www.necc.mass.edu/", "Northern Essex Community College")</f>
        <v>Northern Essex Community College</v>
      </c>
      <c r="B1550" s="18" t="s">
        <v>49</v>
      </c>
      <c r="C1550" s="18" t="s">
        <v>33</v>
      </c>
      <c r="D1550" s="18" t="s">
        <v>1585</v>
      </c>
      <c r="E1550" s="18" t="s">
        <v>36</v>
      </c>
      <c r="F1550" s="18" t="s">
        <v>36</v>
      </c>
      <c r="J1550" s="19"/>
      <c r="K1550" s="19">
        <v>0.1759</v>
      </c>
      <c r="L1550" s="19">
        <v>0.19866567800000001</v>
      </c>
      <c r="M1550" s="19">
        <v>0.23680000000000001</v>
      </c>
      <c r="N1550" s="19">
        <v>0.13639999999999999</v>
      </c>
      <c r="O1550" s="19">
        <v>0.1096</v>
      </c>
      <c r="P1550" s="19">
        <v>7.1400000000000005E-2</v>
      </c>
      <c r="Q1550" s="19">
        <v>7.3277967999999999E-2</v>
      </c>
      <c r="R1550" s="20">
        <v>25638</v>
      </c>
      <c r="S1550" s="21" t="str">
        <f>HYPERLINK("https://www.necc.mass.edu/afford/tuition-costs/estimating-costs/net-price-calculator/", "$20563")</f>
        <v>$20563</v>
      </c>
      <c r="T1550" s="20">
        <v>22017</v>
      </c>
      <c r="U1550" s="20">
        <v>24813</v>
      </c>
      <c r="V1550" s="20">
        <v>5034</v>
      </c>
      <c r="W1550" s="20">
        <v>15529.78260869565</v>
      </c>
      <c r="Y1550" s="19">
        <v>0.54600000000000004</v>
      </c>
      <c r="Z1550" s="19">
        <v>0.54489999999999994</v>
      </c>
      <c r="AB1550" s="18">
        <v>5133</v>
      </c>
      <c r="AC1550" s="18">
        <v>6</v>
      </c>
    </row>
    <row r="1551" spans="1:29" ht="15.75" customHeight="1" x14ac:dyDescent="0.2">
      <c r="A1551" s="36" t="str">
        <f>HYPERLINK("https://www.niu.edu", "Northern Illinois University")</f>
        <v>Northern Illinois University</v>
      </c>
      <c r="B1551" s="18" t="s">
        <v>49</v>
      </c>
      <c r="C1551" s="18" t="s">
        <v>137</v>
      </c>
      <c r="D1551" s="18" t="s">
        <v>1016</v>
      </c>
      <c r="E1551" s="18">
        <v>1085</v>
      </c>
      <c r="F1551" s="18" t="s">
        <v>35</v>
      </c>
      <c r="J1551" s="19"/>
      <c r="K1551" s="19">
        <v>0.44969999999999999</v>
      </c>
      <c r="L1551" s="19">
        <v>0.48306997699999998</v>
      </c>
      <c r="M1551" s="19">
        <v>0.54449999999999998</v>
      </c>
      <c r="N1551" s="19">
        <v>0.29399999999999998</v>
      </c>
      <c r="O1551" s="19">
        <v>0.38119999999999998</v>
      </c>
      <c r="P1551" s="19">
        <v>0.51959999999999995</v>
      </c>
      <c r="Q1551" s="19"/>
      <c r="R1551" s="20">
        <v>38314</v>
      </c>
      <c r="S1551" s="21" t="str">
        <f>HYPERLINK("https://www.niu.edu/bursar/tuition/estimator.shtml", "$26958")</f>
        <v>$26958</v>
      </c>
      <c r="T1551" s="20">
        <v>28969</v>
      </c>
      <c r="U1551" s="20">
        <v>32159</v>
      </c>
      <c r="V1551" s="20">
        <v>3618</v>
      </c>
      <c r="W1551" s="20">
        <v>23340.97288676236</v>
      </c>
      <c r="Y1551" s="19">
        <v>0.4279</v>
      </c>
      <c r="Z1551" s="19">
        <v>0.45209999999999989</v>
      </c>
      <c r="AB1551" s="18">
        <v>13430</v>
      </c>
      <c r="AC1551" s="18">
        <v>4</v>
      </c>
    </row>
    <row r="1552" spans="1:29" ht="15.75" customHeight="1" x14ac:dyDescent="0.2">
      <c r="A1552" s="36" t="str">
        <f>HYPERLINK("https://www.nku.edu", "Northern Kentucky University")</f>
        <v>Northern Kentucky University</v>
      </c>
      <c r="B1552" s="18" t="s">
        <v>49</v>
      </c>
      <c r="C1552" s="18" t="s">
        <v>205</v>
      </c>
      <c r="D1552" s="18" t="s">
        <v>1017</v>
      </c>
      <c r="E1552" s="18">
        <v>1142</v>
      </c>
      <c r="F1552" s="18" t="s">
        <v>35</v>
      </c>
      <c r="J1552" s="19"/>
      <c r="K1552" s="19">
        <v>0.3967</v>
      </c>
      <c r="L1552" s="19">
        <v>0.36866791700000001</v>
      </c>
      <c r="M1552" s="19">
        <v>0.41020000000000001</v>
      </c>
      <c r="N1552" s="19">
        <v>0.26590000000000003</v>
      </c>
      <c r="O1552" s="19">
        <v>0.28070000000000001</v>
      </c>
      <c r="P1552" s="19">
        <v>0.2727</v>
      </c>
      <c r="Q1552" s="19"/>
      <c r="R1552" s="20">
        <v>32136</v>
      </c>
      <c r="S1552" s="21" t="str">
        <f>HYPERLINK("https://nku.studentaidcalculator.com/welcome.aspx", "$20104")</f>
        <v>$20104</v>
      </c>
      <c r="T1552" s="20">
        <v>24783</v>
      </c>
      <c r="U1552" s="20">
        <v>27899</v>
      </c>
      <c r="V1552" s="20">
        <v>3300</v>
      </c>
      <c r="W1552" s="20">
        <v>16804.95404814004</v>
      </c>
      <c r="Y1552" s="19">
        <v>0.30959999999999999</v>
      </c>
      <c r="Z1552" s="19">
        <v>0.18740000000000001</v>
      </c>
      <c r="AB1552" s="18">
        <v>10728</v>
      </c>
      <c r="AC1552" s="18">
        <v>4</v>
      </c>
    </row>
    <row r="1553" spans="1:29" ht="15.75" customHeight="1" x14ac:dyDescent="0.2">
      <c r="A1553" s="36" t="str">
        <f>HYPERLINK("https://www.nmcc.edu", "Northern Maine Community College")</f>
        <v>Northern Maine Community College</v>
      </c>
      <c r="B1553" s="18" t="s">
        <v>49</v>
      </c>
      <c r="C1553" s="18" t="s">
        <v>43</v>
      </c>
      <c r="D1553" s="18" t="s">
        <v>896</v>
      </c>
      <c r="E1553" s="18" t="s">
        <v>36</v>
      </c>
      <c r="F1553" s="18" t="s">
        <v>36</v>
      </c>
      <c r="J1553" s="19"/>
      <c r="K1553" s="19">
        <v>0.44529999999999997</v>
      </c>
      <c r="L1553" s="19">
        <v>0.411149826</v>
      </c>
      <c r="M1553" s="19">
        <v>0.46089999999999998</v>
      </c>
      <c r="N1553" s="19">
        <v>0.2</v>
      </c>
      <c r="O1553" s="19">
        <v>0.2</v>
      </c>
      <c r="P1553" s="19" t="s">
        <v>36</v>
      </c>
      <c r="Q1553" s="19" t="s">
        <v>36</v>
      </c>
      <c r="R1553" s="20">
        <v>20499</v>
      </c>
      <c r="S1553" s="21" t="str">
        <f>HYPERLINK("https://www2.nmcc.edu/npc/", "$13612")</f>
        <v>$13612</v>
      </c>
      <c r="T1553" s="20">
        <v>17515</v>
      </c>
      <c r="U1553" s="20">
        <v>20170</v>
      </c>
      <c r="V1553" s="20">
        <v>6240</v>
      </c>
      <c r="W1553" s="20">
        <v>7372.507462686568</v>
      </c>
      <c r="Y1553" s="19">
        <v>0.49769999999999998</v>
      </c>
      <c r="Z1553" s="19">
        <v>0.1135</v>
      </c>
      <c r="AB1553" s="18">
        <v>608</v>
      </c>
      <c r="AC1553" s="18">
        <v>6</v>
      </c>
    </row>
    <row r="1554" spans="1:29" ht="15.75" customHeight="1" x14ac:dyDescent="0.2">
      <c r="A1554" s="36" t="str">
        <f>HYPERLINK("https://www.marianas.edu/", "Northern Marianas College")</f>
        <v>Northern Marianas College</v>
      </c>
      <c r="B1554" s="18" t="s">
        <v>49</v>
      </c>
      <c r="C1554" s="18" t="s">
        <v>1586</v>
      </c>
      <c r="D1554" s="18" t="s">
        <v>1587</v>
      </c>
      <c r="E1554" s="18" t="s">
        <v>36</v>
      </c>
      <c r="F1554" s="18" t="s">
        <v>36</v>
      </c>
      <c r="J1554" s="19"/>
      <c r="K1554" s="19">
        <v>0.1527</v>
      </c>
      <c r="L1554" s="19">
        <v>0.108391608</v>
      </c>
      <c r="M1554" s="19" t="s">
        <v>36</v>
      </c>
      <c r="N1554" s="19">
        <v>0</v>
      </c>
      <c r="O1554" s="19">
        <v>0</v>
      </c>
      <c r="P1554" s="19">
        <v>0.20649999999999999</v>
      </c>
      <c r="Q1554" s="19">
        <v>3.8759689999999999E-2</v>
      </c>
      <c r="R1554" s="20">
        <v>15120</v>
      </c>
      <c r="S1554" s="21" t="str">
        <f>HYPERLINK("https://www.marianas.edu/FinCal_2018/npcalc.htm", "$10063")</f>
        <v>$10063</v>
      </c>
      <c r="T1554" s="20">
        <v>11680</v>
      </c>
      <c r="U1554" s="20">
        <v>12946</v>
      </c>
      <c r="V1554" s="20">
        <v>4400</v>
      </c>
      <c r="W1554" s="20">
        <v>5663.4020618556697</v>
      </c>
      <c r="Y1554" s="19">
        <v>0.75139999999999996</v>
      </c>
      <c r="Z1554" s="19">
        <v>0.98799999999999999</v>
      </c>
      <c r="AB1554" s="18">
        <v>1169</v>
      </c>
      <c r="AC1554" s="18">
        <v>6</v>
      </c>
    </row>
    <row r="1555" spans="1:29" ht="15.75" customHeight="1" x14ac:dyDescent="0.2">
      <c r="A1555" s="36" t="str">
        <f>HYPERLINK("https://www.nmu.edu", "Northern Michigan University")</f>
        <v>Northern Michigan University</v>
      </c>
      <c r="B1555" s="18" t="s">
        <v>49</v>
      </c>
      <c r="C1555" s="18" t="s">
        <v>226</v>
      </c>
      <c r="D1555" s="18" t="s">
        <v>432</v>
      </c>
      <c r="E1555" s="18">
        <v>1082</v>
      </c>
      <c r="F1555" s="18" t="s">
        <v>35</v>
      </c>
      <c r="J1555" s="19"/>
      <c r="K1555" s="19">
        <v>0.4904</v>
      </c>
      <c r="L1555" s="19">
        <v>0.36953807700000002</v>
      </c>
      <c r="M1555" s="19">
        <v>0.51949999999999996</v>
      </c>
      <c r="N1555" s="19">
        <v>0.2034</v>
      </c>
      <c r="O1555" s="19">
        <v>0.28810000000000002</v>
      </c>
      <c r="P1555" s="19">
        <v>0.36359999999999998</v>
      </c>
      <c r="Q1555" s="19"/>
      <c r="R1555" s="20">
        <v>28784</v>
      </c>
      <c r="S1555" s="21" t="str">
        <f>HYPERLINK("https://www.nmu.edu/financialaidtoolbox/PriceCalculators", "$17044")</f>
        <v>$17044</v>
      </c>
      <c r="T1555" s="20">
        <v>21993</v>
      </c>
      <c r="U1555" s="20">
        <v>25555</v>
      </c>
      <c r="V1555" s="20">
        <v>2720</v>
      </c>
      <c r="W1555" s="20">
        <v>14324.905844155841</v>
      </c>
      <c r="Y1555" s="19">
        <v>0.33310000000000001</v>
      </c>
      <c r="Z1555" s="19">
        <v>0.14499999999999999</v>
      </c>
      <c r="AB1555" s="18">
        <v>6635</v>
      </c>
      <c r="AC1555" s="18">
        <v>3</v>
      </c>
    </row>
    <row r="1556" spans="1:29" ht="15.75" customHeight="1" x14ac:dyDescent="0.2">
      <c r="A1556" s="36" t="str">
        <f>HYPERLINK("https://nnmc.edu", "Northern New Mexico College")</f>
        <v>Northern New Mexico College</v>
      </c>
      <c r="B1556" s="18" t="s">
        <v>49</v>
      </c>
      <c r="C1556" s="18" t="s">
        <v>234</v>
      </c>
      <c r="D1556" s="18" t="s">
        <v>1588</v>
      </c>
      <c r="E1556" s="18" t="s">
        <v>36</v>
      </c>
      <c r="F1556" s="18" t="s">
        <v>36</v>
      </c>
      <c r="J1556" s="19"/>
      <c r="K1556" s="19">
        <v>0.23</v>
      </c>
      <c r="L1556" s="19">
        <v>0.16181229799999999</v>
      </c>
      <c r="M1556" s="19">
        <v>0.33329999999999999</v>
      </c>
      <c r="N1556" s="19">
        <v>0</v>
      </c>
      <c r="O1556" s="19">
        <v>0.2135</v>
      </c>
      <c r="P1556" s="19" t="s">
        <v>36</v>
      </c>
      <c r="Q1556" s="19">
        <v>3.9702233000000003E-2</v>
      </c>
      <c r="R1556" s="20">
        <v>26625</v>
      </c>
      <c r="S1556" s="21" t="str">
        <f>HYPERLINK("https://nnmc.edu/wp-content/uploads/2016/09/NetPriceCalculator16/npcalc.htm", "$21534")</f>
        <v>$21534</v>
      </c>
      <c r="T1556" s="20">
        <v>23405</v>
      </c>
      <c r="U1556" s="20">
        <v>26625</v>
      </c>
      <c r="V1556" s="20">
        <v>4500</v>
      </c>
      <c r="W1556" s="20">
        <v>17034.7</v>
      </c>
      <c r="Y1556" s="19">
        <v>0.70879999999999999</v>
      </c>
      <c r="Z1556" s="19">
        <v>0.91459999999999997</v>
      </c>
      <c r="AB1556" s="18">
        <v>878</v>
      </c>
      <c r="AC1556" s="18">
        <v>6</v>
      </c>
    </row>
    <row r="1557" spans="1:29" ht="15.75" customHeight="1" x14ac:dyDescent="0.2">
      <c r="A1557" s="36" t="str">
        <f>HYPERLINK("https://www.noc.edu", "Northern Oklahoma College")</f>
        <v>Northern Oklahoma College</v>
      </c>
      <c r="B1557" s="18" t="s">
        <v>49</v>
      </c>
      <c r="C1557" s="18" t="s">
        <v>290</v>
      </c>
      <c r="D1557" s="18" t="s">
        <v>1589</v>
      </c>
      <c r="E1557" s="18" t="s">
        <v>36</v>
      </c>
      <c r="F1557" s="18" t="s">
        <v>36</v>
      </c>
      <c r="J1557" s="19"/>
      <c r="K1557" s="19">
        <v>0.29310000000000003</v>
      </c>
      <c r="L1557" s="19">
        <v>0.23110151200000001</v>
      </c>
      <c r="M1557" s="19">
        <v>0.31359999999999999</v>
      </c>
      <c r="N1557" s="19">
        <v>0.16</v>
      </c>
      <c r="O1557" s="19">
        <v>0.45650000000000002</v>
      </c>
      <c r="P1557" s="19">
        <v>0.6</v>
      </c>
      <c r="Q1557" s="19">
        <v>9.6469104999999999E-2</v>
      </c>
      <c r="R1557" s="20">
        <v>20065</v>
      </c>
      <c r="S1557" s="21" t="str">
        <f>HYPERLINK("https://www.noc.edu/future-students", "$14161")</f>
        <v>$14161</v>
      </c>
      <c r="T1557" s="20">
        <v>16576</v>
      </c>
      <c r="U1557" s="20">
        <v>18794</v>
      </c>
      <c r="V1557" s="20">
        <v>3400</v>
      </c>
      <c r="W1557" s="20">
        <v>10761.972222222221</v>
      </c>
      <c r="Y1557" s="19">
        <v>0.24</v>
      </c>
      <c r="Z1557" s="19">
        <v>0.36049999999999999</v>
      </c>
      <c r="AB1557" s="18">
        <v>2752</v>
      </c>
      <c r="AC1557" s="18">
        <v>6</v>
      </c>
    </row>
    <row r="1558" spans="1:29" ht="15.75" customHeight="1" x14ac:dyDescent="0.2">
      <c r="A1558" s="36" t="str">
        <f>HYPERLINK("https://www.northern.edu", "Northern State University")</f>
        <v>Northern State University</v>
      </c>
      <c r="B1558" s="18" t="s">
        <v>49</v>
      </c>
      <c r="C1558" s="18" t="s">
        <v>302</v>
      </c>
      <c r="D1558" s="18" t="s">
        <v>814</v>
      </c>
      <c r="E1558" s="18">
        <v>1083</v>
      </c>
      <c r="F1558" s="18" t="s">
        <v>35</v>
      </c>
      <c r="J1558" s="19"/>
      <c r="K1558" s="19">
        <v>0.45119999999999999</v>
      </c>
      <c r="L1558" s="19">
        <v>0.27272727299999999</v>
      </c>
      <c r="M1558" s="19">
        <v>0.46850000000000003</v>
      </c>
      <c r="N1558" s="19">
        <v>0.5</v>
      </c>
      <c r="O1558" s="19">
        <v>0</v>
      </c>
      <c r="P1558" s="19">
        <v>0</v>
      </c>
      <c r="Q1558" s="19"/>
      <c r="R1558" s="20">
        <v>24254</v>
      </c>
      <c r="S1558" s="21" t="str">
        <f>HYPERLINK("https://www.northern.edu/net-price-calculator", "$16120")</f>
        <v>$16120</v>
      </c>
      <c r="T1558" s="20">
        <v>20835</v>
      </c>
      <c r="U1558" s="20">
        <v>22135</v>
      </c>
      <c r="V1558" s="20">
        <v>5200</v>
      </c>
      <c r="W1558" s="20">
        <v>10920.32051282051</v>
      </c>
      <c r="Y1558" s="19">
        <v>0.17069999999999999</v>
      </c>
      <c r="Z1558" s="19">
        <v>0.19020000000000001</v>
      </c>
      <c r="AB1558" s="18">
        <v>1488</v>
      </c>
      <c r="AC1558" s="18">
        <v>4</v>
      </c>
    </row>
    <row r="1559" spans="1:29" ht="15.75" customHeight="1" x14ac:dyDescent="0.2">
      <c r="A1559" s="36" t="str">
        <f>HYPERLINK("https://www.northernvermont.edu", "Johnson State College")</f>
        <v>Johnson State College</v>
      </c>
      <c r="B1559" s="18" t="s">
        <v>49</v>
      </c>
      <c r="C1559" s="18" t="s">
        <v>47</v>
      </c>
      <c r="D1559" s="18" t="s">
        <v>1019</v>
      </c>
      <c r="E1559" s="18">
        <v>1022</v>
      </c>
      <c r="F1559" s="18" t="s">
        <v>115</v>
      </c>
      <c r="J1559" s="19"/>
      <c r="K1559" s="19">
        <v>0.37819999999999998</v>
      </c>
      <c r="L1559" s="19">
        <v>0.37391304400000003</v>
      </c>
      <c r="M1559" s="19">
        <v>0.36940000000000001</v>
      </c>
      <c r="N1559" s="19">
        <v>0.16669999999999999</v>
      </c>
      <c r="O1559" s="19">
        <v>0.63639999999999997</v>
      </c>
      <c r="P1559" s="19">
        <v>0.5</v>
      </c>
      <c r="Q1559" s="19"/>
      <c r="R1559" s="20">
        <v>37930</v>
      </c>
      <c r="S1559" s="21" t="str">
        <f>HYPERLINK("https://www.northernvermont.edu/admissions-and-aid/tuition-and-fees/calculate-net-cost", "$26894")</f>
        <v>$26894</v>
      </c>
      <c r="T1559" s="20">
        <v>29331</v>
      </c>
      <c r="U1559" s="20">
        <v>33034</v>
      </c>
      <c r="V1559" s="20">
        <v>2950</v>
      </c>
      <c r="W1559" s="20">
        <v>23944.074074074069</v>
      </c>
      <c r="Y1559" s="19">
        <v>0.47939999999999999</v>
      </c>
      <c r="Z1559" s="19">
        <v>0.21560000000000001</v>
      </c>
      <c r="AB1559" s="18">
        <v>1317</v>
      </c>
      <c r="AC1559" s="18">
        <v>4</v>
      </c>
    </row>
    <row r="1560" spans="1:29" ht="15.75" customHeight="1" x14ac:dyDescent="0.2">
      <c r="A1560" s="36" t="str">
        <f>HYPERLINK("https://www.nvcc.edu", "Northern Virginia Community College")</f>
        <v>Northern Virginia Community College</v>
      </c>
      <c r="B1560" s="18" t="s">
        <v>49</v>
      </c>
      <c r="C1560" s="18" t="s">
        <v>83</v>
      </c>
      <c r="D1560" s="18" t="s">
        <v>1590</v>
      </c>
      <c r="E1560" s="18" t="s">
        <v>36</v>
      </c>
      <c r="F1560" s="18" t="s">
        <v>36</v>
      </c>
      <c r="J1560" s="19"/>
      <c r="K1560" s="19">
        <v>0.25040000000000001</v>
      </c>
      <c r="L1560" s="19">
        <v>0.21493047100000001</v>
      </c>
      <c r="M1560" s="19">
        <v>0.2833</v>
      </c>
      <c r="N1560" s="19">
        <v>0.1381</v>
      </c>
      <c r="O1560" s="19">
        <v>0.23719999999999999</v>
      </c>
      <c r="P1560" s="19">
        <v>0.32240000000000002</v>
      </c>
      <c r="Q1560" s="19">
        <v>0.11512505000000001</v>
      </c>
      <c r="R1560" s="20">
        <v>27275</v>
      </c>
      <c r="S1560" s="21" t="str">
        <f>HYPERLINK("https://www.vawizard.org/vccs/FinAid.action", "$21400")</f>
        <v>$21400</v>
      </c>
      <c r="T1560" s="20">
        <v>23649</v>
      </c>
      <c r="U1560" s="20">
        <v>26576</v>
      </c>
      <c r="V1560" s="20">
        <v>8366</v>
      </c>
      <c r="W1560" s="20">
        <v>13034.975121687399</v>
      </c>
      <c r="Y1560" s="19">
        <v>0.2412</v>
      </c>
      <c r="Z1560" s="19">
        <v>0.67349999999999999</v>
      </c>
      <c r="AB1560" s="18">
        <v>40119</v>
      </c>
      <c r="AC1560" s="18">
        <v>6</v>
      </c>
    </row>
    <row r="1561" spans="1:29" ht="15.75" customHeight="1" x14ac:dyDescent="0.2">
      <c r="A1561" s="36" t="str">
        <f>HYPERLINK("https://www.sheridan.edu", "Sheridan College")</f>
        <v>Sheridan College</v>
      </c>
      <c r="B1561" s="18" t="s">
        <v>49</v>
      </c>
      <c r="C1561" s="18" t="s">
        <v>1086</v>
      </c>
      <c r="D1561" s="18" t="s">
        <v>1591</v>
      </c>
      <c r="E1561" s="18" t="s">
        <v>36</v>
      </c>
      <c r="F1561" s="18" t="s">
        <v>36</v>
      </c>
      <c r="J1561" s="19"/>
      <c r="K1561" s="19">
        <v>0.45369999999999999</v>
      </c>
      <c r="L1561" s="19">
        <v>0.239884393</v>
      </c>
      <c r="M1561" s="19">
        <v>0.46510000000000001</v>
      </c>
      <c r="N1561" s="19">
        <v>0.16669999999999999</v>
      </c>
      <c r="O1561" s="19">
        <v>0.4839</v>
      </c>
      <c r="P1561" s="19">
        <v>0.5</v>
      </c>
      <c r="Q1561" s="19">
        <v>6.9243156E-2</v>
      </c>
      <c r="R1561" s="20">
        <v>18358</v>
      </c>
      <c r="S1561" s="21" t="str">
        <f>HYPERLINK("https://sheridan.studentaidcalculator.com/survey.aspx", "$13552")</f>
        <v>$13552</v>
      </c>
      <c r="T1561" s="20">
        <v>16768</v>
      </c>
      <c r="U1561" s="20">
        <v>18252</v>
      </c>
      <c r="V1561" s="20">
        <v>3472</v>
      </c>
      <c r="W1561" s="20">
        <v>10080.780000000001</v>
      </c>
      <c r="Y1561" s="19">
        <v>0.16900000000000001</v>
      </c>
      <c r="Z1561" s="19">
        <v>0.16089999999999999</v>
      </c>
      <c r="AB1561" s="18">
        <v>2076</v>
      </c>
      <c r="AC1561" s="18">
        <v>6</v>
      </c>
    </row>
    <row r="1562" spans="1:29" ht="15.75" customHeight="1" x14ac:dyDescent="0.2">
      <c r="A1562" s="36" t="str">
        <f>HYPERLINK("https://www.northland.edu", "Northland College")</f>
        <v>Northland College</v>
      </c>
      <c r="B1562" s="18" t="s">
        <v>32</v>
      </c>
      <c r="C1562" s="18" t="s">
        <v>196</v>
      </c>
      <c r="D1562" s="18" t="s">
        <v>563</v>
      </c>
      <c r="E1562" s="18" t="s">
        <v>36</v>
      </c>
      <c r="F1562" s="18" t="s">
        <v>45</v>
      </c>
      <c r="J1562" s="19"/>
      <c r="K1562" s="19">
        <v>0.63700000000000001</v>
      </c>
      <c r="L1562" s="19">
        <v>0.33333333300000001</v>
      </c>
      <c r="M1562" s="19">
        <v>0.68700000000000006</v>
      </c>
      <c r="N1562" s="19">
        <v>0</v>
      </c>
      <c r="O1562" s="19">
        <v>0.45450000000000002</v>
      </c>
      <c r="P1562" s="19">
        <v>1</v>
      </c>
      <c r="Q1562" s="19"/>
      <c r="R1562" s="20">
        <v>47493</v>
      </c>
      <c r="S1562" s="21" t="str">
        <f>HYPERLINK("https://applynow.northland.edu/register/NPC", "$14092")</f>
        <v>$14092</v>
      </c>
      <c r="T1562" s="20">
        <v>17882</v>
      </c>
      <c r="U1562" s="20">
        <v>21906</v>
      </c>
      <c r="V1562" s="20">
        <v>3450</v>
      </c>
      <c r="W1562" s="20">
        <v>10642</v>
      </c>
      <c r="Y1562" s="19">
        <v>0.3402</v>
      </c>
      <c r="Z1562" s="19">
        <v>0.20430000000000001</v>
      </c>
      <c r="AB1562" s="18">
        <v>602</v>
      </c>
      <c r="AC1562" s="18">
        <v>4</v>
      </c>
    </row>
    <row r="1563" spans="1:29" ht="15.75" customHeight="1" x14ac:dyDescent="0.2">
      <c r="A1563" s="36" t="str">
        <f>HYPERLINK("https://www.nwc.edu", "Northwest College")</f>
        <v>Northwest College</v>
      </c>
      <c r="B1563" s="18" t="s">
        <v>49</v>
      </c>
      <c r="C1563" s="18" t="s">
        <v>1086</v>
      </c>
      <c r="D1563" s="18" t="s">
        <v>1592</v>
      </c>
      <c r="E1563" s="18" t="s">
        <v>36</v>
      </c>
      <c r="F1563" s="18" t="s">
        <v>36</v>
      </c>
      <c r="J1563" s="19"/>
      <c r="K1563" s="19">
        <v>0.38519999999999999</v>
      </c>
      <c r="L1563" s="19">
        <v>0.142335766</v>
      </c>
      <c r="M1563" s="19">
        <v>0.39660000000000001</v>
      </c>
      <c r="N1563" s="19" t="s">
        <v>36</v>
      </c>
      <c r="O1563" s="19">
        <v>0.25640000000000002</v>
      </c>
      <c r="P1563" s="19">
        <v>0</v>
      </c>
      <c r="Q1563" s="19">
        <v>0.103896104</v>
      </c>
      <c r="R1563" s="20">
        <v>17814</v>
      </c>
      <c r="S1563" s="21" t="str">
        <f>HYPERLINK("https://www.nwc.edu/calculator", "$10297")</f>
        <v>$10297</v>
      </c>
      <c r="T1563" s="20">
        <v>12356</v>
      </c>
      <c r="U1563" s="20">
        <v>14793</v>
      </c>
      <c r="V1563" s="20">
        <v>4076</v>
      </c>
      <c r="W1563" s="20">
        <v>6221.8666666666668</v>
      </c>
      <c r="Y1563" s="19">
        <v>0.25659999999999999</v>
      </c>
      <c r="Z1563" s="19">
        <v>0.1762</v>
      </c>
      <c r="AB1563" s="18">
        <v>1169</v>
      </c>
      <c r="AC1563" s="18">
        <v>6</v>
      </c>
    </row>
    <row r="1564" spans="1:29" ht="15.75" customHeight="1" x14ac:dyDescent="0.2">
      <c r="A1564" s="36" t="str">
        <f>HYPERLINK("https://www.nwfsc.edu/", "Northwest Florida State College")</f>
        <v>Northwest Florida State College</v>
      </c>
      <c r="B1564" s="18" t="s">
        <v>49</v>
      </c>
      <c r="C1564" s="18" t="s">
        <v>162</v>
      </c>
      <c r="D1564" s="18" t="s">
        <v>1593</v>
      </c>
      <c r="E1564" s="18" t="s">
        <v>36</v>
      </c>
      <c r="F1564" s="18" t="s">
        <v>36</v>
      </c>
      <c r="J1564" s="19"/>
      <c r="K1564" s="19">
        <v>0.38969999999999999</v>
      </c>
      <c r="L1564" s="19">
        <v>0.25423728800000001</v>
      </c>
      <c r="M1564" s="19">
        <v>0.39639999999999997</v>
      </c>
      <c r="N1564" s="19">
        <v>0.2321</v>
      </c>
      <c r="O1564" s="19">
        <v>0.31369999999999998</v>
      </c>
      <c r="P1564" s="19">
        <v>0.5</v>
      </c>
      <c r="Q1564" s="19">
        <v>6.8712474999999995E-2</v>
      </c>
      <c r="R1564" s="20">
        <v>26696</v>
      </c>
      <c r="S1564" s="21" t="str">
        <f>HYPERLINK("https://www.nwfsc.edu/students/financialaid/net-price-calculator/", "$20749")</f>
        <v>$20749</v>
      </c>
      <c r="T1564" s="20">
        <v>23840</v>
      </c>
      <c r="U1564" s="20">
        <v>25984</v>
      </c>
      <c r="V1564" s="20">
        <v>5826</v>
      </c>
      <c r="W1564" s="20">
        <v>14923</v>
      </c>
      <c r="Y1564" s="19">
        <v>0.26379999999999998</v>
      </c>
      <c r="Z1564" s="19">
        <v>0.33520000000000011</v>
      </c>
      <c r="AB1564" s="18">
        <v>4075</v>
      </c>
      <c r="AC1564" s="18">
        <v>6</v>
      </c>
    </row>
    <row r="1565" spans="1:29" ht="15.75" customHeight="1" x14ac:dyDescent="0.2">
      <c r="A1565" s="36" t="str">
        <f>HYPERLINK("https://www.nwic.edu", "Northwest Indian College")</f>
        <v>Northwest Indian College</v>
      </c>
      <c r="B1565" s="18" t="s">
        <v>49</v>
      </c>
      <c r="C1565" s="18" t="s">
        <v>184</v>
      </c>
      <c r="D1565" s="18" t="s">
        <v>538</v>
      </c>
      <c r="E1565" s="18" t="s">
        <v>36</v>
      </c>
      <c r="F1565" s="18" t="s">
        <v>36</v>
      </c>
      <c r="J1565" s="19"/>
      <c r="K1565" s="19">
        <v>9.9000000000000005E-2</v>
      </c>
      <c r="L1565" s="19">
        <v>0.15300546500000001</v>
      </c>
      <c r="M1565" s="19">
        <v>0</v>
      </c>
      <c r="N1565" s="19">
        <v>0.5</v>
      </c>
      <c r="O1565" s="19" t="s">
        <v>36</v>
      </c>
      <c r="P1565" s="19" t="s">
        <v>36</v>
      </c>
      <c r="Q1565" s="19" t="s">
        <v>36</v>
      </c>
      <c r="R1565" s="20">
        <v>13989</v>
      </c>
      <c r="S1565" s="21" t="str">
        <f>HYPERLINK("https://www.nwic.edu/net-price-calculator/", "$7473")</f>
        <v>$7473</v>
      </c>
      <c r="T1565" s="20">
        <v>7420</v>
      </c>
      <c r="U1565" s="20" t="s">
        <v>36</v>
      </c>
      <c r="V1565" s="20">
        <v>4602</v>
      </c>
      <c r="W1565" s="20">
        <v>2871.5128205128199</v>
      </c>
      <c r="Y1565" s="19">
        <v>0.57340000000000002</v>
      </c>
      <c r="Z1565" s="19">
        <v>0.97540000000000004</v>
      </c>
      <c r="AB1565" s="18">
        <v>488</v>
      </c>
      <c r="AC1565" s="18">
        <v>6</v>
      </c>
    </row>
    <row r="1566" spans="1:29" ht="15.75" customHeight="1" x14ac:dyDescent="0.2">
      <c r="A1566" s="36" t="str">
        <f>HYPERLINK("https://www.nwicc.edu", "Northwest Iowa Community College")</f>
        <v>Northwest Iowa Community College</v>
      </c>
      <c r="B1566" s="18" t="s">
        <v>49</v>
      </c>
      <c r="C1566" s="18" t="s">
        <v>211</v>
      </c>
      <c r="D1566" s="18" t="s">
        <v>1594</v>
      </c>
      <c r="E1566" s="18" t="s">
        <v>36</v>
      </c>
      <c r="F1566" s="18" t="s">
        <v>36</v>
      </c>
      <c r="J1566" s="19"/>
      <c r="K1566" s="19">
        <v>0.6502</v>
      </c>
      <c r="L1566" s="19">
        <v>0.36746988000000003</v>
      </c>
      <c r="M1566" s="19">
        <v>0.66180000000000005</v>
      </c>
      <c r="N1566" s="19">
        <v>0</v>
      </c>
      <c r="O1566" s="19">
        <v>0.4</v>
      </c>
      <c r="P1566" s="19">
        <v>0.5</v>
      </c>
      <c r="Q1566" s="19">
        <v>3.5087719000000003E-2</v>
      </c>
      <c r="R1566" s="20">
        <v>18092</v>
      </c>
      <c r="S1566" s="21" t="str">
        <f>HYPERLINK("https://files.nwicc.edu/files/portal/netpricecalculator/npcalc.htm", "$10669")</f>
        <v>$10669</v>
      </c>
      <c r="T1566" s="20">
        <v>13833</v>
      </c>
      <c r="U1566" s="20">
        <v>16535</v>
      </c>
      <c r="V1566" s="20">
        <v>5842</v>
      </c>
      <c r="W1566" s="20">
        <v>4827</v>
      </c>
      <c r="Y1566" s="19">
        <v>0.18740000000000001</v>
      </c>
      <c r="Z1566" s="19">
        <v>0.19220000000000001</v>
      </c>
      <c r="AB1566" s="18">
        <v>765</v>
      </c>
      <c r="AC1566" s="18">
        <v>6</v>
      </c>
    </row>
    <row r="1567" spans="1:29" ht="15.75" customHeight="1" x14ac:dyDescent="0.2">
      <c r="A1567" s="36" t="str">
        <f>HYPERLINK("https://www.northwestms.edu", "Northwest Mississippi Community College")</f>
        <v>Northwest Mississippi Community College</v>
      </c>
      <c r="B1567" s="18" t="s">
        <v>49</v>
      </c>
      <c r="C1567" s="18" t="s">
        <v>59</v>
      </c>
      <c r="D1567" s="18" t="s">
        <v>1595</v>
      </c>
      <c r="E1567" s="18" t="s">
        <v>36</v>
      </c>
      <c r="F1567" s="18" t="s">
        <v>36</v>
      </c>
      <c r="J1567" s="19"/>
      <c r="K1567" s="19">
        <v>0.25069999999999998</v>
      </c>
      <c r="L1567" s="19">
        <v>0.194570136</v>
      </c>
      <c r="M1567" s="19">
        <v>0.27950000000000003</v>
      </c>
      <c r="N1567" s="19">
        <v>0.1986</v>
      </c>
      <c r="O1567" s="19">
        <v>0.3871</v>
      </c>
      <c r="P1567" s="19">
        <v>0.4667</v>
      </c>
      <c r="Q1567" s="19">
        <v>8.6015038000000002E-2</v>
      </c>
      <c r="R1567" s="20">
        <v>11700</v>
      </c>
      <c r="S1567" s="21" t="str">
        <f>HYPERLINK("https://www.northwestms.edu/index.php/?page_id=475", "$6140")</f>
        <v>$6140</v>
      </c>
      <c r="T1567" s="20">
        <v>8318</v>
      </c>
      <c r="U1567" s="20">
        <v>10546</v>
      </c>
      <c r="V1567" s="20">
        <v>2900</v>
      </c>
      <c r="W1567" s="20">
        <v>3240.9123867069479</v>
      </c>
      <c r="Y1567" s="19">
        <v>0.4728</v>
      </c>
      <c r="Z1567" s="19">
        <v>0.38729999999999998</v>
      </c>
      <c r="AB1567" s="18">
        <v>6522</v>
      </c>
      <c r="AC1567" s="18">
        <v>6</v>
      </c>
    </row>
    <row r="1568" spans="1:29" ht="15.75" customHeight="1" x14ac:dyDescent="0.2">
      <c r="A1568" s="36" t="str">
        <f>HYPERLINK("https://www.nwmissouri.edu", "Northwest Missouri State University")</f>
        <v>Northwest Missouri State University</v>
      </c>
      <c r="B1568" s="18" t="s">
        <v>49</v>
      </c>
      <c r="C1568" s="18" t="s">
        <v>164</v>
      </c>
      <c r="D1568" s="18" t="s">
        <v>413</v>
      </c>
      <c r="E1568" s="18">
        <v>1124</v>
      </c>
      <c r="F1568" s="18" t="s">
        <v>35</v>
      </c>
      <c r="J1568" s="19"/>
      <c r="K1568" s="19">
        <v>0.49780000000000002</v>
      </c>
      <c r="L1568" s="19">
        <v>0.35990888399999998</v>
      </c>
      <c r="M1568" s="19">
        <v>0.51539999999999997</v>
      </c>
      <c r="N1568" s="19">
        <v>0.25</v>
      </c>
      <c r="O1568" s="19">
        <v>0.46</v>
      </c>
      <c r="P1568" s="19">
        <v>0.75</v>
      </c>
      <c r="Q1568" s="19"/>
      <c r="R1568" s="20">
        <v>24597</v>
      </c>
      <c r="S1568" s="21" t="str">
        <f>HYPERLINK("https://www.nwmissouri.edu/finaid/net-price-calculator/", "$13851")</f>
        <v>$13851</v>
      </c>
      <c r="T1568" s="20">
        <v>17497</v>
      </c>
      <c r="U1568" s="20">
        <v>20282</v>
      </c>
      <c r="V1568" s="20">
        <v>2975</v>
      </c>
      <c r="W1568" s="20">
        <v>10876.750902527079</v>
      </c>
      <c r="Y1568" s="19">
        <v>0.31909999999999999</v>
      </c>
      <c r="Z1568" s="19">
        <v>0.19589999999999999</v>
      </c>
      <c r="AB1568" s="18">
        <v>5065</v>
      </c>
      <c r="AC1568" s="18">
        <v>4</v>
      </c>
    </row>
    <row r="1569" spans="1:29" ht="15.75" customHeight="1" x14ac:dyDescent="0.2">
      <c r="A1569" s="36" t="str">
        <f>HYPERLINK("https://www.nnu.edu", "Northwest Nazarene University")</f>
        <v>Northwest Nazarene University</v>
      </c>
      <c r="B1569" s="18" t="s">
        <v>32</v>
      </c>
      <c r="C1569" s="18" t="s">
        <v>486</v>
      </c>
      <c r="D1569" s="18" t="s">
        <v>1021</v>
      </c>
      <c r="E1569" s="18">
        <v>1142</v>
      </c>
      <c r="F1569" s="18" t="s">
        <v>35</v>
      </c>
      <c r="J1569" s="19"/>
      <c r="K1569" s="19">
        <v>0.55859999999999999</v>
      </c>
      <c r="L1569" s="19">
        <v>0.45762711900000003</v>
      </c>
      <c r="M1569" s="19">
        <v>0.57279999999999998</v>
      </c>
      <c r="N1569" s="19">
        <v>1</v>
      </c>
      <c r="O1569" s="19">
        <v>0.52170000000000005</v>
      </c>
      <c r="P1569" s="19">
        <v>0</v>
      </c>
      <c r="Q1569" s="19"/>
      <c r="R1569" s="20">
        <v>39690</v>
      </c>
      <c r="S1569" s="21" t="str">
        <f>HYPERLINK("https://nnu.studentaidcalculator.com/survey.aspx", "$16902")</f>
        <v>$16902</v>
      </c>
      <c r="T1569" s="20">
        <v>17986</v>
      </c>
      <c r="U1569" s="20">
        <v>20888</v>
      </c>
      <c r="V1569" s="20">
        <v>3690</v>
      </c>
      <c r="W1569" s="20">
        <v>13212</v>
      </c>
      <c r="Y1569" s="19">
        <v>0.375</v>
      </c>
      <c r="Z1569" s="19">
        <v>0.22159999999999999</v>
      </c>
      <c r="AB1569" s="18">
        <v>1268</v>
      </c>
      <c r="AC1569" s="18">
        <v>4</v>
      </c>
    </row>
    <row r="1570" spans="1:29" ht="15.75" customHeight="1" x14ac:dyDescent="0.2">
      <c r="A1570" s="36" t="str">
        <f>HYPERLINK("https://www.nwswb.edu", "Northwest School of Wooden Boat Building")</f>
        <v>Northwest School of Wooden Boat Building</v>
      </c>
      <c r="B1570" s="18" t="s">
        <v>32</v>
      </c>
      <c r="C1570" s="18" t="s">
        <v>184</v>
      </c>
      <c r="D1570" s="18" t="s">
        <v>1596</v>
      </c>
      <c r="E1570" s="18" t="s">
        <v>36</v>
      </c>
      <c r="F1570" s="18" t="s">
        <v>36</v>
      </c>
      <c r="J1570" s="19"/>
      <c r="K1570" s="19">
        <v>0.93330000000000002</v>
      </c>
      <c r="L1570" s="19" t="s">
        <v>36</v>
      </c>
      <c r="M1570" s="19">
        <v>0.88890000000000002</v>
      </c>
      <c r="N1570" s="19" t="s">
        <v>36</v>
      </c>
      <c r="O1570" s="19">
        <v>1</v>
      </c>
      <c r="P1570" s="19">
        <v>1</v>
      </c>
      <c r="Q1570" s="19" t="s">
        <v>36</v>
      </c>
      <c r="R1570" s="20">
        <v>28382</v>
      </c>
      <c r="S1570" s="21" t="str">
        <f>HYPERLINK("https://www.nwswb.edu", "$22497")</f>
        <v>$22497</v>
      </c>
      <c r="T1570" s="20">
        <v>28366</v>
      </c>
      <c r="U1570" s="20" t="s">
        <v>36</v>
      </c>
      <c r="V1570" s="20">
        <v>4572</v>
      </c>
      <c r="W1570" s="20">
        <v>17925</v>
      </c>
      <c r="Y1570" s="19">
        <v>0.28210000000000002</v>
      </c>
      <c r="Z1570" s="19">
        <v>0</v>
      </c>
      <c r="AB1570" s="18">
        <v>48</v>
      </c>
      <c r="AC1570" s="18">
        <v>6</v>
      </c>
    </row>
    <row r="1571" spans="1:29" ht="15.75" customHeight="1" x14ac:dyDescent="0.2">
      <c r="A1571" s="36" t="str">
        <f>HYPERLINK("https://northweststate.edu", "Northwest State Community College")</f>
        <v>Northwest State Community College</v>
      </c>
      <c r="B1571" s="18" t="s">
        <v>49</v>
      </c>
      <c r="C1571" s="18" t="s">
        <v>75</v>
      </c>
      <c r="D1571" s="18" t="s">
        <v>1597</v>
      </c>
      <c r="E1571" s="18" t="s">
        <v>36</v>
      </c>
      <c r="F1571" s="18" t="s">
        <v>36</v>
      </c>
      <c r="J1571" s="19"/>
      <c r="K1571" s="19">
        <v>0.2727</v>
      </c>
      <c r="L1571" s="19">
        <v>0.15616797900000001</v>
      </c>
      <c r="M1571" s="19">
        <v>0.29580000000000001</v>
      </c>
      <c r="N1571" s="19">
        <v>0</v>
      </c>
      <c r="O1571" s="19">
        <v>0.2</v>
      </c>
      <c r="P1571" s="19" t="s">
        <v>36</v>
      </c>
      <c r="Q1571" s="19">
        <v>5.2550232000000002E-2</v>
      </c>
      <c r="R1571" s="20">
        <v>19210</v>
      </c>
      <c r="S1571" s="21" t="str">
        <f>HYPERLINK("https://northweststate.edu/net-price-calculator", "$14904")</f>
        <v>$14904</v>
      </c>
      <c r="T1571" s="20">
        <v>17094</v>
      </c>
      <c r="U1571" s="20">
        <v>19077</v>
      </c>
      <c r="V1571" s="20">
        <v>5390</v>
      </c>
      <c r="W1571" s="20">
        <v>9514.2631578947367</v>
      </c>
      <c r="Y1571" s="19">
        <v>0.27979999999999999</v>
      </c>
      <c r="Z1571" s="19">
        <v>0.19359999999999999</v>
      </c>
      <c r="AB1571" s="18">
        <v>1250</v>
      </c>
      <c r="AC1571" s="18">
        <v>6</v>
      </c>
    </row>
    <row r="1572" spans="1:29" ht="15.75" customHeight="1" x14ac:dyDescent="0.2">
      <c r="A1572" s="36" t="str">
        <f>HYPERLINK("https://www.northwestu.edu", "Northwest University")</f>
        <v>Northwest University</v>
      </c>
      <c r="B1572" s="18" t="s">
        <v>32</v>
      </c>
      <c r="C1572" s="18" t="s">
        <v>184</v>
      </c>
      <c r="D1572" s="18" t="s">
        <v>1022</v>
      </c>
      <c r="E1572" s="18">
        <v>1122</v>
      </c>
      <c r="F1572" s="18" t="s">
        <v>35</v>
      </c>
      <c r="J1572" s="19"/>
      <c r="K1572" s="19">
        <v>0.58860000000000001</v>
      </c>
      <c r="L1572" s="19">
        <v>0.39423076899999998</v>
      </c>
      <c r="M1572" s="19">
        <v>0.61650000000000005</v>
      </c>
      <c r="N1572" s="19">
        <v>0.1429</v>
      </c>
      <c r="O1572" s="19">
        <v>0.63639999999999997</v>
      </c>
      <c r="P1572" s="19">
        <v>0.66669999999999996</v>
      </c>
      <c r="Q1572" s="19"/>
      <c r="R1572" s="20">
        <v>41990</v>
      </c>
      <c r="S1572" s="21" t="str">
        <f>HYPERLINK("https://tcc.noellevitz.com/(S(uktpuecywdncxhdcl50tvx3l))/Northwest%20University/Freshman%20Students", "$17333")</f>
        <v>$17333</v>
      </c>
      <c r="T1572" s="20">
        <v>19121</v>
      </c>
      <c r="U1572" s="20">
        <v>22671</v>
      </c>
      <c r="V1572" s="20">
        <v>3270</v>
      </c>
      <c r="W1572" s="20">
        <v>14063</v>
      </c>
      <c r="Y1572" s="19">
        <v>0.3145</v>
      </c>
      <c r="Z1572" s="19">
        <v>0.32600000000000001</v>
      </c>
      <c r="AB1572" s="18">
        <v>911</v>
      </c>
      <c r="AC1572" s="18">
        <v>4</v>
      </c>
    </row>
    <row r="1573" spans="1:29" ht="15.75" customHeight="1" x14ac:dyDescent="0.2">
      <c r="A1573" s="36" t="str">
        <f>HYPERLINK("https://alamo.edu/nvc/", "Northwest Vista College")</f>
        <v>Northwest Vista College</v>
      </c>
      <c r="B1573" s="18" t="s">
        <v>49</v>
      </c>
      <c r="C1573" s="18" t="s">
        <v>146</v>
      </c>
      <c r="D1573" s="18" t="s">
        <v>268</v>
      </c>
      <c r="E1573" s="18" t="s">
        <v>36</v>
      </c>
      <c r="F1573" s="18" t="s">
        <v>36</v>
      </c>
      <c r="J1573" s="19"/>
      <c r="K1573" s="19">
        <v>0.2944</v>
      </c>
      <c r="L1573" s="19">
        <v>0.121719285</v>
      </c>
      <c r="M1573" s="19">
        <v>0.29609999999999997</v>
      </c>
      <c r="N1573" s="19">
        <v>0.17649999999999999</v>
      </c>
      <c r="O1573" s="19">
        <v>0.29670000000000002</v>
      </c>
      <c r="P1573" s="19">
        <v>0.43330000000000002</v>
      </c>
      <c r="Q1573" s="19">
        <v>0.150272515</v>
      </c>
      <c r="R1573" s="20">
        <v>27492</v>
      </c>
      <c r="S1573" s="21" t="str">
        <f>HYPERLINK("https://www.collegeforalltexans.com/apps/CollegeMoney/index.php", "$21641")</f>
        <v>$21641</v>
      </c>
      <c r="T1573" s="20">
        <v>23985</v>
      </c>
      <c r="U1573" s="20">
        <v>26001</v>
      </c>
      <c r="V1573" s="20">
        <v>5180</v>
      </c>
      <c r="W1573" s="20">
        <v>16461.347517730501</v>
      </c>
      <c r="Y1573" s="19">
        <v>0.25109999999999999</v>
      </c>
      <c r="Z1573" s="19">
        <v>0.7833</v>
      </c>
      <c r="AB1573" s="18">
        <v>12734</v>
      </c>
      <c r="AC1573" s="18">
        <v>6</v>
      </c>
    </row>
    <row r="1574" spans="1:29" ht="15.75" customHeight="1" x14ac:dyDescent="0.2">
      <c r="A1574" s="36" t="str">
        <f>HYPERLINK("https://www.nwscc.edu", "Northwest-Shoals Community College")</f>
        <v>Northwest-Shoals Community College</v>
      </c>
      <c r="B1574" s="18" t="s">
        <v>49</v>
      </c>
      <c r="C1574" s="18" t="s">
        <v>300</v>
      </c>
      <c r="D1574" s="18" t="s">
        <v>1598</v>
      </c>
      <c r="E1574" s="18" t="s">
        <v>36</v>
      </c>
      <c r="F1574" s="18" t="s">
        <v>36</v>
      </c>
      <c r="J1574" s="19"/>
      <c r="K1574" s="19">
        <v>0.15770000000000001</v>
      </c>
      <c r="L1574" s="19">
        <v>7.5576036999999999E-2</v>
      </c>
      <c r="M1574" s="19">
        <v>0.1661</v>
      </c>
      <c r="N1574" s="19">
        <v>0.1096</v>
      </c>
      <c r="O1574" s="19">
        <v>0.2</v>
      </c>
      <c r="P1574" s="19">
        <v>0</v>
      </c>
      <c r="Q1574" s="19">
        <v>6.8987342000000007E-2</v>
      </c>
      <c r="R1574" s="20">
        <v>20456</v>
      </c>
      <c r="S1574" s="21" t="str">
        <f>HYPERLINK("https://www.nwscc.edu/about-nw-scc/college-departments/student-services/financial-aid/future-students-financial-aid-calculator", "$14511")</f>
        <v>$14511</v>
      </c>
      <c r="T1574" s="20">
        <v>17204</v>
      </c>
      <c r="U1574" s="20">
        <v>19406</v>
      </c>
      <c r="V1574" s="20">
        <v>7035</v>
      </c>
      <c r="W1574" s="20">
        <v>7476.2394366197186</v>
      </c>
      <c r="Y1574" s="19">
        <v>0.4622</v>
      </c>
      <c r="Z1574" s="19">
        <v>0.20680000000000001</v>
      </c>
      <c r="AB1574" s="18">
        <v>2698</v>
      </c>
      <c r="AC1574" s="18">
        <v>6</v>
      </c>
    </row>
    <row r="1575" spans="1:29" ht="15.75" customHeight="1" x14ac:dyDescent="0.2">
      <c r="A1575" s="36" t="str">
        <f>HYPERLINK("https://www.NC.edu", "Northwestern College-Southwestern Campus")</f>
        <v>Northwestern College-Southwestern Campus</v>
      </c>
      <c r="B1575" s="18" t="s">
        <v>368</v>
      </c>
      <c r="C1575" s="18" t="s">
        <v>137</v>
      </c>
      <c r="D1575" s="18" t="s">
        <v>1599</v>
      </c>
      <c r="E1575" s="18" t="s">
        <v>36</v>
      </c>
      <c r="F1575" s="18" t="s">
        <v>90</v>
      </c>
      <c r="J1575" s="19"/>
      <c r="K1575" s="19">
        <v>0.2041</v>
      </c>
      <c r="L1575" s="19">
        <v>0.210877863</v>
      </c>
      <c r="M1575" s="19">
        <v>0</v>
      </c>
      <c r="N1575" s="19">
        <v>0.22220000000000001</v>
      </c>
      <c r="O1575" s="19">
        <v>0.26669999999999999</v>
      </c>
      <c r="P1575" s="19" t="s">
        <v>36</v>
      </c>
      <c r="Q1575" s="19">
        <v>2.5473071E-2</v>
      </c>
      <c r="R1575" s="20">
        <v>30283</v>
      </c>
      <c r="S1575" s="21" t="str">
        <f>HYPERLINK("https://nc.edu/making-college-affordable/net-price-calculator/", "$26277")</f>
        <v>$26277</v>
      </c>
      <c r="T1575" s="20">
        <v>24987</v>
      </c>
      <c r="U1575" s="20">
        <v>21870</v>
      </c>
      <c r="V1575" s="20">
        <v>4708</v>
      </c>
      <c r="W1575" s="20">
        <v>21569</v>
      </c>
      <c r="Y1575" s="19">
        <v>0.73970000000000002</v>
      </c>
      <c r="Z1575" s="19">
        <v>0.83230000000000004</v>
      </c>
      <c r="AB1575" s="18">
        <v>650</v>
      </c>
      <c r="AC1575" s="18">
        <v>6</v>
      </c>
    </row>
    <row r="1576" spans="1:29" ht="15.75" customHeight="1" x14ac:dyDescent="0.2">
      <c r="A1576" s="36" t="str">
        <f>HYPERLINK("https://www.nwcc.commnet.edu", "Northwestern Connecticut Community College")</f>
        <v>Northwestern Connecticut Community College</v>
      </c>
      <c r="B1576" s="18" t="s">
        <v>49</v>
      </c>
      <c r="C1576" s="18" t="s">
        <v>94</v>
      </c>
      <c r="D1576" s="18" t="s">
        <v>1600</v>
      </c>
      <c r="E1576" s="18" t="s">
        <v>36</v>
      </c>
      <c r="F1576" s="18" t="s">
        <v>36</v>
      </c>
      <c r="J1576" s="19"/>
      <c r="K1576" s="19">
        <v>0.2303</v>
      </c>
      <c r="L1576" s="19">
        <v>0.15111111099999999</v>
      </c>
      <c r="M1576" s="19">
        <v>0.21279999999999999</v>
      </c>
      <c r="N1576" s="19">
        <v>0.25</v>
      </c>
      <c r="O1576" s="19">
        <v>0.21740000000000001</v>
      </c>
      <c r="P1576" s="19">
        <v>0.33329999999999999</v>
      </c>
      <c r="Q1576" s="19">
        <v>6.9069068999999997E-2</v>
      </c>
      <c r="R1576" s="20">
        <v>25960</v>
      </c>
      <c r="S1576" s="21" t="str">
        <f>HYPERLINK("https://www.nwcc.edu/financial-aid/calculator/", "$20381")</f>
        <v>$20381</v>
      </c>
      <c r="T1576" s="20">
        <v>23701</v>
      </c>
      <c r="U1576" s="20">
        <v>23462</v>
      </c>
      <c r="V1576" s="20">
        <v>4718</v>
      </c>
      <c r="W1576" s="20">
        <v>15663.703125</v>
      </c>
      <c r="Y1576" s="19">
        <v>0.31509999999999999</v>
      </c>
      <c r="Z1576" s="19">
        <v>0.17760000000000001</v>
      </c>
      <c r="AB1576" s="18">
        <v>1002</v>
      </c>
      <c r="AC1576" s="18">
        <v>6</v>
      </c>
    </row>
    <row r="1577" spans="1:29" ht="15.75" customHeight="1" x14ac:dyDescent="0.2">
      <c r="A1577" s="36" t="str">
        <f>HYPERLINK("https://www.nmc.edu/", "Northwestern Michigan College")</f>
        <v>Northwestern Michigan College</v>
      </c>
      <c r="B1577" s="18" t="s">
        <v>49</v>
      </c>
      <c r="C1577" s="18" t="s">
        <v>226</v>
      </c>
      <c r="D1577" s="18" t="s">
        <v>711</v>
      </c>
      <c r="E1577" s="18" t="s">
        <v>36</v>
      </c>
      <c r="F1577" s="18" t="s">
        <v>36</v>
      </c>
      <c r="J1577" s="19"/>
      <c r="K1577" s="19">
        <v>0.1991</v>
      </c>
      <c r="L1577" s="19">
        <v>0.14616193499999999</v>
      </c>
      <c r="M1577" s="19">
        <v>0.2142</v>
      </c>
      <c r="N1577" s="19">
        <v>0.1111</v>
      </c>
      <c r="O1577" s="19">
        <v>6.6699999999999995E-2</v>
      </c>
      <c r="P1577" s="19">
        <v>0</v>
      </c>
      <c r="Q1577" s="19">
        <v>9.2739475000000002E-2</v>
      </c>
      <c r="R1577" s="20">
        <v>24154</v>
      </c>
      <c r="S1577" s="21" t="str">
        <f>HYPERLINK("https://www.nmc.edu/financial-aid/net-price-calculator/index.html", "$17963")</f>
        <v>$17963</v>
      </c>
      <c r="T1577" s="20">
        <v>20002</v>
      </c>
      <c r="U1577" s="20">
        <v>22916</v>
      </c>
      <c r="V1577" s="20">
        <v>5254</v>
      </c>
      <c r="W1577" s="20">
        <v>12709.9625</v>
      </c>
      <c r="Y1577" s="19">
        <v>0.31680000000000003</v>
      </c>
      <c r="Z1577" s="19">
        <v>0.16420000000000001</v>
      </c>
      <c r="AB1577" s="18">
        <v>3515</v>
      </c>
      <c r="AC1577" s="18">
        <v>6</v>
      </c>
    </row>
    <row r="1578" spans="1:29" ht="15.75" customHeight="1" x14ac:dyDescent="0.2">
      <c r="A1578" s="36" t="str">
        <f>HYPERLINK("https://www.nwosu.edu", "Northwestern Oklahoma State University")</f>
        <v>Northwestern Oklahoma State University</v>
      </c>
      <c r="B1578" s="18" t="s">
        <v>49</v>
      </c>
      <c r="C1578" s="18" t="s">
        <v>290</v>
      </c>
      <c r="D1578" s="18" t="s">
        <v>803</v>
      </c>
      <c r="E1578" s="18">
        <v>1025</v>
      </c>
      <c r="F1578" s="18" t="s">
        <v>35</v>
      </c>
      <c r="J1578" s="19"/>
      <c r="K1578" s="19">
        <v>0.22950000000000001</v>
      </c>
      <c r="L1578" s="19">
        <v>0.22648083599999999</v>
      </c>
      <c r="M1578" s="19">
        <v>0.26119999999999999</v>
      </c>
      <c r="N1578" s="19">
        <v>0.12</v>
      </c>
      <c r="O1578" s="19">
        <v>0.1</v>
      </c>
      <c r="P1578" s="19">
        <v>1</v>
      </c>
      <c r="Q1578" s="19"/>
      <c r="R1578" s="20">
        <v>23463</v>
      </c>
      <c r="S1578" s="21" t="str">
        <f>HYPERLINK("https://jicsweb11.nwosu.edu/npc/npcalc.htm", "$14787")</f>
        <v>$14787</v>
      </c>
      <c r="T1578" s="20">
        <v>18549</v>
      </c>
      <c r="U1578" s="20">
        <v>20273</v>
      </c>
      <c r="V1578" s="20">
        <v>4800</v>
      </c>
      <c r="W1578" s="20">
        <v>9987.25</v>
      </c>
      <c r="Y1578" s="19">
        <v>0.3508</v>
      </c>
      <c r="Z1578" s="19">
        <v>0.35039999999999999</v>
      </c>
      <c r="AB1578" s="18">
        <v>1735</v>
      </c>
      <c r="AC1578" s="18">
        <v>5</v>
      </c>
    </row>
    <row r="1579" spans="1:29" ht="15.75" customHeight="1" x14ac:dyDescent="0.2">
      <c r="A1579" s="36" t="str">
        <f>HYPERLINK("https://www.nsula.edu/", "Northwestern State University of Louisiana")</f>
        <v>Northwestern State University of Louisiana</v>
      </c>
      <c r="B1579" s="18" t="s">
        <v>49</v>
      </c>
      <c r="C1579" s="18" t="s">
        <v>158</v>
      </c>
      <c r="D1579" s="18" t="s">
        <v>1024</v>
      </c>
      <c r="E1579" s="18">
        <v>1083</v>
      </c>
      <c r="F1579" s="18" t="s">
        <v>35</v>
      </c>
      <c r="J1579" s="19"/>
      <c r="K1579" s="19">
        <v>0.39439999999999997</v>
      </c>
      <c r="L1579" s="19">
        <v>0.40796555400000001</v>
      </c>
      <c r="M1579" s="19">
        <v>0.40410000000000001</v>
      </c>
      <c r="N1579" s="19">
        <v>0.3473</v>
      </c>
      <c r="O1579" s="19">
        <v>0.19350000000000001</v>
      </c>
      <c r="P1579" s="19">
        <v>1</v>
      </c>
      <c r="Q1579" s="19"/>
      <c r="R1579" s="20">
        <v>32187</v>
      </c>
      <c r="S1579" s="21" t="str">
        <f>HYPERLINK("https://www.nsula.edu/financialaid/cost-of-attendance/", "$22114")</f>
        <v>$22114</v>
      </c>
      <c r="T1579" s="20">
        <v>24159</v>
      </c>
      <c r="U1579" s="20">
        <v>25479</v>
      </c>
      <c r="V1579" s="20">
        <v>4673</v>
      </c>
      <c r="W1579" s="20">
        <v>17441.028571428571</v>
      </c>
      <c r="Y1579" s="19">
        <v>0.40129999999999999</v>
      </c>
      <c r="Z1579" s="19">
        <v>0.47399999999999998</v>
      </c>
      <c r="AB1579" s="18">
        <v>7994</v>
      </c>
      <c r="AC1579" s="18">
        <v>4</v>
      </c>
    </row>
    <row r="1580" spans="1:29" ht="15.75" customHeight="1" x14ac:dyDescent="0.2">
      <c r="A1580" s="36" t="str">
        <f>HYPERLINK("https://www.northwestern.edu", "Northwestern University")</f>
        <v>Northwestern University</v>
      </c>
      <c r="B1580" s="18" t="s">
        <v>32</v>
      </c>
      <c r="C1580" s="18" t="s">
        <v>137</v>
      </c>
      <c r="D1580" s="18" t="s">
        <v>138</v>
      </c>
      <c r="E1580" s="18">
        <v>1500</v>
      </c>
      <c r="F1580" s="18" t="s">
        <v>35</v>
      </c>
      <c r="J1580" s="19"/>
      <c r="K1580" s="19">
        <v>0.93759999999999999</v>
      </c>
      <c r="L1580" s="19">
        <v>0.82252559700000005</v>
      </c>
      <c r="M1580" s="19">
        <v>0.94820000000000004</v>
      </c>
      <c r="N1580" s="19">
        <v>0.89910000000000001</v>
      </c>
      <c r="O1580" s="19">
        <v>0.92149999999999999</v>
      </c>
      <c r="P1580" s="19">
        <v>0.94930000000000003</v>
      </c>
      <c r="Q1580" s="19"/>
      <c r="R1580" s="20">
        <v>72980</v>
      </c>
      <c r="S1580" s="21" t="str">
        <f>HYPERLINK("https://npc.collegeboard.org/student/app/northwestern", "$7919")</f>
        <v>$7919</v>
      </c>
      <c r="T1580" s="20">
        <v>11480</v>
      </c>
      <c r="U1580" s="20">
        <v>19826</v>
      </c>
      <c r="V1580" s="20">
        <v>4255</v>
      </c>
      <c r="W1580" s="20">
        <v>3664</v>
      </c>
      <c r="X1580" s="18" t="s">
        <v>37</v>
      </c>
      <c r="Y1580" s="19">
        <v>0.14860000000000001</v>
      </c>
      <c r="Z1580" s="19">
        <v>0.5302</v>
      </c>
      <c r="AA1580" s="18" t="s">
        <v>37</v>
      </c>
      <c r="AB1580" s="18">
        <v>8489</v>
      </c>
      <c r="AC1580" s="18">
        <v>1</v>
      </c>
    </row>
    <row r="1581" spans="1:29" ht="15.75" customHeight="1" x14ac:dyDescent="0.2">
      <c r="A1581" s="36" t="str">
        <f>HYPERLINK("https://www.northwood.edu", "Northwood University-Michigan")</f>
        <v>Northwood University-Michigan</v>
      </c>
      <c r="B1581" s="18" t="s">
        <v>32</v>
      </c>
      <c r="C1581" s="18" t="s">
        <v>226</v>
      </c>
      <c r="D1581" s="18" t="s">
        <v>710</v>
      </c>
      <c r="E1581" s="18">
        <v>1095</v>
      </c>
      <c r="F1581" s="18" t="s">
        <v>35</v>
      </c>
      <c r="J1581" s="19"/>
      <c r="K1581" s="19">
        <v>0.55420000000000003</v>
      </c>
      <c r="L1581" s="19">
        <v>0.43258426999999999</v>
      </c>
      <c r="M1581" s="19">
        <v>0.63480000000000003</v>
      </c>
      <c r="N1581" s="19">
        <v>0.35420000000000001</v>
      </c>
      <c r="O1581" s="19">
        <v>0.31709999999999999</v>
      </c>
      <c r="P1581" s="19">
        <v>0.8</v>
      </c>
      <c r="Q1581" s="19"/>
      <c r="R1581" s="20">
        <v>40376</v>
      </c>
      <c r="S1581" s="21" t="str">
        <f>HYPERLINK("https://www.northwood.edu/webapps/finaid/coa/", "$21352")</f>
        <v>$21352</v>
      </c>
      <c r="T1581" s="20">
        <v>21809</v>
      </c>
      <c r="U1581" s="20">
        <v>24945</v>
      </c>
      <c r="V1581" s="20">
        <v>4126</v>
      </c>
      <c r="W1581" s="20">
        <v>17226</v>
      </c>
      <c r="Y1581" s="19">
        <v>0.3095</v>
      </c>
      <c r="Z1581" s="19">
        <v>0.43089999999999989</v>
      </c>
      <c r="AB1581" s="18">
        <v>2880</v>
      </c>
      <c r="AC1581" s="18">
        <v>4</v>
      </c>
    </row>
    <row r="1582" spans="1:29" ht="15.75" customHeight="1" x14ac:dyDescent="0.2">
      <c r="A1582" s="36" t="str">
        <f>HYPERLINK("https://norwalk.edu", "Norwalk Community College")</f>
        <v>Norwalk Community College</v>
      </c>
      <c r="B1582" s="18" t="s">
        <v>49</v>
      </c>
      <c r="C1582" s="18" t="s">
        <v>94</v>
      </c>
      <c r="D1582" s="18" t="s">
        <v>1116</v>
      </c>
      <c r="E1582" s="18" t="s">
        <v>36</v>
      </c>
      <c r="F1582" s="18" t="s">
        <v>36</v>
      </c>
      <c r="J1582" s="19"/>
      <c r="K1582" s="19">
        <v>9.7199999999999995E-2</v>
      </c>
      <c r="L1582" s="19">
        <v>0.175257732</v>
      </c>
      <c r="M1582" s="19">
        <v>0.18129999999999999</v>
      </c>
      <c r="N1582" s="19">
        <v>3.1399999999999997E-2</v>
      </c>
      <c r="O1582" s="19">
        <v>8.6300000000000002E-2</v>
      </c>
      <c r="P1582" s="19">
        <v>4.1700000000000001E-2</v>
      </c>
      <c r="Q1582" s="19">
        <v>8.7445886999999986E-2</v>
      </c>
      <c r="R1582" s="20">
        <v>28243</v>
      </c>
      <c r="S1582" s="21" t="str">
        <f>HYPERLINK("https://www.commnet.edu/finaid/netprice/d_npcalc.htm", "$22716")</f>
        <v>$22716</v>
      </c>
      <c r="T1582" s="20">
        <v>23355</v>
      </c>
      <c r="U1582" s="20">
        <v>25806</v>
      </c>
      <c r="V1582" s="20">
        <v>6600</v>
      </c>
      <c r="W1582" s="20">
        <v>16116.794520547939</v>
      </c>
      <c r="Y1582" s="19">
        <v>0.36880000000000002</v>
      </c>
      <c r="Z1582" s="19">
        <v>0.69950000000000001</v>
      </c>
      <c r="AB1582" s="18">
        <v>4719</v>
      </c>
      <c r="AC1582" s="18">
        <v>6</v>
      </c>
    </row>
    <row r="1583" spans="1:29" ht="15.75" customHeight="1" x14ac:dyDescent="0.2">
      <c r="A1583" s="36" t="str">
        <f>HYPERLINK("https://www.norwich.edu/", "Norwich University")</f>
        <v>Norwich University</v>
      </c>
      <c r="B1583" s="18" t="s">
        <v>32</v>
      </c>
      <c r="C1583" s="18" t="s">
        <v>47</v>
      </c>
      <c r="D1583" s="18" t="s">
        <v>73</v>
      </c>
      <c r="E1583" s="18" t="s">
        <v>36</v>
      </c>
      <c r="F1583" s="18" t="s">
        <v>90</v>
      </c>
      <c r="J1583" s="19"/>
      <c r="K1583" s="19">
        <v>0.59109999999999996</v>
      </c>
      <c r="L1583" s="19">
        <v>0.52713178299999996</v>
      </c>
      <c r="M1583" s="19">
        <v>0.62170000000000003</v>
      </c>
      <c r="N1583" s="19">
        <v>0.16669999999999999</v>
      </c>
      <c r="O1583" s="19">
        <v>0.4783</v>
      </c>
      <c r="P1583" s="19">
        <v>0.57140000000000002</v>
      </c>
      <c r="Q1583" s="19"/>
      <c r="R1583" s="20">
        <v>56234</v>
      </c>
      <c r="S1583" s="21" t="str">
        <f>HYPERLINK("https://www.norwich.edu/financial-aid/net-price-calculator", "$15507")</f>
        <v>$15507</v>
      </c>
      <c r="T1583" s="20">
        <v>19479</v>
      </c>
      <c r="U1583" s="20">
        <v>23095</v>
      </c>
      <c r="V1583" s="20">
        <v>4200</v>
      </c>
      <c r="W1583" s="20">
        <v>11307</v>
      </c>
      <c r="Y1583" s="19">
        <v>0.26219999999999999</v>
      </c>
      <c r="Z1583" s="19">
        <v>0.2883</v>
      </c>
      <c r="AB1583" s="18">
        <v>3160</v>
      </c>
      <c r="AC1583" s="18">
        <v>4</v>
      </c>
    </row>
    <row r="1584" spans="1:29" ht="15.75" customHeight="1" x14ac:dyDescent="0.2">
      <c r="A1584" s="36" t="str">
        <f>HYPERLINK("https://www.notredamecollege.edu", "Notre Dame College")</f>
        <v>Notre Dame College</v>
      </c>
      <c r="B1584" s="18" t="s">
        <v>32</v>
      </c>
      <c r="C1584" s="18" t="s">
        <v>75</v>
      </c>
      <c r="D1584" s="18" t="s">
        <v>76</v>
      </c>
      <c r="E1584" s="18">
        <v>994</v>
      </c>
      <c r="F1584" s="18" t="s">
        <v>35</v>
      </c>
      <c r="J1584" s="19"/>
      <c r="K1584" s="19">
        <v>0.36549999999999999</v>
      </c>
      <c r="L1584" s="19">
        <v>0.25738396600000002</v>
      </c>
      <c r="M1584" s="19">
        <v>0.41389999999999999</v>
      </c>
      <c r="N1584" s="19">
        <v>0.23749999999999999</v>
      </c>
      <c r="O1584" s="19">
        <v>0.25</v>
      </c>
      <c r="P1584" s="19">
        <v>0.83330000000000004</v>
      </c>
      <c r="Q1584" s="19"/>
      <c r="R1584" s="20">
        <v>44290</v>
      </c>
      <c r="S1584" s="21" t="str">
        <f>HYPERLINK("https://www.notredamecollege.edu/admissions/undergraduate/NDC-Net-Price-Calculator", "$17220")</f>
        <v>$17220</v>
      </c>
      <c r="T1584" s="20">
        <v>22934</v>
      </c>
      <c r="U1584" s="20">
        <v>24228</v>
      </c>
      <c r="V1584" s="20">
        <v>4490</v>
      </c>
      <c r="W1584" s="20">
        <v>12730</v>
      </c>
      <c r="Y1584" s="19">
        <v>0.33960000000000001</v>
      </c>
      <c r="Z1584" s="19">
        <v>0.46400000000000002</v>
      </c>
      <c r="AB1584" s="18">
        <v>1500</v>
      </c>
      <c r="AC1584" s="18">
        <v>4</v>
      </c>
    </row>
    <row r="1585" spans="1:29" ht="15.75" customHeight="1" x14ac:dyDescent="0.2">
      <c r="A1585" s="36" t="str">
        <f>HYPERLINK("https://www.ndnu.edu", "Notre Dame de Namur University")</f>
        <v>Notre Dame de Namur University</v>
      </c>
      <c r="B1585" s="18" t="s">
        <v>32</v>
      </c>
      <c r="C1585" s="18" t="s">
        <v>68</v>
      </c>
      <c r="D1585" s="18" t="s">
        <v>571</v>
      </c>
      <c r="E1585" s="18">
        <v>995</v>
      </c>
      <c r="F1585" s="18" t="s">
        <v>35</v>
      </c>
      <c r="J1585" s="19"/>
      <c r="K1585" s="19">
        <v>0.4773</v>
      </c>
      <c r="L1585" s="19">
        <v>0.43678160900000002</v>
      </c>
      <c r="M1585" s="19">
        <v>0.3846</v>
      </c>
      <c r="N1585" s="19">
        <v>0.26669999999999999</v>
      </c>
      <c r="O1585" s="19">
        <v>0.48530000000000001</v>
      </c>
      <c r="P1585" s="19">
        <v>0.65</v>
      </c>
      <c r="Q1585" s="19"/>
      <c r="R1585" s="20">
        <v>54354</v>
      </c>
      <c r="S1585" s="21" t="str">
        <f>HYPERLINK("https://www.ndnu.edu/financial-aid/net-price-calculator/", "$25489")</f>
        <v>$25489</v>
      </c>
      <c r="T1585" s="20">
        <v>25030</v>
      </c>
      <c r="U1585" s="20">
        <v>28712</v>
      </c>
      <c r="V1585" s="20">
        <v>6502</v>
      </c>
      <c r="W1585" s="20">
        <v>18987</v>
      </c>
      <c r="Y1585" s="19">
        <v>0.42259999999999998</v>
      </c>
      <c r="Z1585" s="19">
        <v>0.78029999999999999</v>
      </c>
      <c r="AB1585" s="18">
        <v>924</v>
      </c>
      <c r="AC1585" s="18">
        <v>5</v>
      </c>
    </row>
    <row r="1586" spans="1:29" ht="15.75" customHeight="1" x14ac:dyDescent="0.2">
      <c r="A1586" s="36" t="str">
        <f>HYPERLINK("https://www.ndm.edu", "Notre Dame of Maryland University")</f>
        <v>Notre Dame of Maryland University</v>
      </c>
      <c r="B1586" s="18" t="s">
        <v>32</v>
      </c>
      <c r="C1586" s="18" t="s">
        <v>124</v>
      </c>
      <c r="D1586" s="18" t="s">
        <v>125</v>
      </c>
      <c r="E1586" s="18">
        <v>993</v>
      </c>
      <c r="F1586" s="18" t="s">
        <v>115</v>
      </c>
      <c r="J1586" s="19"/>
      <c r="K1586" s="19">
        <v>0.43070000000000003</v>
      </c>
      <c r="L1586" s="19">
        <v>0.49122807000000002</v>
      </c>
      <c r="M1586" s="19">
        <v>0.53449999999999998</v>
      </c>
      <c r="N1586" s="19">
        <v>0.36</v>
      </c>
      <c r="O1586" s="19">
        <v>0.36359999999999998</v>
      </c>
      <c r="P1586" s="19">
        <v>0.44440000000000002</v>
      </c>
      <c r="Q1586" s="19"/>
      <c r="R1586" s="20">
        <v>50420</v>
      </c>
      <c r="S1586" s="21" t="str">
        <f>HYPERLINK("https://www.ndm.edu/admissions/financial-aid/net-price-calculator/", "$16002")</f>
        <v>$16002</v>
      </c>
      <c r="T1586" s="20">
        <v>14617</v>
      </c>
      <c r="U1586" s="20" t="s">
        <v>36</v>
      </c>
      <c r="V1586" s="20">
        <v>2850</v>
      </c>
      <c r="W1586" s="20">
        <v>13152</v>
      </c>
      <c r="Y1586" s="19">
        <v>0.33179999999999998</v>
      </c>
      <c r="Z1586" s="19">
        <v>0.55689999999999995</v>
      </c>
      <c r="AB1586" s="18">
        <v>808</v>
      </c>
      <c r="AC1586" s="18">
        <v>4</v>
      </c>
    </row>
    <row r="1587" spans="1:29" ht="15.75" customHeight="1" x14ac:dyDescent="0.2">
      <c r="A1587" s="36" t="str">
        <f>HYPERLINK("https://www.nova.edu", "Nova Southeastern University")</f>
        <v>Nova Southeastern University</v>
      </c>
      <c r="B1587" s="18" t="s">
        <v>32</v>
      </c>
      <c r="C1587" s="18" t="s">
        <v>162</v>
      </c>
      <c r="D1587" s="18" t="s">
        <v>433</v>
      </c>
      <c r="E1587" s="18">
        <v>1201</v>
      </c>
      <c r="F1587" s="18" t="s">
        <v>35</v>
      </c>
      <c r="J1587" s="19"/>
      <c r="K1587" s="19">
        <v>0.52370000000000005</v>
      </c>
      <c r="L1587" s="19">
        <v>0.40030557700000002</v>
      </c>
      <c r="M1587" s="19">
        <v>0.56610000000000005</v>
      </c>
      <c r="N1587" s="19">
        <v>0.36130000000000001</v>
      </c>
      <c r="O1587" s="19">
        <v>0.44130000000000003</v>
      </c>
      <c r="P1587" s="19">
        <v>0.75760000000000005</v>
      </c>
      <c r="Q1587" s="19"/>
      <c r="R1587" s="20">
        <v>49149</v>
      </c>
      <c r="S1587" s="21" t="str">
        <f>HYPERLINK("https://www.nova.edu/npc/", "$24328")</f>
        <v>$24328</v>
      </c>
      <c r="T1587" s="20">
        <v>26360</v>
      </c>
      <c r="U1587" s="20">
        <v>28524</v>
      </c>
      <c r="V1587" s="20">
        <v>6669</v>
      </c>
      <c r="W1587" s="20">
        <v>17659</v>
      </c>
      <c r="Y1587" s="19">
        <v>0.40679999999999999</v>
      </c>
      <c r="Z1587" s="19">
        <v>0.65700000000000003</v>
      </c>
      <c r="AB1587" s="18">
        <v>4417</v>
      </c>
      <c r="AC1587" s="18">
        <v>3</v>
      </c>
    </row>
    <row r="1588" spans="1:29" ht="15.75" customHeight="1" x14ac:dyDescent="0.2">
      <c r="A1588" s="36" t="str">
        <f>HYPERLINK("https://www.nhsc.edu", "Nueta Hidatsa Sahnish College")</f>
        <v>Nueta Hidatsa Sahnish College</v>
      </c>
      <c r="B1588" s="18" t="s">
        <v>49</v>
      </c>
      <c r="C1588" s="18" t="s">
        <v>730</v>
      </c>
      <c r="D1588" s="18" t="s">
        <v>1601</v>
      </c>
      <c r="E1588" s="18" t="s">
        <v>36</v>
      </c>
      <c r="F1588" s="18" t="s">
        <v>36</v>
      </c>
      <c r="J1588" s="19"/>
      <c r="K1588" s="19">
        <v>9.5200000000000007E-2</v>
      </c>
      <c r="L1588" s="19" t="s">
        <v>36</v>
      </c>
      <c r="M1588" s="19">
        <v>0</v>
      </c>
      <c r="N1588" s="19" t="s">
        <v>36</v>
      </c>
      <c r="O1588" s="19" t="s">
        <v>36</v>
      </c>
      <c r="P1588" s="19" t="s">
        <v>36</v>
      </c>
      <c r="Q1588" s="19" t="s">
        <v>36</v>
      </c>
      <c r="R1588" s="20">
        <v>21010</v>
      </c>
      <c r="S1588" s="21" t="str">
        <f>HYPERLINK("https://www.nhsc.edu", "$15596")</f>
        <v>$15596</v>
      </c>
      <c r="T1588" s="20">
        <v>19152</v>
      </c>
      <c r="U1588" s="20">
        <v>14945</v>
      </c>
      <c r="V1588" s="20">
        <v>6700</v>
      </c>
      <c r="W1588" s="20">
        <v>8896.6153846153848</v>
      </c>
      <c r="Y1588" s="19">
        <v>0.40670000000000001</v>
      </c>
      <c r="Z1588" s="19">
        <v>0.94550000000000001</v>
      </c>
      <c r="AB1588" s="18">
        <v>202</v>
      </c>
      <c r="AC1588" s="18">
        <v>6</v>
      </c>
    </row>
    <row r="1589" spans="1:29" ht="15.75" customHeight="1" x14ac:dyDescent="0.2">
      <c r="A1589" s="36" t="str">
        <f>HYPERLINK("https://www.nyack.edu/consumerinfo", "Nyack College")</f>
        <v>Nyack College</v>
      </c>
      <c r="B1589" s="18" t="s">
        <v>32</v>
      </c>
      <c r="C1589" s="18" t="s">
        <v>38</v>
      </c>
      <c r="D1589" s="18" t="s">
        <v>1025</v>
      </c>
      <c r="E1589" s="18">
        <v>995</v>
      </c>
      <c r="F1589" s="18" t="s">
        <v>35</v>
      </c>
      <c r="G1589" s="18" t="s">
        <v>40</v>
      </c>
      <c r="H1589" s="18" t="s">
        <v>1026</v>
      </c>
      <c r="I1589" s="18" t="s">
        <v>1027</v>
      </c>
      <c r="J1589" s="19"/>
      <c r="K1589" s="19">
        <v>0.4456</v>
      </c>
      <c r="L1589" s="19">
        <v>0.315028902</v>
      </c>
      <c r="M1589" s="19">
        <v>0.55320000000000003</v>
      </c>
      <c r="N1589" s="19">
        <v>0.36620000000000003</v>
      </c>
      <c r="O1589" s="19">
        <v>0.3523</v>
      </c>
      <c r="P1589" s="19">
        <v>0.61109999999999998</v>
      </c>
      <c r="Q1589" s="19"/>
      <c r="R1589" s="20">
        <v>40395</v>
      </c>
      <c r="S1589" s="21" t="str">
        <f>HYPERLINK("https://www.nyack.edu/netcalc", "$19929")</f>
        <v>$19929</v>
      </c>
      <c r="T1589" s="20">
        <v>21931</v>
      </c>
      <c r="U1589" s="20">
        <v>24237</v>
      </c>
      <c r="V1589" s="20">
        <v>5595</v>
      </c>
      <c r="W1589" s="20">
        <v>14334</v>
      </c>
      <c r="Y1589" s="19">
        <v>0.56510000000000005</v>
      </c>
      <c r="Z1589" s="19">
        <v>0.78659999999999997</v>
      </c>
      <c r="AB1589" s="18">
        <v>1387</v>
      </c>
      <c r="AC1589" s="18">
        <v>4</v>
      </c>
    </row>
    <row r="1590" spans="1:29" ht="15.75" customHeight="1" x14ac:dyDescent="0.2">
      <c r="A1590" s="36" t="str">
        <f>HYPERLINK("https://www.oaklandcc.edu", "Oakland Community College")</f>
        <v>Oakland Community College</v>
      </c>
      <c r="B1590" s="18" t="s">
        <v>49</v>
      </c>
      <c r="C1590" s="18" t="s">
        <v>226</v>
      </c>
      <c r="D1590" s="18" t="s">
        <v>1602</v>
      </c>
      <c r="E1590" s="18" t="s">
        <v>36</v>
      </c>
      <c r="F1590" s="18" t="s">
        <v>36</v>
      </c>
      <c r="J1590" s="19"/>
      <c r="K1590" s="19">
        <v>0.11459999999999999</v>
      </c>
      <c r="L1590" s="19">
        <v>8.2606549000000001E-2</v>
      </c>
      <c r="M1590" s="19">
        <v>0.13439999999999999</v>
      </c>
      <c r="N1590" s="19">
        <v>5.7799999999999997E-2</v>
      </c>
      <c r="O1590" s="19">
        <v>0.1143</v>
      </c>
      <c r="P1590" s="19">
        <v>0.2414</v>
      </c>
      <c r="Q1590" s="19">
        <v>7.7159037E-2</v>
      </c>
      <c r="R1590" s="20">
        <v>14666</v>
      </c>
      <c r="S1590" s="21" t="str">
        <f>HYPERLINK("https://www.oaklandcc.edu/finaid/default.aspx", "$9247")</f>
        <v>$9247</v>
      </c>
      <c r="T1590" s="20">
        <v>11965</v>
      </c>
      <c r="U1590" s="20">
        <v>14274</v>
      </c>
      <c r="V1590" s="20">
        <v>3390</v>
      </c>
      <c r="W1590" s="20">
        <v>5857.5615763546812</v>
      </c>
      <c r="Y1590" s="19">
        <v>0.22900000000000001</v>
      </c>
      <c r="Z1590" s="19">
        <v>0.36839999999999989</v>
      </c>
      <c r="AB1590" s="18">
        <v>9866</v>
      </c>
      <c r="AC1590" s="18">
        <v>6</v>
      </c>
    </row>
    <row r="1591" spans="1:29" ht="15.75" customHeight="1" x14ac:dyDescent="0.2">
      <c r="A1591" s="36" t="str">
        <f>HYPERLINK("https://www.oakland.edu", "Oakland University")</f>
        <v>Oakland University</v>
      </c>
      <c r="B1591" s="18" t="s">
        <v>49</v>
      </c>
      <c r="C1591" s="18" t="s">
        <v>226</v>
      </c>
      <c r="D1591" s="18" t="s">
        <v>434</v>
      </c>
      <c r="E1591" s="18">
        <v>1141</v>
      </c>
      <c r="F1591" s="18" t="s">
        <v>35</v>
      </c>
      <c r="J1591" s="19"/>
      <c r="K1591" s="19">
        <v>0.45710000000000001</v>
      </c>
      <c r="L1591" s="19">
        <v>0.41922773800000002</v>
      </c>
      <c r="M1591" s="19">
        <v>0.50270000000000004</v>
      </c>
      <c r="N1591" s="19">
        <v>0.2079</v>
      </c>
      <c r="O1591" s="19">
        <v>0.36509999999999998</v>
      </c>
      <c r="P1591" s="19">
        <v>0.38890000000000002</v>
      </c>
      <c r="Q1591" s="19"/>
      <c r="R1591" s="20">
        <v>36581</v>
      </c>
      <c r="S1591" s="21" t="str">
        <f>HYPERLINK("https://www.oakland.edu/npc", "$23951")</f>
        <v>$23951</v>
      </c>
      <c r="T1591" s="20">
        <v>26912</v>
      </c>
      <c r="U1591" s="20">
        <v>30458</v>
      </c>
      <c r="V1591" s="20">
        <v>2798</v>
      </c>
      <c r="W1591" s="20">
        <v>21153.142389525368</v>
      </c>
      <c r="Y1591" s="19">
        <v>0.2979</v>
      </c>
      <c r="Z1591" s="19">
        <v>0.248</v>
      </c>
      <c r="AB1591" s="18">
        <v>15562</v>
      </c>
      <c r="AC1591" s="18">
        <v>3</v>
      </c>
    </row>
    <row r="1592" spans="1:29" ht="15.75" customHeight="1" x14ac:dyDescent="0.2">
      <c r="A1592" s="36" t="str">
        <f>HYPERLINK("https://www.oakton.edu", "Oakton Community College")</f>
        <v>Oakton Community College</v>
      </c>
      <c r="B1592" s="18" t="s">
        <v>49</v>
      </c>
      <c r="C1592" s="18" t="s">
        <v>137</v>
      </c>
      <c r="D1592" s="18" t="s">
        <v>1603</v>
      </c>
      <c r="E1592" s="18" t="s">
        <v>36</v>
      </c>
      <c r="F1592" s="18" t="s">
        <v>36</v>
      </c>
      <c r="J1592" s="19"/>
      <c r="K1592" s="19">
        <v>0.21679999999999999</v>
      </c>
      <c r="L1592" s="19">
        <v>0.115485564</v>
      </c>
      <c r="M1592" s="19">
        <v>0.25</v>
      </c>
      <c r="N1592" s="19">
        <v>0.1111</v>
      </c>
      <c r="O1592" s="19">
        <v>0.1842</v>
      </c>
      <c r="P1592" s="19">
        <v>0.1933</v>
      </c>
      <c r="Q1592" s="19">
        <v>0.182645631</v>
      </c>
      <c r="R1592" s="20">
        <v>25630</v>
      </c>
      <c r="S1592" s="21" t="str">
        <f>HYPERLINK("https://npc.collegeboard.org/student/app/oakton", "$20924")</f>
        <v>$20924</v>
      </c>
      <c r="T1592" s="20">
        <v>22623</v>
      </c>
      <c r="U1592" s="20">
        <v>25085</v>
      </c>
      <c r="V1592" s="20">
        <v>5149</v>
      </c>
      <c r="W1592" s="20">
        <v>15775.69281045752</v>
      </c>
      <c r="Y1592" s="19">
        <v>0.18060000000000001</v>
      </c>
      <c r="Z1592" s="19">
        <v>0.52780000000000005</v>
      </c>
      <c r="AB1592" s="18">
        <v>8308</v>
      </c>
      <c r="AC1592" s="18">
        <v>6</v>
      </c>
    </row>
    <row r="1593" spans="1:29" ht="15.75" customHeight="1" x14ac:dyDescent="0.2">
      <c r="A1593" s="36" t="str">
        <f>HYPERLINK("https://www2.oakwood.edu", "Oakwood University")</f>
        <v>Oakwood University</v>
      </c>
      <c r="B1593" s="18" t="s">
        <v>32</v>
      </c>
      <c r="C1593" s="18" t="s">
        <v>300</v>
      </c>
      <c r="D1593" s="18" t="s">
        <v>497</v>
      </c>
      <c r="E1593" s="18">
        <v>1005</v>
      </c>
      <c r="F1593" s="18" t="s">
        <v>35</v>
      </c>
      <c r="J1593" s="19"/>
      <c r="K1593" s="19">
        <v>0.47149999999999997</v>
      </c>
      <c r="L1593" s="19">
        <v>0.26630434800000002</v>
      </c>
      <c r="M1593" s="19" t="s">
        <v>36</v>
      </c>
      <c r="N1593" s="19">
        <v>0.45269999999999999</v>
      </c>
      <c r="O1593" s="19">
        <v>0</v>
      </c>
      <c r="P1593" s="19">
        <v>0</v>
      </c>
      <c r="Q1593" s="19"/>
      <c r="R1593" s="20">
        <v>35750</v>
      </c>
      <c r="S1593" s="21" t="str">
        <f>HYPERLINK("https://oakwood.studentaidcalculator.com", "$24498")</f>
        <v>$24498</v>
      </c>
      <c r="T1593" s="20">
        <v>25937</v>
      </c>
      <c r="U1593" s="20">
        <v>29755</v>
      </c>
      <c r="V1593" s="20">
        <v>9330</v>
      </c>
      <c r="W1593" s="20">
        <v>15168</v>
      </c>
      <c r="Y1593" s="19">
        <v>0.52680000000000005</v>
      </c>
      <c r="Z1593" s="19">
        <v>0.99509999999999998</v>
      </c>
      <c r="AB1593" s="18">
        <v>1623</v>
      </c>
      <c r="AC1593" s="18">
        <v>4</v>
      </c>
    </row>
    <row r="1594" spans="1:29" ht="15.75" customHeight="1" x14ac:dyDescent="0.2">
      <c r="A1594" s="36" t="str">
        <f>HYPERLINK("https://www.oberlin.edu", "Oberlin College")</f>
        <v>Oberlin College</v>
      </c>
      <c r="B1594" s="18" t="s">
        <v>32</v>
      </c>
      <c r="C1594" s="18" t="s">
        <v>75</v>
      </c>
      <c r="D1594" s="18" t="s">
        <v>139</v>
      </c>
      <c r="E1594" s="18">
        <v>1388</v>
      </c>
      <c r="F1594" s="18" t="s">
        <v>35</v>
      </c>
      <c r="J1594" s="19"/>
      <c r="K1594" s="19">
        <v>0.86270000000000002</v>
      </c>
      <c r="L1594" s="19">
        <v>0.82258064500000005</v>
      </c>
      <c r="M1594" s="19">
        <v>0.87450000000000006</v>
      </c>
      <c r="N1594" s="19">
        <v>0.81079999999999997</v>
      </c>
      <c r="O1594" s="19">
        <v>0.78259999999999996</v>
      </c>
      <c r="P1594" s="19">
        <v>0.83330000000000004</v>
      </c>
      <c r="Q1594" s="19"/>
      <c r="R1594" s="20">
        <v>71330</v>
      </c>
      <c r="S1594" s="21" t="str">
        <f>HYPERLINK("https://new.oberlin.edu/arts-and-sciences/admissions/finances/npc.dot", "$14418")</f>
        <v>$14418</v>
      </c>
      <c r="T1594" s="20">
        <v>17632</v>
      </c>
      <c r="U1594" s="20">
        <v>23713</v>
      </c>
      <c r="V1594" s="20">
        <v>2658</v>
      </c>
      <c r="W1594" s="20">
        <v>11760</v>
      </c>
      <c r="X1594" s="18" t="s">
        <v>37</v>
      </c>
      <c r="Y1594" s="19">
        <v>8.8099999999999998E-2</v>
      </c>
      <c r="Z1594" s="19">
        <v>0.35830000000000001</v>
      </c>
      <c r="AA1594" s="18" t="s">
        <v>37</v>
      </c>
      <c r="AB1594" s="18">
        <v>2827</v>
      </c>
      <c r="AC1594" s="18">
        <v>1</v>
      </c>
    </row>
    <row r="1595" spans="1:29" ht="15.75" customHeight="1" x14ac:dyDescent="0.2">
      <c r="A1595" s="36" t="str">
        <f>HYPERLINK("https://www.oxy.edu", "Occidental College")</f>
        <v>Occidental College</v>
      </c>
      <c r="B1595" s="18" t="s">
        <v>32</v>
      </c>
      <c r="C1595" s="18" t="s">
        <v>68</v>
      </c>
      <c r="D1595" s="18" t="s">
        <v>140</v>
      </c>
      <c r="E1595" s="18">
        <v>1370</v>
      </c>
      <c r="F1595" s="18" t="s">
        <v>35</v>
      </c>
      <c r="J1595" s="19"/>
      <c r="K1595" s="19">
        <v>0.84360000000000002</v>
      </c>
      <c r="L1595" s="19">
        <v>0.80821917799999998</v>
      </c>
      <c r="M1595" s="19">
        <v>0.84750000000000003</v>
      </c>
      <c r="N1595" s="19">
        <v>0.86360000000000003</v>
      </c>
      <c r="O1595" s="19">
        <v>0.86109999999999998</v>
      </c>
      <c r="P1595" s="19">
        <v>0.88139999999999996</v>
      </c>
      <c r="Q1595" s="19"/>
      <c r="R1595" s="20">
        <v>71756</v>
      </c>
      <c r="S1595" s="21" t="str">
        <f>HYPERLINK("https://www.oxy.edu/admission-aid/financial-aid/net-price-calculator", "$14929")</f>
        <v>$14929</v>
      </c>
      <c r="T1595" s="20">
        <v>19909</v>
      </c>
      <c r="U1595" s="20">
        <v>29584</v>
      </c>
      <c r="V1595" s="20">
        <v>3950</v>
      </c>
      <c r="W1595" s="20">
        <v>10979</v>
      </c>
      <c r="X1595" s="18" t="s">
        <v>37</v>
      </c>
      <c r="Y1595" s="19">
        <v>0.1991</v>
      </c>
      <c r="Z1595" s="19">
        <v>0.49280000000000002</v>
      </c>
      <c r="AA1595" s="18" t="s">
        <v>37</v>
      </c>
      <c r="AB1595" s="18">
        <v>1958</v>
      </c>
      <c r="AC1595" s="18">
        <v>1</v>
      </c>
    </row>
    <row r="1596" spans="1:29" ht="15.75" customHeight="1" x14ac:dyDescent="0.2">
      <c r="A1596" s="36" t="str">
        <f>HYPERLINK("https://www.ocean.edu/", "Ocean County College")</f>
        <v>Ocean County College</v>
      </c>
      <c r="B1596" s="18" t="s">
        <v>49</v>
      </c>
      <c r="C1596" s="18" t="s">
        <v>141</v>
      </c>
      <c r="D1596" s="18" t="s">
        <v>1604</v>
      </c>
      <c r="E1596" s="18" t="s">
        <v>36</v>
      </c>
      <c r="F1596" s="18" t="s">
        <v>36</v>
      </c>
      <c r="J1596" s="19"/>
      <c r="K1596" s="19">
        <v>0.34649999999999997</v>
      </c>
      <c r="L1596" s="19">
        <v>0.175195143</v>
      </c>
      <c r="M1596" s="19">
        <v>0.37719999999999998</v>
      </c>
      <c r="N1596" s="19">
        <v>0.1091</v>
      </c>
      <c r="O1596" s="19">
        <v>0.26529999999999998</v>
      </c>
      <c r="P1596" s="19">
        <v>0.32</v>
      </c>
      <c r="Q1596" s="19">
        <v>0.115238497</v>
      </c>
      <c r="R1596" s="20">
        <v>35021</v>
      </c>
      <c r="S1596" s="21" t="str">
        <f>HYPERLINK("https://media.ocean.edu/files/OCC_VIDEO/upload/Web/npcalc.htm", "$28952")</f>
        <v>$28952</v>
      </c>
      <c r="T1596" s="20">
        <v>31921</v>
      </c>
      <c r="U1596" s="20">
        <v>34246</v>
      </c>
      <c r="V1596" s="20">
        <v>6790</v>
      </c>
      <c r="W1596" s="20">
        <v>22162.275641025641</v>
      </c>
      <c r="Y1596" s="19">
        <v>0.28570000000000001</v>
      </c>
      <c r="Z1596" s="19">
        <v>0.29980000000000001</v>
      </c>
      <c r="AB1596" s="18">
        <v>7141</v>
      </c>
      <c r="AC1596" s="18">
        <v>6</v>
      </c>
    </row>
    <row r="1597" spans="1:29" ht="15.75" customHeight="1" x14ac:dyDescent="0.2">
      <c r="A1597" s="36" t="str">
        <f>HYPERLINK("https://www.odessa.edu", "Odessa College")</f>
        <v>Odessa College</v>
      </c>
      <c r="B1597" s="18" t="s">
        <v>49</v>
      </c>
      <c r="C1597" s="18" t="s">
        <v>146</v>
      </c>
      <c r="D1597" s="18" t="s">
        <v>1237</v>
      </c>
      <c r="E1597" s="18" t="s">
        <v>36</v>
      </c>
      <c r="F1597" s="18" t="s">
        <v>36</v>
      </c>
      <c r="J1597" s="19"/>
      <c r="K1597" s="19">
        <v>0.25480000000000003</v>
      </c>
      <c r="L1597" s="19">
        <v>0.11145833300000001</v>
      </c>
      <c r="M1597" s="19">
        <v>0.2</v>
      </c>
      <c r="N1597" s="19">
        <v>0</v>
      </c>
      <c r="O1597" s="19">
        <v>0.27329999999999999</v>
      </c>
      <c r="P1597" s="19">
        <v>0.4</v>
      </c>
      <c r="Q1597" s="19">
        <v>7.0244672999999994E-2</v>
      </c>
      <c r="R1597" s="20">
        <v>13239</v>
      </c>
      <c r="S1597" s="21" t="str">
        <f>HYPERLINK("https://www.odessa.edu/future-students/Financial-Aid/Calculating-Cost/NetPriceCalculator2/npcalc.htm", "$7762")</f>
        <v>$7762</v>
      </c>
      <c r="T1597" s="20">
        <v>9946</v>
      </c>
      <c r="U1597" s="20">
        <v>10964</v>
      </c>
      <c r="V1597" s="20">
        <v>3597</v>
      </c>
      <c r="W1597" s="20">
        <v>4165.7829457364342</v>
      </c>
      <c r="Y1597" s="19">
        <v>0.248</v>
      </c>
      <c r="Z1597" s="19">
        <v>0.74350000000000005</v>
      </c>
      <c r="AB1597" s="18">
        <v>4835</v>
      </c>
      <c r="AC1597" s="18">
        <v>6</v>
      </c>
    </row>
    <row r="1598" spans="1:29" ht="15.75" customHeight="1" x14ac:dyDescent="0.2">
      <c r="A1598" s="36" t="str">
        <f>HYPERLINK("https://www.olc.edu", "Oglala Lakota College")</f>
        <v>Oglala Lakota College</v>
      </c>
      <c r="B1598" s="18" t="s">
        <v>49</v>
      </c>
      <c r="C1598" s="18" t="s">
        <v>302</v>
      </c>
      <c r="D1598" s="18" t="s">
        <v>1605</v>
      </c>
      <c r="E1598" s="18" t="s">
        <v>36</v>
      </c>
      <c r="F1598" s="18" t="s">
        <v>36</v>
      </c>
      <c r="J1598" s="19"/>
      <c r="K1598" s="19">
        <v>7.0199999999999999E-2</v>
      </c>
      <c r="L1598" s="19" t="s">
        <v>36</v>
      </c>
      <c r="M1598" s="19">
        <v>0</v>
      </c>
      <c r="N1598" s="19" t="s">
        <v>36</v>
      </c>
      <c r="O1598" s="19">
        <v>0</v>
      </c>
      <c r="P1598" s="19" t="s">
        <v>36</v>
      </c>
      <c r="Q1598" s="19">
        <v>1.9342359999999999E-2</v>
      </c>
      <c r="R1598" s="20">
        <v>12034</v>
      </c>
      <c r="S1598" s="21" t="str">
        <f>HYPERLINK("https://warehouse.olc.edu/local_links/financial_aid/npc/npcalc.htm", "$7913")</f>
        <v>$7913</v>
      </c>
      <c r="T1598" s="20">
        <v>10285</v>
      </c>
      <c r="U1598" s="20" t="s">
        <v>36</v>
      </c>
      <c r="V1598" s="20">
        <v>3050</v>
      </c>
      <c r="W1598" s="20">
        <v>4863.5185185185182</v>
      </c>
      <c r="Y1598" s="19">
        <v>0.59430000000000005</v>
      </c>
      <c r="Z1598" s="19">
        <v>0.97660000000000002</v>
      </c>
      <c r="AB1598" s="18">
        <v>1152</v>
      </c>
      <c r="AC1598" s="18">
        <v>6</v>
      </c>
    </row>
    <row r="1599" spans="1:29" ht="15.75" customHeight="1" x14ac:dyDescent="0.2">
      <c r="A1599" s="36" t="str">
        <f>HYPERLINK("https://www.oglethorpe.edu", "Oglethorpe University")</f>
        <v>Oglethorpe University</v>
      </c>
      <c r="B1599" s="18" t="s">
        <v>32</v>
      </c>
      <c r="C1599" s="18" t="s">
        <v>107</v>
      </c>
      <c r="D1599" s="18" t="s">
        <v>108</v>
      </c>
      <c r="E1599" s="18">
        <v>1212</v>
      </c>
      <c r="F1599" s="18" t="s">
        <v>35</v>
      </c>
      <c r="J1599" s="19"/>
      <c r="K1599" s="19">
        <v>0.47349999999999998</v>
      </c>
      <c r="L1599" s="19">
        <v>0.4</v>
      </c>
      <c r="M1599" s="19">
        <v>0.44440000000000002</v>
      </c>
      <c r="N1599" s="19">
        <v>0.46029999999999999</v>
      </c>
      <c r="O1599" s="19">
        <v>0.4667</v>
      </c>
      <c r="P1599" s="19">
        <v>0.5</v>
      </c>
      <c r="Q1599" s="19"/>
      <c r="R1599" s="20">
        <v>53490</v>
      </c>
      <c r="S1599" s="21" t="str">
        <f>HYPERLINK("https://www.collegecostcalculator.org/oglethorpe", "$19485")</f>
        <v>$19485</v>
      </c>
      <c r="T1599" s="20">
        <v>21804</v>
      </c>
      <c r="U1599" s="20">
        <v>22770</v>
      </c>
      <c r="V1599" s="20">
        <v>3850</v>
      </c>
      <c r="W1599" s="20">
        <v>15635</v>
      </c>
      <c r="Y1599" s="19">
        <v>0.35389999999999999</v>
      </c>
      <c r="Z1599" s="19">
        <v>0.62419999999999998</v>
      </c>
      <c r="AB1599" s="18">
        <v>1232</v>
      </c>
      <c r="AC1599" s="18">
        <v>3</v>
      </c>
    </row>
    <row r="1600" spans="1:29" ht="15.75" customHeight="1" x14ac:dyDescent="0.2">
      <c r="A1600" s="36" t="str">
        <f>HYPERLINK("https://www.OhioBusinessCollege.Edu", "Ohio Business College-Sandusky")</f>
        <v>Ohio Business College-Sandusky</v>
      </c>
      <c r="B1600" s="18" t="s">
        <v>368</v>
      </c>
      <c r="C1600" s="18" t="s">
        <v>75</v>
      </c>
      <c r="D1600" s="18" t="s">
        <v>1606</v>
      </c>
      <c r="E1600" s="18" t="s">
        <v>36</v>
      </c>
      <c r="F1600" s="18" t="s">
        <v>36</v>
      </c>
      <c r="J1600" s="19"/>
      <c r="K1600" s="19">
        <v>0.46150000000000002</v>
      </c>
      <c r="L1600" s="19">
        <v>0.44426494399999999</v>
      </c>
      <c r="M1600" s="19">
        <v>0.52629999999999999</v>
      </c>
      <c r="N1600" s="19">
        <v>0.2</v>
      </c>
      <c r="O1600" s="19">
        <v>0.5</v>
      </c>
      <c r="P1600" s="19" t="s">
        <v>36</v>
      </c>
      <c r="Q1600" s="19" t="s">
        <v>36</v>
      </c>
      <c r="R1600" s="20">
        <v>28998</v>
      </c>
      <c r="S1600" s="21" t="str">
        <f>HYPERLINK("https://www.ohiobusinesscollege.edu/net-price-calculator", "$15128")</f>
        <v>$15128</v>
      </c>
      <c r="T1600" s="20">
        <v>9942</v>
      </c>
      <c r="U1600" s="20">
        <v>18768</v>
      </c>
      <c r="V1600" s="20">
        <v>10548</v>
      </c>
      <c r="W1600" s="20">
        <v>4580</v>
      </c>
      <c r="Y1600" s="19">
        <v>0.85250000000000004</v>
      </c>
      <c r="Z1600" s="19">
        <v>0.3538</v>
      </c>
      <c r="AB1600" s="18">
        <v>212</v>
      </c>
      <c r="AC1600" s="18">
        <v>6</v>
      </c>
    </row>
    <row r="1601" spans="1:29" ht="15.75" customHeight="1" x14ac:dyDescent="0.2">
      <c r="A1601" s="36" t="str">
        <f>HYPERLINK("https://www.ohiodominican.edu", "Ohio Dominican University")</f>
        <v>Ohio Dominican University</v>
      </c>
      <c r="B1601" s="18" t="s">
        <v>32</v>
      </c>
      <c r="C1601" s="18" t="s">
        <v>75</v>
      </c>
      <c r="D1601" s="18" t="s">
        <v>237</v>
      </c>
      <c r="E1601" s="18">
        <v>1086</v>
      </c>
      <c r="F1601" s="18" t="s">
        <v>115</v>
      </c>
      <c r="J1601" s="19"/>
      <c r="K1601" s="19">
        <v>0.47399999999999998</v>
      </c>
      <c r="L1601" s="19">
        <v>0.34671532900000002</v>
      </c>
      <c r="M1601" s="19">
        <v>0.51419999999999999</v>
      </c>
      <c r="N1601" s="19">
        <v>0.41789999999999999</v>
      </c>
      <c r="O1601" s="19">
        <v>0.71430000000000005</v>
      </c>
      <c r="P1601" s="19">
        <v>0</v>
      </c>
      <c r="Q1601" s="19"/>
      <c r="R1601" s="20">
        <v>45220</v>
      </c>
      <c r="S1601" s="21" t="str">
        <f>HYPERLINK("https://www.ohiodominican.edu/finaid", "$17470")</f>
        <v>$17470</v>
      </c>
      <c r="T1601" s="20">
        <v>19444</v>
      </c>
      <c r="U1601" s="20">
        <v>20386</v>
      </c>
      <c r="V1601" s="20">
        <v>3212</v>
      </c>
      <c r="W1601" s="20">
        <v>14258</v>
      </c>
      <c r="Y1601" s="19">
        <v>0.25669999999999998</v>
      </c>
      <c r="Z1601" s="19">
        <v>0.44009999999999999</v>
      </c>
      <c r="AB1601" s="18">
        <v>1077</v>
      </c>
      <c r="AC1601" s="18">
        <v>4</v>
      </c>
    </row>
    <row r="1602" spans="1:29" ht="15.75" customHeight="1" x14ac:dyDescent="0.2">
      <c r="A1602" s="36" t="str">
        <f>HYPERLINK("https://www.onu.edu/", "Ohio Northern University")</f>
        <v>Ohio Northern University</v>
      </c>
      <c r="B1602" s="18" t="s">
        <v>32</v>
      </c>
      <c r="C1602" s="18" t="s">
        <v>75</v>
      </c>
      <c r="D1602" s="18" t="s">
        <v>435</v>
      </c>
      <c r="E1602" s="18">
        <v>1215</v>
      </c>
      <c r="F1602" s="18" t="s">
        <v>35</v>
      </c>
      <c r="J1602" s="19"/>
      <c r="K1602" s="19">
        <v>0.75619999999999998</v>
      </c>
      <c r="L1602" s="19">
        <v>0.54117647099999999</v>
      </c>
      <c r="M1602" s="19">
        <v>0.78720000000000001</v>
      </c>
      <c r="N1602" s="19">
        <v>0.4516</v>
      </c>
      <c r="O1602" s="19">
        <v>0.4118</v>
      </c>
      <c r="P1602" s="19">
        <v>0.9</v>
      </c>
      <c r="Q1602" s="19"/>
      <c r="R1602" s="20">
        <v>46118</v>
      </c>
      <c r="S1602" s="21" t="str">
        <f>HYPERLINK("https://tcc.noellevitz.com/(S(44tm4xji3okjqs55x4fld0zn))/Ohio%20Northern%20University/Freshman-Students", "$18462")</f>
        <v>$18462</v>
      </c>
      <c r="T1602" s="20">
        <v>21326</v>
      </c>
      <c r="U1602" s="20">
        <v>24091</v>
      </c>
      <c r="V1602" s="20">
        <v>3858</v>
      </c>
      <c r="W1602" s="20">
        <v>14604</v>
      </c>
      <c r="Y1602" s="19">
        <v>0.23</v>
      </c>
      <c r="Z1602" s="19">
        <v>0.23069999999999999</v>
      </c>
      <c r="AB1602" s="18">
        <v>2111</v>
      </c>
      <c r="AC1602" s="18">
        <v>3</v>
      </c>
    </row>
    <row r="1603" spans="1:29" ht="15.75" customHeight="1" x14ac:dyDescent="0.2">
      <c r="A1603" s="36" t="str">
        <f>HYPERLINK("https://ati.osu.edu/", "Ohio State University Agricultural Technical Institute")</f>
        <v>Ohio State University Agricultural Technical Institute</v>
      </c>
      <c r="B1603" s="18" t="s">
        <v>49</v>
      </c>
      <c r="C1603" s="18" t="s">
        <v>75</v>
      </c>
      <c r="D1603" s="18" t="s">
        <v>488</v>
      </c>
      <c r="E1603" s="18" t="s">
        <v>36</v>
      </c>
      <c r="F1603" s="18" t="s">
        <v>36</v>
      </c>
      <c r="J1603" s="19"/>
      <c r="K1603" s="19">
        <v>0.40689999999999998</v>
      </c>
      <c r="L1603" s="19">
        <v>0.45382585800000003</v>
      </c>
      <c r="M1603" s="19">
        <v>0.42659999999999998</v>
      </c>
      <c r="N1603" s="19">
        <v>0</v>
      </c>
      <c r="O1603" s="19">
        <v>0.2</v>
      </c>
      <c r="P1603" s="19" t="s">
        <v>36</v>
      </c>
      <c r="Q1603" s="19">
        <v>6.6698982000000004E-2</v>
      </c>
      <c r="R1603" s="20">
        <v>41469</v>
      </c>
      <c r="S1603" s="21" t="str">
        <f>HYPERLINK("https://sfa.osu.edu/incoming-freshmen/about-aid/net-price-calculator", "$34977")</f>
        <v>$34977</v>
      </c>
      <c r="T1603" s="20">
        <v>38271</v>
      </c>
      <c r="U1603" s="20">
        <v>39938</v>
      </c>
      <c r="V1603" s="20">
        <v>5947</v>
      </c>
      <c r="W1603" s="20">
        <v>29030.109375</v>
      </c>
      <c r="Y1603" s="19">
        <v>0.30890000000000001</v>
      </c>
      <c r="Z1603" s="19">
        <v>7.1400000000000019E-2</v>
      </c>
      <c r="AB1603" s="18">
        <v>672</v>
      </c>
      <c r="AC1603" s="18">
        <v>6</v>
      </c>
    </row>
    <row r="1604" spans="1:29" ht="15.75" customHeight="1" x14ac:dyDescent="0.2">
      <c r="A1604" s="36" t="str">
        <f>HYPERLINK("https://lima.osu.edu/", "Ohio State University-Lima Campus")</f>
        <v>Ohio State University-Lima Campus</v>
      </c>
      <c r="B1604" s="18" t="s">
        <v>49</v>
      </c>
      <c r="C1604" s="18" t="s">
        <v>75</v>
      </c>
      <c r="D1604" s="18" t="s">
        <v>1442</v>
      </c>
      <c r="E1604" s="18" t="s">
        <v>36</v>
      </c>
      <c r="F1604" s="18" t="s">
        <v>36</v>
      </c>
      <c r="J1604" s="19"/>
      <c r="K1604" s="19">
        <v>0.38390000000000002</v>
      </c>
      <c r="L1604" s="19">
        <v>0.45382585800000003</v>
      </c>
      <c r="M1604" s="19">
        <v>0.40720000000000001</v>
      </c>
      <c r="N1604" s="19">
        <v>0.17649999999999999</v>
      </c>
      <c r="O1604" s="19">
        <v>6.6699999999999995E-2</v>
      </c>
      <c r="P1604" s="19">
        <v>0.28570000000000001</v>
      </c>
      <c r="Q1604" s="19">
        <v>6.6698982000000004E-2</v>
      </c>
      <c r="R1604" s="20">
        <v>41406</v>
      </c>
      <c r="S1604" s="21" t="str">
        <f>HYPERLINK("https://sfa.osu.edu/incoming-freshmen/about-aid/net-price-calculator", "$35082")</f>
        <v>$35082</v>
      </c>
      <c r="T1604" s="20">
        <v>38225</v>
      </c>
      <c r="U1604" s="20">
        <v>40119</v>
      </c>
      <c r="V1604" s="20">
        <v>5947</v>
      </c>
      <c r="W1604" s="20">
        <v>29135.555555555551</v>
      </c>
      <c r="Y1604" s="19">
        <v>0.34470000000000001</v>
      </c>
      <c r="Z1604" s="19">
        <v>0.16830000000000001</v>
      </c>
      <c r="AB1604" s="18">
        <v>927</v>
      </c>
      <c r="AC1604" s="18">
        <v>6</v>
      </c>
    </row>
    <row r="1605" spans="1:29" ht="15.75" customHeight="1" x14ac:dyDescent="0.2">
      <c r="A1605" s="36" t="str">
        <f>HYPERLINK("https://www.osu.edu/", "Ohio State University-Main Campus")</f>
        <v>Ohio State University-Main Campus</v>
      </c>
      <c r="B1605" s="18" t="s">
        <v>49</v>
      </c>
      <c r="C1605" s="18" t="s">
        <v>75</v>
      </c>
      <c r="D1605" s="18" t="s">
        <v>237</v>
      </c>
      <c r="E1605" s="18">
        <v>1359</v>
      </c>
      <c r="F1605" s="18" t="s">
        <v>35</v>
      </c>
      <c r="J1605" s="19"/>
      <c r="K1605" s="19">
        <v>0.82640000000000002</v>
      </c>
      <c r="L1605" s="19">
        <v>0.45382585800000003</v>
      </c>
      <c r="M1605" s="19">
        <v>0.8357</v>
      </c>
      <c r="N1605" s="19">
        <v>0.73350000000000004</v>
      </c>
      <c r="O1605" s="19">
        <v>0.8044</v>
      </c>
      <c r="P1605" s="19">
        <v>0.84060000000000001</v>
      </c>
      <c r="Q1605" s="19"/>
      <c r="R1605" s="20">
        <v>46141</v>
      </c>
      <c r="S1605" s="21" t="str">
        <f>HYPERLINK("https://sfa.osu.edu/incoming-freshmen/about-aid/net-price-calculator", "$30780")</f>
        <v>$30780</v>
      </c>
      <c r="T1605" s="20">
        <v>36347</v>
      </c>
      <c r="U1605" s="20">
        <v>40840</v>
      </c>
      <c r="V1605" s="20">
        <v>4153</v>
      </c>
      <c r="W1605" s="20">
        <v>26627.614227086178</v>
      </c>
      <c r="Y1605" s="19">
        <v>0.19900000000000001</v>
      </c>
      <c r="Z1605" s="19">
        <v>0.31430000000000002</v>
      </c>
      <c r="AB1605" s="18">
        <v>44853</v>
      </c>
      <c r="AC1605" s="18">
        <v>2</v>
      </c>
    </row>
    <row r="1606" spans="1:29" ht="15.75" customHeight="1" x14ac:dyDescent="0.2">
      <c r="A1606" s="36" t="str">
        <f>HYPERLINK("https://mansfield.osu.edu/", "Ohio State University-Mansfield Campus")</f>
        <v>Ohio State University-Mansfield Campus</v>
      </c>
      <c r="B1606" s="18" t="s">
        <v>49</v>
      </c>
      <c r="C1606" s="18" t="s">
        <v>75</v>
      </c>
      <c r="D1606" s="18" t="s">
        <v>777</v>
      </c>
      <c r="E1606" s="18" t="s">
        <v>36</v>
      </c>
      <c r="F1606" s="18" t="s">
        <v>36</v>
      </c>
      <c r="J1606" s="19"/>
      <c r="K1606" s="19">
        <v>0.47760000000000002</v>
      </c>
      <c r="L1606" s="19">
        <v>0.45382585800000003</v>
      </c>
      <c r="M1606" s="19">
        <v>0.49519999999999997</v>
      </c>
      <c r="N1606" s="19">
        <v>0.2571</v>
      </c>
      <c r="O1606" s="19">
        <v>0.41670000000000001</v>
      </c>
      <c r="P1606" s="19">
        <v>0.875</v>
      </c>
      <c r="Q1606" s="19">
        <v>6.6698982000000004E-2</v>
      </c>
      <c r="R1606" s="20">
        <v>41406</v>
      </c>
      <c r="S1606" s="21" t="str">
        <f>HYPERLINK("https://sfa.osu.edu/incoming-freshmen/about-aid/net-price-calculator", "$34378")</f>
        <v>$34378</v>
      </c>
      <c r="T1606" s="20">
        <v>38019</v>
      </c>
      <c r="U1606" s="20">
        <v>39956</v>
      </c>
      <c r="V1606" s="20">
        <v>5947</v>
      </c>
      <c r="W1606" s="20">
        <v>28431.083333333339</v>
      </c>
      <c r="Y1606" s="19">
        <v>0.4194</v>
      </c>
      <c r="Z1606" s="19">
        <v>0.22450000000000001</v>
      </c>
      <c r="AB1606" s="18">
        <v>962</v>
      </c>
      <c r="AC1606" s="18">
        <v>6</v>
      </c>
    </row>
    <row r="1607" spans="1:29" ht="15.75" customHeight="1" x14ac:dyDescent="0.2">
      <c r="A1607" s="36" t="str">
        <f>HYPERLINK("https://osumarion.osu.edu/", "Ohio State University-Marion Campus")</f>
        <v>Ohio State University-Marion Campus</v>
      </c>
      <c r="B1607" s="18" t="s">
        <v>49</v>
      </c>
      <c r="C1607" s="18" t="s">
        <v>75</v>
      </c>
      <c r="D1607" s="18" t="s">
        <v>841</v>
      </c>
      <c r="E1607" s="18" t="s">
        <v>36</v>
      </c>
      <c r="F1607" s="18" t="s">
        <v>36</v>
      </c>
      <c r="J1607" s="19"/>
      <c r="K1607" s="19">
        <v>0.42780000000000001</v>
      </c>
      <c r="L1607" s="19">
        <v>0.45382585800000003</v>
      </c>
      <c r="M1607" s="19">
        <v>0.43190000000000001</v>
      </c>
      <c r="N1607" s="19">
        <v>0.30769999999999997</v>
      </c>
      <c r="O1607" s="19">
        <v>0.33329999999999999</v>
      </c>
      <c r="P1607" s="19">
        <v>0.72729999999999995</v>
      </c>
      <c r="Q1607" s="19">
        <v>6.6698982000000004E-2</v>
      </c>
      <c r="R1607" s="20">
        <v>41406</v>
      </c>
      <c r="S1607" s="21" t="str">
        <f>HYPERLINK("https://sfa.osu.edu/incoming-freshmen/about-aid/net-price-calculator", "$34128")</f>
        <v>$34128</v>
      </c>
      <c r="T1607" s="20">
        <v>37306</v>
      </c>
      <c r="U1607" s="20">
        <v>39328</v>
      </c>
      <c r="V1607" s="20">
        <v>5947</v>
      </c>
      <c r="W1607" s="20">
        <v>28181.530973451328</v>
      </c>
      <c r="Y1607" s="19">
        <v>0.371</v>
      </c>
      <c r="Z1607" s="19">
        <v>0.18870000000000001</v>
      </c>
      <c r="AB1607" s="18">
        <v>1097</v>
      </c>
      <c r="AC1607" s="18">
        <v>6</v>
      </c>
    </row>
    <row r="1608" spans="1:29" ht="15.75" customHeight="1" x14ac:dyDescent="0.2">
      <c r="A1608" s="36" t="str">
        <f>HYPERLINK("https://newark.osu.edu/", "Ohio State University-Newark Campus")</f>
        <v>Ohio State University-Newark Campus</v>
      </c>
      <c r="B1608" s="18" t="s">
        <v>49</v>
      </c>
      <c r="C1608" s="18" t="s">
        <v>75</v>
      </c>
      <c r="D1608" s="18" t="s">
        <v>425</v>
      </c>
      <c r="E1608" s="18" t="s">
        <v>36</v>
      </c>
      <c r="F1608" s="18" t="s">
        <v>36</v>
      </c>
      <c r="J1608" s="19"/>
      <c r="K1608" s="19">
        <v>0.38119999999999998</v>
      </c>
      <c r="L1608" s="19">
        <v>0.45382585800000003</v>
      </c>
      <c r="M1608" s="19">
        <v>0.42349999999999999</v>
      </c>
      <c r="N1608" s="19">
        <v>0.2</v>
      </c>
      <c r="O1608" s="19">
        <v>0.41670000000000001</v>
      </c>
      <c r="P1608" s="19">
        <v>0.52629999999999999</v>
      </c>
      <c r="Q1608" s="19">
        <v>6.6698982000000004E-2</v>
      </c>
      <c r="R1608" s="20">
        <v>41406</v>
      </c>
      <c r="S1608" s="21" t="str">
        <f>HYPERLINK("https://sfa.osu.edu/incoming-freshmen/about-aid/net-price-calculator", "$34911")</f>
        <v>$34911</v>
      </c>
      <c r="T1608" s="20">
        <v>37534</v>
      </c>
      <c r="U1608" s="20">
        <v>39734</v>
      </c>
      <c r="V1608" s="20">
        <v>5947</v>
      </c>
      <c r="W1608" s="20">
        <v>28964.64925373135</v>
      </c>
      <c r="Y1608" s="19">
        <v>0.3826</v>
      </c>
      <c r="Z1608" s="19">
        <v>0.30819999999999997</v>
      </c>
      <c r="AB1608" s="18">
        <v>2518</v>
      </c>
      <c r="AC1608" s="18">
        <v>6</v>
      </c>
    </row>
    <row r="1609" spans="1:29" ht="15.75" customHeight="1" x14ac:dyDescent="0.2">
      <c r="A1609" s="36" t="str">
        <f>HYPERLINK("https://www.ohio.edu/chillicothe/", "Ohio University-Chillicothe Campus")</f>
        <v>Ohio University-Chillicothe Campus</v>
      </c>
      <c r="B1609" s="18" t="s">
        <v>49</v>
      </c>
      <c r="C1609" s="18" t="s">
        <v>75</v>
      </c>
      <c r="D1609" s="18" t="s">
        <v>1607</v>
      </c>
      <c r="E1609" s="18" t="s">
        <v>36</v>
      </c>
      <c r="F1609" s="18" t="s">
        <v>36</v>
      </c>
      <c r="J1609" s="19"/>
      <c r="K1609" s="19">
        <v>0.23019999999999999</v>
      </c>
      <c r="L1609" s="19">
        <v>0.25959723099999998</v>
      </c>
      <c r="M1609" s="19">
        <v>0.24510000000000001</v>
      </c>
      <c r="N1609" s="19">
        <v>0</v>
      </c>
      <c r="O1609" s="19">
        <v>0</v>
      </c>
      <c r="P1609" s="19" t="s">
        <v>36</v>
      </c>
      <c r="Q1609" s="19">
        <v>6.7300916000000002E-2</v>
      </c>
      <c r="R1609" s="20">
        <v>20550</v>
      </c>
      <c r="S1609" s="21" t="str">
        <f>HYPERLINK("https://www.ohio.edu/financialaid/regionalcalculator/", "$15551")</f>
        <v>$15551</v>
      </c>
      <c r="T1609" s="20">
        <v>18126</v>
      </c>
      <c r="U1609" s="20">
        <v>19792</v>
      </c>
      <c r="V1609" s="20">
        <v>5074</v>
      </c>
      <c r="W1609" s="20">
        <v>10477.74590163934</v>
      </c>
      <c r="Y1609" s="19">
        <v>0.60709999999999997</v>
      </c>
      <c r="Z1609" s="19">
        <v>0.12939999999999999</v>
      </c>
      <c r="AB1609" s="18">
        <v>1530</v>
      </c>
      <c r="AC1609" s="18">
        <v>6</v>
      </c>
    </row>
    <row r="1610" spans="1:29" ht="15.75" customHeight="1" x14ac:dyDescent="0.2">
      <c r="A1610" s="36" t="str">
        <f>HYPERLINK("https://www.eastern.ohiou.edu", "Ohio University-Eastern Campus")</f>
        <v>Ohio University-Eastern Campus</v>
      </c>
      <c r="B1610" s="18" t="s">
        <v>49</v>
      </c>
      <c r="C1610" s="18" t="s">
        <v>75</v>
      </c>
      <c r="D1610" s="18" t="s">
        <v>1608</v>
      </c>
      <c r="E1610" s="18" t="s">
        <v>36</v>
      </c>
      <c r="F1610" s="18" t="s">
        <v>36</v>
      </c>
      <c r="J1610" s="19"/>
      <c r="K1610" s="19">
        <v>0.4052</v>
      </c>
      <c r="L1610" s="19">
        <v>0.25959723099999998</v>
      </c>
      <c r="M1610" s="19">
        <v>0.40860000000000002</v>
      </c>
      <c r="N1610" s="19">
        <v>0</v>
      </c>
      <c r="O1610" s="19">
        <v>0</v>
      </c>
      <c r="P1610" s="19">
        <v>0</v>
      </c>
      <c r="Q1610" s="19">
        <v>6.7300916000000002E-2</v>
      </c>
      <c r="R1610" s="20">
        <v>17672</v>
      </c>
      <c r="S1610" s="21" t="str">
        <f>HYPERLINK("https://www.ohio.edu/financialaid/regionalcalculator/", "$11912")</f>
        <v>$11912</v>
      </c>
      <c r="T1610" s="20">
        <v>13692</v>
      </c>
      <c r="U1610" s="20">
        <v>15452</v>
      </c>
      <c r="V1610" s="20">
        <v>5074</v>
      </c>
      <c r="W1610" s="20">
        <v>6838.2432432432433</v>
      </c>
      <c r="Y1610" s="19">
        <v>0.41270000000000001</v>
      </c>
      <c r="Z1610" s="19">
        <v>0.1017</v>
      </c>
      <c r="AB1610" s="18">
        <v>472</v>
      </c>
      <c r="AC1610" s="18">
        <v>6</v>
      </c>
    </row>
    <row r="1611" spans="1:29" ht="15.75" customHeight="1" x14ac:dyDescent="0.2">
      <c r="A1611" s="36" t="str">
        <f>HYPERLINK("https://www.lancaster.ohiou.edu", "Ohio University-Lancaster Campus")</f>
        <v>Ohio University-Lancaster Campus</v>
      </c>
      <c r="B1611" s="18" t="s">
        <v>49</v>
      </c>
      <c r="C1611" s="18" t="s">
        <v>75</v>
      </c>
      <c r="D1611" s="18" t="s">
        <v>112</v>
      </c>
      <c r="E1611" s="18" t="s">
        <v>36</v>
      </c>
      <c r="F1611" s="18" t="s">
        <v>36</v>
      </c>
      <c r="J1611" s="19"/>
      <c r="K1611" s="19">
        <v>0.2661</v>
      </c>
      <c r="L1611" s="19">
        <v>0.25959723099999998</v>
      </c>
      <c r="M1611" s="19">
        <v>0.27489999999999998</v>
      </c>
      <c r="N1611" s="19">
        <v>0.17649999999999999</v>
      </c>
      <c r="O1611" s="19">
        <v>0</v>
      </c>
      <c r="P1611" s="19">
        <v>0.5</v>
      </c>
      <c r="Q1611" s="19">
        <v>6.7300916000000002E-2</v>
      </c>
      <c r="R1611" s="20">
        <v>20550</v>
      </c>
      <c r="S1611" s="21" t="str">
        <f>HYPERLINK("https://www.ohio.edu/financialaid/regionalcalculator/", "$15355")</f>
        <v>$15355</v>
      </c>
      <c r="T1611" s="20">
        <v>17069</v>
      </c>
      <c r="U1611" s="20">
        <v>20203</v>
      </c>
      <c r="V1611" s="20">
        <v>5074</v>
      </c>
      <c r="W1611" s="20">
        <v>10281.944</v>
      </c>
      <c r="Y1611" s="19">
        <v>0.4768</v>
      </c>
      <c r="Z1611" s="19">
        <v>0.13639999999999999</v>
      </c>
      <c r="AB1611" s="18">
        <v>1422</v>
      </c>
      <c r="AC1611" s="18">
        <v>6</v>
      </c>
    </row>
    <row r="1612" spans="1:29" ht="15.75" customHeight="1" x14ac:dyDescent="0.2">
      <c r="A1612" s="36" t="str">
        <f>HYPERLINK("https://www.ohio.edu", "Ohio University-Main Campus")</f>
        <v>Ohio University-Main Campus</v>
      </c>
      <c r="B1612" s="18" t="s">
        <v>49</v>
      </c>
      <c r="C1612" s="18" t="s">
        <v>75</v>
      </c>
      <c r="D1612" s="18" t="s">
        <v>278</v>
      </c>
      <c r="E1612" s="18">
        <v>1183</v>
      </c>
      <c r="F1612" s="18" t="s">
        <v>35</v>
      </c>
      <c r="J1612" s="19"/>
      <c r="K1612" s="19">
        <v>0.64080000000000004</v>
      </c>
      <c r="L1612" s="19">
        <v>0.25959723099999998</v>
      </c>
      <c r="M1612" s="19">
        <v>0.65369999999999995</v>
      </c>
      <c r="N1612" s="19">
        <v>0.54069999999999996</v>
      </c>
      <c r="O1612" s="19">
        <v>0.56859999999999999</v>
      </c>
      <c r="P1612" s="19">
        <v>0.56520000000000004</v>
      </c>
      <c r="Q1612" s="19"/>
      <c r="R1612" s="20">
        <v>36706</v>
      </c>
      <c r="S1612" s="21" t="str">
        <f>HYPERLINK("https://npc.collegeboard.org/app/ohio", "$26586")</f>
        <v>$26586</v>
      </c>
      <c r="T1612" s="20">
        <v>30777</v>
      </c>
      <c r="U1612" s="20">
        <v>33411</v>
      </c>
      <c r="V1612" s="20">
        <v>3748</v>
      </c>
      <c r="W1612" s="20">
        <v>22838.71727748691</v>
      </c>
      <c r="Y1612" s="19">
        <v>0.26629999999999998</v>
      </c>
      <c r="Z1612" s="19">
        <v>0.16779999999999989</v>
      </c>
      <c r="AB1612" s="18">
        <v>22936</v>
      </c>
      <c r="AC1612" s="18">
        <v>4</v>
      </c>
    </row>
    <row r="1613" spans="1:29" ht="15.75" customHeight="1" x14ac:dyDescent="0.2">
      <c r="A1613" s="36" t="str">
        <f>HYPERLINK("https://www.southern.ohiou.edu/", "Ohio University-Southern Campus")</f>
        <v>Ohio University-Southern Campus</v>
      </c>
      <c r="B1613" s="18" t="s">
        <v>49</v>
      </c>
      <c r="C1613" s="18" t="s">
        <v>75</v>
      </c>
      <c r="D1613" s="18" t="s">
        <v>1609</v>
      </c>
      <c r="E1613" s="18" t="s">
        <v>36</v>
      </c>
      <c r="F1613" s="18" t="s">
        <v>36</v>
      </c>
      <c r="J1613" s="19"/>
      <c r="K1613" s="19">
        <v>0.2077</v>
      </c>
      <c r="L1613" s="19">
        <v>0.25959723099999998</v>
      </c>
      <c r="M1613" s="19">
        <v>0.21129999999999999</v>
      </c>
      <c r="N1613" s="19">
        <v>0</v>
      </c>
      <c r="O1613" s="19">
        <v>1</v>
      </c>
      <c r="P1613" s="19">
        <v>0</v>
      </c>
      <c r="Q1613" s="19">
        <v>6.7300916000000002E-2</v>
      </c>
      <c r="R1613" s="20">
        <v>17672</v>
      </c>
      <c r="S1613" s="21" t="str">
        <f>HYPERLINK("https://www.ohio.edu/financialaid/regionalcalculator/", "$12832")</f>
        <v>$12832</v>
      </c>
      <c r="T1613" s="20">
        <v>15481</v>
      </c>
      <c r="U1613" s="20">
        <v>16860</v>
      </c>
      <c r="V1613" s="20">
        <v>5074</v>
      </c>
      <c r="W1613" s="20">
        <v>7758</v>
      </c>
      <c r="Y1613" s="19">
        <v>0.6472</v>
      </c>
      <c r="Z1613" s="19">
        <v>9.0899999999999981E-2</v>
      </c>
      <c r="AB1613" s="18">
        <v>1199</v>
      </c>
      <c r="AC1613" s="18">
        <v>6</v>
      </c>
    </row>
    <row r="1614" spans="1:29" ht="15.75" customHeight="1" x14ac:dyDescent="0.2">
      <c r="A1614" s="36" t="str">
        <f>HYPERLINK("https://www.zanesville.ohiou.edu/", "Ohio University-Zanesville Campus")</f>
        <v>Ohio University-Zanesville Campus</v>
      </c>
      <c r="B1614" s="18" t="s">
        <v>49</v>
      </c>
      <c r="C1614" s="18" t="s">
        <v>75</v>
      </c>
      <c r="D1614" s="18" t="s">
        <v>1610</v>
      </c>
      <c r="E1614" s="18" t="s">
        <v>36</v>
      </c>
      <c r="F1614" s="18" t="s">
        <v>36</v>
      </c>
      <c r="J1614" s="19"/>
      <c r="K1614" s="19">
        <v>0.28410000000000002</v>
      </c>
      <c r="L1614" s="19">
        <v>0.25959723099999998</v>
      </c>
      <c r="M1614" s="19">
        <v>0.25659999999999999</v>
      </c>
      <c r="N1614" s="19">
        <v>0</v>
      </c>
      <c r="O1614" s="19">
        <v>1</v>
      </c>
      <c r="P1614" s="19">
        <v>1</v>
      </c>
      <c r="Q1614" s="19">
        <v>6.7300916000000002E-2</v>
      </c>
      <c r="R1614" s="20">
        <v>20550</v>
      </c>
      <c r="S1614" s="21" t="str">
        <f>HYPERLINK("https://www.ohio.edu/financialaid/regionalcalculator/", "$15683")</f>
        <v>$15683</v>
      </c>
      <c r="T1614" s="20">
        <v>17428</v>
      </c>
      <c r="U1614" s="20">
        <v>19302</v>
      </c>
      <c r="V1614" s="20">
        <v>5074</v>
      </c>
      <c r="W1614" s="20">
        <v>10609.33333333333</v>
      </c>
      <c r="Y1614" s="19">
        <v>0.55979999999999996</v>
      </c>
      <c r="Z1614" s="19">
        <v>0.11</v>
      </c>
      <c r="AB1614" s="18">
        <v>1064</v>
      </c>
      <c r="AC1614" s="18">
        <v>6</v>
      </c>
    </row>
    <row r="1615" spans="1:29" ht="15.75" customHeight="1" x14ac:dyDescent="0.2">
      <c r="A1615" s="36" t="str">
        <f>HYPERLINK("https://ovct.edu", "Ohio Valley College of Technology")</f>
        <v>Ohio Valley College of Technology</v>
      </c>
      <c r="B1615" s="18" t="s">
        <v>368</v>
      </c>
      <c r="C1615" s="18" t="s">
        <v>75</v>
      </c>
      <c r="D1615" s="18" t="s">
        <v>1453</v>
      </c>
      <c r="E1615" s="18" t="s">
        <v>36</v>
      </c>
      <c r="F1615" s="18" t="s">
        <v>36</v>
      </c>
      <c r="J1615" s="19"/>
      <c r="K1615" s="19">
        <v>0.56669999999999998</v>
      </c>
      <c r="L1615" s="19">
        <v>0.413793103</v>
      </c>
      <c r="M1615" s="19">
        <v>0.55169999999999997</v>
      </c>
      <c r="N1615" s="19" t="s">
        <v>36</v>
      </c>
      <c r="O1615" s="19" t="s">
        <v>36</v>
      </c>
      <c r="P1615" s="19" t="s">
        <v>36</v>
      </c>
      <c r="Q1615" s="19" t="s">
        <v>36</v>
      </c>
      <c r="R1615" s="20">
        <v>22921</v>
      </c>
      <c r="S1615" s="21" t="str">
        <f>HYPERLINK("https://ovct.edu", "$11694")</f>
        <v>$11694</v>
      </c>
      <c r="T1615" s="20">
        <v>12759</v>
      </c>
      <c r="U1615" s="20">
        <v>16489</v>
      </c>
      <c r="V1615" s="20">
        <v>3931</v>
      </c>
      <c r="W1615" s="20">
        <v>7763</v>
      </c>
      <c r="Y1615" s="19">
        <v>0.72060000000000002</v>
      </c>
      <c r="Z1615" s="19">
        <v>3.7000000000000033E-2</v>
      </c>
      <c r="AB1615" s="18">
        <v>162</v>
      </c>
      <c r="AC1615" s="18">
        <v>6</v>
      </c>
    </row>
    <row r="1616" spans="1:29" ht="15.75" customHeight="1" x14ac:dyDescent="0.2">
      <c r="A1616" s="36" t="str">
        <f>HYPERLINK("https://www.owu.edu/", "Ohio Wesleyan University")</f>
        <v>Ohio Wesleyan University</v>
      </c>
      <c r="B1616" s="18" t="s">
        <v>32</v>
      </c>
      <c r="C1616" s="18" t="s">
        <v>75</v>
      </c>
      <c r="D1616" s="18" t="s">
        <v>1030</v>
      </c>
      <c r="E1616" s="18" t="s">
        <v>36</v>
      </c>
      <c r="F1616" s="18" t="s">
        <v>90</v>
      </c>
      <c r="J1616" s="19"/>
      <c r="K1616" s="19">
        <v>0.69569999999999999</v>
      </c>
      <c r="L1616" s="19">
        <v>0.54838709699999999</v>
      </c>
      <c r="M1616" s="19">
        <v>0.74170000000000003</v>
      </c>
      <c r="N1616" s="19">
        <v>0.56000000000000005</v>
      </c>
      <c r="O1616" s="19">
        <v>0.76470000000000005</v>
      </c>
      <c r="P1616" s="19">
        <v>0.71430000000000005</v>
      </c>
      <c r="Q1616" s="19"/>
      <c r="R1616" s="20">
        <v>60350</v>
      </c>
      <c r="S1616" s="21" t="str">
        <f>HYPERLINK("https://finaid.owu.edu/", "$20291")</f>
        <v>$20291</v>
      </c>
      <c r="T1616" s="20">
        <v>22156</v>
      </c>
      <c r="U1616" s="20">
        <v>27467</v>
      </c>
      <c r="V1616" s="20">
        <v>3200</v>
      </c>
      <c r="W1616" s="20">
        <v>17091</v>
      </c>
      <c r="Y1616" s="19">
        <v>0.28139999999999998</v>
      </c>
      <c r="Z1616" s="19">
        <v>0.31380000000000002</v>
      </c>
      <c r="AB1616" s="18">
        <v>1549</v>
      </c>
      <c r="AC1616" s="18">
        <v>4</v>
      </c>
    </row>
    <row r="1617" spans="1:29" ht="15.75" customHeight="1" x14ac:dyDescent="0.2">
      <c r="A1617" s="36" t="str">
        <f>HYPERLINK("https://www.ohlone.edu", "Ohlone College")</f>
        <v>Ohlone College</v>
      </c>
      <c r="B1617" s="18" t="s">
        <v>49</v>
      </c>
      <c r="C1617" s="18" t="s">
        <v>68</v>
      </c>
      <c r="D1617" s="18" t="s">
        <v>966</v>
      </c>
      <c r="E1617" s="18" t="s">
        <v>36</v>
      </c>
      <c r="F1617" s="18" t="s">
        <v>36</v>
      </c>
      <c r="J1617" s="19"/>
      <c r="K1617" s="19">
        <v>0.41420000000000001</v>
      </c>
      <c r="L1617" s="19" t="s">
        <v>36</v>
      </c>
      <c r="M1617" s="19">
        <v>0.4</v>
      </c>
      <c r="N1617" s="19">
        <v>0.28570000000000001</v>
      </c>
      <c r="O1617" s="19">
        <v>0.30170000000000002</v>
      </c>
      <c r="P1617" s="19">
        <v>0.50349999999999995</v>
      </c>
      <c r="Q1617" s="19">
        <v>0.19088016999999999</v>
      </c>
      <c r="R1617" s="20">
        <v>25970</v>
      </c>
      <c r="S1617" s="21" t="str">
        <f>HYPERLINK("https://misweb.cccco.edu/npc/431/npcalc.htm", "$18793")</f>
        <v>$18793</v>
      </c>
      <c r="T1617" s="20">
        <v>21190</v>
      </c>
      <c r="U1617" s="20">
        <v>23662</v>
      </c>
      <c r="V1617" s="20">
        <v>6496</v>
      </c>
      <c r="W1617" s="20">
        <v>12297.976878612721</v>
      </c>
      <c r="Y1617" s="19">
        <v>0.14449999999999999</v>
      </c>
      <c r="Z1617" s="19">
        <v>0.82810000000000006</v>
      </c>
      <c r="AB1617" s="18">
        <v>8026</v>
      </c>
      <c r="AC1617" s="18">
        <v>6</v>
      </c>
    </row>
    <row r="1618" spans="1:29" ht="15.75" customHeight="1" x14ac:dyDescent="0.2">
      <c r="A1618" s="36" t="str">
        <f>HYPERLINK("https://ohrhameir.com", "Ohr Hameir Theological Seminary")</f>
        <v>Ohr Hameir Theological Seminary</v>
      </c>
      <c r="B1618" s="18" t="s">
        <v>32</v>
      </c>
      <c r="C1618" s="18" t="s">
        <v>38</v>
      </c>
      <c r="D1618" s="18" t="s">
        <v>1611</v>
      </c>
      <c r="E1618" s="18" t="s">
        <v>36</v>
      </c>
      <c r="F1618" s="18" t="s">
        <v>45</v>
      </c>
      <c r="J1618" s="19"/>
      <c r="K1618" s="19">
        <v>0.125</v>
      </c>
      <c r="L1618" s="19" t="s">
        <v>36</v>
      </c>
      <c r="M1618" s="19">
        <v>0.125</v>
      </c>
      <c r="N1618" s="19" t="s">
        <v>36</v>
      </c>
      <c r="O1618" s="19" t="s">
        <v>36</v>
      </c>
      <c r="P1618" s="19" t="s">
        <v>36</v>
      </c>
      <c r="Q1618" s="19" t="s">
        <v>36</v>
      </c>
      <c r="R1618" s="20">
        <v>20850</v>
      </c>
      <c r="S1618" s="21" t="str">
        <f>HYPERLINK("https://sites.google.com/site/ohrhameirtheologicalseminary", "$11750")</f>
        <v>$11750</v>
      </c>
      <c r="T1618" s="20" t="s">
        <v>36</v>
      </c>
      <c r="U1618" s="20" t="s">
        <v>36</v>
      </c>
      <c r="V1618" s="20">
        <v>4000</v>
      </c>
      <c r="W1618" s="20">
        <v>7750</v>
      </c>
      <c r="Y1618" s="19">
        <v>0.51690000000000003</v>
      </c>
      <c r="Z1618" s="19">
        <v>6.9300000000000028E-2</v>
      </c>
      <c r="AB1618" s="18">
        <v>101</v>
      </c>
      <c r="AC1618" s="18">
        <v>6</v>
      </c>
    </row>
    <row r="1619" spans="1:29" ht="15.75" customHeight="1" x14ac:dyDescent="0.2">
      <c r="A1619" s="36" t="str">
        <f>HYPERLINK("https://www.okbu.edu", "Oklahoma Baptist University")</f>
        <v>Oklahoma Baptist University</v>
      </c>
      <c r="B1619" s="18" t="s">
        <v>32</v>
      </c>
      <c r="C1619" s="18" t="s">
        <v>290</v>
      </c>
      <c r="D1619" s="18" t="s">
        <v>436</v>
      </c>
      <c r="E1619" s="18">
        <v>1126</v>
      </c>
      <c r="F1619" s="18" t="s">
        <v>35</v>
      </c>
      <c r="J1619" s="19"/>
      <c r="K1619" s="19">
        <v>0.58530000000000004</v>
      </c>
      <c r="L1619" s="19">
        <v>0.29310344799999999</v>
      </c>
      <c r="M1619" s="19">
        <v>0.67620000000000002</v>
      </c>
      <c r="N1619" s="19">
        <v>0.1852</v>
      </c>
      <c r="O1619" s="19">
        <v>0.4667</v>
      </c>
      <c r="P1619" s="19">
        <v>1</v>
      </c>
      <c r="Q1619" s="19"/>
      <c r="R1619" s="20">
        <v>39840</v>
      </c>
      <c r="S1619" s="21" t="str">
        <f>HYPERLINK("https://www.okbu.edu/financial-aid/net-price-calculator", "$13671")</f>
        <v>$13671</v>
      </c>
      <c r="T1619" s="20">
        <v>15596</v>
      </c>
      <c r="U1619" s="20">
        <v>17089</v>
      </c>
      <c r="V1619" s="20">
        <v>5850</v>
      </c>
      <c r="W1619" s="20">
        <v>7821</v>
      </c>
      <c r="Y1619" s="19">
        <v>0.37480000000000002</v>
      </c>
      <c r="Z1619" s="19">
        <v>0.31369999999999998</v>
      </c>
      <c r="AB1619" s="18">
        <v>1852</v>
      </c>
      <c r="AC1619" s="18">
        <v>3</v>
      </c>
    </row>
    <row r="1620" spans="1:29" ht="15.75" customHeight="1" x14ac:dyDescent="0.2">
      <c r="A1620" s="36" t="str">
        <f>HYPERLINK("https://www.oc.edu", "Oklahoma Christian University")</f>
        <v>Oklahoma Christian University</v>
      </c>
      <c r="B1620" s="18" t="s">
        <v>32</v>
      </c>
      <c r="C1620" s="18" t="s">
        <v>290</v>
      </c>
      <c r="D1620" s="18" t="s">
        <v>437</v>
      </c>
      <c r="E1620" s="18">
        <v>1146</v>
      </c>
      <c r="F1620" s="18" t="s">
        <v>35</v>
      </c>
      <c r="J1620" s="19"/>
      <c r="K1620" s="19">
        <v>0.53759999999999997</v>
      </c>
      <c r="L1620" s="19">
        <v>0.34677419399999998</v>
      </c>
      <c r="M1620" s="19">
        <v>0.54020000000000001</v>
      </c>
      <c r="N1620" s="19">
        <v>0.52500000000000002</v>
      </c>
      <c r="O1620" s="19">
        <v>0.45829999999999999</v>
      </c>
      <c r="P1620" s="19">
        <v>0.75</v>
      </c>
      <c r="Q1620" s="19"/>
      <c r="R1620" s="20">
        <v>34915</v>
      </c>
      <c r="S1620" s="21" t="str">
        <f>HYPERLINK("https://www.oc.edu/services/financial/net-price-calculator/index.html", "$13817")</f>
        <v>$13817</v>
      </c>
      <c r="T1620" s="20">
        <v>15120</v>
      </c>
      <c r="U1620" s="20">
        <v>19292</v>
      </c>
      <c r="V1620" s="20">
        <v>5655</v>
      </c>
      <c r="W1620" s="20">
        <v>8162</v>
      </c>
      <c r="Y1620" s="19">
        <v>0.26879999999999998</v>
      </c>
      <c r="Z1620" s="19">
        <v>0.27189999999999998</v>
      </c>
      <c r="AB1620" s="18">
        <v>1883</v>
      </c>
      <c r="AC1620" s="18">
        <v>3</v>
      </c>
    </row>
    <row r="1621" spans="1:29" ht="15.75" customHeight="1" x14ac:dyDescent="0.2">
      <c r="A1621" s="36" t="str">
        <f>HYPERLINK("https://www.occc.edu", "Oklahoma City Community College")</f>
        <v>Oklahoma City Community College</v>
      </c>
      <c r="B1621" s="18" t="s">
        <v>49</v>
      </c>
      <c r="C1621" s="18" t="s">
        <v>290</v>
      </c>
      <c r="D1621" s="18" t="s">
        <v>438</v>
      </c>
      <c r="E1621" s="18" t="s">
        <v>36</v>
      </c>
      <c r="F1621" s="18" t="s">
        <v>36</v>
      </c>
      <c r="J1621" s="19"/>
      <c r="K1621" s="19">
        <v>8.7400000000000005E-2</v>
      </c>
      <c r="L1621" s="19">
        <v>0.12579320599999999</v>
      </c>
      <c r="M1621" s="19">
        <v>0.115</v>
      </c>
      <c r="N1621" s="19">
        <v>4.2900000000000001E-2</v>
      </c>
      <c r="O1621" s="19">
        <v>5.6300000000000003E-2</v>
      </c>
      <c r="P1621" s="19">
        <v>0.1429</v>
      </c>
      <c r="Q1621" s="19">
        <v>9.6845736999999987E-2</v>
      </c>
      <c r="R1621" s="20">
        <v>22990</v>
      </c>
      <c r="S1621" s="21" t="str">
        <f>HYPERLINK("https://www.occc.edu/financialaid/net-price-calculator.html", "$17008")</f>
        <v>$17008</v>
      </c>
      <c r="T1621" s="20">
        <v>20413</v>
      </c>
      <c r="U1621" s="20">
        <v>22012</v>
      </c>
      <c r="V1621" s="20">
        <v>5290</v>
      </c>
      <c r="W1621" s="20">
        <v>11718.31789473684</v>
      </c>
      <c r="Y1621" s="19">
        <v>0.39319999999999999</v>
      </c>
      <c r="Z1621" s="19">
        <v>0.48820000000000002</v>
      </c>
      <c r="AB1621" s="18">
        <v>11203</v>
      </c>
      <c r="AC1621" s="18">
        <v>6</v>
      </c>
    </row>
    <row r="1622" spans="1:29" ht="15.75" customHeight="1" x14ac:dyDescent="0.2">
      <c r="A1622" s="36" t="str">
        <f>HYPERLINK("https://www.okcu.edu", "Oklahoma City University")</f>
        <v>Oklahoma City University</v>
      </c>
      <c r="B1622" s="18" t="s">
        <v>32</v>
      </c>
      <c r="C1622" s="18" t="s">
        <v>290</v>
      </c>
      <c r="D1622" s="18" t="s">
        <v>438</v>
      </c>
      <c r="E1622" s="18">
        <v>1219</v>
      </c>
      <c r="F1622" s="18" t="s">
        <v>35</v>
      </c>
      <c r="J1622" s="19"/>
      <c r="K1622" s="19">
        <v>0.62949999999999995</v>
      </c>
      <c r="L1622" s="19">
        <v>0.53645833300000001</v>
      </c>
      <c r="M1622" s="19">
        <v>0.66090000000000004</v>
      </c>
      <c r="N1622" s="19">
        <v>0.72729999999999995</v>
      </c>
      <c r="O1622" s="19">
        <v>0.5</v>
      </c>
      <c r="P1622" s="19">
        <v>0.5</v>
      </c>
      <c r="Q1622" s="19"/>
      <c r="R1622" s="20">
        <v>45408</v>
      </c>
      <c r="S1622" s="21" t="str">
        <f>HYPERLINK("https://www.okcu.edu/financialaid/calculator", "$20737")</f>
        <v>$20737</v>
      </c>
      <c r="T1622" s="20">
        <v>29687</v>
      </c>
      <c r="U1622" s="20">
        <v>30345</v>
      </c>
      <c r="V1622" s="20">
        <v>6058</v>
      </c>
      <c r="W1622" s="20">
        <v>14679</v>
      </c>
      <c r="Y1622" s="19">
        <v>0.2157</v>
      </c>
      <c r="Z1622" s="19">
        <v>0.37769999999999998</v>
      </c>
      <c r="AB1622" s="18">
        <v>1692</v>
      </c>
      <c r="AC1622" s="18">
        <v>3</v>
      </c>
    </row>
    <row r="1623" spans="1:29" ht="15.75" customHeight="1" x14ac:dyDescent="0.2">
      <c r="A1623" s="36" t="str">
        <f>HYPERLINK("https://www.osuit.edu/", "Oklahoma State University Institute of Technology")</f>
        <v>Oklahoma State University Institute of Technology</v>
      </c>
      <c r="B1623" s="18" t="s">
        <v>49</v>
      </c>
      <c r="C1623" s="18" t="s">
        <v>290</v>
      </c>
      <c r="D1623" s="18" t="s">
        <v>1193</v>
      </c>
      <c r="E1623" s="18" t="s">
        <v>36</v>
      </c>
      <c r="F1623" s="18" t="s">
        <v>36</v>
      </c>
      <c r="J1623" s="19"/>
      <c r="K1623" s="19">
        <v>0.32219999999999999</v>
      </c>
      <c r="L1623" s="19">
        <v>0.30599369100000001</v>
      </c>
      <c r="M1623" s="19">
        <v>0.38279999999999997</v>
      </c>
      <c r="N1623" s="19">
        <v>9.0899999999999995E-2</v>
      </c>
      <c r="O1623" s="19">
        <v>0.4</v>
      </c>
      <c r="P1623" s="19">
        <v>0.66669999999999996</v>
      </c>
      <c r="Q1623" s="19">
        <v>3.2139578000000002E-2</v>
      </c>
      <c r="R1623" s="20">
        <v>18942</v>
      </c>
      <c r="S1623" s="21" t="str">
        <f>HYPERLINK("https://www.osuit.edu/academics/net_price/", "$12104")</f>
        <v>$12104</v>
      </c>
      <c r="T1623" s="20">
        <v>15296</v>
      </c>
      <c r="U1623" s="20">
        <v>17567</v>
      </c>
      <c r="V1623" s="20">
        <v>2348</v>
      </c>
      <c r="W1623" s="20">
        <v>9756.1801801801812</v>
      </c>
      <c r="Y1623" s="19">
        <v>0.44819999999999999</v>
      </c>
      <c r="Z1623" s="19">
        <v>0.69819999999999993</v>
      </c>
      <c r="AB1623" s="18">
        <v>2210</v>
      </c>
      <c r="AC1623" s="18">
        <v>6</v>
      </c>
    </row>
    <row r="1624" spans="1:29" ht="15.75" customHeight="1" x14ac:dyDescent="0.2">
      <c r="A1624" s="36" t="str">
        <f>HYPERLINK("https://www.okstate.edu/", "Oklahoma State University-Main Campus")</f>
        <v>Oklahoma State University-Main Campus</v>
      </c>
      <c r="B1624" s="18" t="s">
        <v>49</v>
      </c>
      <c r="C1624" s="18" t="s">
        <v>290</v>
      </c>
      <c r="D1624" s="18" t="s">
        <v>439</v>
      </c>
      <c r="E1624" s="18">
        <v>1206</v>
      </c>
      <c r="F1624" s="18" t="s">
        <v>35</v>
      </c>
      <c r="J1624" s="19"/>
      <c r="K1624" s="19">
        <v>0.61990000000000001</v>
      </c>
      <c r="L1624" s="19">
        <v>0.49808429100000001</v>
      </c>
      <c r="M1624" s="19">
        <v>0.65599999999999992</v>
      </c>
      <c r="N1624" s="19">
        <v>0.33500000000000002</v>
      </c>
      <c r="O1624" s="19">
        <v>0.55399999999999994</v>
      </c>
      <c r="P1624" s="19">
        <v>0.58819999999999995</v>
      </c>
      <c r="Q1624" s="19"/>
      <c r="R1624" s="20">
        <v>38686</v>
      </c>
      <c r="S1624" s="21" t="str">
        <f>HYPERLINK("https://orange.okstate.edu/register/netprice", "$25729")</f>
        <v>$25729</v>
      </c>
      <c r="T1624" s="20">
        <v>30639</v>
      </c>
      <c r="U1624" s="20">
        <v>34928</v>
      </c>
      <c r="V1624" s="20">
        <v>5970</v>
      </c>
      <c r="W1624" s="20">
        <v>19759.928895612709</v>
      </c>
      <c r="Y1624" s="19">
        <v>0.27779999999999999</v>
      </c>
      <c r="Z1624" s="19">
        <v>0.32269999999999999</v>
      </c>
      <c r="AB1624" s="18">
        <v>20743</v>
      </c>
      <c r="AC1624" s="18">
        <v>3</v>
      </c>
    </row>
    <row r="1625" spans="1:29" ht="15.75" customHeight="1" x14ac:dyDescent="0.2">
      <c r="A1625" s="36" t="str">
        <f>HYPERLINK("https://www.osuokc.edu", "Oklahoma State University-Oklahoma City")</f>
        <v>Oklahoma State University-Oklahoma City</v>
      </c>
      <c r="B1625" s="18" t="s">
        <v>49</v>
      </c>
      <c r="C1625" s="18" t="s">
        <v>290</v>
      </c>
      <c r="D1625" s="18" t="s">
        <v>438</v>
      </c>
      <c r="E1625" s="18" t="s">
        <v>36</v>
      </c>
      <c r="F1625" s="18" t="s">
        <v>36</v>
      </c>
      <c r="J1625" s="19"/>
      <c r="K1625" s="19">
        <v>6.6299999999999998E-2</v>
      </c>
      <c r="L1625" s="19">
        <v>0.13073979599999999</v>
      </c>
      <c r="M1625" s="19">
        <v>7.0199999999999999E-2</v>
      </c>
      <c r="N1625" s="19">
        <v>1.11E-2</v>
      </c>
      <c r="O1625" s="19">
        <v>9.6199999999999994E-2</v>
      </c>
      <c r="P1625" s="19">
        <v>0.2</v>
      </c>
      <c r="Q1625" s="19">
        <v>8.1438610999999994E-2</v>
      </c>
      <c r="R1625" s="20">
        <v>21715</v>
      </c>
      <c r="S1625" s="21" t="str">
        <f>HYPERLINK("https://www.osuokc.edu/NetPriceCalculator", "$15599")</f>
        <v>$15599</v>
      </c>
      <c r="T1625" s="20">
        <v>17352</v>
      </c>
      <c r="U1625" s="20">
        <v>21262</v>
      </c>
      <c r="V1625" s="20">
        <v>5607</v>
      </c>
      <c r="W1625" s="20">
        <v>9992.233716475097</v>
      </c>
      <c r="Y1625" s="19">
        <v>0.3649</v>
      </c>
      <c r="Z1625" s="19">
        <v>0.48130000000000001</v>
      </c>
      <c r="AB1625" s="18">
        <v>5334</v>
      </c>
      <c r="AC1625" s="18">
        <v>6</v>
      </c>
    </row>
    <row r="1626" spans="1:29" ht="15.75" customHeight="1" x14ac:dyDescent="0.2">
      <c r="A1626" s="36" t="str">
        <f>HYPERLINK("https://www.okwu.edu", "Oklahoma Wesleyan University")</f>
        <v>Oklahoma Wesleyan University</v>
      </c>
      <c r="B1626" s="18" t="s">
        <v>32</v>
      </c>
      <c r="C1626" s="18" t="s">
        <v>290</v>
      </c>
      <c r="D1626" s="18" t="s">
        <v>1032</v>
      </c>
      <c r="E1626" s="18">
        <v>1048</v>
      </c>
      <c r="F1626" s="18" t="s">
        <v>35</v>
      </c>
      <c r="J1626" s="19"/>
      <c r="K1626" s="19">
        <v>0.45450000000000002</v>
      </c>
      <c r="L1626" s="19">
        <v>0.47368421100000002</v>
      </c>
      <c r="M1626" s="19">
        <v>0.59699999999999998</v>
      </c>
      <c r="N1626" s="19">
        <v>0.41670000000000001</v>
      </c>
      <c r="O1626" s="19">
        <v>0.4138</v>
      </c>
      <c r="P1626" s="19" t="s">
        <v>36</v>
      </c>
      <c r="Q1626" s="19"/>
      <c r="R1626" s="20">
        <v>39326</v>
      </c>
      <c r="S1626" s="21" t="str">
        <f>HYPERLINK("https://www.okwu.edu/net-price-calculator/npcalc.htm", "$23726")</f>
        <v>$23726</v>
      </c>
      <c r="T1626" s="20">
        <v>25998</v>
      </c>
      <c r="U1626" s="20">
        <v>28742</v>
      </c>
      <c r="V1626" s="20">
        <v>4892</v>
      </c>
      <c r="W1626" s="20">
        <v>18834</v>
      </c>
      <c r="Y1626" s="19">
        <v>0.40100000000000002</v>
      </c>
      <c r="Z1626" s="19">
        <v>0.3569</v>
      </c>
      <c r="AB1626" s="18">
        <v>1006</v>
      </c>
      <c r="AC1626" s="18">
        <v>4</v>
      </c>
    </row>
    <row r="1627" spans="1:29" ht="15.75" customHeight="1" x14ac:dyDescent="0.2">
      <c r="A1627" s="36" t="str">
        <f>HYPERLINK("https://www.odu.edu", "Old Dominion University")</f>
        <v>Old Dominion University</v>
      </c>
      <c r="B1627" s="18" t="s">
        <v>49</v>
      </c>
      <c r="C1627" s="18" t="s">
        <v>83</v>
      </c>
      <c r="D1627" s="18" t="s">
        <v>800</v>
      </c>
      <c r="E1627" s="18">
        <v>1089</v>
      </c>
      <c r="F1627" s="18" t="s">
        <v>35</v>
      </c>
      <c r="J1627" s="19"/>
      <c r="K1627" s="19">
        <v>0.54400000000000004</v>
      </c>
      <c r="L1627" s="19">
        <v>0.42135922299999989</v>
      </c>
      <c r="M1627" s="19">
        <v>0.57650000000000001</v>
      </c>
      <c r="N1627" s="19">
        <v>0.5</v>
      </c>
      <c r="O1627" s="19">
        <v>0.51659999999999995</v>
      </c>
      <c r="P1627" s="19">
        <v>0.60750000000000004</v>
      </c>
      <c r="Q1627" s="19"/>
      <c r="R1627" s="20">
        <v>43444</v>
      </c>
      <c r="S1627" s="21" t="str">
        <f>HYPERLINK("https://www.odu.edu/tuition-aid/financial-aid/net-price-calculator", "$31473")</f>
        <v>$31473</v>
      </c>
      <c r="T1627" s="20">
        <v>36401</v>
      </c>
      <c r="U1627" s="20">
        <v>39177</v>
      </c>
      <c r="V1627" s="20">
        <v>4276</v>
      </c>
      <c r="W1627" s="20">
        <v>27197.19059107358</v>
      </c>
      <c r="Y1627" s="19">
        <v>0.3735</v>
      </c>
      <c r="Z1627" s="19">
        <v>0.5534</v>
      </c>
      <c r="AB1627" s="18">
        <v>19364</v>
      </c>
      <c r="AC1627" s="18">
        <v>4</v>
      </c>
    </row>
    <row r="1628" spans="1:29" ht="15.75" customHeight="1" x14ac:dyDescent="0.2">
      <c r="A1628" s="36" t="str">
        <f>HYPERLINK("https://www.olivetcollege.edu", "Olivet College")</f>
        <v>Olivet College</v>
      </c>
      <c r="B1628" s="18" t="s">
        <v>32</v>
      </c>
      <c r="C1628" s="18" t="s">
        <v>226</v>
      </c>
      <c r="D1628" s="18" t="s">
        <v>1034</v>
      </c>
      <c r="E1628" s="18" t="s">
        <v>36</v>
      </c>
      <c r="F1628" s="18" t="s">
        <v>115</v>
      </c>
      <c r="J1628" s="19"/>
      <c r="K1628" s="19">
        <v>0.53239999999999998</v>
      </c>
      <c r="L1628" s="19">
        <v>0.3984375</v>
      </c>
      <c r="M1628" s="19">
        <v>0.50290000000000001</v>
      </c>
      <c r="N1628" s="19">
        <v>0.7</v>
      </c>
      <c r="O1628" s="19">
        <v>0.5625</v>
      </c>
      <c r="P1628" s="19" t="s">
        <v>36</v>
      </c>
      <c r="Q1628" s="19"/>
      <c r="R1628" s="20">
        <v>39971</v>
      </c>
      <c r="S1628" s="21" t="str">
        <f>HYPERLINK("https://www.olivetcollege.edu/undergraduate/tuition-financial-aid/net-price-calculator/", "$18235")</f>
        <v>$18235</v>
      </c>
      <c r="T1628" s="20">
        <v>18770</v>
      </c>
      <c r="U1628" s="20">
        <v>22450</v>
      </c>
      <c r="V1628" s="20">
        <v>3966</v>
      </c>
      <c r="W1628" s="20">
        <v>14269</v>
      </c>
      <c r="Y1628" s="19">
        <v>0.47460000000000002</v>
      </c>
      <c r="Z1628" s="19">
        <v>0.34549999999999997</v>
      </c>
      <c r="AB1628" s="18">
        <v>1039</v>
      </c>
      <c r="AC1628" s="18">
        <v>4</v>
      </c>
    </row>
    <row r="1629" spans="1:29" ht="15.75" customHeight="1" x14ac:dyDescent="0.2">
      <c r="A1629" s="36" t="str">
        <f>HYPERLINK("https://www.olivet.edu", "Olivet Nazarene University")</f>
        <v>Olivet Nazarene University</v>
      </c>
      <c r="B1629" s="18" t="s">
        <v>32</v>
      </c>
      <c r="C1629" s="18" t="s">
        <v>137</v>
      </c>
      <c r="D1629" s="18" t="s">
        <v>1035</v>
      </c>
      <c r="E1629" s="18">
        <v>1140</v>
      </c>
      <c r="F1629" s="18" t="s">
        <v>35</v>
      </c>
      <c r="J1629" s="19"/>
      <c r="K1629" s="19">
        <v>0.66290000000000004</v>
      </c>
      <c r="L1629" s="19">
        <v>0.39047619099999997</v>
      </c>
      <c r="M1629" s="19">
        <v>0.69240000000000002</v>
      </c>
      <c r="N1629" s="19">
        <v>0.47060000000000002</v>
      </c>
      <c r="O1629" s="19">
        <v>0.45450000000000002</v>
      </c>
      <c r="P1629" s="19">
        <v>0.69230000000000003</v>
      </c>
      <c r="Q1629" s="19"/>
      <c r="R1629" s="20">
        <v>46540</v>
      </c>
      <c r="S1629" s="21" t="str">
        <f>HYPERLINK("https://www2.olivet.edu/financialaid/calculator/", "$17443")</f>
        <v>$17443</v>
      </c>
      <c r="T1629" s="20">
        <v>18945</v>
      </c>
      <c r="U1629" s="20">
        <v>22147</v>
      </c>
      <c r="V1629" s="20">
        <v>3700</v>
      </c>
      <c r="W1629" s="20">
        <v>13743</v>
      </c>
      <c r="Y1629" s="19">
        <v>0.30170000000000002</v>
      </c>
      <c r="Z1629" s="19">
        <v>0.2271</v>
      </c>
      <c r="AB1629" s="18">
        <v>3356</v>
      </c>
      <c r="AC1629" s="18">
        <v>4</v>
      </c>
    </row>
    <row r="1630" spans="1:29" ht="15.75" customHeight="1" x14ac:dyDescent="0.2">
      <c r="A1630" s="36" t="str">
        <f>HYPERLINK("https://www.iecc.edu/occ", "Olney Central College")</f>
        <v>Olney Central College</v>
      </c>
      <c r="B1630" s="18" t="s">
        <v>49</v>
      </c>
      <c r="C1630" s="18" t="s">
        <v>137</v>
      </c>
      <c r="D1630" s="18" t="s">
        <v>1612</v>
      </c>
      <c r="E1630" s="18" t="s">
        <v>36</v>
      </c>
      <c r="F1630" s="18" t="s">
        <v>36</v>
      </c>
      <c r="J1630" s="19"/>
      <c r="K1630" s="19">
        <v>0.58550000000000002</v>
      </c>
      <c r="L1630" s="19">
        <v>0.33333333300000001</v>
      </c>
      <c r="M1630" s="19">
        <v>0.60660000000000003</v>
      </c>
      <c r="N1630" s="19">
        <v>0</v>
      </c>
      <c r="O1630" s="19">
        <v>1</v>
      </c>
      <c r="P1630" s="19" t="s">
        <v>36</v>
      </c>
      <c r="Q1630" s="19">
        <v>4.6678636000000003E-2</v>
      </c>
      <c r="R1630" s="20">
        <v>20755</v>
      </c>
      <c r="S1630" s="21" t="str">
        <f>HYPERLINK("https://www.iecc.edu/files_user/FAID/netcalc/npcalc.htm", "$15937")</f>
        <v>$15937</v>
      </c>
      <c r="T1630" s="20">
        <v>18449</v>
      </c>
      <c r="U1630" s="20">
        <v>19751</v>
      </c>
      <c r="V1630" s="20">
        <v>2900</v>
      </c>
      <c r="W1630" s="20">
        <v>13037.321428571429</v>
      </c>
      <c r="Y1630" s="19">
        <v>0.32890000000000003</v>
      </c>
      <c r="Z1630" s="19">
        <v>8.0099999999999949E-2</v>
      </c>
      <c r="AB1630" s="18">
        <v>724</v>
      </c>
      <c r="AC1630" s="18">
        <v>6</v>
      </c>
    </row>
    <row r="1631" spans="1:29" ht="15.75" customHeight="1" x14ac:dyDescent="0.2">
      <c r="A1631" s="36" t="str">
        <f>HYPERLINK("https://www.olympic.edu", "Olympic College")</f>
        <v>Olympic College</v>
      </c>
      <c r="B1631" s="18" t="s">
        <v>49</v>
      </c>
      <c r="C1631" s="18" t="s">
        <v>184</v>
      </c>
      <c r="D1631" s="18" t="s">
        <v>1613</v>
      </c>
      <c r="E1631" s="18" t="s">
        <v>36</v>
      </c>
      <c r="F1631" s="18" t="s">
        <v>36</v>
      </c>
      <c r="J1631" s="19"/>
      <c r="K1631" s="19">
        <v>0.2109</v>
      </c>
      <c r="L1631" s="19">
        <v>0.23194303199999999</v>
      </c>
      <c r="M1631" s="19">
        <v>0.22009999999999999</v>
      </c>
      <c r="N1631" s="19">
        <v>0.1429</v>
      </c>
      <c r="O1631" s="19">
        <v>0.1429</v>
      </c>
      <c r="P1631" s="19">
        <v>0.28570000000000001</v>
      </c>
      <c r="Q1631" s="19">
        <v>7.1942445999999993E-2</v>
      </c>
      <c r="R1631" s="20">
        <v>18220</v>
      </c>
      <c r="S1631" s="21" t="str">
        <f>HYPERLINK("https://www.olympic.edu/paying-college/financial-aid/financial-aid-faqs/net-price-calculator", "$11308")</f>
        <v>$11308</v>
      </c>
      <c r="T1631" s="20">
        <v>14666</v>
      </c>
      <c r="U1631" s="20">
        <v>16974</v>
      </c>
      <c r="V1631" s="20">
        <v>4218</v>
      </c>
      <c r="W1631" s="20">
        <v>7090.7657657657664</v>
      </c>
      <c r="Y1631" s="19">
        <v>0.2301</v>
      </c>
      <c r="Z1631" s="19">
        <v>0.36030000000000001</v>
      </c>
      <c r="AB1631" s="18">
        <v>4627</v>
      </c>
      <c r="AC1631" s="18">
        <v>6</v>
      </c>
    </row>
    <row r="1632" spans="1:29" ht="15.75" customHeight="1" x14ac:dyDescent="0.2">
      <c r="A1632" s="36" t="str">
        <f>HYPERLINK("https://www.sunyocc.edu", "SUNY Onondaga Community College")</f>
        <v>SUNY Onondaga Community College</v>
      </c>
      <c r="B1632" s="18" t="s">
        <v>49</v>
      </c>
      <c r="C1632" s="18" t="s">
        <v>38</v>
      </c>
      <c r="D1632" s="18" t="s">
        <v>242</v>
      </c>
      <c r="E1632" s="18" t="s">
        <v>36</v>
      </c>
      <c r="F1632" s="18" t="s">
        <v>36</v>
      </c>
      <c r="G1632" s="18" t="s">
        <v>51</v>
      </c>
      <c r="I1632" s="18" t="s">
        <v>1614</v>
      </c>
      <c r="J1632" s="19"/>
      <c r="K1632" s="19">
        <v>0.2177</v>
      </c>
      <c r="L1632" s="19">
        <v>6.2535858E-2</v>
      </c>
      <c r="M1632" s="19">
        <v>0.27200000000000002</v>
      </c>
      <c r="N1632" s="19">
        <v>7.8700000000000006E-2</v>
      </c>
      <c r="O1632" s="19">
        <v>0.122</v>
      </c>
      <c r="P1632" s="19">
        <v>0.26150000000000001</v>
      </c>
      <c r="Q1632" s="19">
        <v>0.138681948</v>
      </c>
      <c r="R1632" s="20">
        <v>16940</v>
      </c>
      <c r="S1632" s="21" t="str">
        <f>HYPERLINK("https://admission.sunyocc.edu/paying.aspx?menu=788&amp;id=26384", "$6297")</f>
        <v>$6297</v>
      </c>
      <c r="T1632" s="20">
        <v>10978</v>
      </c>
      <c r="U1632" s="20">
        <v>13045</v>
      </c>
      <c r="V1632" s="20">
        <v>3886</v>
      </c>
      <c r="W1632" s="20">
        <v>2411</v>
      </c>
      <c r="Y1632" s="19">
        <v>0.31119999999999998</v>
      </c>
      <c r="Z1632" s="19">
        <v>0.39389999999999997</v>
      </c>
      <c r="AB1632" s="18">
        <v>7055</v>
      </c>
      <c r="AC1632" s="18">
        <v>6</v>
      </c>
    </row>
    <row r="1633" spans="1:29" ht="15.75" customHeight="1" x14ac:dyDescent="0.2">
      <c r="A1633" s="36" t="str">
        <f>HYPERLINK("https://oru.edu", "Oral Roberts University")</f>
        <v>Oral Roberts University</v>
      </c>
      <c r="B1633" s="18" t="s">
        <v>32</v>
      </c>
      <c r="C1633" s="18" t="s">
        <v>290</v>
      </c>
      <c r="D1633" s="18" t="s">
        <v>291</v>
      </c>
      <c r="E1633" s="18">
        <v>1133</v>
      </c>
      <c r="F1633" s="18" t="s">
        <v>35</v>
      </c>
      <c r="J1633" s="19"/>
      <c r="K1633" s="19">
        <v>0.56530000000000002</v>
      </c>
      <c r="L1633" s="19">
        <v>0.35580524299999999</v>
      </c>
      <c r="M1633" s="19">
        <v>0.60729999999999995</v>
      </c>
      <c r="N1633" s="19">
        <v>0.55559999999999998</v>
      </c>
      <c r="O1633" s="19">
        <v>0.4138</v>
      </c>
      <c r="P1633" s="19">
        <v>0.625</v>
      </c>
      <c r="Q1633" s="19"/>
      <c r="R1633" s="20">
        <v>41054</v>
      </c>
      <c r="S1633" s="21" t="str">
        <f>HYPERLINK("https://www.oru.edu/financial_assistance/", "$15802")</f>
        <v>$15802</v>
      </c>
      <c r="T1633" s="20">
        <v>17404</v>
      </c>
      <c r="U1633" s="20">
        <v>21731</v>
      </c>
      <c r="V1633" s="20">
        <v>5482</v>
      </c>
      <c r="W1633" s="20">
        <v>10320</v>
      </c>
      <c r="Y1633" s="19">
        <v>0.4148</v>
      </c>
      <c r="Z1633" s="19">
        <v>0.56099999999999994</v>
      </c>
      <c r="AB1633" s="18">
        <v>3068</v>
      </c>
      <c r="AC1633" s="18">
        <v>4</v>
      </c>
    </row>
    <row r="1634" spans="1:29" ht="15.75" customHeight="1" x14ac:dyDescent="0.2">
      <c r="A1634" s="36" t="str">
        <f>HYPERLINK("https://www.sunyorange.edu/", "SUNY Orange County Community College")</f>
        <v>SUNY Orange County Community College</v>
      </c>
      <c r="B1634" s="18" t="s">
        <v>49</v>
      </c>
      <c r="C1634" s="18" t="s">
        <v>38</v>
      </c>
      <c r="D1634" s="18" t="s">
        <v>183</v>
      </c>
      <c r="E1634" s="18" t="s">
        <v>36</v>
      </c>
      <c r="F1634" s="18" t="s">
        <v>36</v>
      </c>
      <c r="G1634" s="18" t="s">
        <v>51</v>
      </c>
      <c r="I1634" s="18" t="s">
        <v>424</v>
      </c>
      <c r="J1634" s="19"/>
      <c r="K1634" s="19">
        <v>0.2223</v>
      </c>
      <c r="L1634" s="19">
        <v>0.19705093800000001</v>
      </c>
      <c r="M1634" s="19">
        <v>0.26669999999999999</v>
      </c>
      <c r="N1634" s="19">
        <v>9.4200000000000006E-2</v>
      </c>
      <c r="O1634" s="19">
        <v>0.19239999999999999</v>
      </c>
      <c r="P1634" s="19">
        <v>0.36359999999999998</v>
      </c>
      <c r="Q1634" s="19">
        <v>7.4168797999999994E-2</v>
      </c>
      <c r="R1634" s="20">
        <v>16714</v>
      </c>
      <c r="S1634" s="21" t="str">
        <f>HYPERLINK("https://www.suny.edu/howmuch/netpricecalculator.xhtml?embed=n&amp;headerUrl=www.sunyorange.edu/images/master_header_2011-04-13.jpg&amp;id=62", "$2953")</f>
        <v>$2953</v>
      </c>
      <c r="T1634" s="20">
        <v>7320</v>
      </c>
      <c r="U1634" s="20">
        <v>9636</v>
      </c>
      <c r="V1634" s="20">
        <v>5316</v>
      </c>
      <c r="W1634" s="20">
        <v>-2363</v>
      </c>
      <c r="Y1634" s="19">
        <v>0.27779999999999999</v>
      </c>
      <c r="Z1634" s="19">
        <v>0.498</v>
      </c>
      <c r="AB1634" s="18">
        <v>4900</v>
      </c>
      <c r="AC1634" s="18">
        <v>6</v>
      </c>
    </row>
    <row r="1635" spans="1:29" ht="15.75" customHeight="1" x14ac:dyDescent="0.2">
      <c r="A1635" s="36" t="str">
        <f>HYPERLINK("https://www.oit.edu", "Oregon Institute of Technology")</f>
        <v>Oregon Institute of Technology</v>
      </c>
      <c r="B1635" s="18" t="s">
        <v>49</v>
      </c>
      <c r="C1635" s="18" t="s">
        <v>143</v>
      </c>
      <c r="D1635" s="18" t="s">
        <v>1037</v>
      </c>
      <c r="E1635" s="18">
        <v>1141</v>
      </c>
      <c r="F1635" s="18" t="s">
        <v>35</v>
      </c>
      <c r="J1635" s="19"/>
      <c r="K1635" s="19">
        <v>0.44969999999999999</v>
      </c>
      <c r="L1635" s="19">
        <v>0.44897959199999998</v>
      </c>
      <c r="M1635" s="19">
        <v>0.45669999999999999</v>
      </c>
      <c r="N1635" s="19" t="s">
        <v>36</v>
      </c>
      <c r="O1635" s="19">
        <v>0.48149999999999998</v>
      </c>
      <c r="P1635" s="19">
        <v>0.77780000000000005</v>
      </c>
      <c r="Q1635" s="19"/>
      <c r="R1635" s="20">
        <v>42093</v>
      </c>
      <c r="S1635" s="21" t="str">
        <f>HYPERLINK("https://www.oit.edu/college-costs/tuition-fees/net-price-calculator", "$33722")</f>
        <v>$33722</v>
      </c>
      <c r="T1635" s="20">
        <v>35735</v>
      </c>
      <c r="U1635" s="20">
        <v>39902</v>
      </c>
      <c r="V1635" s="20">
        <v>4520</v>
      </c>
      <c r="W1635" s="20">
        <v>29202.47058823529</v>
      </c>
      <c r="Y1635" s="19">
        <v>0.25090000000000001</v>
      </c>
      <c r="Z1635" s="19">
        <v>0.3034</v>
      </c>
      <c r="AB1635" s="18">
        <v>3543</v>
      </c>
      <c r="AC1635" s="18">
        <v>4</v>
      </c>
    </row>
    <row r="1636" spans="1:29" ht="15.75" customHeight="1" x14ac:dyDescent="0.2">
      <c r="A1636" s="36" t="str">
        <f>HYPERLINK("https://oregonstate.edu", "Oregon State University")</f>
        <v>Oregon State University</v>
      </c>
      <c r="B1636" s="18" t="s">
        <v>49</v>
      </c>
      <c r="C1636" s="18" t="s">
        <v>143</v>
      </c>
      <c r="D1636" s="18" t="s">
        <v>1038</v>
      </c>
      <c r="E1636" s="18">
        <v>1197</v>
      </c>
      <c r="F1636" s="18" t="s">
        <v>35</v>
      </c>
      <c r="J1636" s="19"/>
      <c r="K1636" s="19">
        <v>0.65339999999999998</v>
      </c>
      <c r="L1636" s="19">
        <v>0.52468729400000003</v>
      </c>
      <c r="M1636" s="19">
        <v>0.66069999999999995</v>
      </c>
      <c r="N1636" s="19">
        <v>0.48720000000000002</v>
      </c>
      <c r="O1636" s="19">
        <v>0.59930000000000005</v>
      </c>
      <c r="P1636" s="19">
        <v>0.75090000000000001</v>
      </c>
      <c r="Q1636" s="19"/>
      <c r="R1636" s="20">
        <v>44706</v>
      </c>
      <c r="S1636" s="21" t="str">
        <f>HYPERLINK("https://financialaid.oregonstate.edu/net-price-calculator", "$34321")</f>
        <v>$34321</v>
      </c>
      <c r="T1636" s="20">
        <v>39209</v>
      </c>
      <c r="U1636" s="20">
        <v>41719</v>
      </c>
      <c r="V1636" s="20">
        <v>3804</v>
      </c>
      <c r="W1636" s="20">
        <v>30517.202429149791</v>
      </c>
      <c r="Y1636" s="19">
        <v>0.2636</v>
      </c>
      <c r="Z1636" s="19">
        <v>0.3579</v>
      </c>
      <c r="AB1636" s="18">
        <v>24921</v>
      </c>
      <c r="AC1636" s="18">
        <v>4</v>
      </c>
    </row>
    <row r="1637" spans="1:29" ht="15.75" customHeight="1" x14ac:dyDescent="0.2">
      <c r="A1637" s="36" t="str">
        <f>HYPERLINK("https://osucascades.edu", "Oregon State University-Cascades Campus")</f>
        <v>Oregon State University-Cascades Campus</v>
      </c>
      <c r="B1637" s="18" t="s">
        <v>49</v>
      </c>
      <c r="C1637" s="18" t="s">
        <v>143</v>
      </c>
      <c r="D1637" s="18" t="s">
        <v>1040</v>
      </c>
      <c r="E1637" s="18">
        <v>1131</v>
      </c>
      <c r="F1637" s="18" t="s">
        <v>35</v>
      </c>
      <c r="J1637" s="19"/>
      <c r="K1637" s="19" t="s">
        <v>36</v>
      </c>
      <c r="L1637" s="19">
        <v>0.52468729400000003</v>
      </c>
      <c r="M1637" s="19" t="s">
        <v>36</v>
      </c>
      <c r="N1637" s="19" t="s">
        <v>36</v>
      </c>
      <c r="O1637" s="19" t="s">
        <v>36</v>
      </c>
      <c r="P1637" s="19" t="s">
        <v>36</v>
      </c>
      <c r="Q1637" s="19"/>
      <c r="R1637" s="20">
        <v>43998</v>
      </c>
      <c r="S1637" s="21" t="str">
        <f>HYPERLINK("https://financialaid.oregonstate.edu/net-price-calculator", "Not reported")</f>
        <v>Not reported</v>
      </c>
      <c r="T1637" s="20">
        <v>39260</v>
      </c>
      <c r="U1637" s="20">
        <v>42007</v>
      </c>
      <c r="V1637" s="20">
        <v>3804</v>
      </c>
      <c r="W1637" s="20" t="s">
        <v>36</v>
      </c>
      <c r="Y1637" s="19">
        <v>0.51319999999999999</v>
      </c>
      <c r="Z1637" s="19">
        <v>0.2366</v>
      </c>
      <c r="AB1637" s="18">
        <v>917</v>
      </c>
      <c r="AC1637" s="18">
        <v>4</v>
      </c>
    </row>
    <row r="1638" spans="1:29" ht="15.75" customHeight="1" x14ac:dyDescent="0.2">
      <c r="A1638" s="36" t="str">
        <f>HYPERLINK("https://www.otis.edu", "Otis College of Art and Design")</f>
        <v>Otis College of Art and Design</v>
      </c>
      <c r="B1638" s="18" t="s">
        <v>32</v>
      </c>
      <c r="C1638" s="18" t="s">
        <v>68</v>
      </c>
      <c r="D1638" s="18" t="s">
        <v>140</v>
      </c>
      <c r="E1638" s="18" t="s">
        <v>36</v>
      </c>
      <c r="F1638" s="18" t="s">
        <v>90</v>
      </c>
      <c r="J1638" s="19"/>
      <c r="K1638" s="19">
        <v>0.5514</v>
      </c>
      <c r="L1638" s="19">
        <v>0.64406779700000005</v>
      </c>
      <c r="M1638" s="19">
        <v>0.40479999999999999</v>
      </c>
      <c r="N1638" s="19">
        <v>0.55559999999999998</v>
      </c>
      <c r="O1638" s="19">
        <v>0.59089999999999998</v>
      </c>
      <c r="P1638" s="19">
        <v>0.61040000000000005</v>
      </c>
      <c r="Q1638" s="19"/>
      <c r="R1638" s="20">
        <v>64660</v>
      </c>
      <c r="S1638" s="21" t="str">
        <f>HYPERLINK("https://www.otis.edu/otis-net-price-calculator", "$37828")</f>
        <v>$37828</v>
      </c>
      <c r="T1638" s="20">
        <v>41330</v>
      </c>
      <c r="U1638" s="20">
        <v>46679</v>
      </c>
      <c r="V1638" s="20">
        <v>4350</v>
      </c>
      <c r="W1638" s="20">
        <v>33478</v>
      </c>
      <c r="Y1638" s="19">
        <v>0.38419999999999999</v>
      </c>
      <c r="Z1638" s="19">
        <v>0.72730000000000006</v>
      </c>
      <c r="AB1638" s="18">
        <v>1056</v>
      </c>
      <c r="AC1638" s="18">
        <v>4</v>
      </c>
    </row>
    <row r="1639" spans="1:29" ht="15.75" customHeight="1" x14ac:dyDescent="0.2">
      <c r="A1639" s="36" t="str">
        <f>HYPERLINK("https://www.otterbein.edu", "Otterbein University")</f>
        <v>Otterbein University</v>
      </c>
      <c r="B1639" s="18" t="s">
        <v>32</v>
      </c>
      <c r="C1639" s="18" t="s">
        <v>75</v>
      </c>
      <c r="D1639" s="18" t="s">
        <v>1042</v>
      </c>
      <c r="E1639" s="18">
        <v>1179</v>
      </c>
      <c r="F1639" s="18" t="s">
        <v>35</v>
      </c>
      <c r="J1639" s="19"/>
      <c r="K1639" s="19">
        <v>0.63670000000000004</v>
      </c>
      <c r="L1639" s="19">
        <v>0.38414634199999997</v>
      </c>
      <c r="M1639" s="19">
        <v>0.66790000000000005</v>
      </c>
      <c r="N1639" s="19">
        <v>0.42549999999999999</v>
      </c>
      <c r="O1639" s="19">
        <v>0.57140000000000002</v>
      </c>
      <c r="P1639" s="19">
        <v>0.75</v>
      </c>
      <c r="Q1639" s="19"/>
      <c r="R1639" s="20">
        <v>46390</v>
      </c>
      <c r="S1639" s="21" t="str">
        <f>HYPERLINK("https://www.otterbein.edu/estimator/npcalc.htm", "$19414")</f>
        <v>$19414</v>
      </c>
      <c r="T1639" s="20">
        <v>23684</v>
      </c>
      <c r="U1639" s="20">
        <v>25860</v>
      </c>
      <c r="V1639" s="20">
        <v>3988</v>
      </c>
      <c r="W1639" s="20">
        <v>15426</v>
      </c>
      <c r="Y1639" s="19">
        <v>0.24399999999999999</v>
      </c>
      <c r="Z1639" s="19">
        <v>0.22259999999999999</v>
      </c>
      <c r="AB1639" s="18">
        <v>2367</v>
      </c>
      <c r="AC1639" s="18">
        <v>4</v>
      </c>
    </row>
    <row r="1640" spans="1:29" ht="15.75" customHeight="1" x14ac:dyDescent="0.2">
      <c r="A1640" s="36" t="str">
        <f>HYPERLINK("https://www.obu.edu", "Ouachita Baptist University")</f>
        <v>Ouachita Baptist University</v>
      </c>
      <c r="B1640" s="18" t="s">
        <v>32</v>
      </c>
      <c r="C1640" s="18" t="s">
        <v>371</v>
      </c>
      <c r="D1640" s="18" t="s">
        <v>440</v>
      </c>
      <c r="E1640" s="18">
        <v>1186</v>
      </c>
      <c r="F1640" s="18" t="s">
        <v>35</v>
      </c>
      <c r="J1640" s="19"/>
      <c r="K1640" s="19">
        <v>0.63970000000000005</v>
      </c>
      <c r="L1640" s="19">
        <v>0.37333333299999999</v>
      </c>
      <c r="M1640" s="19">
        <v>0.66159999999999997</v>
      </c>
      <c r="N1640" s="19">
        <v>0.37040000000000001</v>
      </c>
      <c r="O1640" s="19">
        <v>0.57140000000000002</v>
      </c>
      <c r="P1640" s="19">
        <v>1</v>
      </c>
      <c r="Q1640" s="19"/>
      <c r="R1640" s="20">
        <v>37600</v>
      </c>
      <c r="S1640" s="21" t="str">
        <f>HYPERLINK("https://www.obu.edu/finaid/", "$13439")</f>
        <v>$13439</v>
      </c>
      <c r="T1640" s="20">
        <v>16468</v>
      </c>
      <c r="U1640" s="20">
        <v>19736</v>
      </c>
      <c r="V1640" s="20">
        <v>4100</v>
      </c>
      <c r="W1640" s="20">
        <v>9339</v>
      </c>
      <c r="Y1640" s="19">
        <v>0.27260000000000001</v>
      </c>
      <c r="Z1640" s="19">
        <v>0.18440000000000001</v>
      </c>
      <c r="AB1640" s="18">
        <v>1513</v>
      </c>
      <c r="AC1640" s="18">
        <v>3</v>
      </c>
    </row>
    <row r="1641" spans="1:29" ht="15.75" customHeight="1" x14ac:dyDescent="0.2">
      <c r="A1641" s="36" t="str">
        <f>HYPERLINK("https://www.ollusa.edu", "Our Lady of the Lake University")</f>
        <v>Our Lady of the Lake University</v>
      </c>
      <c r="B1641" s="18" t="s">
        <v>32</v>
      </c>
      <c r="C1641" s="18" t="s">
        <v>146</v>
      </c>
      <c r="D1641" s="18" t="s">
        <v>268</v>
      </c>
      <c r="E1641" s="18">
        <v>1000</v>
      </c>
      <c r="F1641" s="18" t="s">
        <v>35</v>
      </c>
      <c r="J1641" s="19"/>
      <c r="K1641" s="19">
        <v>0.38269999999999998</v>
      </c>
      <c r="L1641" s="19">
        <v>0.40601503799999999</v>
      </c>
      <c r="M1641" s="19">
        <v>0.48</v>
      </c>
      <c r="N1641" s="19">
        <v>0.3846</v>
      </c>
      <c r="O1641" s="19">
        <v>0.40429999999999999</v>
      </c>
      <c r="P1641" s="19" t="s">
        <v>36</v>
      </c>
      <c r="Q1641" s="19"/>
      <c r="R1641" s="20">
        <v>42181</v>
      </c>
      <c r="S1641" s="21" t="str">
        <f>HYPERLINK("https://www.ollusa.edu/NetPriceCalculator", "$15662")</f>
        <v>$15662</v>
      </c>
      <c r="T1641" s="20">
        <v>20994</v>
      </c>
      <c r="U1641" s="20">
        <v>20652</v>
      </c>
      <c r="V1641" s="20">
        <v>4500</v>
      </c>
      <c r="W1641" s="20">
        <v>11162</v>
      </c>
      <c r="Y1641" s="19">
        <v>0.58250000000000002</v>
      </c>
      <c r="Z1641" s="19">
        <v>0.9</v>
      </c>
      <c r="AB1641" s="18">
        <v>1320</v>
      </c>
      <c r="AC1641" s="18">
        <v>5</v>
      </c>
    </row>
    <row r="1642" spans="1:29" ht="15.75" customHeight="1" x14ac:dyDescent="0.2">
      <c r="A1642" s="36" t="str">
        <f>HYPERLINK("https://www.owens.edu", "Owens Community College")</f>
        <v>Owens Community College</v>
      </c>
      <c r="B1642" s="18" t="s">
        <v>49</v>
      </c>
      <c r="C1642" s="18" t="s">
        <v>75</v>
      </c>
      <c r="D1642" s="18" t="s">
        <v>1615</v>
      </c>
      <c r="E1642" s="18" t="s">
        <v>36</v>
      </c>
      <c r="F1642" s="18" t="s">
        <v>36</v>
      </c>
      <c r="J1642" s="19"/>
      <c r="K1642" s="19">
        <v>0.18479999999999999</v>
      </c>
      <c r="L1642" s="19">
        <v>9.140488699999999E-2</v>
      </c>
      <c r="M1642" s="19">
        <v>0.2266</v>
      </c>
      <c r="N1642" s="19">
        <v>4.2000000000000003E-2</v>
      </c>
      <c r="O1642" s="19">
        <v>7.2900000000000006E-2</v>
      </c>
      <c r="P1642" s="19">
        <v>0.2727</v>
      </c>
      <c r="Q1642" s="19">
        <v>6.3556850999999998E-2</v>
      </c>
      <c r="R1642" s="20">
        <v>17178</v>
      </c>
      <c r="S1642" s="21" t="str">
        <f>HYPERLINK("https://www.owens.edu/calculator/npcalc.htm", "$12798")</f>
        <v>$12798</v>
      </c>
      <c r="T1642" s="20">
        <v>14987</v>
      </c>
      <c r="U1642" s="20">
        <v>16471</v>
      </c>
      <c r="V1642" s="20">
        <v>4002</v>
      </c>
      <c r="W1642" s="20">
        <v>8796.3587786259541</v>
      </c>
      <c r="Y1642" s="19">
        <v>0.3367</v>
      </c>
      <c r="Z1642" s="19">
        <v>0.29730000000000001</v>
      </c>
      <c r="AB1642" s="18">
        <v>6348</v>
      </c>
      <c r="AC1642" s="18">
        <v>6</v>
      </c>
    </row>
    <row r="1643" spans="1:29" ht="15.75" customHeight="1" x14ac:dyDescent="0.2">
      <c r="A1643" s="36" t="str">
        <f>HYPERLINK("https://www.oxnardcollege.edu", "Oxnard College")</f>
        <v>Oxnard College</v>
      </c>
      <c r="B1643" s="18" t="s">
        <v>49</v>
      </c>
      <c r="C1643" s="18" t="s">
        <v>68</v>
      </c>
      <c r="D1643" s="18" t="s">
        <v>1616</v>
      </c>
      <c r="E1643" s="18" t="s">
        <v>36</v>
      </c>
      <c r="F1643" s="18" t="s">
        <v>36</v>
      </c>
      <c r="J1643" s="19"/>
      <c r="K1643" s="19">
        <v>0.23830000000000001</v>
      </c>
      <c r="L1643" s="19">
        <v>0.13584117000000001</v>
      </c>
      <c r="M1643" s="19">
        <v>0.33329999999999999</v>
      </c>
      <c r="N1643" s="19">
        <v>0</v>
      </c>
      <c r="O1643" s="19">
        <v>0.22720000000000001</v>
      </c>
      <c r="P1643" s="19">
        <v>0.39290000000000003</v>
      </c>
      <c r="Q1643" s="19">
        <v>7.3841320000000002E-2</v>
      </c>
      <c r="R1643" s="20">
        <v>25491</v>
      </c>
      <c r="S1643" s="21" t="str">
        <f>HYPERLINK("https://www.oxnardcollege.edu/departments/student_services/financial_aid/index.shtml", "$17995")</f>
        <v>$17995</v>
      </c>
      <c r="T1643" s="20">
        <v>20836</v>
      </c>
      <c r="U1643" s="20">
        <v>23533</v>
      </c>
      <c r="V1643" s="20">
        <v>5949</v>
      </c>
      <c r="W1643" s="20">
        <v>12046.276450511939</v>
      </c>
      <c r="Y1643" s="19">
        <v>0.31380000000000002</v>
      </c>
      <c r="Z1643" s="19">
        <v>0.8528</v>
      </c>
      <c r="AB1643" s="18">
        <v>6809</v>
      </c>
      <c r="AC1643" s="18">
        <v>6</v>
      </c>
    </row>
    <row r="1644" spans="1:29" ht="15.75" customHeight="1" x14ac:dyDescent="0.2">
      <c r="A1644" s="36" t="str">
        <f>HYPERLINK("https://www.otc.edu", "Ozarks Technical Community College")</f>
        <v>Ozarks Technical Community College</v>
      </c>
      <c r="B1644" s="18" t="s">
        <v>49</v>
      </c>
      <c r="C1644" s="18" t="s">
        <v>164</v>
      </c>
      <c r="D1644" s="18" t="s">
        <v>349</v>
      </c>
      <c r="E1644" s="18" t="s">
        <v>36</v>
      </c>
      <c r="F1644" s="18" t="s">
        <v>36</v>
      </c>
      <c r="J1644" s="19"/>
      <c r="K1644" s="19">
        <v>0.29499999999999998</v>
      </c>
      <c r="L1644" s="19">
        <v>0.20410742500000001</v>
      </c>
      <c r="M1644" s="19">
        <v>0.30199999999999999</v>
      </c>
      <c r="N1644" s="19">
        <v>0.21790000000000001</v>
      </c>
      <c r="O1644" s="19">
        <v>0.23530000000000001</v>
      </c>
      <c r="P1644" s="19">
        <v>0.33329999999999999</v>
      </c>
      <c r="Q1644" s="19">
        <v>7.2592592999999997E-2</v>
      </c>
      <c r="R1644" s="20">
        <v>17201</v>
      </c>
      <c r="S1644" s="21" t="str">
        <f>HYPERLINK("https://students.otc.edu/financialaid/netprice/", "$12787")</f>
        <v>$12787</v>
      </c>
      <c r="T1644" s="20">
        <v>15560</v>
      </c>
      <c r="U1644" s="20">
        <v>16876</v>
      </c>
      <c r="V1644" s="20">
        <v>5920</v>
      </c>
      <c r="W1644" s="20">
        <v>6867.0923076923063</v>
      </c>
      <c r="Y1644" s="19">
        <v>0.48509999999999998</v>
      </c>
      <c r="Z1644" s="19">
        <v>0.1731</v>
      </c>
      <c r="AB1644" s="18">
        <v>10618</v>
      </c>
      <c r="AC1644" s="18">
        <v>6</v>
      </c>
    </row>
    <row r="1645" spans="1:29" ht="15.75" customHeight="1" x14ac:dyDescent="0.2">
      <c r="A1645" s="36" t="str">
        <f>HYPERLINK("https://www.pace.edu", "Pace University-New York")</f>
        <v>Pace University-New York</v>
      </c>
      <c r="B1645" s="18" t="s">
        <v>32</v>
      </c>
      <c r="C1645" s="18" t="s">
        <v>38</v>
      </c>
      <c r="D1645" s="18" t="s">
        <v>39</v>
      </c>
      <c r="E1645" s="18">
        <v>1144</v>
      </c>
      <c r="F1645" s="18" t="s">
        <v>35</v>
      </c>
      <c r="J1645" s="19"/>
      <c r="K1645" s="19">
        <v>0.53580000000000005</v>
      </c>
      <c r="L1645" s="19">
        <v>0.49160305300000001</v>
      </c>
      <c r="M1645" s="19">
        <v>0.5746</v>
      </c>
      <c r="N1645" s="19">
        <v>0.41360000000000002</v>
      </c>
      <c r="O1645" s="19">
        <v>0.502</v>
      </c>
      <c r="P1645" s="19">
        <v>0.62819999999999998</v>
      </c>
      <c r="Q1645" s="19"/>
      <c r="R1645" s="20">
        <v>64982</v>
      </c>
      <c r="S1645" s="21" t="str">
        <f>HYPERLINK("https://www.pace.edu/admission-aid/undergraduate-admission/freshman/net-price-calculator", "$24880")</f>
        <v>$24880</v>
      </c>
      <c r="T1645" s="20">
        <v>29418</v>
      </c>
      <c r="U1645" s="20">
        <v>31682</v>
      </c>
      <c r="V1645" s="20">
        <v>2994</v>
      </c>
      <c r="W1645" s="20">
        <v>21886</v>
      </c>
      <c r="Y1645" s="19">
        <v>0.27679999999999999</v>
      </c>
      <c r="Z1645" s="19">
        <v>0.48980000000000001</v>
      </c>
      <c r="AB1645" s="18">
        <v>8456</v>
      </c>
      <c r="AC1645" s="18">
        <v>3</v>
      </c>
    </row>
    <row r="1646" spans="1:29" ht="15.75" customHeight="1" x14ac:dyDescent="0.2">
      <c r="A1646" s="36" t="str">
        <f>HYPERLINK("https://www.pacific-college.edu", "Pacific College")</f>
        <v>Pacific College</v>
      </c>
      <c r="B1646" s="18" t="s">
        <v>368</v>
      </c>
      <c r="C1646" s="18" t="s">
        <v>68</v>
      </c>
      <c r="D1646" s="18" t="s">
        <v>531</v>
      </c>
      <c r="E1646" s="18" t="s">
        <v>36</v>
      </c>
      <c r="F1646" s="18" t="s">
        <v>36</v>
      </c>
      <c r="J1646" s="19"/>
      <c r="K1646" s="19">
        <v>0.78569999999999995</v>
      </c>
      <c r="L1646" s="19" t="s">
        <v>36</v>
      </c>
      <c r="M1646" s="19">
        <v>0.83330000000000004</v>
      </c>
      <c r="N1646" s="19">
        <v>0.5</v>
      </c>
      <c r="O1646" s="19">
        <v>0.76</v>
      </c>
      <c r="P1646" s="19">
        <v>1</v>
      </c>
      <c r="Q1646" s="19" t="s">
        <v>36</v>
      </c>
      <c r="R1646" s="20" t="s">
        <v>36</v>
      </c>
      <c r="S1646" s="21" t="str">
        <f>HYPERLINK("https://www.pacific-college.edu/financial-aid/net-price-calculator", "$15239")</f>
        <v>$15239</v>
      </c>
      <c r="T1646" s="20">
        <v>17574</v>
      </c>
      <c r="U1646" s="20" t="s">
        <v>36</v>
      </c>
      <c r="V1646" s="20" t="s">
        <v>36</v>
      </c>
      <c r="W1646" s="20" t="s">
        <v>36</v>
      </c>
      <c r="Y1646" s="19">
        <v>0.63949999999999996</v>
      </c>
      <c r="Z1646" s="19">
        <v>0.90859999999999996</v>
      </c>
      <c r="AB1646" s="18">
        <v>350</v>
      </c>
      <c r="AC1646" s="18">
        <v>6</v>
      </c>
    </row>
    <row r="1647" spans="1:29" ht="15.75" customHeight="1" x14ac:dyDescent="0.2">
      <c r="A1647" s="36" t="str">
        <f>HYPERLINK("https://www.pacificcollege.edu", "Pacific College of Oriental Medicine-New York")</f>
        <v>Pacific College of Oriental Medicine-New York</v>
      </c>
      <c r="B1647" s="18" t="s">
        <v>368</v>
      </c>
      <c r="C1647" s="18" t="s">
        <v>38</v>
      </c>
      <c r="D1647" s="18" t="s">
        <v>39</v>
      </c>
      <c r="E1647" s="18" t="s">
        <v>36</v>
      </c>
      <c r="F1647" s="18" t="s">
        <v>36</v>
      </c>
      <c r="J1647" s="19"/>
      <c r="K1647" s="19">
        <v>0.375</v>
      </c>
      <c r="L1647" s="19">
        <v>0.55244755200000006</v>
      </c>
      <c r="M1647" s="19" t="s">
        <v>36</v>
      </c>
      <c r="N1647" s="19">
        <v>1</v>
      </c>
      <c r="O1647" s="19">
        <v>0.33329999999999999</v>
      </c>
      <c r="P1647" s="19" t="s">
        <v>36</v>
      </c>
      <c r="Q1647" s="19" t="s">
        <v>36</v>
      </c>
      <c r="R1647" s="20">
        <v>19630</v>
      </c>
      <c r="S1647" s="21" t="str">
        <f>HYPERLINK("https://www.pacificcollege.edu/pcom_static/netprice/ny/npcalc.htm", "$28924")</f>
        <v>$28924</v>
      </c>
      <c r="T1647" s="20" t="s">
        <v>36</v>
      </c>
      <c r="U1647" s="20" t="s">
        <v>36</v>
      </c>
      <c r="V1647" s="20">
        <v>8038</v>
      </c>
      <c r="W1647" s="20">
        <v>20886</v>
      </c>
      <c r="Y1647" s="19">
        <v>0.2266</v>
      </c>
      <c r="Z1647" s="19">
        <v>0.78510000000000002</v>
      </c>
      <c r="AB1647" s="18">
        <v>121</v>
      </c>
      <c r="AC1647" s="18">
        <v>6</v>
      </c>
    </row>
    <row r="1648" spans="1:29" ht="15.75" customHeight="1" x14ac:dyDescent="0.2">
      <c r="A1648" s="36" t="str">
        <f>HYPERLINK("https://www.PacificCollege.edu", "Pacific College of Oriental Medicine-San Diego")</f>
        <v>Pacific College of Oriental Medicine-San Diego</v>
      </c>
      <c r="B1648" s="18" t="s">
        <v>368</v>
      </c>
      <c r="C1648" s="18" t="s">
        <v>68</v>
      </c>
      <c r="D1648" s="18" t="s">
        <v>288</v>
      </c>
      <c r="E1648" s="18" t="s">
        <v>36</v>
      </c>
      <c r="F1648" s="18" t="s">
        <v>36</v>
      </c>
      <c r="J1648" s="19"/>
      <c r="K1648" s="19">
        <v>0.33329999999999999</v>
      </c>
      <c r="L1648" s="19">
        <v>0.55244755200000006</v>
      </c>
      <c r="M1648" s="19">
        <v>0.75</v>
      </c>
      <c r="N1648" s="19">
        <v>0</v>
      </c>
      <c r="O1648" s="19">
        <v>0</v>
      </c>
      <c r="P1648" s="19">
        <v>0</v>
      </c>
      <c r="Q1648" s="19" t="s">
        <v>36</v>
      </c>
      <c r="R1648" s="20">
        <v>27851</v>
      </c>
      <c r="S1648" s="21" t="str">
        <f>HYPERLINK("https://www.pacificcollege.edu/pcom_static/netprice/sd/npcalc.htm", "$21992")</f>
        <v>$21992</v>
      </c>
      <c r="T1648" s="20">
        <v>24421</v>
      </c>
      <c r="U1648" s="20" t="s">
        <v>36</v>
      </c>
      <c r="V1648" s="20">
        <v>6648</v>
      </c>
      <c r="W1648" s="20">
        <v>15344</v>
      </c>
      <c r="Y1648" s="19">
        <v>0.44619999999999999</v>
      </c>
      <c r="Z1648" s="19">
        <v>0.66900000000000004</v>
      </c>
      <c r="AB1648" s="18">
        <v>142</v>
      </c>
      <c r="AC1648" s="18">
        <v>6</v>
      </c>
    </row>
    <row r="1649" spans="1:29" ht="15.75" customHeight="1" x14ac:dyDescent="0.2">
      <c r="A1649" s="36" t="str">
        <f>HYPERLINK("https://www.plu.edu", "Pacific Lutheran University")</f>
        <v>Pacific Lutheran University</v>
      </c>
      <c r="B1649" s="18" t="s">
        <v>32</v>
      </c>
      <c r="C1649" s="18" t="s">
        <v>184</v>
      </c>
      <c r="D1649" s="18" t="s">
        <v>286</v>
      </c>
      <c r="E1649" s="18">
        <v>1162</v>
      </c>
      <c r="F1649" s="18" t="s">
        <v>35</v>
      </c>
      <c r="J1649" s="19"/>
      <c r="K1649" s="19">
        <v>0.70450000000000002</v>
      </c>
      <c r="L1649" s="19">
        <v>0.56422018399999996</v>
      </c>
      <c r="M1649" s="19">
        <v>0.74770000000000003</v>
      </c>
      <c r="N1649" s="19">
        <v>0.5</v>
      </c>
      <c r="O1649" s="19">
        <v>0.72729999999999995</v>
      </c>
      <c r="P1649" s="19">
        <v>0.44640000000000002</v>
      </c>
      <c r="Q1649" s="19"/>
      <c r="R1649" s="20">
        <v>54800</v>
      </c>
      <c r="S1649" s="21" t="str">
        <f>HYPERLINK("https://www.plu.edu/financial-aid/HEOA-Required-Consumer-Information/net-price-calculator.php", "$18190")</f>
        <v>$18190</v>
      </c>
      <c r="T1649" s="20">
        <v>21630</v>
      </c>
      <c r="U1649" s="20">
        <v>26946</v>
      </c>
      <c r="V1649" s="20">
        <v>3558</v>
      </c>
      <c r="W1649" s="20">
        <v>14632</v>
      </c>
      <c r="Y1649" s="19">
        <v>0.30620000000000003</v>
      </c>
      <c r="Z1649" s="19">
        <v>0.36449999999999999</v>
      </c>
      <c r="AB1649" s="18">
        <v>2672</v>
      </c>
      <c r="AC1649" s="18">
        <v>3</v>
      </c>
    </row>
    <row r="1650" spans="1:29" ht="15.75" customHeight="1" x14ac:dyDescent="0.2">
      <c r="A1650" s="36" t="str">
        <f>HYPERLINK("https://www.puc.edu", "Pacific Union College")</f>
        <v>Pacific Union College</v>
      </c>
      <c r="B1650" s="18" t="s">
        <v>32</v>
      </c>
      <c r="C1650" s="18" t="s">
        <v>68</v>
      </c>
      <c r="D1650" s="18" t="s">
        <v>441</v>
      </c>
      <c r="E1650" s="18">
        <v>1055</v>
      </c>
      <c r="F1650" s="18" t="s">
        <v>35</v>
      </c>
      <c r="J1650" s="19"/>
      <c r="K1650" s="19">
        <v>0.51919999999999999</v>
      </c>
      <c r="L1650" s="19">
        <v>0.34</v>
      </c>
      <c r="M1650" s="19">
        <v>0.58160000000000001</v>
      </c>
      <c r="N1650" s="19">
        <v>0.48</v>
      </c>
      <c r="O1650" s="19">
        <v>0.44090000000000001</v>
      </c>
      <c r="P1650" s="19">
        <v>0.54879999999999995</v>
      </c>
      <c r="Q1650" s="19"/>
      <c r="R1650" s="20">
        <v>42711</v>
      </c>
      <c r="S1650" s="21" t="str">
        <f>HYPERLINK("https://puc.studentaidcalculator.com/survey.aspx", "$18034")</f>
        <v>$18034</v>
      </c>
      <c r="T1650" s="20">
        <v>18071</v>
      </c>
      <c r="U1650" s="20">
        <v>20996</v>
      </c>
      <c r="V1650" s="20">
        <v>5094</v>
      </c>
      <c r="W1650" s="20">
        <v>12940</v>
      </c>
      <c r="Y1650" s="19">
        <v>0.42980000000000002</v>
      </c>
      <c r="Z1650" s="19">
        <v>0.78410000000000002</v>
      </c>
      <c r="AB1650" s="18">
        <v>1181</v>
      </c>
      <c r="AC1650" s="18">
        <v>3</v>
      </c>
    </row>
    <row r="1651" spans="1:29" ht="15.75" customHeight="1" x14ac:dyDescent="0.2">
      <c r="A1651" s="36" t="str">
        <f>HYPERLINK("https://www.pacificu.edu", "Pacific University")</f>
        <v>Pacific University</v>
      </c>
      <c r="B1651" s="18" t="s">
        <v>32</v>
      </c>
      <c r="C1651" s="18" t="s">
        <v>143</v>
      </c>
      <c r="D1651" s="18" t="s">
        <v>1044</v>
      </c>
      <c r="E1651" s="18">
        <v>1180</v>
      </c>
      <c r="F1651" s="18" t="s">
        <v>35</v>
      </c>
      <c r="J1651" s="19"/>
      <c r="K1651" s="19">
        <v>0.64439999999999997</v>
      </c>
      <c r="L1651" s="19">
        <v>0.64102564100000003</v>
      </c>
      <c r="M1651" s="19">
        <v>0.67159999999999997</v>
      </c>
      <c r="N1651" s="19">
        <v>0</v>
      </c>
      <c r="O1651" s="19">
        <v>0.52629999999999999</v>
      </c>
      <c r="P1651" s="19">
        <v>0.77139999999999997</v>
      </c>
      <c r="Q1651" s="19"/>
      <c r="R1651" s="20">
        <v>57488</v>
      </c>
      <c r="S1651" s="21" t="str">
        <f>HYPERLINK("https://www.pacificu.edu/financial-aid-scholarships/net-price-calculator", "$22330")</f>
        <v>$22330</v>
      </c>
      <c r="T1651" s="20">
        <v>27471</v>
      </c>
      <c r="U1651" s="20">
        <v>29891</v>
      </c>
      <c r="V1651" s="20">
        <v>2732</v>
      </c>
      <c r="W1651" s="20">
        <v>19598</v>
      </c>
      <c r="Y1651" s="19">
        <v>0.30830000000000002</v>
      </c>
      <c r="Z1651" s="19">
        <v>0.49249999999999999</v>
      </c>
      <c r="AB1651" s="18">
        <v>1809</v>
      </c>
      <c r="AC1651" s="18">
        <v>4</v>
      </c>
    </row>
    <row r="1652" spans="1:29" ht="15.75" customHeight="1" x14ac:dyDescent="0.2">
      <c r="A1652" s="36" t="str">
        <f>HYPERLINK("https://www.paine.edu", "Paine College")</f>
        <v>Paine College</v>
      </c>
      <c r="B1652" s="18" t="s">
        <v>32</v>
      </c>
      <c r="C1652" s="18" t="s">
        <v>107</v>
      </c>
      <c r="D1652" s="18" t="s">
        <v>805</v>
      </c>
      <c r="E1652" s="18">
        <v>850</v>
      </c>
      <c r="F1652" s="18" t="s">
        <v>35</v>
      </c>
      <c r="J1652" s="19"/>
      <c r="K1652" s="19">
        <v>0.1585</v>
      </c>
      <c r="L1652" s="19">
        <v>0.22978723400000001</v>
      </c>
      <c r="M1652" s="19">
        <v>0</v>
      </c>
      <c r="N1652" s="19">
        <v>0.16089999999999999</v>
      </c>
      <c r="O1652" s="19">
        <v>0.5</v>
      </c>
      <c r="P1652" s="19" t="s">
        <v>36</v>
      </c>
      <c r="Q1652" s="19"/>
      <c r="R1652" s="20">
        <v>24912</v>
      </c>
      <c r="S1652" s="21" t="str">
        <f>HYPERLINK("https://npc.collegeboard.org/student/app/paine", "$16538")</f>
        <v>$16538</v>
      </c>
      <c r="T1652" s="20">
        <v>17412</v>
      </c>
      <c r="U1652" s="20">
        <v>21327</v>
      </c>
      <c r="V1652" s="20">
        <v>4024</v>
      </c>
      <c r="W1652" s="20">
        <v>12514</v>
      </c>
      <c r="Y1652" s="19">
        <v>0.39069999999999999</v>
      </c>
      <c r="Z1652" s="19">
        <v>0.98319999999999996</v>
      </c>
      <c r="AB1652" s="18">
        <v>357</v>
      </c>
      <c r="AC1652" s="18">
        <v>5</v>
      </c>
    </row>
    <row r="1653" spans="1:29" ht="15.75" customHeight="1" x14ac:dyDescent="0.2">
      <c r="A1653" s="36" t="str">
        <f>HYPERLINK("https://pcc.palau.edu/", "Palau Community College")</f>
        <v>Palau Community College</v>
      </c>
      <c r="B1653" s="18" t="s">
        <v>49</v>
      </c>
      <c r="C1653" s="18" t="s">
        <v>1617</v>
      </c>
      <c r="D1653" s="18" t="s">
        <v>1618</v>
      </c>
      <c r="E1653" s="18" t="s">
        <v>36</v>
      </c>
      <c r="F1653" s="18" t="s">
        <v>36</v>
      </c>
      <c r="J1653" s="19"/>
      <c r="K1653" s="19">
        <v>0.20349999999999999</v>
      </c>
      <c r="L1653" s="19" t="s">
        <v>36</v>
      </c>
      <c r="M1653" s="19" t="s">
        <v>36</v>
      </c>
      <c r="N1653" s="19" t="s">
        <v>36</v>
      </c>
      <c r="O1653" s="19" t="s">
        <v>36</v>
      </c>
      <c r="P1653" s="19" t="s">
        <v>36</v>
      </c>
      <c r="Q1653" s="19" t="s">
        <v>36</v>
      </c>
      <c r="R1653" s="20">
        <v>9391</v>
      </c>
      <c r="S1653" s="21" t="str">
        <f>HYPERLINK("https://pcc.palau.edu/npcalc/npcalc.htm", "$4283")</f>
        <v>$4283</v>
      </c>
      <c r="T1653" s="20">
        <v>5590</v>
      </c>
      <c r="U1653" s="20">
        <v>7726</v>
      </c>
      <c r="V1653" s="20">
        <v>2400</v>
      </c>
      <c r="W1653" s="20">
        <v>1883.0826446280989</v>
      </c>
      <c r="Y1653" s="19">
        <v>0.79220000000000002</v>
      </c>
      <c r="Z1653" s="19">
        <v>1</v>
      </c>
      <c r="AB1653" s="18">
        <v>530</v>
      </c>
      <c r="AC1653" s="18">
        <v>6</v>
      </c>
    </row>
    <row r="1654" spans="1:29" ht="15.75" customHeight="1" x14ac:dyDescent="0.2">
      <c r="A1654" s="36" t="str">
        <f>HYPERLINK("https://www.pba.edu", "Palm Beach Atlantic University")</f>
        <v>Palm Beach Atlantic University</v>
      </c>
      <c r="B1654" s="18" t="s">
        <v>32</v>
      </c>
      <c r="C1654" s="18" t="s">
        <v>162</v>
      </c>
      <c r="D1654" s="18" t="s">
        <v>1046</v>
      </c>
      <c r="E1654" s="18">
        <v>1115</v>
      </c>
      <c r="F1654" s="18" t="s">
        <v>35</v>
      </c>
      <c r="J1654" s="19"/>
      <c r="K1654" s="19">
        <v>0.53049999999999997</v>
      </c>
      <c r="L1654" s="19">
        <v>0.45937499999999998</v>
      </c>
      <c r="M1654" s="19">
        <v>0.56610000000000005</v>
      </c>
      <c r="N1654" s="19">
        <v>0.28210000000000002</v>
      </c>
      <c r="O1654" s="19">
        <v>0.52380000000000004</v>
      </c>
      <c r="P1654" s="19">
        <v>0.5</v>
      </c>
      <c r="Q1654" s="19"/>
      <c r="R1654" s="20">
        <v>45794</v>
      </c>
      <c r="S1654" s="21" t="str">
        <f>HYPERLINK("https://www.pba.edu/net-price-calculator", "$21749")</f>
        <v>$21749</v>
      </c>
      <c r="T1654" s="20">
        <v>22316</v>
      </c>
      <c r="U1654" s="20">
        <v>25665</v>
      </c>
      <c r="V1654" s="20">
        <v>6184</v>
      </c>
      <c r="W1654" s="20">
        <v>15565</v>
      </c>
      <c r="Y1654" s="19">
        <v>0.27610000000000001</v>
      </c>
      <c r="Z1654" s="19">
        <v>0.37490000000000001</v>
      </c>
      <c r="AB1654" s="18">
        <v>2475</v>
      </c>
      <c r="AC1654" s="18">
        <v>4</v>
      </c>
    </row>
    <row r="1655" spans="1:29" ht="15.75" customHeight="1" x14ac:dyDescent="0.2">
      <c r="A1655" s="36" t="str">
        <f>HYPERLINK("https://www.palmbeachstate.edu/", "Palm Beach State College")</f>
        <v>Palm Beach State College</v>
      </c>
      <c r="B1655" s="18" t="s">
        <v>49</v>
      </c>
      <c r="C1655" s="18" t="s">
        <v>162</v>
      </c>
      <c r="D1655" s="18" t="s">
        <v>1619</v>
      </c>
      <c r="E1655" s="18" t="s">
        <v>36</v>
      </c>
      <c r="F1655" s="18" t="s">
        <v>36</v>
      </c>
      <c r="J1655" s="19"/>
      <c r="K1655" s="19">
        <v>0.33300000000000002</v>
      </c>
      <c r="L1655" s="19">
        <v>0.29721029999999998</v>
      </c>
      <c r="M1655" s="19">
        <v>0.38669999999999999</v>
      </c>
      <c r="N1655" s="19">
        <v>0.25290000000000001</v>
      </c>
      <c r="O1655" s="19">
        <v>0.33069999999999999</v>
      </c>
      <c r="P1655" s="19">
        <v>0.49440000000000001</v>
      </c>
      <c r="Q1655" s="19">
        <v>8.5202469000000003E-2</v>
      </c>
      <c r="R1655" s="20">
        <v>22532</v>
      </c>
      <c r="S1655" s="21" t="str">
        <f>HYPERLINK("https://www.palmbeachstate.edu/financialaid/net-price-calculator.aspx", "$15970")</f>
        <v>$15970</v>
      </c>
      <c r="T1655" s="20">
        <v>18706</v>
      </c>
      <c r="U1655" s="20">
        <v>21558</v>
      </c>
      <c r="V1655" s="20">
        <v>4800</v>
      </c>
      <c r="W1655" s="20">
        <v>11170.21665089877</v>
      </c>
      <c r="Y1655" s="19">
        <v>0.36609999999999998</v>
      </c>
      <c r="Z1655" s="19">
        <v>0.6784</v>
      </c>
      <c r="AB1655" s="18">
        <v>26335</v>
      </c>
      <c r="AC1655" s="18">
        <v>6</v>
      </c>
    </row>
    <row r="1656" spans="1:29" ht="15.75" customHeight="1" x14ac:dyDescent="0.2">
      <c r="A1656" s="36" t="str">
        <f>HYPERLINK("https://alamo.edu/pac/", "Palo Alto College")</f>
        <v>Palo Alto College</v>
      </c>
      <c r="B1656" s="18" t="s">
        <v>49</v>
      </c>
      <c r="C1656" s="18" t="s">
        <v>146</v>
      </c>
      <c r="D1656" s="18" t="s">
        <v>268</v>
      </c>
      <c r="E1656" s="18" t="s">
        <v>36</v>
      </c>
      <c r="F1656" s="18" t="s">
        <v>36</v>
      </c>
      <c r="J1656" s="19"/>
      <c r="K1656" s="19">
        <v>0.2555</v>
      </c>
      <c r="L1656" s="19">
        <v>0.10500274900000001</v>
      </c>
      <c r="M1656" s="19">
        <v>0.31509999999999999</v>
      </c>
      <c r="N1656" s="19">
        <v>0</v>
      </c>
      <c r="O1656" s="19">
        <v>0.25790000000000002</v>
      </c>
      <c r="P1656" s="19" t="s">
        <v>36</v>
      </c>
      <c r="Q1656" s="19">
        <v>8.9278435000000003E-2</v>
      </c>
      <c r="R1656" s="20">
        <v>27402</v>
      </c>
      <c r="S1656" s="21" t="str">
        <f>HYPERLINK("https://alamo.edu/district/business-office/tuition-and-fees/", "$21656")</f>
        <v>$21656</v>
      </c>
      <c r="T1656" s="20">
        <v>22820</v>
      </c>
      <c r="U1656" s="20">
        <v>25603</v>
      </c>
      <c r="V1656" s="20">
        <v>5180</v>
      </c>
      <c r="W1656" s="20">
        <v>16476.201793721972</v>
      </c>
      <c r="Y1656" s="19">
        <v>0.3014</v>
      </c>
      <c r="Z1656" s="19">
        <v>0.84660000000000002</v>
      </c>
      <c r="AB1656" s="18">
        <v>6681</v>
      </c>
      <c r="AC1656" s="18">
        <v>6</v>
      </c>
    </row>
    <row r="1657" spans="1:29" ht="15.75" customHeight="1" x14ac:dyDescent="0.2">
      <c r="A1657" s="36" t="str">
        <f>HYPERLINK("https://www.parisjc.edu/", "Paris Junior College")</f>
        <v>Paris Junior College</v>
      </c>
      <c r="B1657" s="18" t="s">
        <v>49</v>
      </c>
      <c r="C1657" s="18" t="s">
        <v>146</v>
      </c>
      <c r="D1657" s="18" t="s">
        <v>1620</v>
      </c>
      <c r="E1657" s="18" t="s">
        <v>36</v>
      </c>
      <c r="F1657" s="18" t="s">
        <v>36</v>
      </c>
      <c r="J1657" s="19"/>
      <c r="K1657" s="19">
        <v>0.31790000000000002</v>
      </c>
      <c r="L1657" s="19">
        <v>0.165150455</v>
      </c>
      <c r="M1657" s="19">
        <v>0.34460000000000002</v>
      </c>
      <c r="N1657" s="19">
        <v>0.20860000000000001</v>
      </c>
      <c r="O1657" s="19">
        <v>0.38550000000000001</v>
      </c>
      <c r="P1657" s="19">
        <v>0.1429</v>
      </c>
      <c r="Q1657" s="19">
        <v>7.7365395000000003E-2</v>
      </c>
      <c r="R1657" s="20">
        <v>16847</v>
      </c>
      <c r="S1657" s="21" t="str">
        <f>HYPERLINK("https://www.collegeforalltexans.com/apps/CollegeMoney", "$10720")</f>
        <v>$10720</v>
      </c>
      <c r="T1657" s="20">
        <v>12612</v>
      </c>
      <c r="U1657" s="20">
        <v>13210</v>
      </c>
      <c r="V1657" s="20">
        <v>6347</v>
      </c>
      <c r="W1657" s="20">
        <v>4373.8256130790178</v>
      </c>
      <c r="Y1657" s="19">
        <v>0.31809999999999999</v>
      </c>
      <c r="Z1657" s="19">
        <v>0.36109999999999998</v>
      </c>
      <c r="AB1657" s="18">
        <v>3235</v>
      </c>
      <c r="AC1657" s="18">
        <v>6</v>
      </c>
    </row>
    <row r="1658" spans="1:29" ht="15.75" customHeight="1" x14ac:dyDescent="0.2">
      <c r="A1658" s="36" t="str">
        <f>HYPERLINK("https://www.park.edu", "Park University")</f>
        <v>Park University</v>
      </c>
      <c r="B1658" s="18" t="s">
        <v>32</v>
      </c>
      <c r="C1658" s="18" t="s">
        <v>164</v>
      </c>
      <c r="D1658" s="18" t="s">
        <v>1048</v>
      </c>
      <c r="E1658" s="18" t="s">
        <v>36</v>
      </c>
      <c r="F1658" s="18" t="s">
        <v>90</v>
      </c>
      <c r="J1658" s="19"/>
      <c r="K1658" s="19">
        <v>0.23330000000000001</v>
      </c>
      <c r="L1658" s="19">
        <v>0.36731391600000002</v>
      </c>
      <c r="M1658" s="19">
        <v>0.22409999999999999</v>
      </c>
      <c r="N1658" s="19">
        <v>0.125</v>
      </c>
      <c r="O1658" s="19">
        <v>0.28570000000000001</v>
      </c>
      <c r="P1658" s="19">
        <v>0.5</v>
      </c>
      <c r="Q1658" s="19"/>
      <c r="R1658" s="20">
        <v>23482</v>
      </c>
      <c r="S1658" s="21" t="str">
        <f>HYPERLINK("https://www.park.edu/admissions/", "$16879")</f>
        <v>$16879</v>
      </c>
      <c r="T1658" s="20">
        <v>18882</v>
      </c>
      <c r="U1658" s="20">
        <v>20307</v>
      </c>
      <c r="V1658" s="20">
        <v>5036</v>
      </c>
      <c r="W1658" s="20">
        <v>11843</v>
      </c>
      <c r="Y1658" s="19">
        <v>0.33189999999999997</v>
      </c>
      <c r="Z1658" s="19">
        <v>0.5343</v>
      </c>
      <c r="AB1658" s="18">
        <v>9442</v>
      </c>
      <c r="AC1658" s="18">
        <v>4</v>
      </c>
    </row>
    <row r="1659" spans="1:29" ht="15.75" customHeight="1" x14ac:dyDescent="0.2">
      <c r="A1659" s="36" t="str">
        <f>HYPERLINK("https://www.parkland.edu/", "Parkland College")</f>
        <v>Parkland College</v>
      </c>
      <c r="B1659" s="18" t="s">
        <v>49</v>
      </c>
      <c r="C1659" s="18" t="s">
        <v>137</v>
      </c>
      <c r="D1659" s="18" t="s">
        <v>279</v>
      </c>
      <c r="E1659" s="18" t="s">
        <v>36</v>
      </c>
      <c r="F1659" s="18" t="s">
        <v>36</v>
      </c>
      <c r="J1659" s="19"/>
      <c r="K1659" s="19">
        <v>0.28660000000000002</v>
      </c>
      <c r="L1659" s="19">
        <v>0.115437159</v>
      </c>
      <c r="M1659" s="19">
        <v>0.36030000000000001</v>
      </c>
      <c r="N1659" s="19">
        <v>0.1</v>
      </c>
      <c r="O1659" s="19">
        <v>0.15790000000000001</v>
      </c>
      <c r="P1659" s="19">
        <v>0.5</v>
      </c>
      <c r="Q1659" s="19">
        <v>0.13330598900000001</v>
      </c>
      <c r="R1659" s="20">
        <v>25870</v>
      </c>
      <c r="S1659" s="21" t="str">
        <f>HYPERLINK("https://web.parkland.edu/netpricecalculator/npcalc.htm", "$21833")</f>
        <v>$21833</v>
      </c>
      <c r="T1659" s="20">
        <v>22548</v>
      </c>
      <c r="U1659" s="20">
        <v>24856</v>
      </c>
      <c r="V1659" s="20">
        <v>4500</v>
      </c>
      <c r="W1659" s="20">
        <v>17333.5593220339</v>
      </c>
      <c r="Y1659" s="19">
        <v>0.29770000000000002</v>
      </c>
      <c r="Z1659" s="19">
        <v>0.41439999999999999</v>
      </c>
      <c r="AB1659" s="18">
        <v>5647</v>
      </c>
      <c r="AC1659" s="18">
        <v>6</v>
      </c>
    </row>
    <row r="1660" spans="1:29" ht="15.75" customHeight="1" x14ac:dyDescent="0.2">
      <c r="A1660" s="36" t="str">
        <f>HYPERLINK("https://pasadena.edu/", "Pasadena City College")</f>
        <v>Pasadena City College</v>
      </c>
      <c r="B1660" s="18" t="s">
        <v>49</v>
      </c>
      <c r="C1660" s="18" t="s">
        <v>68</v>
      </c>
      <c r="D1660" s="18" t="s">
        <v>69</v>
      </c>
      <c r="E1660" s="18" t="s">
        <v>36</v>
      </c>
      <c r="F1660" s="18" t="s">
        <v>36</v>
      </c>
      <c r="J1660" s="19"/>
      <c r="K1660" s="19">
        <v>0.36199999999999999</v>
      </c>
      <c r="L1660" s="19">
        <v>9.6657929000000004E-2</v>
      </c>
      <c r="M1660" s="19">
        <v>0.34210000000000002</v>
      </c>
      <c r="N1660" s="19">
        <v>0.13159999999999999</v>
      </c>
      <c r="O1660" s="19">
        <v>0.23619999999999999</v>
      </c>
      <c r="P1660" s="19">
        <v>0.55930000000000002</v>
      </c>
      <c r="Q1660" s="19">
        <v>0.16277336000000001</v>
      </c>
      <c r="R1660" s="20">
        <v>26390</v>
      </c>
      <c r="S1660" s="21" t="str">
        <f>HYPERLINK("https://misweb.cccco.edu/npc/771/npcalc.htm", "$19103")</f>
        <v>$19103</v>
      </c>
      <c r="T1660" s="20">
        <v>22159</v>
      </c>
      <c r="U1660" s="20">
        <v>23280</v>
      </c>
      <c r="V1660" s="20">
        <v>6093</v>
      </c>
      <c r="W1660" s="20">
        <v>13010.629032258061</v>
      </c>
      <c r="Y1660" s="19">
        <v>0.30249999999999999</v>
      </c>
      <c r="Z1660" s="19">
        <v>0.85240000000000005</v>
      </c>
      <c r="AB1660" s="18">
        <v>25202</v>
      </c>
      <c r="AC1660" s="18">
        <v>6</v>
      </c>
    </row>
    <row r="1661" spans="1:29" ht="15.75" customHeight="1" x14ac:dyDescent="0.2">
      <c r="A1661" s="36" t="str">
        <f>HYPERLINK("https://www.phsc.edu", "Pasco-Hernando State College")</f>
        <v>Pasco-Hernando State College</v>
      </c>
      <c r="B1661" s="18" t="s">
        <v>49</v>
      </c>
      <c r="C1661" s="18" t="s">
        <v>162</v>
      </c>
      <c r="D1661" s="18" t="s">
        <v>1621</v>
      </c>
      <c r="E1661" s="18" t="s">
        <v>36</v>
      </c>
      <c r="F1661" s="18" t="s">
        <v>36</v>
      </c>
      <c r="J1661" s="19"/>
      <c r="K1661" s="19">
        <v>0.3206</v>
      </c>
      <c r="L1661" s="19">
        <v>0.22915696299999999</v>
      </c>
      <c r="M1661" s="19">
        <v>0.31919999999999998</v>
      </c>
      <c r="N1661" s="19">
        <v>0.27629999999999999</v>
      </c>
      <c r="O1661" s="19">
        <v>0.30380000000000001</v>
      </c>
      <c r="P1661" s="19">
        <v>0.46150000000000002</v>
      </c>
      <c r="Q1661" s="19">
        <v>8.8860678999999998E-2</v>
      </c>
      <c r="R1661" s="20">
        <v>23884</v>
      </c>
      <c r="S1661" s="21" t="str">
        <f>HYPERLINK("https://cpnta.phsc.edu/csrs/hlp/NetPriceCalc/npcalc.htm", "$18555")</f>
        <v>$18555</v>
      </c>
      <c r="T1661" s="20">
        <v>20687</v>
      </c>
      <c r="U1661" s="20">
        <v>23228</v>
      </c>
      <c r="V1661" s="20">
        <v>5482</v>
      </c>
      <c r="W1661" s="20">
        <v>13073.163328197221</v>
      </c>
      <c r="Y1661" s="19">
        <v>0.38840000000000002</v>
      </c>
      <c r="Z1661" s="19">
        <v>0.37180000000000002</v>
      </c>
      <c r="AB1661" s="18">
        <v>9336</v>
      </c>
      <c r="AC1661" s="18">
        <v>6</v>
      </c>
    </row>
    <row r="1662" spans="1:29" ht="15.75" customHeight="1" x14ac:dyDescent="0.2">
      <c r="A1662" s="36" t="str">
        <f>HYPERLINK("https://www.pccc.edu", "Passaic County Community College")</f>
        <v>Passaic County Community College</v>
      </c>
      <c r="B1662" s="18" t="s">
        <v>49</v>
      </c>
      <c r="C1662" s="18" t="s">
        <v>141</v>
      </c>
      <c r="D1662" s="18" t="s">
        <v>1622</v>
      </c>
      <c r="E1662" s="18" t="s">
        <v>36</v>
      </c>
      <c r="F1662" s="18" t="s">
        <v>36</v>
      </c>
      <c r="J1662" s="19"/>
      <c r="K1662" s="19">
        <v>0.1225</v>
      </c>
      <c r="L1662" s="19">
        <v>9.4245581999999994E-2</v>
      </c>
      <c r="M1662" s="19">
        <v>0.2366</v>
      </c>
      <c r="N1662" s="19">
        <v>5.6099999999999997E-2</v>
      </c>
      <c r="O1662" s="19">
        <v>9.8599999999999993E-2</v>
      </c>
      <c r="P1662" s="19">
        <v>0.125</v>
      </c>
      <c r="Q1662" s="19">
        <v>7.0727579999999998E-2</v>
      </c>
      <c r="R1662" s="20">
        <v>25736</v>
      </c>
      <c r="S1662" s="21" t="str">
        <f>HYPERLINK("https://www.pccc.edu/netprice/npcalc.htm", "$20124")</f>
        <v>$20124</v>
      </c>
      <c r="T1662" s="20">
        <v>22433</v>
      </c>
      <c r="U1662" s="20">
        <v>24790</v>
      </c>
      <c r="V1662" s="20">
        <v>3626</v>
      </c>
      <c r="W1662" s="20">
        <v>16498.953125</v>
      </c>
      <c r="Y1662" s="19">
        <v>0.52200000000000002</v>
      </c>
      <c r="Z1662" s="19">
        <v>0.81930000000000003</v>
      </c>
      <c r="AB1662" s="18">
        <v>6617</v>
      </c>
      <c r="AC1662" s="18">
        <v>6</v>
      </c>
    </row>
    <row r="1663" spans="1:29" ht="15.75" customHeight="1" x14ac:dyDescent="0.2">
      <c r="A1663" s="36" t="str">
        <f>HYPERLINK("https://www.pqc.edu", "Paul Quinn College")</f>
        <v>Paul Quinn College</v>
      </c>
      <c r="B1663" s="18" t="s">
        <v>32</v>
      </c>
      <c r="C1663" s="18" t="s">
        <v>146</v>
      </c>
      <c r="D1663" s="18" t="s">
        <v>152</v>
      </c>
      <c r="E1663" s="18">
        <v>843</v>
      </c>
      <c r="F1663" s="18" t="s">
        <v>35</v>
      </c>
      <c r="J1663" s="19"/>
      <c r="K1663" s="19">
        <v>0.1923</v>
      </c>
      <c r="L1663" s="19" t="s">
        <v>36</v>
      </c>
      <c r="M1663" s="19" t="s">
        <v>36</v>
      </c>
      <c r="N1663" s="19">
        <v>0.1905</v>
      </c>
      <c r="O1663" s="19">
        <v>0.125</v>
      </c>
      <c r="P1663" s="19" t="s">
        <v>36</v>
      </c>
      <c r="Q1663" s="19"/>
      <c r="R1663" s="20">
        <v>18095</v>
      </c>
      <c r="S1663" s="21" t="str">
        <f>HYPERLINK("https://www.pqc.edu/index.php?option=com_content&amp;view=article&amp;id=220&amp;Itemid=239", "$11844")</f>
        <v>$11844</v>
      </c>
      <c r="T1663" s="20">
        <v>13284</v>
      </c>
      <c r="U1663" s="20" t="s">
        <v>36</v>
      </c>
      <c r="V1663" s="20">
        <v>3600</v>
      </c>
      <c r="W1663" s="20">
        <v>8244</v>
      </c>
      <c r="Y1663" s="19">
        <v>0.71789999999999998</v>
      </c>
      <c r="Z1663" s="19">
        <v>0.99029999999999996</v>
      </c>
      <c r="AB1663" s="18">
        <v>515</v>
      </c>
      <c r="AC1663" s="18">
        <v>5</v>
      </c>
    </row>
    <row r="1664" spans="1:29" ht="15.75" customHeight="1" x14ac:dyDescent="0.2">
      <c r="A1664" s="36" t="str">
        <f>HYPERLINK("https://www.prcc.edu", "Pearl River Community College")</f>
        <v>Pearl River Community College</v>
      </c>
      <c r="B1664" s="18" t="s">
        <v>49</v>
      </c>
      <c r="C1664" s="18" t="s">
        <v>59</v>
      </c>
      <c r="D1664" s="18" t="s">
        <v>1623</v>
      </c>
      <c r="E1664" s="18" t="s">
        <v>36</v>
      </c>
      <c r="F1664" s="18" t="s">
        <v>36</v>
      </c>
      <c r="J1664" s="19"/>
      <c r="K1664" s="19">
        <v>0.2949</v>
      </c>
      <c r="L1664" s="19">
        <v>0.21180327900000001</v>
      </c>
      <c r="M1664" s="19">
        <v>0.31809999999999999</v>
      </c>
      <c r="N1664" s="19">
        <v>0.25530000000000003</v>
      </c>
      <c r="O1664" s="19">
        <v>0.31580000000000003</v>
      </c>
      <c r="P1664" s="19">
        <v>1</v>
      </c>
      <c r="Q1664" s="19">
        <v>5.2449282999999999E-2</v>
      </c>
      <c r="R1664" s="20">
        <v>15948</v>
      </c>
      <c r="S1664" s="21" t="str">
        <f>HYPERLINK("https://www.prcc.edu/npcalc/npcalc.htm", "$10992")</f>
        <v>$10992</v>
      </c>
      <c r="T1664" s="20">
        <v>13371</v>
      </c>
      <c r="U1664" s="20">
        <v>14358</v>
      </c>
      <c r="V1664" s="20">
        <v>5150</v>
      </c>
      <c r="W1664" s="20">
        <v>5842.7954545454559</v>
      </c>
      <c r="Y1664" s="19">
        <v>0.48259999999999997</v>
      </c>
      <c r="Z1664" s="19">
        <v>0.34900000000000009</v>
      </c>
      <c r="AB1664" s="18">
        <v>3817</v>
      </c>
      <c r="AC1664" s="18">
        <v>6</v>
      </c>
    </row>
    <row r="1665" spans="1:29" ht="15.75" customHeight="1" x14ac:dyDescent="0.2">
      <c r="A1665" s="36" t="str">
        <f>HYPERLINK("https://www.peirce.edu", "Peirce College")</f>
        <v>Peirce College</v>
      </c>
      <c r="B1665" s="18" t="s">
        <v>32</v>
      </c>
      <c r="C1665" s="18" t="s">
        <v>65</v>
      </c>
      <c r="D1665" s="18" t="s">
        <v>168</v>
      </c>
      <c r="E1665" s="18" t="s">
        <v>36</v>
      </c>
      <c r="F1665" s="18" t="s">
        <v>36</v>
      </c>
      <c r="J1665" s="19"/>
      <c r="K1665" s="19">
        <v>0.20830000000000001</v>
      </c>
      <c r="L1665" s="19">
        <v>0.24060150399999999</v>
      </c>
      <c r="M1665" s="19">
        <v>0.6</v>
      </c>
      <c r="N1665" s="19">
        <v>0.1111</v>
      </c>
      <c r="O1665" s="19" t="s">
        <v>36</v>
      </c>
      <c r="P1665" s="19" t="s">
        <v>36</v>
      </c>
      <c r="Q1665" s="19"/>
      <c r="R1665" s="20">
        <v>24636</v>
      </c>
      <c r="S1665" s="21" t="str">
        <f>HYPERLINK("https://npc.collegeboard.org/student/app/peirce", "$7980")</f>
        <v>$7980</v>
      </c>
      <c r="T1665" s="20">
        <v>7123</v>
      </c>
      <c r="U1665" s="20">
        <v>13366</v>
      </c>
      <c r="V1665" s="20">
        <v>3200</v>
      </c>
      <c r="W1665" s="20">
        <v>4780</v>
      </c>
      <c r="Y1665" s="19">
        <v>0.60229999999999995</v>
      </c>
      <c r="Z1665" s="19">
        <v>0.81899999999999995</v>
      </c>
      <c r="AB1665" s="18">
        <v>1381</v>
      </c>
      <c r="AC1665" s="18">
        <v>5</v>
      </c>
    </row>
    <row r="1666" spans="1:29" ht="15.75" customHeight="1" x14ac:dyDescent="0.2">
      <c r="A1666" s="36" t="str">
        <f>HYPERLINK("https://www.pstcc.edu/", "Pellissippi State Community College")</f>
        <v>Pellissippi State Community College</v>
      </c>
      <c r="B1666" s="18" t="s">
        <v>49</v>
      </c>
      <c r="C1666" s="18" t="s">
        <v>174</v>
      </c>
      <c r="D1666" s="18" t="s">
        <v>492</v>
      </c>
      <c r="E1666" s="18" t="s">
        <v>36</v>
      </c>
      <c r="F1666" s="18" t="s">
        <v>36</v>
      </c>
      <c r="J1666" s="19"/>
      <c r="K1666" s="19">
        <v>0.27279999999999999</v>
      </c>
      <c r="L1666" s="19">
        <v>0.198733561</v>
      </c>
      <c r="M1666" s="19">
        <v>0.2923</v>
      </c>
      <c r="N1666" s="19">
        <v>9.5500000000000002E-2</v>
      </c>
      <c r="O1666" s="19">
        <v>0.3538</v>
      </c>
      <c r="P1666" s="19">
        <v>0.3846</v>
      </c>
      <c r="Q1666" s="19">
        <v>0.10195958400000001</v>
      </c>
      <c r="R1666" s="20">
        <v>28156</v>
      </c>
      <c r="S1666" s="21" t="str">
        <f>HYPERLINK("https://www.pstcc.edu/financial_aid/", "$21210")</f>
        <v>$21210</v>
      </c>
      <c r="T1666" s="20">
        <v>23436</v>
      </c>
      <c r="U1666" s="20">
        <v>24791</v>
      </c>
      <c r="V1666" s="20">
        <v>5700</v>
      </c>
      <c r="W1666" s="20">
        <v>15510.15437003405</v>
      </c>
      <c r="Y1666" s="19">
        <v>0.30220000000000002</v>
      </c>
      <c r="Z1666" s="19">
        <v>0.19359999999999999</v>
      </c>
      <c r="AB1666" s="18">
        <v>8859</v>
      </c>
      <c r="AC1666" s="18">
        <v>6</v>
      </c>
    </row>
    <row r="1667" spans="1:29" ht="15.75" customHeight="1" x14ac:dyDescent="0.2">
      <c r="A1667" s="36" t="str">
        <f>HYPERLINK("https://www.penncotech.edu/pennco-bristol.php", "Pennco Tech-Bristol")</f>
        <v>Pennco Tech-Bristol</v>
      </c>
      <c r="B1667" s="18" t="s">
        <v>368</v>
      </c>
      <c r="C1667" s="18" t="s">
        <v>65</v>
      </c>
      <c r="D1667" s="18" t="s">
        <v>390</v>
      </c>
      <c r="E1667" s="18" t="s">
        <v>36</v>
      </c>
      <c r="F1667" s="18" t="s">
        <v>36</v>
      </c>
      <c r="J1667" s="19"/>
      <c r="K1667" s="19">
        <v>0.7609999999999999</v>
      </c>
      <c r="L1667" s="19">
        <v>0.70987654299999992</v>
      </c>
      <c r="M1667" s="19">
        <v>0.84209999999999996</v>
      </c>
      <c r="N1667" s="19">
        <v>0.7</v>
      </c>
      <c r="O1667" s="19">
        <v>0.63329999999999997</v>
      </c>
      <c r="P1667" s="19">
        <v>0.6</v>
      </c>
      <c r="Q1667" s="19" t="s">
        <v>36</v>
      </c>
      <c r="R1667" s="20" t="s">
        <v>36</v>
      </c>
      <c r="S1667" s="21" t="str">
        <f>HYPERLINK("https://www.penncotech.edu/npc/Bristol/npcalc.htm", "$18126")</f>
        <v>$18126</v>
      </c>
      <c r="T1667" s="20">
        <v>20844</v>
      </c>
      <c r="U1667" s="20" t="s">
        <v>36</v>
      </c>
      <c r="V1667" s="20" t="s">
        <v>36</v>
      </c>
      <c r="W1667" s="20" t="s">
        <v>36</v>
      </c>
      <c r="Y1667" s="19">
        <v>0.65010000000000001</v>
      </c>
      <c r="Z1667" s="19">
        <v>0.52700000000000002</v>
      </c>
      <c r="AB1667" s="18">
        <v>315</v>
      </c>
      <c r="AC1667" s="18">
        <v>6</v>
      </c>
    </row>
    <row r="1668" spans="1:29" ht="15.75" customHeight="1" x14ac:dyDescent="0.2">
      <c r="A1668" s="36" t="str">
        <f>HYPERLINK("https://www.pacollege.edu/", "Pennsylvania College of Health Sciences")</f>
        <v>Pennsylvania College of Health Sciences</v>
      </c>
      <c r="B1668" s="18" t="s">
        <v>32</v>
      </c>
      <c r="C1668" s="18" t="s">
        <v>65</v>
      </c>
      <c r="D1668" s="18" t="s">
        <v>112</v>
      </c>
      <c r="E1668" s="18" t="s">
        <v>36</v>
      </c>
      <c r="F1668" s="18" t="s">
        <v>90</v>
      </c>
      <c r="J1668" s="19"/>
      <c r="K1668" s="19">
        <v>0.63639999999999997</v>
      </c>
      <c r="L1668" s="19">
        <v>0.58426966299999994</v>
      </c>
      <c r="M1668" s="19">
        <v>0.65429999999999999</v>
      </c>
      <c r="N1668" s="19">
        <v>0.5</v>
      </c>
      <c r="O1668" s="19">
        <v>0</v>
      </c>
      <c r="P1668" s="19">
        <v>0.5</v>
      </c>
      <c r="Q1668" s="19">
        <v>7.6470587999999992E-2</v>
      </c>
      <c r="R1668" s="20">
        <v>45836</v>
      </c>
      <c r="S1668" s="21" t="str">
        <f>HYPERLINK("https://www.pacollege.edu/net-price-calculator/", "$32755")</f>
        <v>$32755</v>
      </c>
      <c r="T1668" s="20">
        <v>34866</v>
      </c>
      <c r="U1668" s="20">
        <v>38269</v>
      </c>
      <c r="V1668" s="20">
        <v>7658</v>
      </c>
      <c r="W1668" s="20">
        <v>25097</v>
      </c>
      <c r="Y1668" s="19">
        <v>0.30790000000000001</v>
      </c>
      <c r="Z1668" s="19">
        <v>0.20100000000000001</v>
      </c>
      <c r="AB1668" s="18">
        <v>1532</v>
      </c>
      <c r="AC1668" s="18">
        <v>6</v>
      </c>
    </row>
    <row r="1669" spans="1:29" ht="15.75" customHeight="1" x14ac:dyDescent="0.2">
      <c r="A1669" s="36" t="str">
        <f>HYPERLINK("https://www.pct.edu", "Pennsylvania College of Technology")</f>
        <v>Pennsylvania College of Technology</v>
      </c>
      <c r="B1669" s="18" t="s">
        <v>49</v>
      </c>
      <c r="C1669" s="18" t="s">
        <v>65</v>
      </c>
      <c r="D1669" s="18" t="s">
        <v>936</v>
      </c>
      <c r="E1669" s="18" t="s">
        <v>36</v>
      </c>
      <c r="F1669" s="18" t="s">
        <v>36</v>
      </c>
      <c r="J1669" s="19"/>
      <c r="K1669" s="19">
        <v>0.47470000000000001</v>
      </c>
      <c r="L1669" s="19">
        <v>0.31731984800000002</v>
      </c>
      <c r="M1669" s="19">
        <v>0.51359999999999995</v>
      </c>
      <c r="N1669" s="19">
        <v>0.16089999999999999</v>
      </c>
      <c r="O1669" s="19">
        <v>0.27029999999999998</v>
      </c>
      <c r="P1669" s="19">
        <v>0.1111</v>
      </c>
      <c r="Q1669" s="19">
        <v>4.5977011999999998E-2</v>
      </c>
      <c r="R1669" s="20">
        <v>39054</v>
      </c>
      <c r="S1669" s="21" t="str">
        <f>HYPERLINK("https://www.pct.edu/admissions/consumerinfo/NPC/", "$30270")</f>
        <v>$30270</v>
      </c>
      <c r="T1669" s="20">
        <v>32765</v>
      </c>
      <c r="U1669" s="20">
        <v>36373</v>
      </c>
      <c r="V1669" s="20">
        <v>4434</v>
      </c>
      <c r="W1669" s="20">
        <v>25836.21682847897</v>
      </c>
      <c r="Y1669" s="19">
        <v>0.38059999999999999</v>
      </c>
      <c r="Z1669" s="19">
        <v>0.1187</v>
      </c>
      <c r="AB1669" s="18">
        <v>5419</v>
      </c>
      <c r="AC1669" s="18">
        <v>6</v>
      </c>
    </row>
    <row r="1670" spans="1:29" ht="15.75" customHeight="1" x14ac:dyDescent="0.2">
      <c r="A1670" s="36" t="str">
        <f>HYPERLINK("https://www.pennhighlands.edu", "Pennsylvania Highlands Community College")</f>
        <v>Pennsylvania Highlands Community College</v>
      </c>
      <c r="B1670" s="18" t="s">
        <v>49</v>
      </c>
      <c r="C1670" s="18" t="s">
        <v>65</v>
      </c>
      <c r="D1670" s="18" t="s">
        <v>907</v>
      </c>
      <c r="E1670" s="18" t="s">
        <v>36</v>
      </c>
      <c r="F1670" s="18" t="s">
        <v>36</v>
      </c>
      <c r="J1670" s="19"/>
      <c r="K1670" s="19">
        <v>0.2954</v>
      </c>
      <c r="L1670" s="19">
        <v>0.20634920600000001</v>
      </c>
      <c r="M1670" s="19">
        <v>0.31919999999999998</v>
      </c>
      <c r="N1670" s="19">
        <v>0</v>
      </c>
      <c r="O1670" s="19">
        <v>0</v>
      </c>
      <c r="P1670" s="19">
        <v>0</v>
      </c>
      <c r="Q1670" s="19">
        <v>0.108374384</v>
      </c>
      <c r="R1670" s="20">
        <v>17060</v>
      </c>
      <c r="S1670" s="21" t="str">
        <f>HYPERLINK("https://my.pennhighlands.edu/ICS/Net_Price_Calculator_2018-2019.jnz", "$11226")</f>
        <v>$11226</v>
      </c>
      <c r="T1670" s="20">
        <v>13981</v>
      </c>
      <c r="U1670" s="20">
        <v>16768</v>
      </c>
      <c r="V1670" s="20">
        <v>3500</v>
      </c>
      <c r="W1670" s="20">
        <v>7726.6120689655181</v>
      </c>
      <c r="Y1670" s="19">
        <v>0.2218</v>
      </c>
      <c r="Z1670" s="19">
        <v>0.1409999999999999</v>
      </c>
      <c r="AB1670" s="18">
        <v>1014</v>
      </c>
      <c r="AC1670" s="18">
        <v>6</v>
      </c>
    </row>
    <row r="1671" spans="1:29" ht="15.75" customHeight="1" x14ac:dyDescent="0.2">
      <c r="A1671" s="36" t="str">
        <f>HYPERLINK("https://www.piht.edu", "Pennsylvania Institute of Health and Technology")</f>
        <v>Pennsylvania Institute of Health and Technology</v>
      </c>
      <c r="B1671" s="18" t="s">
        <v>368</v>
      </c>
      <c r="C1671" s="18" t="s">
        <v>65</v>
      </c>
      <c r="D1671" s="18" t="s">
        <v>1624</v>
      </c>
      <c r="E1671" s="18" t="s">
        <v>36</v>
      </c>
      <c r="F1671" s="18" t="s">
        <v>36</v>
      </c>
      <c r="J1671" s="19"/>
      <c r="K1671" s="19">
        <v>0.66669999999999996</v>
      </c>
      <c r="L1671" s="19">
        <v>0.468468469</v>
      </c>
      <c r="M1671" s="19">
        <v>0.66669999999999996</v>
      </c>
      <c r="N1671" s="19">
        <v>0.66669999999999996</v>
      </c>
      <c r="O1671" s="19" t="s">
        <v>36</v>
      </c>
      <c r="P1671" s="19" t="s">
        <v>36</v>
      </c>
      <c r="Q1671" s="19">
        <v>3.3557047E-2</v>
      </c>
      <c r="R1671" s="20">
        <v>23400</v>
      </c>
      <c r="S1671" s="21" t="str">
        <f>HYPERLINK("https://www.piht.edu", "$14575")</f>
        <v>$14575</v>
      </c>
      <c r="T1671" s="20">
        <v>22272</v>
      </c>
      <c r="U1671" s="20">
        <v>22272</v>
      </c>
      <c r="V1671" s="20">
        <v>3945</v>
      </c>
      <c r="W1671" s="20">
        <v>10630</v>
      </c>
      <c r="Y1671" s="19">
        <v>0.82289999999999996</v>
      </c>
      <c r="Z1671" s="19">
        <v>1.280000000000003E-2</v>
      </c>
      <c r="AB1671" s="18">
        <v>78</v>
      </c>
      <c r="AC1671" s="18">
        <v>6</v>
      </c>
    </row>
    <row r="1672" spans="1:29" ht="15.75" customHeight="1" x14ac:dyDescent="0.2">
      <c r="A1672" s="36" t="str">
        <f>HYPERLINK("https://www.pit.edu", "Pennsylvania Institute of Technology")</f>
        <v>Pennsylvania Institute of Technology</v>
      </c>
      <c r="B1672" s="18" t="s">
        <v>32</v>
      </c>
      <c r="C1672" s="18" t="s">
        <v>65</v>
      </c>
      <c r="D1672" s="18" t="s">
        <v>1054</v>
      </c>
      <c r="E1672" s="18" t="s">
        <v>36</v>
      </c>
      <c r="F1672" s="18" t="s">
        <v>36</v>
      </c>
      <c r="J1672" s="19"/>
      <c r="K1672" s="19">
        <v>0.40229999999999999</v>
      </c>
      <c r="L1672" s="19">
        <v>0.382228491</v>
      </c>
      <c r="M1672" s="19">
        <v>0.36670000000000003</v>
      </c>
      <c r="N1672" s="19">
        <v>0.37799999999999989</v>
      </c>
      <c r="O1672" s="19">
        <v>0.4</v>
      </c>
      <c r="P1672" s="19">
        <v>0.71430000000000005</v>
      </c>
      <c r="Q1672" s="19">
        <v>3.2822757000000001E-2</v>
      </c>
      <c r="R1672" s="20">
        <v>21030</v>
      </c>
      <c r="S1672" s="21" t="str">
        <f>HYPERLINK("https://www.pit.edu/financial-aid/net-price-calculator/", "$21966")</f>
        <v>$21966</v>
      </c>
      <c r="T1672" s="20">
        <v>24330</v>
      </c>
      <c r="U1672" s="20">
        <v>24330</v>
      </c>
      <c r="V1672" s="20">
        <v>1800</v>
      </c>
      <c r="W1672" s="20">
        <v>20166</v>
      </c>
      <c r="Y1672" s="19">
        <v>0.89019999999999999</v>
      </c>
      <c r="Z1672" s="19">
        <v>0.84560000000000002</v>
      </c>
      <c r="AB1672" s="18">
        <v>447</v>
      </c>
      <c r="AC1672" s="18">
        <v>6</v>
      </c>
    </row>
    <row r="1673" spans="1:29" ht="15.75" customHeight="1" x14ac:dyDescent="0.2">
      <c r="A1673" s="36" t="str">
        <f>HYPERLINK("https://www.psu.edu/", "Pennsylvania State University-World Campus")</f>
        <v>Pennsylvania State University-World Campus</v>
      </c>
      <c r="B1673" s="18" t="s">
        <v>49</v>
      </c>
      <c r="C1673" s="18" t="s">
        <v>65</v>
      </c>
      <c r="D1673" s="18" t="s">
        <v>442</v>
      </c>
      <c r="E1673" s="18">
        <v>1269</v>
      </c>
      <c r="F1673" s="18" t="s">
        <v>35</v>
      </c>
      <c r="J1673" s="19"/>
      <c r="K1673" s="19">
        <v>0.84809999999999997</v>
      </c>
      <c r="L1673" s="19">
        <v>0.485670194</v>
      </c>
      <c r="M1673" s="19">
        <v>0.88080000000000003</v>
      </c>
      <c r="N1673" s="19">
        <v>0.65190000000000003</v>
      </c>
      <c r="O1673" s="19">
        <v>0.77370000000000005</v>
      </c>
      <c r="P1673" s="19">
        <v>0.81569999999999998</v>
      </c>
      <c r="Q1673" s="19"/>
      <c r="R1673" s="20">
        <v>51572</v>
      </c>
      <c r="S1673" s="21" t="str">
        <f>HYPERLINK("https://tuition.psu.edu/CostEstimate.aspx", "$37823")</f>
        <v>$37823</v>
      </c>
      <c r="T1673" s="20">
        <v>42656</v>
      </c>
      <c r="U1673" s="20">
        <v>48185</v>
      </c>
      <c r="V1673" s="20">
        <v>6628</v>
      </c>
      <c r="W1673" s="20">
        <v>31195.217391304352</v>
      </c>
      <c r="Y1673" s="19">
        <v>0.14760000000000001</v>
      </c>
      <c r="Z1673" s="19">
        <v>0.33889999999999998</v>
      </c>
      <c r="AB1673" s="18">
        <v>40553</v>
      </c>
      <c r="AC1673" s="18">
        <v>3</v>
      </c>
    </row>
    <row r="1674" spans="1:29" ht="15.75" customHeight="1" x14ac:dyDescent="0.2">
      <c r="A1674" s="36" t="str">
        <f>HYPERLINK("https://abington.psu.edu/", "Pennsylvania State University-Penn State Abington")</f>
        <v>Pennsylvania State University-Penn State Abington</v>
      </c>
      <c r="B1674" s="18" t="s">
        <v>49</v>
      </c>
      <c r="C1674" s="18" t="s">
        <v>65</v>
      </c>
      <c r="D1674" s="18" t="s">
        <v>1049</v>
      </c>
      <c r="E1674" s="18">
        <v>1097</v>
      </c>
      <c r="F1674" s="18" t="s">
        <v>35</v>
      </c>
      <c r="J1674" s="19"/>
      <c r="K1674" s="19">
        <v>0.49809999999999999</v>
      </c>
      <c r="L1674" s="19">
        <v>0.485670194</v>
      </c>
      <c r="M1674" s="19">
        <v>0.51839999999999997</v>
      </c>
      <c r="N1674" s="19">
        <v>0.4</v>
      </c>
      <c r="O1674" s="19">
        <v>0.35210000000000002</v>
      </c>
      <c r="P1674" s="19">
        <v>0.58640000000000003</v>
      </c>
      <c r="Q1674" s="19"/>
      <c r="R1674" s="20">
        <v>40466</v>
      </c>
      <c r="S1674" s="21" t="str">
        <f>HYPERLINK("https://tuition.psu.edu/CostEstimate.aspx", "$28386")</f>
        <v>$28386</v>
      </c>
      <c r="T1674" s="20">
        <v>32694</v>
      </c>
      <c r="U1674" s="20">
        <v>36264</v>
      </c>
      <c r="V1674" s="20">
        <v>6628</v>
      </c>
      <c r="W1674" s="20">
        <v>21758.73498233216</v>
      </c>
      <c r="Y1674" s="19">
        <v>0.39219999999999999</v>
      </c>
      <c r="Z1674" s="19">
        <v>0.54549999999999998</v>
      </c>
      <c r="AB1674" s="18">
        <v>3674</v>
      </c>
      <c r="AC1674" s="18">
        <v>4</v>
      </c>
    </row>
    <row r="1675" spans="1:29" ht="15.75" customHeight="1" x14ac:dyDescent="0.2">
      <c r="A1675" s="36" t="str">
        <f>HYPERLINK("https://altoona.psu.edu/", "Pennsylvania State University-Penn State Altoona")</f>
        <v>Pennsylvania State University-Penn State Altoona</v>
      </c>
      <c r="B1675" s="18" t="s">
        <v>49</v>
      </c>
      <c r="C1675" s="18" t="s">
        <v>65</v>
      </c>
      <c r="D1675" s="18" t="s">
        <v>1051</v>
      </c>
      <c r="E1675" s="18">
        <v>1099</v>
      </c>
      <c r="F1675" s="18" t="s">
        <v>35</v>
      </c>
      <c r="J1675" s="19"/>
      <c r="K1675" s="19">
        <v>0.64359999999999995</v>
      </c>
      <c r="L1675" s="19">
        <v>0.485670194</v>
      </c>
      <c r="M1675" s="19">
        <v>0.66479999999999995</v>
      </c>
      <c r="N1675" s="19">
        <v>0.48199999999999998</v>
      </c>
      <c r="O1675" s="19">
        <v>0.60489999999999999</v>
      </c>
      <c r="P1675" s="19">
        <v>0.66669999999999996</v>
      </c>
      <c r="Q1675" s="19"/>
      <c r="R1675" s="20">
        <v>41600</v>
      </c>
      <c r="S1675" s="21" t="str">
        <f>HYPERLINK("https://tuition.psu.edu/CostEstimate.aspx", "$30170")</f>
        <v>$30170</v>
      </c>
      <c r="T1675" s="20">
        <v>32993</v>
      </c>
      <c r="U1675" s="20">
        <v>37786</v>
      </c>
      <c r="V1675" s="20">
        <v>6628</v>
      </c>
      <c r="W1675" s="20">
        <v>23542.63636363636</v>
      </c>
      <c r="Y1675" s="19">
        <v>0.29820000000000002</v>
      </c>
      <c r="Z1675" s="19">
        <v>0.25760000000000011</v>
      </c>
      <c r="AB1675" s="18">
        <v>3451</v>
      </c>
      <c r="AC1675" s="18">
        <v>4</v>
      </c>
    </row>
    <row r="1676" spans="1:29" ht="15.75" customHeight="1" x14ac:dyDescent="0.2">
      <c r="A1676" s="36" t="str">
        <f>HYPERLINK("https://beaver.psu.edu/", "Pennsylvania State University-Penn State Beaver")</f>
        <v>Pennsylvania State University-Penn State Beaver</v>
      </c>
      <c r="B1676" s="18" t="s">
        <v>49</v>
      </c>
      <c r="C1676" s="18" t="s">
        <v>65</v>
      </c>
      <c r="D1676" s="18" t="s">
        <v>1053</v>
      </c>
      <c r="E1676" s="18">
        <v>1101</v>
      </c>
      <c r="F1676" s="18" t="s">
        <v>35</v>
      </c>
      <c r="J1676" s="19"/>
      <c r="K1676" s="19">
        <v>0.46</v>
      </c>
      <c r="L1676" s="19">
        <v>0.485670194</v>
      </c>
      <c r="M1676" s="19">
        <v>0.5</v>
      </c>
      <c r="N1676" s="19">
        <v>0.2727</v>
      </c>
      <c r="O1676" s="19">
        <v>0.46150000000000002</v>
      </c>
      <c r="P1676" s="19">
        <v>0.75</v>
      </c>
      <c r="Q1676" s="19"/>
      <c r="R1676" s="20">
        <v>39236</v>
      </c>
      <c r="S1676" s="21" t="str">
        <f>HYPERLINK("https://tuition.psu.edu/CostEstimate.aspx", "$26822")</f>
        <v>$26822</v>
      </c>
      <c r="T1676" s="20">
        <v>31118</v>
      </c>
      <c r="U1676" s="20">
        <v>35783</v>
      </c>
      <c r="V1676" s="20">
        <v>6628</v>
      </c>
      <c r="W1676" s="20">
        <v>20194.7</v>
      </c>
      <c r="Y1676" s="19">
        <v>0.3402</v>
      </c>
      <c r="Z1676" s="19">
        <v>0.25590000000000002</v>
      </c>
      <c r="AB1676" s="18">
        <v>598</v>
      </c>
      <c r="AC1676" s="18">
        <v>4</v>
      </c>
    </row>
    <row r="1677" spans="1:29" ht="15.75" customHeight="1" x14ac:dyDescent="0.2">
      <c r="A1677" s="36" t="str">
        <f>HYPERLINK("https://berks.psu.edu/", "Pennsylvania State University-Penn State Berks")</f>
        <v>Pennsylvania State University-Penn State Berks</v>
      </c>
      <c r="B1677" s="18" t="s">
        <v>49</v>
      </c>
      <c r="C1677" s="18" t="s">
        <v>65</v>
      </c>
      <c r="D1677" s="18" t="s">
        <v>551</v>
      </c>
      <c r="E1677" s="18">
        <v>1094</v>
      </c>
      <c r="F1677" s="18" t="s">
        <v>35</v>
      </c>
      <c r="J1677" s="19"/>
      <c r="K1677" s="19">
        <v>0.57130000000000003</v>
      </c>
      <c r="L1677" s="19">
        <v>0.485670194</v>
      </c>
      <c r="M1677" s="19">
        <v>0.59489999999999998</v>
      </c>
      <c r="N1677" s="19">
        <v>0.40789999999999998</v>
      </c>
      <c r="O1677" s="19">
        <v>0.53520000000000001</v>
      </c>
      <c r="P1677" s="19">
        <v>0.57140000000000002</v>
      </c>
      <c r="Q1677" s="19"/>
      <c r="R1677" s="20">
        <v>41600</v>
      </c>
      <c r="S1677" s="21" t="str">
        <f>HYPERLINK("https://tuition.psu.edu/CostEstimate.aspx", "$30654")</f>
        <v>$30654</v>
      </c>
      <c r="T1677" s="20">
        <v>35125</v>
      </c>
      <c r="U1677" s="20">
        <v>39002</v>
      </c>
      <c r="V1677" s="20">
        <v>6628</v>
      </c>
      <c r="W1677" s="20">
        <v>24026.07954545454</v>
      </c>
      <c r="Y1677" s="19">
        <v>0.33169999999999999</v>
      </c>
      <c r="Z1677" s="19">
        <v>0.33210000000000001</v>
      </c>
      <c r="AB1677" s="18">
        <v>2635</v>
      </c>
      <c r="AC1677" s="18">
        <v>4</v>
      </c>
    </row>
    <row r="1678" spans="1:29" ht="15.75" customHeight="1" x14ac:dyDescent="0.2">
      <c r="A1678" s="36" t="str">
        <f>HYPERLINK("https://brandywine.psu.edu/", "Pennsylvania State University-Penn State Brandywine")</f>
        <v>Pennsylvania State University-Penn State Brandywine</v>
      </c>
      <c r="B1678" s="18" t="s">
        <v>49</v>
      </c>
      <c r="C1678" s="18" t="s">
        <v>65</v>
      </c>
      <c r="D1678" s="18" t="s">
        <v>1054</v>
      </c>
      <c r="E1678" s="18">
        <v>1083</v>
      </c>
      <c r="F1678" s="18" t="s">
        <v>35</v>
      </c>
      <c r="J1678" s="19"/>
      <c r="K1678" s="19">
        <v>0.41880000000000001</v>
      </c>
      <c r="L1678" s="19">
        <v>0.485670194</v>
      </c>
      <c r="M1678" s="19">
        <v>0.43480000000000002</v>
      </c>
      <c r="N1678" s="19">
        <v>0.31430000000000002</v>
      </c>
      <c r="O1678" s="19">
        <v>0.15379999999999999</v>
      </c>
      <c r="P1678" s="19">
        <v>0.47220000000000001</v>
      </c>
      <c r="Q1678" s="19"/>
      <c r="R1678" s="20">
        <v>40286</v>
      </c>
      <c r="S1678" s="21" t="str">
        <f>HYPERLINK("https://tuition.psu.edu/CostEstimate.aspx", "$28701")</f>
        <v>$28701</v>
      </c>
      <c r="T1678" s="20">
        <v>34286</v>
      </c>
      <c r="U1678" s="20">
        <v>36439</v>
      </c>
      <c r="V1678" s="20">
        <v>6628</v>
      </c>
      <c r="W1678" s="20">
        <v>22073.916666666661</v>
      </c>
      <c r="Y1678" s="19">
        <v>0.36480000000000001</v>
      </c>
      <c r="Z1678" s="19">
        <v>0.43409999999999999</v>
      </c>
      <c r="AB1678" s="18">
        <v>1366</v>
      </c>
      <c r="AC1678" s="18">
        <v>4</v>
      </c>
    </row>
    <row r="1679" spans="1:29" ht="15.75" customHeight="1" x14ac:dyDescent="0.2">
      <c r="A1679" s="36" t="str">
        <f>HYPERLINK("https://dubois.psu.edu/", "Pennsylvania State University-Penn State DuBois")</f>
        <v>Pennsylvania State University-Penn State DuBois</v>
      </c>
      <c r="B1679" s="18" t="s">
        <v>49</v>
      </c>
      <c r="C1679" s="18" t="s">
        <v>65</v>
      </c>
      <c r="D1679" s="18" t="s">
        <v>1625</v>
      </c>
      <c r="E1679" s="18">
        <v>1095</v>
      </c>
      <c r="F1679" s="18" t="s">
        <v>35</v>
      </c>
      <c r="J1679" s="19"/>
      <c r="K1679" s="19">
        <v>0.50629999999999997</v>
      </c>
      <c r="L1679" s="19">
        <v>0.485670194</v>
      </c>
      <c r="M1679" s="19">
        <v>0.5232</v>
      </c>
      <c r="N1679" s="19">
        <v>0.4</v>
      </c>
      <c r="O1679" s="19">
        <v>0</v>
      </c>
      <c r="P1679" s="19">
        <v>0</v>
      </c>
      <c r="Q1679" s="19">
        <v>6.5854563000000005E-2</v>
      </c>
      <c r="R1679" s="20">
        <v>39174</v>
      </c>
      <c r="S1679" s="21" t="str">
        <f>HYPERLINK("https://tuition.psu.edu/CostEstimate.aspx", "$29543")</f>
        <v>$29543</v>
      </c>
      <c r="T1679" s="20">
        <v>32174</v>
      </c>
      <c r="U1679" s="20">
        <v>36924</v>
      </c>
      <c r="V1679" s="20">
        <v>6628</v>
      </c>
      <c r="W1679" s="20">
        <v>22915.4</v>
      </c>
      <c r="Y1679" s="19">
        <v>0.36509999999999998</v>
      </c>
      <c r="Z1679" s="19">
        <v>8.8500000000000023E-2</v>
      </c>
      <c r="AB1679" s="18">
        <v>497</v>
      </c>
      <c r="AC1679" s="18">
        <v>6</v>
      </c>
    </row>
    <row r="1680" spans="1:29" ht="15.75" customHeight="1" x14ac:dyDescent="0.2">
      <c r="A1680" s="36" t="str">
        <f>HYPERLINK("https://behrend.psu.edu/", "Pennsylvania State University-Penn State Erie-Behrend College")</f>
        <v>Pennsylvania State University-Penn State Erie-Behrend College</v>
      </c>
      <c r="B1680" s="18" t="s">
        <v>49</v>
      </c>
      <c r="C1680" s="18" t="s">
        <v>65</v>
      </c>
      <c r="D1680" s="18" t="s">
        <v>782</v>
      </c>
      <c r="E1680" s="18">
        <v>1158</v>
      </c>
      <c r="F1680" s="18" t="s">
        <v>35</v>
      </c>
      <c r="J1680" s="19"/>
      <c r="K1680" s="19">
        <v>0.65180000000000005</v>
      </c>
      <c r="L1680" s="19">
        <v>0.485670194</v>
      </c>
      <c r="M1680" s="19">
        <v>0.69140000000000001</v>
      </c>
      <c r="N1680" s="19">
        <v>0.35089999999999999</v>
      </c>
      <c r="O1680" s="19">
        <v>0.51849999999999996</v>
      </c>
      <c r="P1680" s="19">
        <v>0.5161</v>
      </c>
      <c r="Q1680" s="19"/>
      <c r="R1680" s="20">
        <v>41600</v>
      </c>
      <c r="S1680" s="21" t="str">
        <f>HYPERLINK("https://tuition.psu.edu/CostEstimate.aspx", "$29853")</f>
        <v>$29853</v>
      </c>
      <c r="T1680" s="20">
        <v>33833</v>
      </c>
      <c r="U1680" s="20">
        <v>38714</v>
      </c>
      <c r="V1680" s="20">
        <v>6628</v>
      </c>
      <c r="W1680" s="20">
        <v>23225.773480662981</v>
      </c>
      <c r="Y1680" s="19">
        <v>0.28460000000000002</v>
      </c>
      <c r="Z1680" s="19">
        <v>0.23069999999999999</v>
      </c>
      <c r="AB1680" s="18">
        <v>4283</v>
      </c>
      <c r="AC1680" s="18">
        <v>4</v>
      </c>
    </row>
    <row r="1681" spans="1:29" ht="15.75" customHeight="1" x14ac:dyDescent="0.2">
      <c r="A1681" s="36" t="str">
        <f>HYPERLINK("https://fayette.psu.edu/", "Pennsylvania State University-Penn State Fayette- Eberly")</f>
        <v>Pennsylvania State University-Penn State Fayette- Eberly</v>
      </c>
      <c r="B1681" s="18" t="s">
        <v>49</v>
      </c>
      <c r="C1681" s="18" t="s">
        <v>65</v>
      </c>
      <c r="D1681" s="18" t="s">
        <v>443</v>
      </c>
      <c r="E1681" s="18">
        <v>1037</v>
      </c>
      <c r="F1681" s="18" t="s">
        <v>35</v>
      </c>
      <c r="J1681" s="19"/>
      <c r="K1681" s="19">
        <v>0.48470000000000002</v>
      </c>
      <c r="L1681" s="19">
        <v>0.485670194</v>
      </c>
      <c r="M1681" s="19">
        <v>0.51759999999999995</v>
      </c>
      <c r="N1681" s="19">
        <v>0.25</v>
      </c>
      <c r="O1681" s="19">
        <v>0.2</v>
      </c>
      <c r="P1681" s="19">
        <v>0.5</v>
      </c>
      <c r="Q1681" s="19"/>
      <c r="R1681" s="20">
        <v>39174</v>
      </c>
      <c r="S1681" s="21" t="str">
        <f>HYPERLINK("https://tuition.psu.edu/CostEstimate.aspx", "$28305")</f>
        <v>$28305</v>
      </c>
      <c r="T1681" s="20">
        <v>31393</v>
      </c>
      <c r="U1681" s="20">
        <v>35102</v>
      </c>
      <c r="V1681" s="20">
        <v>6628</v>
      </c>
      <c r="W1681" s="20">
        <v>21677.721311475409</v>
      </c>
      <c r="Y1681" s="19">
        <v>0.43390000000000001</v>
      </c>
      <c r="Z1681" s="19">
        <v>0.14330000000000001</v>
      </c>
      <c r="AB1681" s="18">
        <v>649</v>
      </c>
      <c r="AC1681" s="18">
        <v>3</v>
      </c>
    </row>
    <row r="1682" spans="1:29" ht="15.75" customHeight="1" x14ac:dyDescent="0.2">
      <c r="A1682" s="36" t="str">
        <f>HYPERLINK("https://greaterallegheny.psu.edu/", "Pennsylvania State University-Penn State Greater Allegheny")</f>
        <v>Pennsylvania State University-Penn State Greater Allegheny</v>
      </c>
      <c r="B1682" s="18" t="s">
        <v>49</v>
      </c>
      <c r="C1682" s="18" t="s">
        <v>65</v>
      </c>
      <c r="D1682" s="18" t="s">
        <v>1056</v>
      </c>
      <c r="E1682" s="18">
        <v>1074</v>
      </c>
      <c r="F1682" s="18" t="s">
        <v>35</v>
      </c>
      <c r="J1682" s="19"/>
      <c r="K1682" s="19">
        <v>0.43480000000000002</v>
      </c>
      <c r="L1682" s="19">
        <v>0.485670194</v>
      </c>
      <c r="M1682" s="19">
        <v>0.53100000000000003</v>
      </c>
      <c r="N1682" s="19">
        <v>0.27060000000000001</v>
      </c>
      <c r="O1682" s="19">
        <v>0.375</v>
      </c>
      <c r="P1682" s="19">
        <v>0.5</v>
      </c>
      <c r="Q1682" s="19"/>
      <c r="R1682" s="20">
        <v>39236</v>
      </c>
      <c r="S1682" s="21" t="str">
        <f>HYPERLINK("https://tuition.psu.edu/CostEstimate.aspx", "$26823")</f>
        <v>$26823</v>
      </c>
      <c r="T1682" s="20">
        <v>30703</v>
      </c>
      <c r="U1682" s="20">
        <v>35173</v>
      </c>
      <c r="V1682" s="20">
        <v>6628</v>
      </c>
      <c r="W1682" s="20">
        <v>20195.2</v>
      </c>
      <c r="Y1682" s="19">
        <v>0.46360000000000001</v>
      </c>
      <c r="Z1682" s="19">
        <v>0.38109999999999999</v>
      </c>
      <c r="AB1682" s="18">
        <v>488</v>
      </c>
      <c r="AC1682" s="18">
        <v>4</v>
      </c>
    </row>
    <row r="1683" spans="1:29" ht="15.75" customHeight="1" x14ac:dyDescent="0.2">
      <c r="A1683" s="36" t="str">
        <f>HYPERLINK("https://harrisburg.psu.edu", "Pennsylvania State University-Penn State Harrisburg")</f>
        <v>Pennsylvania State University-Penn State Harrisburg</v>
      </c>
      <c r="B1683" s="18" t="s">
        <v>49</v>
      </c>
      <c r="C1683" s="18" t="s">
        <v>65</v>
      </c>
      <c r="D1683" s="18" t="s">
        <v>183</v>
      </c>
      <c r="E1683" s="18">
        <v>1154</v>
      </c>
      <c r="F1683" s="18" t="s">
        <v>35</v>
      </c>
      <c r="J1683" s="19"/>
      <c r="K1683" s="19">
        <v>0.58099999999999996</v>
      </c>
      <c r="L1683" s="19">
        <v>0.485670194</v>
      </c>
      <c r="M1683" s="19">
        <v>0.63580000000000003</v>
      </c>
      <c r="N1683" s="19">
        <v>0.44119999999999998</v>
      </c>
      <c r="O1683" s="19">
        <v>0.5</v>
      </c>
      <c r="P1683" s="19">
        <v>0.55359999999999998</v>
      </c>
      <c r="Q1683" s="19"/>
      <c r="R1683" s="20">
        <v>41600</v>
      </c>
      <c r="S1683" s="21" t="str">
        <f>HYPERLINK("https://tuition.psu.edu/CostEstimate.aspx", "$29636")</f>
        <v>$29636</v>
      </c>
      <c r="T1683" s="20">
        <v>34511</v>
      </c>
      <c r="U1683" s="20">
        <v>37943</v>
      </c>
      <c r="V1683" s="20">
        <v>6628</v>
      </c>
      <c r="W1683" s="20">
        <v>23008.184000000001</v>
      </c>
      <c r="Y1683" s="19">
        <v>0.29260000000000003</v>
      </c>
      <c r="Z1683" s="19">
        <v>0.46319999999999989</v>
      </c>
      <c r="AB1683" s="18">
        <v>4223</v>
      </c>
      <c r="AC1683" s="18">
        <v>4</v>
      </c>
    </row>
    <row r="1684" spans="1:29" ht="15.75" customHeight="1" x14ac:dyDescent="0.2">
      <c r="A1684" s="36" t="str">
        <f>HYPERLINK("https://hazleton.psu.edu/", "Pennsylvania State University-Penn State Hazleton")</f>
        <v>Pennsylvania State University-Penn State Hazleton</v>
      </c>
      <c r="B1684" s="18" t="s">
        <v>49</v>
      </c>
      <c r="C1684" s="18" t="s">
        <v>65</v>
      </c>
      <c r="D1684" s="18" t="s">
        <v>1057</v>
      </c>
      <c r="E1684" s="18">
        <v>1040</v>
      </c>
      <c r="F1684" s="18" t="s">
        <v>35</v>
      </c>
      <c r="J1684" s="19"/>
      <c r="K1684" s="19">
        <v>0.52749999999999997</v>
      </c>
      <c r="L1684" s="19">
        <v>0.485670194</v>
      </c>
      <c r="M1684" s="19">
        <v>0.56269999999999998</v>
      </c>
      <c r="N1684" s="19">
        <v>0.54790000000000005</v>
      </c>
      <c r="O1684" s="19">
        <v>0.37880000000000003</v>
      </c>
      <c r="P1684" s="19">
        <v>0.56000000000000005</v>
      </c>
      <c r="Q1684" s="19"/>
      <c r="R1684" s="20">
        <v>40286</v>
      </c>
      <c r="S1684" s="21" t="str">
        <f>HYPERLINK("https://tuition.psu.edu/CostEstimate.aspx", "$29480")</f>
        <v>$29480</v>
      </c>
      <c r="T1684" s="20">
        <v>29682</v>
      </c>
      <c r="U1684" s="20">
        <v>34937</v>
      </c>
      <c r="V1684" s="20">
        <v>6628</v>
      </c>
      <c r="W1684" s="20">
        <v>22852.313432835821</v>
      </c>
      <c r="Y1684" s="19">
        <v>0.40089999999999998</v>
      </c>
      <c r="Z1684" s="19">
        <v>0.33050000000000002</v>
      </c>
      <c r="AB1684" s="18">
        <v>699</v>
      </c>
      <c r="AC1684" s="18">
        <v>4</v>
      </c>
    </row>
    <row r="1685" spans="1:29" ht="15.75" customHeight="1" x14ac:dyDescent="0.2">
      <c r="A1685" s="36" t="str">
        <f>HYPERLINK("https://lehighvalley.psu.edu/", "Pennsylvania State University-Penn State Lehigh Valley")</f>
        <v>Pennsylvania State University-Penn State Lehigh Valley</v>
      </c>
      <c r="B1685" s="18" t="s">
        <v>49</v>
      </c>
      <c r="C1685" s="18" t="s">
        <v>65</v>
      </c>
      <c r="D1685" s="18" t="s">
        <v>700</v>
      </c>
      <c r="E1685" s="18">
        <v>1105</v>
      </c>
      <c r="F1685" s="18" t="s">
        <v>35</v>
      </c>
      <c r="J1685" s="19"/>
      <c r="K1685" s="19">
        <v>0.54549999999999998</v>
      </c>
      <c r="L1685" s="19">
        <v>0.485670194</v>
      </c>
      <c r="M1685" s="19">
        <v>0.55000000000000004</v>
      </c>
      <c r="N1685" s="19">
        <v>0.35709999999999997</v>
      </c>
      <c r="O1685" s="19">
        <v>0.46150000000000002</v>
      </c>
      <c r="P1685" s="19">
        <v>0.70369999999999999</v>
      </c>
      <c r="Q1685" s="19"/>
      <c r="R1685" s="20">
        <v>40286</v>
      </c>
      <c r="S1685" s="21" t="str">
        <f>HYPERLINK("https://tuition.psu.edu/CostEstimate.aspx", "$28785")</f>
        <v>$28785</v>
      </c>
      <c r="T1685" s="20">
        <v>30682</v>
      </c>
      <c r="U1685" s="20">
        <v>34862</v>
      </c>
      <c r="V1685" s="20">
        <v>6628</v>
      </c>
      <c r="W1685" s="20">
        <v>22157.27586206896</v>
      </c>
      <c r="Y1685" s="19">
        <v>0.36409999999999998</v>
      </c>
      <c r="Z1685" s="19">
        <v>0.39489999999999997</v>
      </c>
      <c r="AB1685" s="18">
        <v>823</v>
      </c>
      <c r="AC1685" s="18">
        <v>4</v>
      </c>
    </row>
    <row r="1686" spans="1:29" ht="15.75" customHeight="1" x14ac:dyDescent="0.2">
      <c r="A1686" s="36" t="str">
        <f>HYPERLINK("https://montalto.psu.edu/", "Pennsylvania State University-Penn State Mont Alto")</f>
        <v>Pennsylvania State University-Penn State Mont Alto</v>
      </c>
      <c r="B1686" s="18" t="s">
        <v>49</v>
      </c>
      <c r="C1686" s="18" t="s">
        <v>65</v>
      </c>
      <c r="D1686" s="18" t="s">
        <v>1059</v>
      </c>
      <c r="E1686" s="18">
        <v>1072</v>
      </c>
      <c r="F1686" s="18" t="s">
        <v>35</v>
      </c>
      <c r="J1686" s="19"/>
      <c r="K1686" s="19">
        <v>0.42709999999999998</v>
      </c>
      <c r="L1686" s="19">
        <v>0.485670194</v>
      </c>
      <c r="M1686" s="19">
        <v>0.45960000000000001</v>
      </c>
      <c r="N1686" s="19">
        <v>0.34849999999999998</v>
      </c>
      <c r="O1686" s="19">
        <v>0.35289999999999999</v>
      </c>
      <c r="P1686" s="19">
        <v>0.45450000000000002</v>
      </c>
      <c r="Q1686" s="19"/>
      <c r="R1686" s="20">
        <v>39236</v>
      </c>
      <c r="S1686" s="21" t="str">
        <f>HYPERLINK("https://tuition.psu.edu/CostEstimate.aspx", "$27396")</f>
        <v>$27396</v>
      </c>
      <c r="T1686" s="20">
        <v>30174</v>
      </c>
      <c r="U1686" s="20">
        <v>35377</v>
      </c>
      <c r="V1686" s="20">
        <v>6628</v>
      </c>
      <c r="W1686" s="20">
        <v>20768.37704918033</v>
      </c>
      <c r="Y1686" s="19">
        <v>0.31709999999999999</v>
      </c>
      <c r="Z1686" s="19">
        <v>0.20820000000000011</v>
      </c>
      <c r="AB1686" s="18">
        <v>759</v>
      </c>
      <c r="AC1686" s="18">
        <v>4</v>
      </c>
    </row>
    <row r="1687" spans="1:29" ht="15.75" customHeight="1" x14ac:dyDescent="0.2">
      <c r="A1687" s="36" t="str">
        <f>HYPERLINK("https://newkensington.psu.edu/", "Pennsylvania State University-Penn State New Kensington")</f>
        <v>Pennsylvania State University-Penn State New Kensington</v>
      </c>
      <c r="B1687" s="18" t="s">
        <v>49</v>
      </c>
      <c r="C1687" s="18" t="s">
        <v>65</v>
      </c>
      <c r="D1687" s="18" t="s">
        <v>444</v>
      </c>
      <c r="E1687" s="18">
        <v>1086</v>
      </c>
      <c r="F1687" s="18" t="s">
        <v>35</v>
      </c>
      <c r="J1687" s="19"/>
      <c r="K1687" s="19">
        <v>0.47060000000000002</v>
      </c>
      <c r="L1687" s="19">
        <v>0.485670194</v>
      </c>
      <c r="M1687" s="19">
        <v>0.4788</v>
      </c>
      <c r="N1687" s="19">
        <v>0.41670000000000001</v>
      </c>
      <c r="O1687" s="19">
        <v>1</v>
      </c>
      <c r="P1687" s="19">
        <v>0.33329999999999999</v>
      </c>
      <c r="Q1687" s="19"/>
      <c r="R1687" s="20">
        <v>39236</v>
      </c>
      <c r="S1687" s="21" t="str">
        <f>HYPERLINK("https://tuition.psu.edu/CostEstimate.aspx", "$28364")</f>
        <v>$28364</v>
      </c>
      <c r="T1687" s="20">
        <v>31383</v>
      </c>
      <c r="U1687" s="20">
        <v>35508</v>
      </c>
      <c r="V1687" s="20">
        <v>6628</v>
      </c>
      <c r="W1687" s="20">
        <v>21736.069767441859</v>
      </c>
      <c r="Y1687" s="19">
        <v>0.29299999999999998</v>
      </c>
      <c r="Z1687" s="19">
        <v>0.12570000000000001</v>
      </c>
      <c r="AB1687" s="18">
        <v>573</v>
      </c>
      <c r="AC1687" s="18">
        <v>3</v>
      </c>
    </row>
    <row r="1688" spans="1:29" ht="15.75" customHeight="1" x14ac:dyDescent="0.2">
      <c r="A1688" s="36" t="str">
        <f>HYPERLINK("https://schuylkill.psu.edu/", "Pennsylvania State University-Penn State Schuylkill")</f>
        <v>Pennsylvania State University-Penn State Schuylkill</v>
      </c>
      <c r="B1688" s="18" t="s">
        <v>49</v>
      </c>
      <c r="C1688" s="18" t="s">
        <v>65</v>
      </c>
      <c r="D1688" s="18" t="s">
        <v>1061</v>
      </c>
      <c r="E1688" s="18">
        <v>1007</v>
      </c>
      <c r="F1688" s="18" t="s">
        <v>35</v>
      </c>
      <c r="J1688" s="19"/>
      <c r="K1688" s="19">
        <v>0.3765</v>
      </c>
      <c r="L1688" s="19">
        <v>0.485670194</v>
      </c>
      <c r="M1688" s="19">
        <v>0.41010000000000002</v>
      </c>
      <c r="N1688" s="19">
        <v>0.35249999999999998</v>
      </c>
      <c r="O1688" s="19">
        <v>0.37930000000000003</v>
      </c>
      <c r="P1688" s="19">
        <v>0.16669999999999999</v>
      </c>
      <c r="Q1688" s="19"/>
      <c r="R1688" s="20">
        <v>40224</v>
      </c>
      <c r="S1688" s="21" t="str">
        <f>HYPERLINK("https://tuition.psu.edu/CostEstimate.aspx", "$28699")</f>
        <v>$28699</v>
      </c>
      <c r="T1688" s="20">
        <v>31791</v>
      </c>
      <c r="U1688" s="20">
        <v>36048</v>
      </c>
      <c r="V1688" s="20">
        <v>6628</v>
      </c>
      <c r="W1688" s="20">
        <v>22071.65625</v>
      </c>
      <c r="Y1688" s="19">
        <v>0.45590000000000003</v>
      </c>
      <c r="Z1688" s="19">
        <v>0.28349999999999997</v>
      </c>
      <c r="AB1688" s="18">
        <v>695</v>
      </c>
      <c r="AC1688" s="18">
        <v>4</v>
      </c>
    </row>
    <row r="1689" spans="1:29" ht="15.75" customHeight="1" x14ac:dyDescent="0.2">
      <c r="A1689" s="36" t="str">
        <f>HYPERLINK("https://scranton.psu.edu/", "Pennsylvania State University-Penn State Worthington Scranton")</f>
        <v>Pennsylvania State University-Penn State Worthington Scranton</v>
      </c>
      <c r="B1689" s="18" t="s">
        <v>49</v>
      </c>
      <c r="C1689" s="18" t="s">
        <v>65</v>
      </c>
      <c r="D1689" s="18" t="s">
        <v>1062</v>
      </c>
      <c r="E1689" s="18">
        <v>1037</v>
      </c>
      <c r="F1689" s="18" t="s">
        <v>35</v>
      </c>
      <c r="J1689" s="19"/>
      <c r="K1689" s="19">
        <v>0.377</v>
      </c>
      <c r="L1689" s="19">
        <v>0.485670194</v>
      </c>
      <c r="M1689" s="19">
        <v>0.39019999999999999</v>
      </c>
      <c r="N1689" s="19">
        <v>0.16669999999999999</v>
      </c>
      <c r="O1689" s="19">
        <v>0.26669999999999999</v>
      </c>
      <c r="P1689" s="19">
        <v>0.36840000000000001</v>
      </c>
      <c r="Q1689" s="19"/>
      <c r="R1689" s="20">
        <v>40286</v>
      </c>
      <c r="S1689" s="21" t="str">
        <f>HYPERLINK("https://tuition.psu.edu/CostEstimate.aspx", "$29924")</f>
        <v>$29924</v>
      </c>
      <c r="T1689" s="20">
        <v>32066</v>
      </c>
      <c r="U1689" s="20">
        <v>36187</v>
      </c>
      <c r="V1689" s="20">
        <v>6628</v>
      </c>
      <c r="W1689" s="20">
        <v>23296.767676767671</v>
      </c>
      <c r="Y1689" s="19">
        <v>0.47499999999999998</v>
      </c>
      <c r="Z1689" s="19">
        <v>0.23530000000000001</v>
      </c>
      <c r="AB1689" s="18">
        <v>1003</v>
      </c>
      <c r="AC1689" s="18">
        <v>4</v>
      </c>
    </row>
    <row r="1690" spans="1:29" ht="15.75" customHeight="1" x14ac:dyDescent="0.2">
      <c r="A1690" s="36" t="str">
        <f>HYPERLINK("https://shenango.psu.edu", "Pennsylvania State University-Penn State Shenango")</f>
        <v>Pennsylvania State University-Penn State Shenango</v>
      </c>
      <c r="B1690" s="18" t="s">
        <v>49</v>
      </c>
      <c r="C1690" s="18" t="s">
        <v>65</v>
      </c>
      <c r="D1690" s="18" t="s">
        <v>445</v>
      </c>
      <c r="E1690" s="18">
        <v>1029</v>
      </c>
      <c r="F1690" s="18" t="s">
        <v>35</v>
      </c>
      <c r="J1690" s="19"/>
      <c r="K1690" s="19">
        <v>0.23910000000000001</v>
      </c>
      <c r="L1690" s="19">
        <v>0.485670194</v>
      </c>
      <c r="M1690" s="19">
        <v>0.21329999999999999</v>
      </c>
      <c r="N1690" s="19">
        <v>0.22220000000000001</v>
      </c>
      <c r="O1690" s="19">
        <v>0.33329999999999999</v>
      </c>
      <c r="P1690" s="19" t="s">
        <v>36</v>
      </c>
      <c r="Q1690" s="19"/>
      <c r="R1690" s="20">
        <v>38718</v>
      </c>
      <c r="S1690" s="21" t="str">
        <f>HYPERLINK("https://tuition.psu.edu/CostEstimate.aspx", "$27752")</f>
        <v>$27752</v>
      </c>
      <c r="T1690" s="20">
        <v>27992</v>
      </c>
      <c r="U1690" s="20">
        <v>34295</v>
      </c>
      <c r="V1690" s="20">
        <v>6628</v>
      </c>
      <c r="W1690" s="20">
        <v>21124</v>
      </c>
      <c r="Y1690" s="19">
        <v>0.43719999999999998</v>
      </c>
      <c r="Z1690" s="19">
        <v>0.17390000000000011</v>
      </c>
      <c r="AB1690" s="18">
        <v>345</v>
      </c>
      <c r="AC1690" s="18">
        <v>3</v>
      </c>
    </row>
    <row r="1691" spans="1:29" ht="15.75" customHeight="1" x14ac:dyDescent="0.2">
      <c r="A1691" s="36" t="str">
        <f>HYPERLINK("https://wilkesbarre.psu.edu/", "Pennsylvania State University-Penn State Wilkes-Barre")</f>
        <v>Pennsylvania State University-Penn State Wilkes-Barre</v>
      </c>
      <c r="B1691" s="18" t="s">
        <v>49</v>
      </c>
      <c r="C1691" s="18" t="s">
        <v>65</v>
      </c>
      <c r="D1691" s="18" t="s">
        <v>446</v>
      </c>
      <c r="E1691" s="18">
        <v>1078</v>
      </c>
      <c r="F1691" s="18" t="s">
        <v>35</v>
      </c>
      <c r="J1691" s="19"/>
      <c r="K1691" s="19">
        <v>0.60209999999999997</v>
      </c>
      <c r="L1691" s="19">
        <v>0.485670194</v>
      </c>
      <c r="M1691" s="19">
        <v>0.61180000000000001</v>
      </c>
      <c r="N1691" s="19">
        <v>0.6</v>
      </c>
      <c r="O1691" s="19">
        <v>0.55559999999999998</v>
      </c>
      <c r="P1691" s="19">
        <v>0.25</v>
      </c>
      <c r="Q1691" s="19"/>
      <c r="R1691" s="20">
        <v>39110</v>
      </c>
      <c r="S1691" s="21" t="str">
        <f>HYPERLINK("https://tuition.psu.edu/CostEstimate.aspx", "$27252")</f>
        <v>$27252</v>
      </c>
      <c r="T1691" s="20">
        <v>32744</v>
      </c>
      <c r="U1691" s="20">
        <v>34136</v>
      </c>
      <c r="V1691" s="20">
        <v>6628</v>
      </c>
      <c r="W1691" s="20">
        <v>20624.10526315789</v>
      </c>
      <c r="Y1691" s="19">
        <v>0.33750000000000002</v>
      </c>
      <c r="Z1691" s="19">
        <v>0.1807</v>
      </c>
      <c r="AB1691" s="18">
        <v>404</v>
      </c>
      <c r="AC1691" s="18">
        <v>3</v>
      </c>
    </row>
    <row r="1692" spans="1:29" ht="15.75" customHeight="1" x14ac:dyDescent="0.2">
      <c r="A1692" s="36" t="str">
        <f>HYPERLINK("https://york.psu.edu/", "Pennsylvania State University-Penn State York")</f>
        <v>Pennsylvania State University-Penn State York</v>
      </c>
      <c r="B1692" s="18" t="s">
        <v>49</v>
      </c>
      <c r="C1692" s="18" t="s">
        <v>65</v>
      </c>
      <c r="D1692" s="18" t="s">
        <v>1064</v>
      </c>
      <c r="E1692" s="18">
        <v>1161</v>
      </c>
      <c r="F1692" s="18" t="s">
        <v>35</v>
      </c>
      <c r="J1692" s="19"/>
      <c r="K1692" s="19">
        <v>0.56830000000000003</v>
      </c>
      <c r="L1692" s="19">
        <v>0.485670194</v>
      </c>
      <c r="M1692" s="19">
        <v>0.58430000000000004</v>
      </c>
      <c r="N1692" s="19">
        <v>0.44</v>
      </c>
      <c r="O1692" s="19">
        <v>0.5</v>
      </c>
      <c r="P1692" s="19">
        <v>0.63160000000000005</v>
      </c>
      <c r="Q1692" s="19"/>
      <c r="R1692" s="20">
        <v>40286</v>
      </c>
      <c r="S1692" s="21" t="str">
        <f>HYPERLINK("https://tuition.psu.edu/CostEstimate.aspx", "$29727")</f>
        <v>$29727</v>
      </c>
      <c r="T1692" s="20">
        <v>31880</v>
      </c>
      <c r="U1692" s="20">
        <v>38227</v>
      </c>
      <c r="V1692" s="20">
        <v>6628</v>
      </c>
      <c r="W1692" s="20">
        <v>23099.787234042549</v>
      </c>
      <c r="Y1692" s="19">
        <v>0.27550000000000002</v>
      </c>
      <c r="Z1692" s="19">
        <v>0.42490000000000011</v>
      </c>
      <c r="AB1692" s="18">
        <v>899</v>
      </c>
      <c r="AC1692" s="18">
        <v>4</v>
      </c>
    </row>
    <row r="1693" spans="1:29" ht="15.75" customHeight="1" x14ac:dyDescent="0.2">
      <c r="A1693" s="36" t="str">
        <f>HYPERLINK("https://worldcampus.psu.edu/", "Pennsylvania State University-Main Campus")</f>
        <v>Pennsylvania State University-Main Campus</v>
      </c>
      <c r="B1693" s="18" t="s">
        <v>49</v>
      </c>
      <c r="C1693" s="18" t="s">
        <v>65</v>
      </c>
      <c r="D1693" s="18" t="s">
        <v>442</v>
      </c>
      <c r="E1693" s="18">
        <v>1106</v>
      </c>
      <c r="F1693" s="18" t="s">
        <v>35</v>
      </c>
      <c r="J1693" s="19"/>
      <c r="K1693" s="19">
        <v>0.27539999999999998</v>
      </c>
      <c r="L1693" s="19">
        <v>0.485670194</v>
      </c>
      <c r="M1693" s="19">
        <v>0.26790000000000003</v>
      </c>
      <c r="N1693" s="19">
        <v>0.5</v>
      </c>
      <c r="O1693" s="19">
        <v>0</v>
      </c>
      <c r="P1693" s="19">
        <v>0</v>
      </c>
      <c r="Q1693" s="19"/>
      <c r="R1693" s="20">
        <v>30330</v>
      </c>
      <c r="S1693" s="21" t="str">
        <f>HYPERLINK("https://tuition.psu.edu/CostEstimate.aspx", "$22787")</f>
        <v>$22787</v>
      </c>
      <c r="T1693" s="20">
        <v>25398</v>
      </c>
      <c r="U1693" s="20">
        <v>27691</v>
      </c>
      <c r="V1693" s="20">
        <v>5062</v>
      </c>
      <c r="W1693" s="20">
        <v>17725.31578947368</v>
      </c>
      <c r="Y1693" s="19">
        <v>0.33029999999999998</v>
      </c>
      <c r="Z1693" s="19">
        <v>0.31030000000000002</v>
      </c>
      <c r="AB1693" s="18">
        <v>8108</v>
      </c>
      <c r="AC1693" s="18">
        <v>3</v>
      </c>
    </row>
    <row r="1694" spans="1:29" ht="15.75" customHeight="1" x14ac:dyDescent="0.2">
      <c r="A1694" s="36" t="str">
        <f>HYPERLINK("https://www.pensacolastate.edu", "Pensacola State College")</f>
        <v>Pensacola State College</v>
      </c>
      <c r="B1694" s="18" t="s">
        <v>49</v>
      </c>
      <c r="C1694" s="18" t="s">
        <v>162</v>
      </c>
      <c r="D1694" s="18" t="s">
        <v>1241</v>
      </c>
      <c r="E1694" s="18" t="s">
        <v>36</v>
      </c>
      <c r="F1694" s="18" t="s">
        <v>36</v>
      </c>
      <c r="J1694" s="19"/>
      <c r="K1694" s="19">
        <v>0.30159999999999998</v>
      </c>
      <c r="L1694" s="19">
        <v>0.27357563899999998</v>
      </c>
      <c r="M1694" s="19">
        <v>0.35120000000000001</v>
      </c>
      <c r="N1694" s="19">
        <v>0.125</v>
      </c>
      <c r="O1694" s="19">
        <v>0.33329999999999999</v>
      </c>
      <c r="P1694" s="19">
        <v>0.25</v>
      </c>
      <c r="Q1694" s="19">
        <v>5.0501432999999998E-2</v>
      </c>
      <c r="R1694" s="20">
        <v>21758</v>
      </c>
      <c r="S1694" s="21" t="str">
        <f>HYPERLINK("https://www.pensacolastate.edu/financialAid/NetPriceCalc/npcalc.htm", "$16212")</f>
        <v>$16212</v>
      </c>
      <c r="T1694" s="20">
        <v>18122</v>
      </c>
      <c r="U1694" s="20">
        <v>20590</v>
      </c>
      <c r="V1694" s="20">
        <v>4133</v>
      </c>
      <c r="W1694" s="20">
        <v>12079.03430079156</v>
      </c>
      <c r="Y1694" s="19">
        <v>0.34549999999999997</v>
      </c>
      <c r="Z1694" s="19">
        <v>0.37</v>
      </c>
      <c r="AB1694" s="18">
        <v>7717</v>
      </c>
      <c r="AC1694" s="18">
        <v>6</v>
      </c>
    </row>
    <row r="1695" spans="1:29" ht="15.75" customHeight="1" x14ac:dyDescent="0.2">
      <c r="A1695" s="36" t="str">
        <f>HYPERLINK("https://www.pepperdine.edu/", "Pepperdine University")</f>
        <v>Pepperdine University</v>
      </c>
      <c r="B1695" s="18" t="s">
        <v>32</v>
      </c>
      <c r="C1695" s="18" t="s">
        <v>68</v>
      </c>
      <c r="D1695" s="18" t="s">
        <v>238</v>
      </c>
      <c r="E1695" s="18">
        <v>1319</v>
      </c>
      <c r="F1695" s="18" t="s">
        <v>35</v>
      </c>
      <c r="J1695" s="19"/>
      <c r="K1695" s="19">
        <v>0.8488</v>
      </c>
      <c r="L1695" s="19">
        <v>0.76047904200000005</v>
      </c>
      <c r="M1695" s="19">
        <v>0.8488</v>
      </c>
      <c r="N1695" s="19">
        <v>0.75</v>
      </c>
      <c r="O1695" s="19">
        <v>0.82140000000000002</v>
      </c>
      <c r="P1695" s="19">
        <v>0.90429999999999999</v>
      </c>
      <c r="Q1695" s="19"/>
      <c r="R1695" s="20">
        <v>70862</v>
      </c>
      <c r="S1695" s="21" t="str">
        <f>HYPERLINK("https://seaver.pepperdine.edu/admission/financial-aid/undergraduate/npc/", "$26288")</f>
        <v>$26288</v>
      </c>
      <c r="T1695" s="20">
        <v>31220</v>
      </c>
      <c r="U1695" s="20">
        <v>33986</v>
      </c>
      <c r="V1695" s="20">
        <v>4000</v>
      </c>
      <c r="W1695" s="20">
        <v>22288</v>
      </c>
      <c r="Y1695" s="19">
        <v>0.1711</v>
      </c>
      <c r="Z1695" s="19">
        <v>0.49390000000000001</v>
      </c>
      <c r="AB1695" s="18">
        <v>3594</v>
      </c>
      <c r="AC1695" s="18">
        <v>2</v>
      </c>
    </row>
    <row r="1696" spans="1:29" ht="15.75" customHeight="1" x14ac:dyDescent="0.2">
      <c r="A1696" s="36" t="str">
        <f>HYPERLINK("https://www.peru.edu", "Peru State College")</f>
        <v>Peru State College</v>
      </c>
      <c r="B1696" s="18" t="s">
        <v>49</v>
      </c>
      <c r="C1696" s="18" t="s">
        <v>341</v>
      </c>
      <c r="D1696" s="18" t="s">
        <v>809</v>
      </c>
      <c r="E1696" s="18" t="s">
        <v>36</v>
      </c>
      <c r="F1696" s="18" t="s">
        <v>36</v>
      </c>
      <c r="J1696" s="19"/>
      <c r="K1696" s="19">
        <v>0.36049999999999999</v>
      </c>
      <c r="L1696" s="19">
        <v>0.35675675699999998</v>
      </c>
      <c r="M1696" s="19">
        <v>0.38059999999999999</v>
      </c>
      <c r="N1696" s="19">
        <v>9.0899999999999995E-2</v>
      </c>
      <c r="O1696" s="19">
        <v>0.5</v>
      </c>
      <c r="P1696" s="19">
        <v>0.5</v>
      </c>
      <c r="Q1696" s="19"/>
      <c r="R1696" s="20">
        <v>19052</v>
      </c>
      <c r="S1696" s="21" t="str">
        <f>HYPERLINK("https://www.peru.edu/ccc/npcalc.htm", "$12375")</f>
        <v>$12375</v>
      </c>
      <c r="T1696" s="20">
        <v>14239</v>
      </c>
      <c r="U1696" s="20">
        <v>16497</v>
      </c>
      <c r="V1696" s="20">
        <v>3984</v>
      </c>
      <c r="W1696" s="20">
        <v>8391.7999999999993</v>
      </c>
      <c r="Y1696" s="19">
        <v>0.30180000000000001</v>
      </c>
      <c r="Z1696" s="19">
        <v>0.23630000000000001</v>
      </c>
      <c r="AB1696" s="18">
        <v>1388</v>
      </c>
      <c r="AC1696" s="18">
        <v>5</v>
      </c>
    </row>
    <row r="1697" spans="1:29" ht="15.75" customHeight="1" x14ac:dyDescent="0.2">
      <c r="A1697" s="36" t="str">
        <f>HYPERLINK("https://www.pfeiffer.edu", "Pfeiffer University")</f>
        <v>Pfeiffer University</v>
      </c>
      <c r="B1697" s="18" t="s">
        <v>32</v>
      </c>
      <c r="C1697" s="18" t="s">
        <v>103</v>
      </c>
      <c r="D1697" s="18" t="s">
        <v>1066</v>
      </c>
      <c r="E1697" s="18">
        <v>997</v>
      </c>
      <c r="F1697" s="18" t="s">
        <v>115</v>
      </c>
      <c r="J1697" s="19"/>
      <c r="K1697" s="19">
        <v>0.42109999999999997</v>
      </c>
      <c r="L1697" s="19">
        <v>0.36448598100000001</v>
      </c>
      <c r="M1697" s="19">
        <v>0.4662</v>
      </c>
      <c r="N1697" s="19">
        <v>0.26319999999999999</v>
      </c>
      <c r="O1697" s="19">
        <v>0.66669999999999996</v>
      </c>
      <c r="P1697" s="19">
        <v>1</v>
      </c>
      <c r="Q1697" s="19"/>
      <c r="R1697" s="20">
        <v>44032</v>
      </c>
      <c r="S1697" s="21" t="str">
        <f>HYPERLINK("https://www.pfeiffer.edu/net-price-calculator", "$19184")</f>
        <v>$19184</v>
      </c>
      <c r="T1697" s="20">
        <v>29944</v>
      </c>
      <c r="U1697" s="20">
        <v>26910</v>
      </c>
      <c r="V1697" s="20">
        <v>3500</v>
      </c>
      <c r="W1697" s="20">
        <v>15684</v>
      </c>
      <c r="Y1697" s="19">
        <v>0.48349999999999999</v>
      </c>
      <c r="Z1697" s="19">
        <v>0.37390000000000001</v>
      </c>
      <c r="AB1697" s="18">
        <v>813</v>
      </c>
      <c r="AC1697" s="18">
        <v>4</v>
      </c>
    </row>
    <row r="1698" spans="1:29" ht="15.75" customHeight="1" x14ac:dyDescent="0.2">
      <c r="A1698" s="36" t="str">
        <f>HYPERLINK("https://www.philander.edu", "Philander Smith College")</f>
        <v>Philander Smith College</v>
      </c>
      <c r="B1698" s="18" t="s">
        <v>32</v>
      </c>
      <c r="C1698" s="18" t="s">
        <v>371</v>
      </c>
      <c r="D1698" s="18" t="s">
        <v>810</v>
      </c>
      <c r="E1698" s="18" t="s">
        <v>36</v>
      </c>
      <c r="F1698" s="18" t="s">
        <v>36</v>
      </c>
      <c r="J1698" s="19"/>
      <c r="K1698" s="19">
        <v>0.30320000000000003</v>
      </c>
      <c r="L1698" s="19">
        <v>0.35668789799999989</v>
      </c>
      <c r="M1698" s="19" t="s">
        <v>36</v>
      </c>
      <c r="N1698" s="19">
        <v>0.28960000000000002</v>
      </c>
      <c r="O1698" s="19" t="s">
        <v>36</v>
      </c>
      <c r="P1698" s="19" t="s">
        <v>36</v>
      </c>
      <c r="Q1698" s="19"/>
      <c r="R1698" s="20">
        <v>25390</v>
      </c>
      <c r="S1698" s="21" t="str">
        <f>HYPERLINK("https://www.philander.edu/netpricecalculator", "$16433")</f>
        <v>$16433</v>
      </c>
      <c r="T1698" s="20">
        <v>16133</v>
      </c>
      <c r="U1698" s="20">
        <v>19393</v>
      </c>
      <c r="V1698" s="20">
        <v>4426</v>
      </c>
      <c r="W1698" s="20">
        <v>12007</v>
      </c>
      <c r="Y1698" s="19">
        <v>0.81179999999999997</v>
      </c>
      <c r="Z1698" s="19">
        <v>0.99439999999999995</v>
      </c>
      <c r="AB1698" s="18">
        <v>887</v>
      </c>
      <c r="AC1698" s="18">
        <v>5</v>
      </c>
    </row>
    <row r="1699" spans="1:29" ht="15.75" customHeight="1" x14ac:dyDescent="0.2">
      <c r="A1699" s="36" t="str">
        <f>HYPERLINK("https://www.pson.edu", "Phillips Beth Israel School of Nursing")</f>
        <v>Phillips Beth Israel School of Nursing</v>
      </c>
      <c r="B1699" s="18" t="s">
        <v>32</v>
      </c>
      <c r="C1699" s="18" t="s">
        <v>38</v>
      </c>
      <c r="D1699" s="18" t="s">
        <v>39</v>
      </c>
      <c r="E1699" s="18" t="s">
        <v>36</v>
      </c>
      <c r="F1699" s="18" t="s">
        <v>90</v>
      </c>
      <c r="J1699" s="19"/>
      <c r="K1699" s="19" t="s">
        <v>36</v>
      </c>
      <c r="L1699" s="19" t="s">
        <v>36</v>
      </c>
      <c r="M1699" s="19" t="s">
        <v>36</v>
      </c>
      <c r="N1699" s="19" t="s">
        <v>36</v>
      </c>
      <c r="O1699" s="19" t="s">
        <v>36</v>
      </c>
      <c r="P1699" s="19" t="s">
        <v>36</v>
      </c>
      <c r="Q1699" s="19">
        <v>0.14457831300000001</v>
      </c>
      <c r="R1699" s="20">
        <v>42850</v>
      </c>
      <c r="S1699" s="21" t="str">
        <f>HYPERLINK("https://nces.ed.gov/ipeds/netpricecalculator/", "Not reported")</f>
        <v>Not reported</v>
      </c>
      <c r="T1699" s="20" t="s">
        <v>36</v>
      </c>
      <c r="U1699" s="20" t="s">
        <v>36</v>
      </c>
      <c r="V1699" s="20">
        <v>8150</v>
      </c>
      <c r="W1699" s="20" t="s">
        <v>36</v>
      </c>
      <c r="Y1699" s="19">
        <v>0.2079</v>
      </c>
      <c r="Z1699" s="19">
        <v>0.62919999999999998</v>
      </c>
      <c r="AB1699" s="18">
        <v>178</v>
      </c>
      <c r="AC1699" s="18">
        <v>6</v>
      </c>
    </row>
    <row r="1700" spans="1:29" ht="15.75" customHeight="1" x14ac:dyDescent="0.2">
      <c r="A1700" s="36" t="str">
        <f>HYPERLINK("https://www.phoenixcollege.edu", "Phoenix College")</f>
        <v>Phoenix College</v>
      </c>
      <c r="B1700" s="18" t="s">
        <v>49</v>
      </c>
      <c r="C1700" s="18" t="s">
        <v>354</v>
      </c>
      <c r="D1700" s="18" t="s">
        <v>369</v>
      </c>
      <c r="E1700" s="18" t="s">
        <v>36</v>
      </c>
      <c r="F1700" s="18" t="s">
        <v>36</v>
      </c>
      <c r="J1700" s="19"/>
      <c r="K1700" s="19">
        <v>0.1792</v>
      </c>
      <c r="L1700" s="19">
        <v>3.0542986000000001E-2</v>
      </c>
      <c r="M1700" s="19">
        <v>0.2165</v>
      </c>
      <c r="N1700" s="19">
        <v>0.1</v>
      </c>
      <c r="O1700" s="19">
        <v>0.18540000000000001</v>
      </c>
      <c r="P1700" s="19">
        <v>0</v>
      </c>
      <c r="Q1700" s="19">
        <v>0.12713734099999999</v>
      </c>
      <c r="R1700" s="20">
        <v>21565</v>
      </c>
      <c r="S1700" s="21" t="str">
        <f>HYPERLINK("https://www2.maricopa.edu/about-us/quick-facts/tuition-fees/net-price-calculators/colleges/phoenix", "$16580")</f>
        <v>$16580</v>
      </c>
      <c r="T1700" s="20">
        <v>18557</v>
      </c>
      <c r="U1700" s="20">
        <v>21185</v>
      </c>
      <c r="V1700" s="20">
        <v>7907</v>
      </c>
      <c r="W1700" s="20">
        <v>8673.9411764705874</v>
      </c>
      <c r="Y1700" s="19">
        <v>0.38629999999999998</v>
      </c>
      <c r="Z1700" s="19">
        <v>0.78790000000000004</v>
      </c>
      <c r="AB1700" s="18">
        <v>9147</v>
      </c>
      <c r="AC1700" s="18">
        <v>6</v>
      </c>
    </row>
    <row r="1701" spans="1:29" ht="15.75" customHeight="1" x14ac:dyDescent="0.2">
      <c r="A1701" s="36" t="str">
        <f>HYPERLINK("https://www.piedmont.edu", "Piedmont College")</f>
        <v>Piedmont College</v>
      </c>
      <c r="B1701" s="18" t="s">
        <v>32</v>
      </c>
      <c r="C1701" s="18" t="s">
        <v>107</v>
      </c>
      <c r="D1701" s="18" t="s">
        <v>1067</v>
      </c>
      <c r="E1701" s="18">
        <v>1059</v>
      </c>
      <c r="F1701" s="18" t="s">
        <v>35</v>
      </c>
      <c r="J1701" s="19"/>
      <c r="K1701" s="19">
        <v>0.496</v>
      </c>
      <c r="L1701" s="19">
        <v>0.48677248699999998</v>
      </c>
      <c r="M1701" s="19">
        <v>0.51239999999999997</v>
      </c>
      <c r="N1701" s="19">
        <v>0.4667</v>
      </c>
      <c r="O1701" s="19">
        <v>0.1429</v>
      </c>
      <c r="P1701" s="19">
        <v>0.33329999999999999</v>
      </c>
      <c r="Q1701" s="19"/>
      <c r="R1701" s="20">
        <v>38724</v>
      </c>
      <c r="S1701" s="21" t="str">
        <f>HYPERLINK("https://www.piedmont.edu/pc/index.php/netprice-calculator", "$14807")</f>
        <v>$14807</v>
      </c>
      <c r="T1701" s="20">
        <v>17308</v>
      </c>
      <c r="U1701" s="20">
        <v>19586</v>
      </c>
      <c r="V1701" s="20">
        <v>4390</v>
      </c>
      <c r="W1701" s="20">
        <v>10417</v>
      </c>
      <c r="Y1701" s="19">
        <v>0.45750000000000002</v>
      </c>
      <c r="Z1701" s="19">
        <v>0.33100000000000002</v>
      </c>
      <c r="AB1701" s="18">
        <v>1281</v>
      </c>
      <c r="AC1701" s="18">
        <v>4</v>
      </c>
    </row>
    <row r="1702" spans="1:29" ht="15.75" customHeight="1" x14ac:dyDescent="0.2">
      <c r="A1702" s="36" t="str">
        <f>HYPERLINK("https://www.ptc.edu", "Piedmont Technical College")</f>
        <v>Piedmont Technical College</v>
      </c>
      <c r="B1702" s="18" t="s">
        <v>49</v>
      </c>
      <c r="C1702" s="18" t="s">
        <v>208</v>
      </c>
      <c r="D1702" s="18" t="s">
        <v>893</v>
      </c>
      <c r="E1702" s="18" t="s">
        <v>36</v>
      </c>
      <c r="F1702" s="18" t="s">
        <v>36</v>
      </c>
      <c r="J1702" s="19"/>
      <c r="K1702" s="19">
        <v>0.18659999999999999</v>
      </c>
      <c r="L1702" s="19">
        <v>0.16368455900000001</v>
      </c>
      <c r="M1702" s="19">
        <v>0.2437</v>
      </c>
      <c r="N1702" s="19">
        <v>8.2400000000000001E-2</v>
      </c>
      <c r="O1702" s="19">
        <v>0.17860000000000001</v>
      </c>
      <c r="P1702" s="19">
        <v>0</v>
      </c>
      <c r="Q1702" s="19">
        <v>4.8279159000000002E-2</v>
      </c>
      <c r="R1702" s="20">
        <v>26069</v>
      </c>
      <c r="S1702" s="21" t="str">
        <f>HYPERLINK("https://www.ptc.edu/cost-financial-aid/tuition-fees/net-price-calculator", "$18643")</f>
        <v>$18643</v>
      </c>
      <c r="T1702" s="20">
        <v>21500</v>
      </c>
      <c r="U1702" s="20">
        <v>21616</v>
      </c>
      <c r="V1702" s="20">
        <v>7761</v>
      </c>
      <c r="W1702" s="20">
        <v>10882.400684931499</v>
      </c>
      <c r="Y1702" s="19">
        <v>0.55679999999999996</v>
      </c>
      <c r="Z1702" s="19">
        <v>0.44130000000000003</v>
      </c>
      <c r="AB1702" s="18">
        <v>3868</v>
      </c>
      <c r="AC1702" s="18">
        <v>6</v>
      </c>
    </row>
    <row r="1703" spans="1:29" ht="15.75" customHeight="1" x14ac:dyDescent="0.2">
      <c r="A1703" s="36" t="str">
        <f>HYPERLINK("https://www.pierce.ctc.edu", "Pierce College-Fort Steilacoom")</f>
        <v>Pierce College-Fort Steilacoom</v>
      </c>
      <c r="B1703" s="18" t="s">
        <v>49</v>
      </c>
      <c r="C1703" s="18" t="s">
        <v>184</v>
      </c>
      <c r="D1703" s="18" t="s">
        <v>338</v>
      </c>
      <c r="E1703" s="18" t="s">
        <v>36</v>
      </c>
      <c r="F1703" s="18" t="s">
        <v>36</v>
      </c>
      <c r="J1703" s="19"/>
      <c r="K1703" s="19">
        <v>0.23749999999999999</v>
      </c>
      <c r="L1703" s="19">
        <v>0.15172855299999999</v>
      </c>
      <c r="M1703" s="19">
        <v>0.2394</v>
      </c>
      <c r="N1703" s="19">
        <v>0.1628</v>
      </c>
      <c r="O1703" s="19">
        <v>0.2</v>
      </c>
      <c r="P1703" s="19">
        <v>0.5</v>
      </c>
      <c r="Q1703" s="19">
        <v>0.121787268</v>
      </c>
      <c r="R1703" s="20">
        <v>17952</v>
      </c>
      <c r="S1703" s="21" t="str">
        <f>HYPERLINK("https://www.pierce.ctc.edu/tuition-fees", "$11511")</f>
        <v>$11511</v>
      </c>
      <c r="T1703" s="20">
        <v>14496</v>
      </c>
      <c r="U1703" s="20">
        <v>17002</v>
      </c>
      <c r="V1703" s="20">
        <v>4065</v>
      </c>
      <c r="W1703" s="20">
        <v>7446.7391304347839</v>
      </c>
      <c r="Y1703" s="19">
        <v>0.35449999999999998</v>
      </c>
      <c r="Z1703" s="19">
        <v>0.53560000000000008</v>
      </c>
      <c r="AB1703" s="18">
        <v>4938</v>
      </c>
      <c r="AC1703" s="18">
        <v>6</v>
      </c>
    </row>
    <row r="1704" spans="1:29" ht="15.75" customHeight="1" x14ac:dyDescent="0.2">
      <c r="A1704" s="36" t="str">
        <f>HYPERLINK("https://www.pierce.ctc.edu", "Pierce College-Puyallup")</f>
        <v>Pierce College-Puyallup</v>
      </c>
      <c r="B1704" s="18" t="s">
        <v>49</v>
      </c>
      <c r="C1704" s="18" t="s">
        <v>184</v>
      </c>
      <c r="D1704" s="18" t="s">
        <v>338</v>
      </c>
      <c r="E1704" s="18" t="s">
        <v>36</v>
      </c>
      <c r="F1704" s="18" t="s">
        <v>36</v>
      </c>
      <c r="J1704" s="19"/>
      <c r="K1704" s="19">
        <v>0.3029</v>
      </c>
      <c r="L1704" s="19">
        <v>0.15172855299999999</v>
      </c>
      <c r="M1704" s="19">
        <v>0.32279999999999998</v>
      </c>
      <c r="N1704" s="19">
        <v>0.25</v>
      </c>
      <c r="O1704" s="19">
        <v>0.33329999999999999</v>
      </c>
      <c r="P1704" s="19">
        <v>0.5</v>
      </c>
      <c r="Q1704" s="19">
        <v>0.121787268</v>
      </c>
      <c r="R1704" s="20">
        <v>18000</v>
      </c>
      <c r="S1704" s="21" t="str">
        <f>HYPERLINK("https://www.pierce.ctc.edu/financial-aid-cost", "$11574")</f>
        <v>$11574</v>
      </c>
      <c r="T1704" s="20">
        <v>13827</v>
      </c>
      <c r="U1704" s="20">
        <v>17359</v>
      </c>
      <c r="V1704" s="20">
        <v>4065</v>
      </c>
      <c r="W1704" s="20">
        <v>7509.6046511627901</v>
      </c>
      <c r="Y1704" s="19">
        <v>0.2296</v>
      </c>
      <c r="Z1704" s="19">
        <v>0.44779999999999998</v>
      </c>
      <c r="AB1704" s="18">
        <v>3810</v>
      </c>
      <c r="AC1704" s="18">
        <v>6</v>
      </c>
    </row>
    <row r="1705" spans="1:29" ht="15.75" customHeight="1" x14ac:dyDescent="0.2">
      <c r="A1705" s="36" t="str">
        <f>HYPERLINK("https://www.pierpont.edu/", "Pierpont Community and Technical College")</f>
        <v>Pierpont Community and Technical College</v>
      </c>
      <c r="B1705" s="18" t="s">
        <v>49</v>
      </c>
      <c r="C1705" s="18" t="s">
        <v>574</v>
      </c>
      <c r="D1705" s="18" t="s">
        <v>734</v>
      </c>
      <c r="E1705" s="18" t="s">
        <v>36</v>
      </c>
      <c r="F1705" s="18" t="s">
        <v>36</v>
      </c>
      <c r="J1705" s="19"/>
      <c r="K1705" s="19">
        <v>0.24529999999999999</v>
      </c>
      <c r="L1705" s="19">
        <v>0.15797317399999999</v>
      </c>
      <c r="M1705" s="19">
        <v>0.27360000000000001</v>
      </c>
      <c r="N1705" s="19">
        <v>8.1100000000000005E-2</v>
      </c>
      <c r="O1705" s="19">
        <v>0.1111</v>
      </c>
      <c r="P1705" s="19" t="s">
        <v>36</v>
      </c>
      <c r="Q1705" s="19">
        <v>0.10635294100000001</v>
      </c>
      <c r="R1705" s="20">
        <v>24664</v>
      </c>
      <c r="S1705" s="21" t="str">
        <f>HYPERLINK("https://pierpont.studentaidcalculator.com/survey.aspx", "$18171")</f>
        <v>$18171</v>
      </c>
      <c r="T1705" s="20">
        <v>20981</v>
      </c>
      <c r="U1705" s="20">
        <v>24148</v>
      </c>
      <c r="V1705" s="20">
        <v>3000</v>
      </c>
      <c r="W1705" s="20">
        <v>15171.502538071059</v>
      </c>
      <c r="Y1705" s="19">
        <v>0.3901</v>
      </c>
      <c r="Z1705" s="19">
        <v>0.1181</v>
      </c>
      <c r="AB1705" s="18">
        <v>1228</v>
      </c>
      <c r="AC1705" s="18">
        <v>6</v>
      </c>
    </row>
    <row r="1706" spans="1:29" ht="15.75" customHeight="1" x14ac:dyDescent="0.2">
      <c r="A1706" s="36" t="str">
        <f>HYPERLINK("https://www.pmc.edu", "Pine Manor College")</f>
        <v>Pine Manor College</v>
      </c>
      <c r="B1706" s="18" t="s">
        <v>32</v>
      </c>
      <c r="C1706" s="18" t="s">
        <v>33</v>
      </c>
      <c r="D1706" s="18" t="s">
        <v>54</v>
      </c>
      <c r="E1706" s="18" t="s">
        <v>36</v>
      </c>
      <c r="F1706" s="18" t="s">
        <v>45</v>
      </c>
      <c r="J1706" s="19"/>
      <c r="K1706" s="19">
        <v>0.25369999999999998</v>
      </c>
      <c r="L1706" s="19">
        <v>0.25</v>
      </c>
      <c r="M1706" s="19">
        <v>0</v>
      </c>
      <c r="N1706" s="19">
        <v>0.375</v>
      </c>
      <c r="O1706" s="19">
        <v>0.45450000000000002</v>
      </c>
      <c r="P1706" s="19">
        <v>0</v>
      </c>
      <c r="Q1706" s="19"/>
      <c r="R1706" s="20">
        <v>47090</v>
      </c>
      <c r="S1706" s="21" t="str">
        <f>HYPERLINK("https://www.pmc.edu/websites/pmc/np/npcalc.htm", "$19940")</f>
        <v>$19940</v>
      </c>
      <c r="T1706" s="20">
        <v>21968</v>
      </c>
      <c r="U1706" s="20">
        <v>23537</v>
      </c>
      <c r="V1706" s="20">
        <v>2800</v>
      </c>
      <c r="W1706" s="20">
        <v>17140</v>
      </c>
      <c r="Y1706" s="19">
        <v>0.48370000000000002</v>
      </c>
      <c r="Z1706" s="19">
        <v>0.91369999999999996</v>
      </c>
      <c r="AB1706" s="18">
        <v>255</v>
      </c>
      <c r="AC1706" s="18">
        <v>5</v>
      </c>
    </row>
    <row r="1707" spans="1:29" ht="15.75" customHeight="1" x14ac:dyDescent="0.2">
      <c r="A1707" s="36" t="str">
        <f>HYPERLINK("https://www.pittstate.edu", "Pittsburg State University")</f>
        <v>Pittsburg State University</v>
      </c>
      <c r="B1707" s="18" t="s">
        <v>49</v>
      </c>
      <c r="C1707" s="18" t="s">
        <v>307</v>
      </c>
      <c r="D1707" s="18" t="s">
        <v>1068</v>
      </c>
      <c r="E1707" s="18">
        <v>1105</v>
      </c>
      <c r="F1707" s="18" t="s">
        <v>35</v>
      </c>
      <c r="J1707" s="19"/>
      <c r="K1707" s="19">
        <v>0.47210000000000002</v>
      </c>
      <c r="L1707" s="19">
        <v>0.42987249500000002</v>
      </c>
      <c r="M1707" s="19">
        <v>0.5121</v>
      </c>
      <c r="N1707" s="19">
        <v>0.40350000000000003</v>
      </c>
      <c r="O1707" s="19">
        <v>0.4</v>
      </c>
      <c r="P1707" s="19">
        <v>0.4</v>
      </c>
      <c r="Q1707" s="19"/>
      <c r="R1707" s="20">
        <v>30618</v>
      </c>
      <c r="S1707" s="21" t="str">
        <f>HYPERLINK("https://office.pittstate.edu/financial-aid/npc/", "$24344")</f>
        <v>$24344</v>
      </c>
      <c r="T1707" s="20">
        <v>26941</v>
      </c>
      <c r="U1707" s="20">
        <v>28984</v>
      </c>
      <c r="V1707" s="20">
        <v>4766</v>
      </c>
      <c r="W1707" s="20">
        <v>19578.438016528929</v>
      </c>
      <c r="Y1707" s="19">
        <v>0.35699999999999998</v>
      </c>
      <c r="Z1707" s="19">
        <v>0.21310000000000001</v>
      </c>
      <c r="AB1707" s="18">
        <v>5340</v>
      </c>
      <c r="AC1707" s="18">
        <v>4</v>
      </c>
    </row>
    <row r="1708" spans="1:29" ht="15.75" customHeight="1" x14ac:dyDescent="0.2">
      <c r="A1708" s="36" t="str">
        <f>HYPERLINK("https://www.pci.edu", "Pittsburgh Career Institute")</f>
        <v>Pittsburgh Career Institute</v>
      </c>
      <c r="B1708" s="18" t="s">
        <v>368</v>
      </c>
      <c r="C1708" s="18" t="s">
        <v>65</v>
      </c>
      <c r="D1708" s="18" t="s">
        <v>74</v>
      </c>
      <c r="E1708" s="18" t="s">
        <v>36</v>
      </c>
      <c r="F1708" s="18" t="s">
        <v>36</v>
      </c>
      <c r="J1708" s="19"/>
      <c r="K1708" s="19">
        <v>0.38779999999999998</v>
      </c>
      <c r="L1708" s="19">
        <v>0.51666666700000008</v>
      </c>
      <c r="M1708" s="19">
        <v>0.63160000000000005</v>
      </c>
      <c r="N1708" s="19">
        <v>0.28570000000000001</v>
      </c>
      <c r="O1708" s="19" t="s">
        <v>36</v>
      </c>
      <c r="P1708" s="19" t="s">
        <v>36</v>
      </c>
      <c r="Q1708" s="19" t="s">
        <v>36</v>
      </c>
      <c r="R1708" s="20">
        <v>37121</v>
      </c>
      <c r="S1708" s="21" t="str">
        <f>HYPERLINK("https://pci.edu/net-price-calculator/", "$27553")</f>
        <v>$27553</v>
      </c>
      <c r="T1708" s="20">
        <v>29517</v>
      </c>
      <c r="U1708" s="20">
        <v>32855</v>
      </c>
      <c r="V1708" s="20">
        <v>5254</v>
      </c>
      <c r="W1708" s="20">
        <v>22299</v>
      </c>
      <c r="Y1708" s="19">
        <v>0.22520000000000001</v>
      </c>
      <c r="Z1708" s="19">
        <v>0.51780000000000004</v>
      </c>
      <c r="AB1708" s="18">
        <v>197</v>
      </c>
      <c r="AC1708" s="18">
        <v>6</v>
      </c>
    </row>
    <row r="1709" spans="1:29" ht="15.75" customHeight="1" x14ac:dyDescent="0.2">
      <c r="A1709" s="36" t="str">
        <f>HYPERLINK("https://www.pims.edu", "Pittsburgh Institute of Mortuary Science Inc")</f>
        <v>Pittsburgh Institute of Mortuary Science Inc</v>
      </c>
      <c r="B1709" s="18" t="s">
        <v>32</v>
      </c>
      <c r="C1709" s="18" t="s">
        <v>65</v>
      </c>
      <c r="D1709" s="18" t="s">
        <v>74</v>
      </c>
      <c r="E1709" s="18" t="s">
        <v>36</v>
      </c>
      <c r="F1709" s="18" t="s">
        <v>45</v>
      </c>
      <c r="J1709" s="19"/>
      <c r="K1709" s="19">
        <v>0.83330000000000004</v>
      </c>
      <c r="L1709" s="19" t="s">
        <v>36</v>
      </c>
      <c r="M1709" s="19">
        <v>0.87370000000000003</v>
      </c>
      <c r="N1709" s="19">
        <v>0.5</v>
      </c>
      <c r="O1709" s="19">
        <v>0.5</v>
      </c>
      <c r="P1709" s="19">
        <v>1</v>
      </c>
      <c r="Q1709" s="19" t="s">
        <v>36</v>
      </c>
      <c r="R1709" s="20" t="s">
        <v>36</v>
      </c>
      <c r="S1709" s="21" t="str">
        <f>HYPERLINK("https://pims.edu/npcalc.htm", "Not reported")</f>
        <v>Not reported</v>
      </c>
      <c r="T1709" s="20" t="s">
        <v>36</v>
      </c>
      <c r="U1709" s="20" t="s">
        <v>36</v>
      </c>
      <c r="V1709" s="20" t="s">
        <v>36</v>
      </c>
      <c r="W1709" s="20" t="s">
        <v>36</v>
      </c>
      <c r="Y1709" s="19">
        <v>0.2019</v>
      </c>
      <c r="Z1709" s="19">
        <v>9.0899999999999981E-2</v>
      </c>
      <c r="AB1709" s="18">
        <v>209</v>
      </c>
      <c r="AC1709" s="18">
        <v>6</v>
      </c>
    </row>
    <row r="1710" spans="1:29" ht="15.75" customHeight="1" x14ac:dyDescent="0.2">
      <c r="A1710" s="36" t="str">
        <f>HYPERLINK("https://www.ptcollege.edu", "Pittsburgh Technical Institute")</f>
        <v>Pittsburgh Technical Institute</v>
      </c>
      <c r="B1710" s="18" t="s">
        <v>32</v>
      </c>
      <c r="C1710" s="18" t="s">
        <v>65</v>
      </c>
      <c r="D1710" s="18" t="s">
        <v>1626</v>
      </c>
      <c r="E1710" s="18" t="s">
        <v>36</v>
      </c>
      <c r="F1710" s="18" t="s">
        <v>36</v>
      </c>
      <c r="J1710" s="19"/>
      <c r="K1710" s="19">
        <v>0.54049999999999998</v>
      </c>
      <c r="L1710" s="19">
        <v>0.50903614500000005</v>
      </c>
      <c r="M1710" s="19">
        <v>0.54779999999999995</v>
      </c>
      <c r="N1710" s="19">
        <v>0.42620000000000002</v>
      </c>
      <c r="O1710" s="19">
        <v>0.30769999999999997</v>
      </c>
      <c r="P1710" s="19">
        <v>0.5</v>
      </c>
      <c r="Q1710" s="19">
        <v>1.0835913000000001E-2</v>
      </c>
      <c r="R1710" s="20">
        <v>33609</v>
      </c>
      <c r="S1710" s="21" t="str">
        <f>HYPERLINK("https://npc.collegeboard.org/student/app/pti", "$24053")</f>
        <v>$24053</v>
      </c>
      <c r="T1710" s="20">
        <v>24986</v>
      </c>
      <c r="U1710" s="20">
        <v>27697</v>
      </c>
      <c r="V1710" s="20">
        <v>7342</v>
      </c>
      <c r="W1710" s="20">
        <v>16711</v>
      </c>
      <c r="Y1710" s="19">
        <v>0.59899999999999998</v>
      </c>
      <c r="Z1710" s="19">
        <v>0.34250000000000003</v>
      </c>
      <c r="AB1710" s="18">
        <v>1828</v>
      </c>
      <c r="AC1710" s="18">
        <v>6</v>
      </c>
    </row>
    <row r="1711" spans="1:29" ht="15.75" customHeight="1" x14ac:dyDescent="0.2">
      <c r="A1711" s="36" t="str">
        <f>HYPERLINK("https://www.pitzer.edu", "Pitzer College")</f>
        <v>Pitzer College</v>
      </c>
      <c r="B1711" s="18" t="s">
        <v>32</v>
      </c>
      <c r="C1711" s="18" t="s">
        <v>68</v>
      </c>
      <c r="D1711" s="18" t="s">
        <v>77</v>
      </c>
      <c r="E1711" s="18" t="s">
        <v>36</v>
      </c>
      <c r="F1711" s="18" t="s">
        <v>45</v>
      </c>
      <c r="J1711" s="19"/>
      <c r="K1711" s="19">
        <v>0.83089999999999997</v>
      </c>
      <c r="L1711" s="19" t="s">
        <v>36</v>
      </c>
      <c r="M1711" s="19">
        <v>0.8</v>
      </c>
      <c r="N1711" s="19">
        <v>1</v>
      </c>
      <c r="O1711" s="19">
        <v>0.87880000000000003</v>
      </c>
      <c r="P1711" s="19">
        <v>0.78949999999999998</v>
      </c>
      <c r="Q1711" s="19"/>
      <c r="R1711" s="20">
        <v>70500</v>
      </c>
      <c r="S1711" s="21" t="str">
        <f>HYPERLINK("https://npc.collegeboard.org/student/app/pitzer", "$11138")</f>
        <v>$11138</v>
      </c>
      <c r="T1711" s="20">
        <v>20673</v>
      </c>
      <c r="U1711" s="20">
        <v>22345</v>
      </c>
      <c r="V1711" s="20">
        <v>2000</v>
      </c>
      <c r="W1711" s="20">
        <v>9138</v>
      </c>
      <c r="X1711" s="18" t="s">
        <v>37</v>
      </c>
      <c r="Y1711" s="19">
        <v>0.15629999999999999</v>
      </c>
      <c r="Z1711" s="19">
        <v>0.53259999999999996</v>
      </c>
      <c r="AA1711" s="18" t="s">
        <v>37</v>
      </c>
      <c r="AB1711" s="18">
        <v>1074</v>
      </c>
      <c r="AC1711" s="18">
        <v>1</v>
      </c>
    </row>
    <row r="1712" spans="1:29" ht="15.75" customHeight="1" x14ac:dyDescent="0.2">
      <c r="A1712" s="36" t="str">
        <f>HYPERLINK("https://www.plattcolleges.edu", "Platt College-Tulsa")</f>
        <v>Platt College-Tulsa</v>
      </c>
      <c r="B1712" s="18" t="s">
        <v>368</v>
      </c>
      <c r="C1712" s="18" t="s">
        <v>290</v>
      </c>
      <c r="D1712" s="18" t="s">
        <v>291</v>
      </c>
      <c r="E1712" s="18" t="s">
        <v>36</v>
      </c>
      <c r="F1712" s="18" t="s">
        <v>36</v>
      </c>
      <c r="J1712" s="19"/>
      <c r="K1712" s="19">
        <v>0.50980000000000003</v>
      </c>
      <c r="L1712" s="19">
        <v>0.51139410200000002</v>
      </c>
      <c r="M1712" s="19">
        <v>0.59089999999999998</v>
      </c>
      <c r="N1712" s="19">
        <v>0.3448</v>
      </c>
      <c r="O1712" s="19">
        <v>0.85709999999999997</v>
      </c>
      <c r="P1712" s="19">
        <v>0.5</v>
      </c>
      <c r="Q1712" s="19">
        <v>2.0119629999999999E-2</v>
      </c>
      <c r="R1712" s="20" t="s">
        <v>36</v>
      </c>
      <c r="S1712" s="21" t="str">
        <f>HYPERLINK("https://plattcolleges.edu/npc/Tulsa/npcalc.htm", "$25840")</f>
        <v>$25840</v>
      </c>
      <c r="T1712" s="20">
        <v>28920</v>
      </c>
      <c r="U1712" s="20">
        <v>25747</v>
      </c>
      <c r="V1712" s="20" t="s">
        <v>36</v>
      </c>
      <c r="W1712" s="20" t="s">
        <v>36</v>
      </c>
      <c r="Y1712" s="19">
        <v>0.78790000000000004</v>
      </c>
      <c r="Z1712" s="19">
        <v>0.5927</v>
      </c>
      <c r="AB1712" s="18">
        <v>329</v>
      </c>
      <c r="AC1712" s="18">
        <v>6</v>
      </c>
    </row>
    <row r="1713" spans="1:29" ht="15.75" customHeight="1" x14ac:dyDescent="0.2">
      <c r="A1713" s="36" t="str">
        <f>HYPERLINK("https://www.berks.edu", "Berks Technical Institute")</f>
        <v>Berks Technical Institute</v>
      </c>
      <c r="B1713" s="18" t="s">
        <v>368</v>
      </c>
      <c r="C1713" s="18" t="s">
        <v>65</v>
      </c>
      <c r="D1713" s="18" t="s">
        <v>1627</v>
      </c>
      <c r="E1713" s="18" t="s">
        <v>36</v>
      </c>
      <c r="F1713" s="18" t="s">
        <v>36</v>
      </c>
      <c r="J1713" s="19"/>
      <c r="K1713" s="19">
        <v>0.38080000000000003</v>
      </c>
      <c r="L1713" s="19">
        <v>0.37114845899999999</v>
      </c>
      <c r="M1713" s="19">
        <v>0.48359999999999997</v>
      </c>
      <c r="N1713" s="19">
        <v>0.1429</v>
      </c>
      <c r="O1713" s="19">
        <v>0.25440000000000002</v>
      </c>
      <c r="P1713" s="19">
        <v>1</v>
      </c>
      <c r="Q1713" s="19">
        <v>1.9628099E-2</v>
      </c>
      <c r="R1713" s="20">
        <v>29284</v>
      </c>
      <c r="S1713" s="21" t="str">
        <f>HYPERLINK("https://disclosure.berks.edu/npc/npcalc-wyomissing.htm", "$15786")</f>
        <v>$15786</v>
      </c>
      <c r="T1713" s="20">
        <v>21476</v>
      </c>
      <c r="U1713" s="20">
        <v>21476</v>
      </c>
      <c r="V1713" s="20">
        <v>9239</v>
      </c>
      <c r="W1713" s="20">
        <v>6547</v>
      </c>
      <c r="Y1713" s="19">
        <v>0.66930000000000001</v>
      </c>
      <c r="Z1713" s="19">
        <v>0.67270000000000008</v>
      </c>
      <c r="AB1713" s="18">
        <v>724</v>
      </c>
      <c r="AC1713" s="18">
        <v>6</v>
      </c>
    </row>
    <row r="1714" spans="1:29" ht="15.75" customHeight="1" x14ac:dyDescent="0.2">
      <c r="A1714" s="36" t="str">
        <f>HYPERLINK("https://www.plattcollege.edu", "Platt College-Los Angeles")</f>
        <v>Platt College-Los Angeles</v>
      </c>
      <c r="B1714" s="18" t="s">
        <v>368</v>
      </c>
      <c r="C1714" s="18" t="s">
        <v>68</v>
      </c>
      <c r="D1714" s="18" t="s">
        <v>1628</v>
      </c>
      <c r="E1714" s="18" t="s">
        <v>36</v>
      </c>
      <c r="F1714" s="18" t="s">
        <v>36</v>
      </c>
      <c r="J1714" s="19"/>
      <c r="K1714" s="19">
        <v>0.60670000000000002</v>
      </c>
      <c r="L1714" s="19">
        <v>0.68632707799999992</v>
      </c>
      <c r="M1714" s="19">
        <v>0.55559999999999998</v>
      </c>
      <c r="N1714" s="19">
        <v>0.33329999999999999</v>
      </c>
      <c r="O1714" s="19">
        <v>0.61780000000000002</v>
      </c>
      <c r="P1714" s="19">
        <v>0.76919999999999999</v>
      </c>
      <c r="Q1714" s="19" t="s">
        <v>36</v>
      </c>
      <c r="R1714" s="20">
        <v>28503</v>
      </c>
      <c r="S1714" s="21" t="str">
        <f>HYPERLINK("https://plattcollege.edu/calculator-alhambra/", "$25266")</f>
        <v>$25266</v>
      </c>
      <c r="T1714" s="20">
        <v>26400</v>
      </c>
      <c r="U1714" s="20">
        <v>30725</v>
      </c>
      <c r="V1714" s="20">
        <v>4370</v>
      </c>
      <c r="W1714" s="20">
        <v>20896</v>
      </c>
      <c r="Y1714" s="19">
        <v>0.59430000000000005</v>
      </c>
      <c r="Z1714" s="19">
        <v>0.84499999999999997</v>
      </c>
      <c r="AB1714" s="18">
        <v>587</v>
      </c>
      <c r="AC1714" s="18">
        <v>6</v>
      </c>
    </row>
    <row r="1715" spans="1:29" ht="15.75" customHeight="1" x14ac:dyDescent="0.2">
      <c r="A1715" s="36" t="str">
        <f>HYPERLINK("https://www.mccann.edu", "McCann School of Business &amp; Technology")</f>
        <v>McCann School of Business &amp; Technology</v>
      </c>
      <c r="B1715" s="18" t="s">
        <v>368</v>
      </c>
      <c r="C1715" s="18" t="s">
        <v>65</v>
      </c>
      <c r="D1715" s="18" t="s">
        <v>67</v>
      </c>
      <c r="E1715" s="18" t="s">
        <v>36</v>
      </c>
      <c r="F1715" s="18" t="s">
        <v>36</v>
      </c>
      <c r="J1715" s="19"/>
      <c r="K1715" s="19">
        <v>0.68630000000000002</v>
      </c>
      <c r="L1715" s="19" t="s">
        <v>36</v>
      </c>
      <c r="M1715" s="19">
        <v>0.70209999999999995</v>
      </c>
      <c r="N1715" s="19" t="s">
        <v>36</v>
      </c>
      <c r="O1715" s="19">
        <v>1</v>
      </c>
      <c r="P1715" s="19" t="s">
        <v>36</v>
      </c>
      <c r="Q1715" s="19" t="s">
        <v>36</v>
      </c>
      <c r="R1715" s="20">
        <v>27715</v>
      </c>
      <c r="S1715" s="21" t="str">
        <f>HYPERLINK("https://disclosure.mccann.edu/npc/npcalc-lewisburg.htm", "$18357")</f>
        <v>$18357</v>
      </c>
      <c r="T1715" s="20" t="s">
        <v>36</v>
      </c>
      <c r="U1715" s="20" t="s">
        <v>36</v>
      </c>
      <c r="V1715" s="20">
        <v>7584</v>
      </c>
      <c r="W1715" s="20">
        <v>10773</v>
      </c>
      <c r="Y1715" s="19">
        <v>0.74039999999999995</v>
      </c>
      <c r="Z1715" s="19">
        <v>0.19620000000000001</v>
      </c>
      <c r="AB1715" s="18">
        <v>265</v>
      </c>
      <c r="AC1715" s="18">
        <v>6</v>
      </c>
    </row>
    <row r="1716" spans="1:29" ht="15.75" customHeight="1" x14ac:dyDescent="0.2">
      <c r="A1716" s="36" t="str">
        <f>HYPERLINK("https://www.mccann.edu", "Career Technical College-Monroe")</f>
        <v>Career Technical College-Monroe</v>
      </c>
      <c r="B1716" s="18" t="s">
        <v>368</v>
      </c>
      <c r="C1716" s="18" t="s">
        <v>158</v>
      </c>
      <c r="D1716" s="18" t="s">
        <v>1282</v>
      </c>
      <c r="E1716" s="18" t="s">
        <v>36</v>
      </c>
      <c r="F1716" s="18" t="s">
        <v>36</v>
      </c>
      <c r="J1716" s="19"/>
      <c r="K1716" s="19">
        <v>0.31090000000000001</v>
      </c>
      <c r="L1716" s="19">
        <v>0.37114845899999999</v>
      </c>
      <c r="M1716" s="19">
        <v>0.40629999999999999</v>
      </c>
      <c r="N1716" s="19">
        <v>0.28050000000000003</v>
      </c>
      <c r="O1716" s="19" t="s">
        <v>36</v>
      </c>
      <c r="P1716" s="19" t="s">
        <v>36</v>
      </c>
      <c r="Q1716" s="19">
        <v>1.9628099E-2</v>
      </c>
      <c r="R1716" s="20">
        <v>27622</v>
      </c>
      <c r="S1716" s="21" t="str">
        <f>HYPERLINK("https://disclosure.mccann.edu/npc/npcalc-monroe.htm", "$19680")</f>
        <v>$19680</v>
      </c>
      <c r="T1716" s="20" t="s">
        <v>36</v>
      </c>
      <c r="U1716" s="20" t="s">
        <v>36</v>
      </c>
      <c r="V1716" s="20">
        <v>7709</v>
      </c>
      <c r="W1716" s="20">
        <v>11971</v>
      </c>
      <c r="Y1716" s="19">
        <v>0.89780000000000004</v>
      </c>
      <c r="Z1716" s="19">
        <v>0.83250000000000002</v>
      </c>
      <c r="AB1716" s="18">
        <v>591</v>
      </c>
      <c r="AC1716" s="18">
        <v>6</v>
      </c>
    </row>
    <row r="1717" spans="1:29" ht="15.75" customHeight="1" x14ac:dyDescent="0.2">
      <c r="A1717" s="36" t="str">
        <f>HYPERLINK("https://www.miller-motte.edu", "Miller-Motte Technical College-Columbus")</f>
        <v>Miller-Motte Technical College-Columbus</v>
      </c>
      <c r="B1717" s="18" t="s">
        <v>368</v>
      </c>
      <c r="C1717" s="18" t="s">
        <v>107</v>
      </c>
      <c r="D1717" s="18" t="s">
        <v>237</v>
      </c>
      <c r="E1717" s="18" t="s">
        <v>36</v>
      </c>
      <c r="F1717" s="18" t="s">
        <v>36</v>
      </c>
      <c r="J1717" s="19"/>
      <c r="K1717" s="19">
        <v>0.27850000000000003</v>
      </c>
      <c r="L1717" s="19">
        <v>0.36091661400000002</v>
      </c>
      <c r="M1717" s="19">
        <v>0.25</v>
      </c>
      <c r="N1717" s="19">
        <v>0.27689999999999998</v>
      </c>
      <c r="O1717" s="19">
        <v>0</v>
      </c>
      <c r="P1717" s="19" t="s">
        <v>36</v>
      </c>
      <c r="Q1717" s="19">
        <v>2.1602612E-2</v>
      </c>
      <c r="R1717" s="20">
        <v>27349</v>
      </c>
      <c r="S1717" s="21" t="str">
        <f>HYPERLINK("https://disclosure.miller-motte.edu/npc/npcalc-columbusga.htm", "$20181")</f>
        <v>$20181</v>
      </c>
      <c r="T1717" s="20" t="s">
        <v>36</v>
      </c>
      <c r="U1717" s="20" t="s">
        <v>36</v>
      </c>
      <c r="V1717" s="20" t="s">
        <v>36</v>
      </c>
      <c r="W1717" s="20" t="s">
        <v>36</v>
      </c>
      <c r="Y1717" s="19">
        <v>0.96499999999999997</v>
      </c>
      <c r="Z1717" s="19">
        <v>0.93230000000000002</v>
      </c>
      <c r="AB1717" s="18">
        <v>635</v>
      </c>
      <c r="AC1717" s="18">
        <v>6</v>
      </c>
    </row>
    <row r="1718" spans="1:29" ht="15.75" customHeight="1" x14ac:dyDescent="0.2">
      <c r="A1718" s="36" t="str">
        <f>HYPERLINK("https://www.miller-motte.edu", "Miller-Motte Technical College-Macon")</f>
        <v>Miller-Motte Technical College-Macon</v>
      </c>
      <c r="B1718" s="18" t="s">
        <v>368</v>
      </c>
      <c r="C1718" s="18" t="s">
        <v>107</v>
      </c>
      <c r="D1718" s="18" t="s">
        <v>415</v>
      </c>
      <c r="E1718" s="18" t="s">
        <v>36</v>
      </c>
      <c r="F1718" s="18" t="s">
        <v>36</v>
      </c>
      <c r="J1718" s="19"/>
      <c r="K1718" s="19">
        <v>0.2576</v>
      </c>
      <c r="L1718" s="19">
        <v>0.28839830900000002</v>
      </c>
      <c r="M1718" s="19">
        <v>0.44440000000000002</v>
      </c>
      <c r="N1718" s="19">
        <v>0.23080000000000001</v>
      </c>
      <c r="O1718" s="19">
        <v>0.33329999999999999</v>
      </c>
      <c r="P1718" s="19" t="s">
        <v>36</v>
      </c>
      <c r="Q1718" s="19">
        <v>2.2719448999999999E-2</v>
      </c>
      <c r="R1718" s="20">
        <v>28429</v>
      </c>
      <c r="S1718" s="21" t="str">
        <f>HYPERLINK("https://disclosure.miller-motte.edu/npc/npcalc-macon.htm", "$20859")</f>
        <v>$20859</v>
      </c>
      <c r="T1718" s="20" t="s">
        <v>36</v>
      </c>
      <c r="U1718" s="20" t="s">
        <v>36</v>
      </c>
      <c r="V1718" s="20">
        <v>7584</v>
      </c>
      <c r="W1718" s="20">
        <v>13275</v>
      </c>
      <c r="Y1718" s="19">
        <v>0.9768</v>
      </c>
      <c r="Z1718" s="19">
        <v>0.87050000000000005</v>
      </c>
      <c r="AB1718" s="18">
        <v>386</v>
      </c>
      <c r="AC1718" s="18">
        <v>6</v>
      </c>
    </row>
    <row r="1719" spans="1:29" ht="15.75" customHeight="1" x14ac:dyDescent="0.2">
      <c r="A1719" s="36" t="str">
        <f>HYPERLINK("https://www.miller-motte.edu", "Miller-Motte College-Wilmington")</f>
        <v>Miller-Motte College-Wilmington</v>
      </c>
      <c r="B1719" s="18" t="s">
        <v>368</v>
      </c>
      <c r="C1719" s="18" t="s">
        <v>103</v>
      </c>
      <c r="D1719" s="18" t="s">
        <v>517</v>
      </c>
      <c r="E1719" s="18" t="s">
        <v>36</v>
      </c>
      <c r="F1719" s="18" t="s">
        <v>36</v>
      </c>
      <c r="J1719" s="19"/>
      <c r="K1719" s="19">
        <v>0.35959999999999998</v>
      </c>
      <c r="L1719" s="19">
        <v>0.36091661400000002</v>
      </c>
      <c r="M1719" s="19">
        <v>0.45040000000000002</v>
      </c>
      <c r="N1719" s="19">
        <v>0.20780000000000001</v>
      </c>
      <c r="O1719" s="19">
        <v>0</v>
      </c>
      <c r="P1719" s="19">
        <v>0.5</v>
      </c>
      <c r="Q1719" s="19">
        <v>2.1602612E-2</v>
      </c>
      <c r="R1719" s="20">
        <v>28374</v>
      </c>
      <c r="S1719" s="21" t="str">
        <f>HYPERLINK("https://disclosure.miller-motte.edu/npc/npcalc-wilmington.htm", "$23104")</f>
        <v>$23104</v>
      </c>
      <c r="T1719" s="20" t="s">
        <v>36</v>
      </c>
      <c r="U1719" s="20" t="s">
        <v>36</v>
      </c>
      <c r="V1719" s="20">
        <v>8484</v>
      </c>
      <c r="W1719" s="20">
        <v>14620</v>
      </c>
      <c r="Y1719" s="19">
        <v>0.81740000000000002</v>
      </c>
      <c r="Z1719" s="19">
        <v>0.70979999999999999</v>
      </c>
      <c r="AB1719" s="18">
        <v>1678</v>
      </c>
      <c r="AC1719" s="18">
        <v>6</v>
      </c>
    </row>
    <row r="1720" spans="1:29" ht="15.75" customHeight="1" x14ac:dyDescent="0.2">
      <c r="A1720" s="36" t="str">
        <f>HYPERLINK("https://www.plattcolleges.edu", "Platt College-North OKC")</f>
        <v>Platt College-North OKC</v>
      </c>
      <c r="B1720" s="18" t="s">
        <v>368</v>
      </c>
      <c r="C1720" s="18" t="s">
        <v>290</v>
      </c>
      <c r="D1720" s="18" t="s">
        <v>438</v>
      </c>
      <c r="E1720" s="18" t="s">
        <v>36</v>
      </c>
      <c r="F1720" s="18" t="s">
        <v>36</v>
      </c>
      <c r="J1720" s="19"/>
      <c r="K1720" s="19">
        <v>0.68969999999999998</v>
      </c>
      <c r="L1720" s="19">
        <v>0.51139410200000002</v>
      </c>
      <c r="M1720" s="19">
        <v>0.69230000000000003</v>
      </c>
      <c r="N1720" s="19">
        <v>0.375</v>
      </c>
      <c r="O1720" s="19">
        <v>1</v>
      </c>
      <c r="P1720" s="19">
        <v>1</v>
      </c>
      <c r="Q1720" s="19">
        <v>2.0119629999999999E-2</v>
      </c>
      <c r="R1720" s="20" t="s">
        <v>36</v>
      </c>
      <c r="S1720" s="21" t="str">
        <f>HYPERLINK("https://plattcolleges.edu/npc/North/npcalc.htm", "$22708")</f>
        <v>$22708</v>
      </c>
      <c r="T1720" s="20">
        <v>27358</v>
      </c>
      <c r="U1720" s="20" t="s">
        <v>36</v>
      </c>
      <c r="V1720" s="20" t="s">
        <v>36</v>
      </c>
      <c r="W1720" s="20" t="s">
        <v>36</v>
      </c>
      <c r="Y1720" s="19">
        <v>0.66969999999999996</v>
      </c>
      <c r="Z1720" s="19">
        <v>0.5897</v>
      </c>
      <c r="AB1720" s="18">
        <v>234</v>
      </c>
      <c r="AC1720" s="18">
        <v>6</v>
      </c>
    </row>
    <row r="1721" spans="1:29" ht="15.75" customHeight="1" x14ac:dyDescent="0.2">
      <c r="A1721" s="36" t="str">
        <f>HYPERLINK("https://www.plattcollege.edu", "Platt College-Ontario")</f>
        <v>Platt College-Ontario</v>
      </c>
      <c r="B1721" s="18" t="s">
        <v>368</v>
      </c>
      <c r="C1721" s="18" t="s">
        <v>68</v>
      </c>
      <c r="D1721" s="18" t="s">
        <v>1629</v>
      </c>
      <c r="E1721" s="18" t="s">
        <v>36</v>
      </c>
      <c r="F1721" s="18" t="s">
        <v>36</v>
      </c>
      <c r="J1721" s="19"/>
      <c r="K1721" s="19">
        <v>0.56899999999999995</v>
      </c>
      <c r="L1721" s="19">
        <v>0.68632707799999992</v>
      </c>
      <c r="M1721" s="19">
        <v>0.52939999999999998</v>
      </c>
      <c r="N1721" s="19">
        <v>0.52380000000000004</v>
      </c>
      <c r="O1721" s="19">
        <v>0.58179999999999998</v>
      </c>
      <c r="P1721" s="19">
        <v>0.66669999999999996</v>
      </c>
      <c r="Q1721" s="19" t="s">
        <v>36</v>
      </c>
      <c r="R1721" s="20">
        <v>28503</v>
      </c>
      <c r="S1721" s="21" t="str">
        <f>HYPERLINK("https://www.plattcollege.edu/calculator-ontario/", "$23724")</f>
        <v>$23724</v>
      </c>
      <c r="T1721" s="20">
        <v>26824</v>
      </c>
      <c r="U1721" s="20">
        <v>27972</v>
      </c>
      <c r="V1721" s="20">
        <v>4370</v>
      </c>
      <c r="W1721" s="20">
        <v>19354</v>
      </c>
      <c r="Y1721" s="19">
        <v>0.75</v>
      </c>
      <c r="Z1721" s="19">
        <v>0.82540000000000002</v>
      </c>
      <c r="AB1721" s="18">
        <v>527</v>
      </c>
      <c r="AC1721" s="18">
        <v>6</v>
      </c>
    </row>
    <row r="1722" spans="1:29" ht="15.75" customHeight="1" x14ac:dyDescent="0.2">
      <c r="A1722" s="36" t="str">
        <f>HYPERLINK("https://www.plattcollege.edu", "Platt College-Riverside")</f>
        <v>Platt College-Riverside</v>
      </c>
      <c r="B1722" s="18" t="s">
        <v>368</v>
      </c>
      <c r="C1722" s="18" t="s">
        <v>68</v>
      </c>
      <c r="D1722" s="18" t="s">
        <v>392</v>
      </c>
      <c r="E1722" s="18" t="s">
        <v>36</v>
      </c>
      <c r="F1722" s="18" t="s">
        <v>36</v>
      </c>
      <c r="J1722" s="19"/>
      <c r="K1722" s="19" t="s">
        <v>36</v>
      </c>
      <c r="L1722" s="19">
        <v>0.68632707799999992</v>
      </c>
      <c r="M1722" s="19" t="s">
        <v>36</v>
      </c>
      <c r="N1722" s="19" t="s">
        <v>36</v>
      </c>
      <c r="O1722" s="19" t="s">
        <v>36</v>
      </c>
      <c r="P1722" s="19" t="s">
        <v>36</v>
      </c>
      <c r="Q1722" s="19" t="s">
        <v>36</v>
      </c>
      <c r="R1722" s="20">
        <v>28503</v>
      </c>
      <c r="S1722" s="21" t="str">
        <f>HYPERLINK("https://www.plattcollege.edu/financial-aid/calculator-riverside/", "$24396")</f>
        <v>$24396</v>
      </c>
      <c r="T1722" s="20">
        <v>24720</v>
      </c>
      <c r="U1722" s="20">
        <v>29995</v>
      </c>
      <c r="V1722" s="20">
        <v>4370</v>
      </c>
      <c r="W1722" s="20">
        <v>20026</v>
      </c>
      <c r="Y1722" s="19">
        <v>0.79649999999999999</v>
      </c>
      <c r="Z1722" s="19">
        <v>0.8034</v>
      </c>
      <c r="AB1722" s="18">
        <v>524</v>
      </c>
      <c r="AC1722" s="18">
        <v>6</v>
      </c>
    </row>
    <row r="1723" spans="1:29" ht="15.75" customHeight="1" x14ac:dyDescent="0.2">
      <c r="A1723" s="36" t="str">
        <f>HYPERLINK("https://www.platt.edu", "Platt College-San Diego")</f>
        <v>Platt College-San Diego</v>
      </c>
      <c r="B1723" s="18" t="s">
        <v>368</v>
      </c>
      <c r="C1723" s="18" t="s">
        <v>68</v>
      </c>
      <c r="D1723" s="18" t="s">
        <v>288</v>
      </c>
      <c r="E1723" s="18" t="s">
        <v>36</v>
      </c>
      <c r="F1723" s="18" t="s">
        <v>36</v>
      </c>
      <c r="J1723" s="19"/>
      <c r="K1723" s="19">
        <v>0.82979999999999998</v>
      </c>
      <c r="L1723" s="19">
        <v>0.7</v>
      </c>
      <c r="M1723" s="19">
        <v>0.8125</v>
      </c>
      <c r="N1723" s="19">
        <v>0.83330000000000004</v>
      </c>
      <c r="O1723" s="19">
        <v>0.72729999999999995</v>
      </c>
      <c r="P1723" s="19">
        <v>1</v>
      </c>
      <c r="Q1723" s="19" t="s">
        <v>36</v>
      </c>
      <c r="R1723" s="20">
        <v>37078</v>
      </c>
      <c r="S1723" s="21" t="str">
        <f>HYPERLINK("https://www.platt.edu", "$37641")</f>
        <v>$37641</v>
      </c>
      <c r="T1723" s="20">
        <v>39251</v>
      </c>
      <c r="U1723" s="20">
        <v>42089</v>
      </c>
      <c r="V1723" s="20">
        <v>6550</v>
      </c>
      <c r="W1723" s="20">
        <v>31091</v>
      </c>
      <c r="Y1723" s="19">
        <v>0.54949999999999999</v>
      </c>
      <c r="Z1723" s="19">
        <v>0.58430000000000004</v>
      </c>
      <c r="AB1723" s="18">
        <v>178</v>
      </c>
      <c r="AC1723" s="18">
        <v>6</v>
      </c>
    </row>
    <row r="1724" spans="1:29" ht="15.75" customHeight="1" x14ac:dyDescent="0.2">
      <c r="A1724" s="36" t="str">
        <f>HYPERLINK("https://WWW.PLAZACOLLEGE.EDU", "Plaza College")</f>
        <v>Plaza College</v>
      </c>
      <c r="B1724" s="18" t="s">
        <v>368</v>
      </c>
      <c r="C1724" s="18" t="s">
        <v>38</v>
      </c>
      <c r="D1724" s="18" t="s">
        <v>1630</v>
      </c>
      <c r="E1724" s="18" t="s">
        <v>36</v>
      </c>
      <c r="F1724" s="18" t="s">
        <v>45</v>
      </c>
      <c r="J1724" s="19"/>
      <c r="K1724" s="19">
        <v>0.62860000000000005</v>
      </c>
      <c r="L1724" s="19">
        <v>0.29562043799999999</v>
      </c>
      <c r="M1724" s="19">
        <v>0.70909999999999995</v>
      </c>
      <c r="N1724" s="19">
        <v>0.57499999999999996</v>
      </c>
      <c r="O1724" s="19">
        <v>0.6623</v>
      </c>
      <c r="P1724" s="19">
        <v>0.55169999999999997</v>
      </c>
      <c r="Q1724" s="19" t="s">
        <v>36</v>
      </c>
      <c r="R1724" s="20">
        <v>16400</v>
      </c>
      <c r="S1724" s="21" t="str">
        <f>HYPERLINK("https://www.plazacollege.edu/admissions/financial-aid/net-price-calculator/", "$12732")</f>
        <v>$12732</v>
      </c>
      <c r="T1724" s="20">
        <v>17349</v>
      </c>
      <c r="U1724" s="20" t="s">
        <v>36</v>
      </c>
      <c r="V1724" s="20">
        <v>3950</v>
      </c>
      <c r="W1724" s="20">
        <v>8782</v>
      </c>
      <c r="Y1724" s="19">
        <v>0.84970000000000001</v>
      </c>
      <c r="Z1724" s="19">
        <v>0.8841</v>
      </c>
      <c r="AB1724" s="18">
        <v>811</v>
      </c>
      <c r="AC1724" s="18">
        <v>6</v>
      </c>
    </row>
    <row r="1725" spans="1:29" ht="15.75" customHeight="1" x14ac:dyDescent="0.2">
      <c r="A1725" s="36" t="str">
        <f>HYPERLINK("https://www.plymouth.edu", "Plymouth State University")</f>
        <v>Plymouth State University</v>
      </c>
      <c r="B1725" s="18" t="s">
        <v>49</v>
      </c>
      <c r="C1725" s="18" t="s">
        <v>101</v>
      </c>
      <c r="D1725" s="18" t="s">
        <v>890</v>
      </c>
      <c r="E1725" s="18" t="s">
        <v>36</v>
      </c>
      <c r="F1725" s="18" t="s">
        <v>45</v>
      </c>
      <c r="J1725" s="19"/>
      <c r="K1725" s="19">
        <v>0.54469999999999996</v>
      </c>
      <c r="L1725" s="19">
        <v>0.45338983100000002</v>
      </c>
      <c r="M1725" s="19">
        <v>0.55299999999999994</v>
      </c>
      <c r="N1725" s="19">
        <v>0.42859999999999998</v>
      </c>
      <c r="O1725" s="19">
        <v>0.54169999999999996</v>
      </c>
      <c r="P1725" s="19">
        <v>0.54549999999999998</v>
      </c>
      <c r="Q1725" s="19"/>
      <c r="R1725" s="20">
        <v>36774</v>
      </c>
      <c r="S1725" s="21" t="str">
        <f>HYPERLINK("https://www.plymouth.edu/office/financial-aid/estimated-cost/net-price-calculator/", "$28081")</f>
        <v>$28081</v>
      </c>
      <c r="T1725" s="20">
        <v>30883</v>
      </c>
      <c r="U1725" s="20">
        <v>33004</v>
      </c>
      <c r="V1725" s="20">
        <v>3584</v>
      </c>
      <c r="W1725" s="20">
        <v>24497.483221476508</v>
      </c>
      <c r="Y1725" s="19">
        <v>0.30330000000000001</v>
      </c>
      <c r="Z1725" s="19">
        <v>0.17019999999999999</v>
      </c>
      <c r="AB1725" s="18">
        <v>4072</v>
      </c>
      <c r="AC1725" s="18">
        <v>4</v>
      </c>
    </row>
    <row r="1726" spans="1:29" ht="15.75" customHeight="1" x14ac:dyDescent="0.2">
      <c r="A1726" s="36" t="str">
        <f>HYPERLINK("https://www.pointloma.edu", "Point Loma Nazarene University")</f>
        <v>Point Loma Nazarene University</v>
      </c>
      <c r="B1726" s="18" t="s">
        <v>32</v>
      </c>
      <c r="C1726" s="18" t="s">
        <v>68</v>
      </c>
      <c r="D1726" s="18" t="s">
        <v>288</v>
      </c>
      <c r="E1726" s="18">
        <v>1211</v>
      </c>
      <c r="F1726" s="18" t="s">
        <v>35</v>
      </c>
      <c r="J1726" s="19"/>
      <c r="K1726" s="19">
        <v>0.74439999999999995</v>
      </c>
      <c r="L1726" s="19">
        <v>0.71724137900000007</v>
      </c>
      <c r="M1726" s="19">
        <v>0.76449999999999996</v>
      </c>
      <c r="N1726" s="19">
        <v>0.57889999999999997</v>
      </c>
      <c r="O1726" s="19">
        <v>0.73270000000000002</v>
      </c>
      <c r="P1726" s="19">
        <v>0.74470000000000003</v>
      </c>
      <c r="Q1726" s="19"/>
      <c r="R1726" s="20">
        <v>49844</v>
      </c>
      <c r="S1726" s="21" t="str">
        <f>HYPERLINK("https://www.pointloma.edu/NPC", "$23567")</f>
        <v>$23567</v>
      </c>
      <c r="T1726" s="20">
        <v>27632</v>
      </c>
      <c r="U1726" s="20">
        <v>30970</v>
      </c>
      <c r="V1726" s="20">
        <v>5094</v>
      </c>
      <c r="W1726" s="20">
        <v>18473</v>
      </c>
      <c r="Y1726" s="19">
        <v>0.28370000000000001</v>
      </c>
      <c r="Z1726" s="19">
        <v>0.46700000000000008</v>
      </c>
      <c r="AB1726" s="18">
        <v>3092</v>
      </c>
      <c r="AC1726" s="18">
        <v>3</v>
      </c>
    </row>
    <row r="1727" spans="1:29" ht="15.75" customHeight="1" x14ac:dyDescent="0.2">
      <c r="A1727" s="36" t="str">
        <f>HYPERLINK("https://www.pointpark.edu", "Point Park University")</f>
        <v>Point Park University</v>
      </c>
      <c r="B1727" s="18" t="s">
        <v>32</v>
      </c>
      <c r="C1727" s="18" t="s">
        <v>65</v>
      </c>
      <c r="D1727" s="18" t="s">
        <v>74</v>
      </c>
      <c r="E1727" s="18">
        <v>1091</v>
      </c>
      <c r="F1727" s="18" t="s">
        <v>35</v>
      </c>
      <c r="J1727" s="19"/>
      <c r="K1727" s="19">
        <v>0.54710000000000003</v>
      </c>
      <c r="L1727" s="19">
        <v>0.37625754500000003</v>
      </c>
      <c r="M1727" s="19">
        <v>0.57399999999999995</v>
      </c>
      <c r="N1727" s="19">
        <v>0.3846</v>
      </c>
      <c r="O1727" s="19">
        <v>0.35289999999999999</v>
      </c>
      <c r="P1727" s="19">
        <v>1</v>
      </c>
      <c r="Q1727" s="19"/>
      <c r="R1727" s="20">
        <v>44730</v>
      </c>
      <c r="S1727" s="21" t="str">
        <f>HYPERLINK("https://www.pointpark.edu/Admissions/CostsandFinancialAid/NetPriceCalc", "$15162")</f>
        <v>$15162</v>
      </c>
      <c r="T1727" s="20">
        <v>19278</v>
      </c>
      <c r="U1727" s="20">
        <v>20928</v>
      </c>
      <c r="V1727" s="20">
        <v>3500</v>
      </c>
      <c r="W1727" s="20">
        <v>11662</v>
      </c>
      <c r="Y1727" s="19">
        <v>0.38090000000000002</v>
      </c>
      <c r="Z1727" s="19">
        <v>0.27960000000000002</v>
      </c>
      <c r="AB1727" s="18">
        <v>3230</v>
      </c>
      <c r="AC1727" s="18">
        <v>4</v>
      </c>
    </row>
    <row r="1728" spans="1:29" ht="15.75" customHeight="1" x14ac:dyDescent="0.2">
      <c r="A1728" s="36" t="str">
        <f>HYPERLINK("https://point.edu", "Point University")</f>
        <v>Point University</v>
      </c>
      <c r="B1728" s="18" t="s">
        <v>32</v>
      </c>
      <c r="C1728" s="18" t="s">
        <v>107</v>
      </c>
      <c r="D1728" s="18" t="s">
        <v>1071</v>
      </c>
      <c r="E1728" s="18">
        <v>968</v>
      </c>
      <c r="F1728" s="18" t="s">
        <v>115</v>
      </c>
      <c r="J1728" s="19"/>
      <c r="K1728" s="19">
        <v>0.26850000000000002</v>
      </c>
      <c r="L1728" s="19">
        <v>0.47619047599999997</v>
      </c>
      <c r="M1728" s="19">
        <v>0.33800000000000002</v>
      </c>
      <c r="N1728" s="19">
        <v>0.18970000000000001</v>
      </c>
      <c r="O1728" s="19">
        <v>0.41670000000000001</v>
      </c>
      <c r="P1728" s="19" t="s">
        <v>36</v>
      </c>
      <c r="Q1728" s="19"/>
      <c r="R1728" s="20">
        <v>30500</v>
      </c>
      <c r="S1728" s="21" t="str">
        <f>HYPERLINK("https://point.studentaidcalculator.com/survey.aspx", "$17339")</f>
        <v>$17339</v>
      </c>
      <c r="T1728" s="20">
        <v>23889</v>
      </c>
      <c r="U1728" s="20">
        <v>28131</v>
      </c>
      <c r="V1728" s="20">
        <v>2000</v>
      </c>
      <c r="W1728" s="20">
        <v>15339</v>
      </c>
      <c r="Y1728" s="19">
        <v>0.16109999999999999</v>
      </c>
      <c r="Z1728" s="19">
        <v>0.57820000000000005</v>
      </c>
      <c r="AB1728" s="18">
        <v>1126</v>
      </c>
      <c r="AC1728" s="18">
        <v>4</v>
      </c>
    </row>
    <row r="1729" spans="1:29" ht="15.75" customHeight="1" x14ac:dyDescent="0.2">
      <c r="A1729" s="36" t="str">
        <f>HYPERLINK("https://www.polk.edu", "Polk State College")</f>
        <v>Polk State College</v>
      </c>
      <c r="B1729" s="18" t="s">
        <v>49</v>
      </c>
      <c r="C1729" s="18" t="s">
        <v>162</v>
      </c>
      <c r="D1729" s="18" t="s">
        <v>1631</v>
      </c>
      <c r="E1729" s="18" t="s">
        <v>36</v>
      </c>
      <c r="F1729" s="18" t="s">
        <v>36</v>
      </c>
      <c r="J1729" s="19"/>
      <c r="K1729" s="19">
        <v>0.27510000000000001</v>
      </c>
      <c r="L1729" s="19">
        <v>0.230381166</v>
      </c>
      <c r="M1729" s="19">
        <v>0.32490000000000002</v>
      </c>
      <c r="N1729" s="19">
        <v>0.13969999999999999</v>
      </c>
      <c r="O1729" s="19">
        <v>0.26319999999999999</v>
      </c>
      <c r="P1729" s="19">
        <v>0.52</v>
      </c>
      <c r="Q1729" s="19">
        <v>7.9890880999999997E-2</v>
      </c>
      <c r="R1729" s="20">
        <v>26307</v>
      </c>
      <c r="S1729" s="21" t="str">
        <f>HYPERLINK("https://www.polk.edu/admission-aid/financial-aid/net-price-calculator/", "$21371")</f>
        <v>$21371</v>
      </c>
      <c r="T1729" s="20">
        <v>23314</v>
      </c>
      <c r="U1729" s="20">
        <v>24643</v>
      </c>
      <c r="V1729" s="20">
        <v>5696</v>
      </c>
      <c r="W1729" s="20">
        <v>15675.20779220779</v>
      </c>
      <c r="Y1729" s="19">
        <v>0.35360000000000003</v>
      </c>
      <c r="Z1729" s="19">
        <v>0.49120000000000003</v>
      </c>
      <c r="AB1729" s="18">
        <v>8388</v>
      </c>
      <c r="AC1729" s="18">
        <v>6</v>
      </c>
    </row>
    <row r="1730" spans="1:29" ht="15.75" customHeight="1" x14ac:dyDescent="0.2">
      <c r="A1730" s="36" t="str">
        <f>HYPERLINK("https://www.crouse.org/nursing", "Pomeroy College of Nursing at Crouse Hospital")</f>
        <v>Pomeroy College of Nursing at Crouse Hospital</v>
      </c>
      <c r="B1730" s="18" t="s">
        <v>32</v>
      </c>
      <c r="C1730" s="18" t="s">
        <v>38</v>
      </c>
      <c r="D1730" s="18" t="s">
        <v>242</v>
      </c>
      <c r="E1730" s="18" t="s">
        <v>36</v>
      </c>
      <c r="F1730" s="18" t="s">
        <v>90</v>
      </c>
      <c r="J1730" s="19"/>
      <c r="K1730" s="19">
        <v>0.77780000000000005</v>
      </c>
      <c r="L1730" s="19" t="s">
        <v>36</v>
      </c>
      <c r="M1730" s="19">
        <v>0.75</v>
      </c>
      <c r="N1730" s="19" t="s">
        <v>36</v>
      </c>
      <c r="O1730" s="19">
        <v>1</v>
      </c>
      <c r="P1730" s="19" t="s">
        <v>36</v>
      </c>
      <c r="Q1730" s="19" t="s">
        <v>36</v>
      </c>
      <c r="R1730" s="20">
        <v>23894</v>
      </c>
      <c r="S1730" s="21" t="str">
        <f>HYPERLINK("https://www.crouse.org/nursing/aid/financial-aid-programs/", "$17909")</f>
        <v>$17909</v>
      </c>
      <c r="T1730" s="20">
        <v>19999</v>
      </c>
      <c r="U1730" s="20">
        <v>19356</v>
      </c>
      <c r="V1730" s="20">
        <v>5749</v>
      </c>
      <c r="W1730" s="20">
        <v>12160</v>
      </c>
      <c r="Y1730" s="19">
        <v>0.33040000000000003</v>
      </c>
      <c r="Z1730" s="19">
        <v>0.22259999999999999</v>
      </c>
      <c r="AB1730" s="18">
        <v>265</v>
      </c>
      <c r="AC1730" s="18">
        <v>6</v>
      </c>
    </row>
    <row r="1731" spans="1:29" ht="15.75" customHeight="1" x14ac:dyDescent="0.2">
      <c r="A1731" s="36" t="str">
        <f>HYPERLINK("https://www.pomona.edu", "Pomona College")</f>
        <v>Pomona College</v>
      </c>
      <c r="B1731" s="18" t="s">
        <v>32</v>
      </c>
      <c r="C1731" s="18" t="s">
        <v>68</v>
      </c>
      <c r="D1731" s="18" t="s">
        <v>77</v>
      </c>
      <c r="E1731" s="18">
        <v>1461</v>
      </c>
      <c r="F1731" s="18" t="s">
        <v>35</v>
      </c>
      <c r="J1731" s="19"/>
      <c r="K1731" s="19">
        <v>0.93149999999999999</v>
      </c>
      <c r="L1731" s="19" t="s">
        <v>36</v>
      </c>
      <c r="M1731" s="19">
        <v>0.92589999999999995</v>
      </c>
      <c r="N1731" s="19">
        <v>1</v>
      </c>
      <c r="O1731" s="19">
        <v>0.95</v>
      </c>
      <c r="P1731" s="19">
        <v>0.94740000000000002</v>
      </c>
      <c r="Q1731" s="19"/>
      <c r="R1731" s="20">
        <v>69725</v>
      </c>
      <c r="S1731" s="21" t="str">
        <f>HYPERLINK("https://npc.collegeboard.org/student/app/pomona", "$6972")</f>
        <v>$6972</v>
      </c>
      <c r="T1731" s="20">
        <v>7183</v>
      </c>
      <c r="U1731" s="20">
        <v>22832</v>
      </c>
      <c r="V1731" s="20">
        <v>2500</v>
      </c>
      <c r="W1731" s="20">
        <v>4472</v>
      </c>
      <c r="X1731" s="18" t="s">
        <v>37</v>
      </c>
      <c r="Y1731" s="19">
        <v>0.19359999999999999</v>
      </c>
      <c r="Z1731" s="19">
        <v>0.64200000000000002</v>
      </c>
      <c r="AA1731" s="18" t="s">
        <v>37</v>
      </c>
      <c r="AB1731" s="18">
        <v>1567</v>
      </c>
      <c r="AC1731" s="18">
        <v>1</v>
      </c>
    </row>
    <row r="1732" spans="1:29" ht="15.75" customHeight="1" x14ac:dyDescent="0.2">
      <c r="A1732" s="36" t="str">
        <f>HYPERLINK("https://www.portervillecollege.edu", "Porterville College")</f>
        <v>Porterville College</v>
      </c>
      <c r="B1732" s="18" t="s">
        <v>49</v>
      </c>
      <c r="C1732" s="18" t="s">
        <v>68</v>
      </c>
      <c r="D1732" s="18" t="s">
        <v>1632</v>
      </c>
      <c r="E1732" s="18" t="s">
        <v>36</v>
      </c>
      <c r="F1732" s="18" t="s">
        <v>36</v>
      </c>
      <c r="J1732" s="19"/>
      <c r="K1732" s="19">
        <v>0.28060000000000002</v>
      </c>
      <c r="L1732" s="19">
        <v>5.7734204999999997E-2</v>
      </c>
      <c r="M1732" s="19">
        <v>0.33800000000000002</v>
      </c>
      <c r="N1732" s="19">
        <v>0</v>
      </c>
      <c r="O1732" s="19">
        <v>0.26479999999999998</v>
      </c>
      <c r="P1732" s="19">
        <v>0.45450000000000002</v>
      </c>
      <c r="Q1732" s="19">
        <v>7.2649572999999995E-2</v>
      </c>
      <c r="R1732" s="20">
        <v>26646</v>
      </c>
      <c r="S1732" s="21" t="str">
        <f>HYPERLINK("https://misweb.cccco.edu/npc/523/npcalc.htm", "$19772")</f>
        <v>$19772</v>
      </c>
      <c r="T1732" s="20">
        <v>23202</v>
      </c>
      <c r="U1732" s="20">
        <v>25122</v>
      </c>
      <c r="V1732" s="20">
        <v>6095</v>
      </c>
      <c r="W1732" s="20">
        <v>13677</v>
      </c>
      <c r="Y1732" s="19">
        <v>0.46560000000000001</v>
      </c>
      <c r="Z1732" s="19">
        <v>0.83410000000000006</v>
      </c>
      <c r="AB1732" s="18">
        <v>3304</v>
      </c>
      <c r="AC1732" s="18">
        <v>6</v>
      </c>
    </row>
    <row r="1733" spans="1:29" ht="15.75" customHeight="1" x14ac:dyDescent="0.2">
      <c r="A1733" s="36" t="str">
        <f>HYPERLINK("https://www.pcc.edu", "Portland Community College")</f>
        <v>Portland Community College</v>
      </c>
      <c r="B1733" s="18" t="s">
        <v>49</v>
      </c>
      <c r="C1733" s="18" t="s">
        <v>143</v>
      </c>
      <c r="D1733" s="18" t="s">
        <v>144</v>
      </c>
      <c r="E1733" s="18" t="s">
        <v>36</v>
      </c>
      <c r="F1733" s="18" t="s">
        <v>36</v>
      </c>
      <c r="J1733" s="19"/>
      <c r="K1733" s="19">
        <v>0.14779999999999999</v>
      </c>
      <c r="L1733" s="19">
        <v>0.102447117</v>
      </c>
      <c r="M1733" s="19">
        <v>0.16569999999999999</v>
      </c>
      <c r="N1733" s="19">
        <v>6.9000000000000006E-2</v>
      </c>
      <c r="O1733" s="19">
        <v>0.1613</v>
      </c>
      <c r="P1733" s="19">
        <v>0.18179999999999999</v>
      </c>
      <c r="Q1733" s="19">
        <v>0.122027475</v>
      </c>
      <c r="R1733" s="20">
        <v>25769</v>
      </c>
      <c r="S1733" s="21" t="str">
        <f>HYPERLINK("https://www.pcc.edu/enroll/paying-for-college/financial-aid/net-price-calculator/", "$19153")</f>
        <v>$19153</v>
      </c>
      <c r="T1733" s="20">
        <v>21930</v>
      </c>
      <c r="U1733" s="20">
        <v>24196</v>
      </c>
      <c r="V1733" s="20">
        <v>5142</v>
      </c>
      <c r="W1733" s="20">
        <v>14011.09379727685</v>
      </c>
      <c r="Y1733" s="19">
        <v>0.3589</v>
      </c>
      <c r="Z1733" s="19">
        <v>0.43480000000000002</v>
      </c>
      <c r="AB1733" s="18">
        <v>25658</v>
      </c>
      <c r="AC1733" s="18">
        <v>6</v>
      </c>
    </row>
    <row r="1734" spans="1:29" ht="15.75" customHeight="1" x14ac:dyDescent="0.2">
      <c r="A1734" s="36" t="str">
        <f>HYPERLINK("https://www.pdx.edu", "Portland State University")</f>
        <v>Portland State University</v>
      </c>
      <c r="B1734" s="18" t="s">
        <v>49</v>
      </c>
      <c r="C1734" s="18" t="s">
        <v>143</v>
      </c>
      <c r="D1734" s="18" t="s">
        <v>144</v>
      </c>
      <c r="E1734" s="18">
        <v>1105</v>
      </c>
      <c r="F1734" s="18" t="s">
        <v>115</v>
      </c>
      <c r="J1734" s="19"/>
      <c r="K1734" s="19">
        <v>0.4894</v>
      </c>
      <c r="L1734" s="19">
        <v>0.452404001</v>
      </c>
      <c r="M1734" s="19">
        <v>0.45500000000000002</v>
      </c>
      <c r="N1734" s="19">
        <v>0.52170000000000005</v>
      </c>
      <c r="O1734" s="19">
        <v>0.5252</v>
      </c>
      <c r="P1734" s="19">
        <v>0.58040000000000003</v>
      </c>
      <c r="Q1734" s="19"/>
      <c r="R1734" s="20">
        <v>43989</v>
      </c>
      <c r="S1734" s="21" t="str">
        <f>HYPERLINK("https://www.pdx.edu/finaid/net-price-calculator", "$35768")</f>
        <v>$35768</v>
      </c>
      <c r="T1734" s="20">
        <v>38301</v>
      </c>
      <c r="U1734" s="20">
        <v>41189</v>
      </c>
      <c r="V1734" s="20">
        <v>5028</v>
      </c>
      <c r="W1734" s="20">
        <v>30740.8443877551</v>
      </c>
      <c r="Y1734" s="19">
        <v>0.38109999999999999</v>
      </c>
      <c r="Z1734" s="19">
        <v>0.45069999999999999</v>
      </c>
      <c r="AB1734" s="18">
        <v>18585</v>
      </c>
      <c r="AC1734" s="18">
        <v>4</v>
      </c>
    </row>
    <row r="1735" spans="1:29" ht="15.75" customHeight="1" x14ac:dyDescent="0.2">
      <c r="A1735" s="36" t="str">
        <f>HYPERLINK("https://www.post.edu/", "Post University")</f>
        <v>Post University</v>
      </c>
      <c r="B1735" s="18" t="s">
        <v>368</v>
      </c>
      <c r="C1735" s="18" t="s">
        <v>94</v>
      </c>
      <c r="D1735" s="18" t="s">
        <v>887</v>
      </c>
      <c r="E1735" s="18" t="s">
        <v>36</v>
      </c>
      <c r="F1735" s="18" t="s">
        <v>45</v>
      </c>
      <c r="J1735" s="19"/>
      <c r="K1735" s="19">
        <v>0.2457</v>
      </c>
      <c r="L1735" s="19">
        <v>0.166868198</v>
      </c>
      <c r="M1735" s="19">
        <v>0.46879999999999999</v>
      </c>
      <c r="N1735" s="19">
        <v>0.1613</v>
      </c>
      <c r="O1735" s="19">
        <v>0.2</v>
      </c>
      <c r="P1735" s="19" t="s">
        <v>36</v>
      </c>
      <c r="Q1735" s="19"/>
      <c r="R1735" s="20">
        <v>31510</v>
      </c>
      <c r="S1735" s="21" t="str">
        <f>HYPERLINK("https://www.post.edu/financial-aid/net-price-calculator", "$22348")</f>
        <v>$22348</v>
      </c>
      <c r="T1735" s="20">
        <v>16688</v>
      </c>
      <c r="U1735" s="20">
        <v>14062</v>
      </c>
      <c r="V1735" s="20">
        <v>3400</v>
      </c>
      <c r="W1735" s="20">
        <v>18948</v>
      </c>
      <c r="Y1735" s="19">
        <v>0.58220000000000005</v>
      </c>
      <c r="Z1735" s="19">
        <v>0.59210000000000007</v>
      </c>
      <c r="AB1735" s="18">
        <v>7808</v>
      </c>
      <c r="AC1735" s="18">
        <v>4</v>
      </c>
    </row>
    <row r="1736" spans="1:29" ht="15.75" customHeight="1" x14ac:dyDescent="0.2">
      <c r="A1736" s="36" t="str">
        <f>HYPERLINK("https://www.potomacstatecollege.edu", "Potomac State College of West Virginia University")</f>
        <v>Potomac State College of West Virginia University</v>
      </c>
      <c r="B1736" s="18" t="s">
        <v>49</v>
      </c>
      <c r="C1736" s="18" t="s">
        <v>574</v>
      </c>
      <c r="D1736" s="18" t="s">
        <v>1633</v>
      </c>
      <c r="E1736" s="18" t="s">
        <v>36</v>
      </c>
      <c r="F1736" s="18" t="s">
        <v>36</v>
      </c>
      <c r="J1736" s="19"/>
      <c r="K1736" s="19">
        <v>0.27550000000000002</v>
      </c>
      <c r="L1736" s="19">
        <v>0.37653631300000001</v>
      </c>
      <c r="M1736" s="19">
        <v>0.32440000000000002</v>
      </c>
      <c r="N1736" s="19">
        <v>0.1138</v>
      </c>
      <c r="O1736" s="19">
        <v>0.25</v>
      </c>
      <c r="P1736" s="19">
        <v>0.5</v>
      </c>
      <c r="Q1736" s="19">
        <v>8.9468303000000013E-2</v>
      </c>
      <c r="R1736" s="20">
        <v>22448</v>
      </c>
      <c r="S1736" s="21" t="str">
        <f>HYPERLINK("https://potomacstatecollege.edu/admissions/financing_your_education/calculator.html", "$15433")</f>
        <v>$15433</v>
      </c>
      <c r="T1736" s="20">
        <v>18506</v>
      </c>
      <c r="U1736" s="20">
        <v>20906</v>
      </c>
      <c r="V1736" s="20">
        <v>3520</v>
      </c>
      <c r="W1736" s="20">
        <v>11913.36492890995</v>
      </c>
      <c r="Y1736" s="19">
        <v>0.45040000000000002</v>
      </c>
      <c r="Z1736" s="19">
        <v>0.2321</v>
      </c>
      <c r="AB1736" s="18">
        <v>1198</v>
      </c>
      <c r="AC1736" s="18">
        <v>6</v>
      </c>
    </row>
    <row r="1737" spans="1:29" ht="15.75" customHeight="1" x14ac:dyDescent="0.2">
      <c r="A1737" s="36" t="str">
        <f>HYPERLINK("https://www.pvamu.edu", "Prairie View A &amp; M University")</f>
        <v>Prairie View A &amp; M University</v>
      </c>
      <c r="B1737" s="18" t="s">
        <v>49</v>
      </c>
      <c r="C1737" s="18" t="s">
        <v>146</v>
      </c>
      <c r="D1737" s="18" t="s">
        <v>812</v>
      </c>
      <c r="E1737" s="18">
        <v>956</v>
      </c>
      <c r="F1737" s="18" t="s">
        <v>35</v>
      </c>
      <c r="J1737" s="19"/>
      <c r="K1737" s="19">
        <v>0.34789999999999999</v>
      </c>
      <c r="L1737" s="19">
        <v>0.32764811500000002</v>
      </c>
      <c r="M1737" s="19">
        <v>0.5</v>
      </c>
      <c r="N1737" s="19">
        <v>0.34460000000000002</v>
      </c>
      <c r="O1737" s="19">
        <v>0.33329999999999999</v>
      </c>
      <c r="P1737" s="19">
        <v>1</v>
      </c>
      <c r="Q1737" s="19"/>
      <c r="R1737" s="20">
        <v>37279</v>
      </c>
      <c r="S1737" s="21" t="str">
        <f>HYPERLINK("https://www.collegeforalltexans.com/apps/CollegeMoney/", "$23687")</f>
        <v>$23687</v>
      </c>
      <c r="T1737" s="20">
        <v>28791</v>
      </c>
      <c r="U1737" s="20">
        <v>32762</v>
      </c>
      <c r="V1737" s="20">
        <v>5389</v>
      </c>
      <c r="W1737" s="20">
        <v>18298.316141356259</v>
      </c>
      <c r="Y1737" s="19">
        <v>0.64690000000000003</v>
      </c>
      <c r="Z1737" s="19">
        <v>0.98170000000000002</v>
      </c>
      <c r="AB1737" s="18">
        <v>7975</v>
      </c>
      <c r="AC1737" s="18">
        <v>5</v>
      </c>
    </row>
    <row r="1738" spans="1:29" ht="15.75" customHeight="1" x14ac:dyDescent="0.2">
      <c r="A1738" s="36" t="str">
        <f>HYPERLINK("https://www.pratt.edu", "Pratt Institute-Main")</f>
        <v>Pratt Institute-Main</v>
      </c>
      <c r="B1738" s="18" t="s">
        <v>32</v>
      </c>
      <c r="C1738" s="18" t="s">
        <v>38</v>
      </c>
      <c r="D1738" s="18" t="s">
        <v>593</v>
      </c>
      <c r="E1738" s="18">
        <v>1201</v>
      </c>
      <c r="F1738" s="18" t="s">
        <v>35</v>
      </c>
      <c r="G1738" s="18" t="s">
        <v>40</v>
      </c>
      <c r="H1738" s="18" t="s">
        <v>1074</v>
      </c>
      <c r="I1738" s="18" t="s">
        <v>1075</v>
      </c>
      <c r="J1738" s="19"/>
      <c r="K1738" s="19">
        <v>0.66290000000000004</v>
      </c>
      <c r="L1738" s="19">
        <v>0.56862745100000001</v>
      </c>
      <c r="M1738" s="19">
        <v>0.66090000000000004</v>
      </c>
      <c r="N1738" s="19">
        <v>0.61539999999999995</v>
      </c>
      <c r="O1738" s="19">
        <v>0.75439999999999996</v>
      </c>
      <c r="P1738" s="19">
        <v>0.69110000000000005</v>
      </c>
      <c r="Q1738" s="19"/>
      <c r="R1738" s="20">
        <v>65308</v>
      </c>
      <c r="S1738" s="21" t="str">
        <f>HYPERLINK("https://www.pratt.edu/admissions/financing-your-education/", "$40992")</f>
        <v>$40992</v>
      </c>
      <c r="T1738" s="20">
        <v>42716</v>
      </c>
      <c r="U1738" s="20">
        <v>48329</v>
      </c>
      <c r="V1738" s="20">
        <v>3250</v>
      </c>
      <c r="W1738" s="20">
        <v>37742</v>
      </c>
      <c r="Y1738" s="19">
        <v>0.21210000000000001</v>
      </c>
      <c r="Z1738" s="19">
        <v>0.61099999999999999</v>
      </c>
      <c r="AB1738" s="18">
        <v>3602</v>
      </c>
      <c r="AC1738" s="18">
        <v>4</v>
      </c>
    </row>
    <row r="1739" spans="1:29" ht="15.75" customHeight="1" x14ac:dyDescent="0.2">
      <c r="A1739" s="36" t="str">
        <f>HYPERLINK("https://www.pratt.edu", "Pratt Manhattan-A Division of Pratt Institute")</f>
        <v>Pratt Manhattan-A Division of Pratt Institute</v>
      </c>
      <c r="B1739" s="18" t="s">
        <v>32</v>
      </c>
      <c r="C1739" s="18" t="s">
        <v>38</v>
      </c>
      <c r="D1739" s="18" t="s">
        <v>39</v>
      </c>
      <c r="E1739" s="18" t="s">
        <v>36</v>
      </c>
      <c r="F1739" s="18" t="s">
        <v>36</v>
      </c>
      <c r="J1739" s="19"/>
      <c r="K1739" s="19" t="s">
        <v>36</v>
      </c>
      <c r="L1739" s="19">
        <v>0.56862745100000001</v>
      </c>
      <c r="M1739" s="19" t="s">
        <v>36</v>
      </c>
      <c r="N1739" s="19" t="s">
        <v>36</v>
      </c>
      <c r="O1739" s="19" t="s">
        <v>36</v>
      </c>
      <c r="P1739" s="19" t="s">
        <v>36</v>
      </c>
      <c r="Q1739" s="19"/>
      <c r="R1739" s="20" t="s">
        <v>36</v>
      </c>
      <c r="S1739" s="35" t="s">
        <v>36</v>
      </c>
      <c r="T1739" s="20" t="s">
        <v>36</v>
      </c>
      <c r="U1739" s="20" t="s">
        <v>36</v>
      </c>
      <c r="V1739" s="20" t="s">
        <v>36</v>
      </c>
      <c r="W1739" s="20" t="s">
        <v>36</v>
      </c>
      <c r="Y1739" s="19" t="s">
        <v>36</v>
      </c>
      <c r="Z1739" s="19" t="s">
        <v>36</v>
      </c>
      <c r="AB1739" s="18" t="s">
        <v>36</v>
      </c>
      <c r="AC1739" s="18">
        <v>4</v>
      </c>
    </row>
    <row r="1740" spans="1:29" ht="15.75" customHeight="1" x14ac:dyDescent="0.2">
      <c r="A1740" s="36" t="str">
        <f>HYPERLINK("https://www.presby.edu", "Presbyterian College")</f>
        <v>Presbyterian College</v>
      </c>
      <c r="B1740" s="18" t="s">
        <v>32</v>
      </c>
      <c r="C1740" s="18" t="s">
        <v>208</v>
      </c>
      <c r="D1740" s="18" t="s">
        <v>118</v>
      </c>
      <c r="E1740" s="18">
        <v>1159</v>
      </c>
      <c r="F1740" s="18" t="s">
        <v>115</v>
      </c>
      <c r="J1740" s="19"/>
      <c r="K1740" s="19">
        <v>0.68520000000000003</v>
      </c>
      <c r="L1740" s="19">
        <v>0.56521739100000001</v>
      </c>
      <c r="M1740" s="19">
        <v>0.71619999999999995</v>
      </c>
      <c r="N1740" s="19">
        <v>0.56759999999999999</v>
      </c>
      <c r="O1740" s="19">
        <v>0.16669999999999999</v>
      </c>
      <c r="P1740" s="19">
        <v>0.5</v>
      </c>
      <c r="Q1740" s="19"/>
      <c r="R1740" s="20">
        <v>51910</v>
      </c>
      <c r="S1740" s="21" t="str">
        <f>HYPERLINK("https://tcc.noellevitz.com/Presbyterian%20College/Freshman-Students", "$13334")</f>
        <v>$13334</v>
      </c>
      <c r="T1740" s="20">
        <v>16718</v>
      </c>
      <c r="U1740" s="20">
        <v>21453</v>
      </c>
      <c r="V1740" s="20">
        <v>3770</v>
      </c>
      <c r="W1740" s="20">
        <v>9564</v>
      </c>
      <c r="Y1740" s="19">
        <v>0.26429999999999998</v>
      </c>
      <c r="Z1740" s="19">
        <v>0.25340000000000001</v>
      </c>
      <c r="AB1740" s="18">
        <v>947</v>
      </c>
      <c r="AC1740" s="18">
        <v>3</v>
      </c>
    </row>
    <row r="1741" spans="1:29" ht="15.75" customHeight="1" x14ac:dyDescent="0.2">
      <c r="A1741" s="36" t="str">
        <f>HYPERLINK("https://www.prescott.edu", "Prescott College")</f>
        <v>Prescott College</v>
      </c>
      <c r="B1741" s="18" t="s">
        <v>32</v>
      </c>
      <c r="C1741" s="18" t="s">
        <v>354</v>
      </c>
      <c r="D1741" s="18" t="s">
        <v>355</v>
      </c>
      <c r="E1741" s="18">
        <v>1132</v>
      </c>
      <c r="F1741" s="18" t="s">
        <v>115</v>
      </c>
      <c r="J1741" s="19"/>
      <c r="K1741" s="19">
        <v>0.4355</v>
      </c>
      <c r="L1741" s="19">
        <v>0.31690140900000002</v>
      </c>
      <c r="M1741" s="19">
        <v>0.55259999999999998</v>
      </c>
      <c r="N1741" s="19">
        <v>0</v>
      </c>
      <c r="O1741" s="19">
        <v>0.125</v>
      </c>
      <c r="P1741" s="19">
        <v>0</v>
      </c>
      <c r="Q1741" s="19"/>
      <c r="R1741" s="20">
        <v>42253</v>
      </c>
      <c r="S1741" s="21" t="str">
        <f>HYPERLINK("https://www.prescott.edu/apply/true-cost-calculator/index.html", "$17973")</f>
        <v>$17973</v>
      </c>
      <c r="T1741" s="20">
        <v>22330</v>
      </c>
      <c r="U1741" s="20">
        <v>20367</v>
      </c>
      <c r="V1741" s="20">
        <v>2430</v>
      </c>
      <c r="W1741" s="20">
        <v>15543</v>
      </c>
      <c r="Y1741" s="19">
        <v>0.4642</v>
      </c>
      <c r="Z1741" s="19">
        <v>0.38290000000000002</v>
      </c>
      <c r="AA1741" s="18" t="s">
        <v>37</v>
      </c>
      <c r="AB1741" s="18">
        <v>350</v>
      </c>
      <c r="AC1741" s="18">
        <v>4</v>
      </c>
    </row>
    <row r="1742" spans="1:29" ht="15.75" customHeight="1" x14ac:dyDescent="0.2">
      <c r="A1742" s="36" t="str">
        <f>HYPERLINK("https://www.presentation.edu", "Presentation College")</f>
        <v>Presentation College</v>
      </c>
      <c r="B1742" s="18" t="s">
        <v>32</v>
      </c>
      <c r="C1742" s="18" t="s">
        <v>302</v>
      </c>
      <c r="D1742" s="18" t="s">
        <v>814</v>
      </c>
      <c r="E1742" s="18">
        <v>1019</v>
      </c>
      <c r="F1742" s="18" t="s">
        <v>35</v>
      </c>
      <c r="J1742" s="19"/>
      <c r="K1742" s="19">
        <v>0.2727</v>
      </c>
      <c r="L1742" s="19">
        <v>0.46153846199999998</v>
      </c>
      <c r="M1742" s="19">
        <v>0.4</v>
      </c>
      <c r="N1742" s="19">
        <v>7.1400000000000005E-2</v>
      </c>
      <c r="O1742" s="19">
        <v>0</v>
      </c>
      <c r="P1742" s="19">
        <v>0.5</v>
      </c>
      <c r="Q1742" s="19"/>
      <c r="R1742" s="20">
        <v>32855</v>
      </c>
      <c r="S1742" s="21" t="str">
        <f>HYPERLINK("https://www.presentation.edu/tuition-aid/net-price-calculators/", "$16600")</f>
        <v>$16600</v>
      </c>
      <c r="T1742" s="20">
        <v>19915</v>
      </c>
      <c r="U1742" s="20">
        <v>20659</v>
      </c>
      <c r="V1742" s="20">
        <v>3900</v>
      </c>
      <c r="W1742" s="20">
        <v>12700</v>
      </c>
      <c r="Y1742" s="19">
        <v>0.40439999999999998</v>
      </c>
      <c r="Z1742" s="19">
        <v>0.31109999999999999</v>
      </c>
      <c r="AB1742" s="18">
        <v>749</v>
      </c>
      <c r="AC1742" s="18">
        <v>5</v>
      </c>
    </row>
    <row r="1743" spans="1:29" ht="15.75" customHeight="1" x14ac:dyDescent="0.2">
      <c r="A1743" s="36" t="str">
        <f>HYPERLINK("https://www.pgcc.edu", "Prince George's Community College")</f>
        <v>Prince George's Community College</v>
      </c>
      <c r="B1743" s="18" t="s">
        <v>49</v>
      </c>
      <c r="C1743" s="18" t="s">
        <v>124</v>
      </c>
      <c r="D1743" s="18" t="s">
        <v>1634</v>
      </c>
      <c r="E1743" s="18" t="s">
        <v>36</v>
      </c>
      <c r="F1743" s="18" t="s">
        <v>36</v>
      </c>
      <c r="J1743" s="19"/>
      <c r="K1743" s="19">
        <v>8.6499999999999994E-2</v>
      </c>
      <c r="L1743" s="19">
        <v>5.4187192000000002E-2</v>
      </c>
      <c r="M1743" s="19">
        <v>0.1875</v>
      </c>
      <c r="N1743" s="19">
        <v>5.4899999999999997E-2</v>
      </c>
      <c r="O1743" s="19">
        <v>0.10290000000000001</v>
      </c>
      <c r="P1743" s="19">
        <v>0.20930000000000001</v>
      </c>
      <c r="Q1743" s="19">
        <v>0.10839583799999999</v>
      </c>
      <c r="R1743" s="20">
        <v>21098</v>
      </c>
      <c r="S1743" s="21" t="str">
        <f>HYPERLINK("https://www.pgcc.edu/Paying_for_College/Tuition_and_Costs/Financial_Aid_Net_Price_Calculator.aspx", "$15942")</f>
        <v>$15942</v>
      </c>
      <c r="T1743" s="20">
        <v>18200</v>
      </c>
      <c r="U1743" s="20">
        <v>20427</v>
      </c>
      <c r="V1743" s="20">
        <v>5000</v>
      </c>
      <c r="W1743" s="20">
        <v>10942.432000000001</v>
      </c>
      <c r="Y1743" s="19">
        <v>0.3594</v>
      </c>
      <c r="Z1743" s="19">
        <v>0.96279999999999999</v>
      </c>
      <c r="AB1743" s="18">
        <v>10743</v>
      </c>
      <c r="AC1743" s="18">
        <v>6</v>
      </c>
    </row>
    <row r="1744" spans="1:29" ht="15.75" customHeight="1" x14ac:dyDescent="0.2">
      <c r="A1744" s="36" t="str">
        <f>HYPERLINK("https://www.princeton.edu", "Princeton University")</f>
        <v>Princeton University</v>
      </c>
      <c r="B1744" s="18" t="s">
        <v>32</v>
      </c>
      <c r="C1744" s="18" t="s">
        <v>141</v>
      </c>
      <c r="D1744" s="18" t="s">
        <v>142</v>
      </c>
      <c r="E1744" s="18">
        <v>1500</v>
      </c>
      <c r="F1744" s="18" t="s">
        <v>35</v>
      </c>
      <c r="J1744" s="19"/>
      <c r="K1744" s="19">
        <v>0.97309999999999997</v>
      </c>
      <c r="L1744" s="19" t="s">
        <v>36</v>
      </c>
      <c r="M1744" s="19">
        <v>0.97850000000000004</v>
      </c>
      <c r="N1744" s="19">
        <v>0.9375</v>
      </c>
      <c r="O1744" s="19">
        <v>0.94510000000000005</v>
      </c>
      <c r="P1744" s="19">
        <v>0.9879</v>
      </c>
      <c r="Q1744" s="19"/>
      <c r="R1744" s="20">
        <v>66150</v>
      </c>
      <c r="S1744" s="21" t="str">
        <f>HYPERLINK("https://www.princeton.edu/admission/financialaid/estimator/", "$1174")</f>
        <v>$1174</v>
      </c>
      <c r="T1744" s="20">
        <v>5524</v>
      </c>
      <c r="U1744" s="20">
        <v>15958</v>
      </c>
      <c r="V1744" s="20">
        <v>3400</v>
      </c>
      <c r="W1744" s="20">
        <v>-2226</v>
      </c>
      <c r="X1744" s="18" t="s">
        <v>37</v>
      </c>
      <c r="Y1744" s="19">
        <v>0.1633</v>
      </c>
      <c r="Z1744" s="19">
        <v>0.57379999999999998</v>
      </c>
      <c r="AA1744" s="18" t="s">
        <v>37</v>
      </c>
      <c r="AB1744" s="18">
        <v>5246</v>
      </c>
      <c r="AC1744" s="18">
        <v>1</v>
      </c>
    </row>
    <row r="1745" spans="1:29" ht="15.75" customHeight="1" x14ac:dyDescent="0.2">
      <c r="A1745" s="36" t="str">
        <f>HYPERLINK("https://www.golfcollege.edu", "Professional Golfers Career College")</f>
        <v>Professional Golfers Career College</v>
      </c>
      <c r="B1745" s="18" t="s">
        <v>368</v>
      </c>
      <c r="C1745" s="18" t="s">
        <v>68</v>
      </c>
      <c r="D1745" s="18" t="s">
        <v>1635</v>
      </c>
      <c r="E1745" s="18" t="s">
        <v>36</v>
      </c>
      <c r="F1745" s="18" t="s">
        <v>36</v>
      </c>
      <c r="J1745" s="19"/>
      <c r="K1745" s="19">
        <v>0.43659999999999999</v>
      </c>
      <c r="L1745" s="19">
        <v>0.7241379309999999</v>
      </c>
      <c r="M1745" s="19">
        <v>0.47270000000000001</v>
      </c>
      <c r="N1745" s="19">
        <v>0.66669999999999996</v>
      </c>
      <c r="O1745" s="19">
        <v>0</v>
      </c>
      <c r="P1745" s="19">
        <v>0.33329999999999999</v>
      </c>
      <c r="Q1745" s="19" t="s">
        <v>36</v>
      </c>
      <c r="R1745" s="20">
        <v>32100</v>
      </c>
      <c r="S1745" s="21" t="str">
        <f>HYPERLINK("https://www.golfcollege.edu/index.php/academics/consumer-info", "$27555")</f>
        <v>$27555</v>
      </c>
      <c r="T1745" s="20" t="s">
        <v>36</v>
      </c>
      <c r="U1745" s="20" t="s">
        <v>36</v>
      </c>
      <c r="V1745" s="20">
        <v>5500</v>
      </c>
      <c r="W1745" s="20">
        <v>22055</v>
      </c>
      <c r="Y1745" s="19">
        <v>0.1462</v>
      </c>
      <c r="Z1745" s="19">
        <v>0.3590000000000001</v>
      </c>
      <c r="AB1745" s="18">
        <v>78</v>
      </c>
      <c r="AC1745" s="18">
        <v>6</v>
      </c>
    </row>
    <row r="1746" spans="1:29" ht="15.75" customHeight="1" x14ac:dyDescent="0.2">
      <c r="A1746" s="36" t="str">
        <f>HYPERLINK("https://www.prohands.edu", "Professional Hands Institute")</f>
        <v>Professional Hands Institute</v>
      </c>
      <c r="B1746" s="18" t="s">
        <v>368</v>
      </c>
      <c r="C1746" s="18" t="s">
        <v>162</v>
      </c>
      <c r="D1746" s="18" t="s">
        <v>359</v>
      </c>
      <c r="E1746" s="18" t="s">
        <v>36</v>
      </c>
      <c r="F1746" s="18" t="s">
        <v>36</v>
      </c>
      <c r="J1746" s="19"/>
      <c r="K1746" s="19">
        <v>0.68089999999999995</v>
      </c>
      <c r="L1746" s="19">
        <v>0.94226804099999995</v>
      </c>
      <c r="M1746" s="19" t="s">
        <v>36</v>
      </c>
      <c r="N1746" s="19" t="s">
        <v>36</v>
      </c>
      <c r="O1746" s="19">
        <v>0.68089999999999995</v>
      </c>
      <c r="P1746" s="19" t="s">
        <v>36</v>
      </c>
      <c r="Q1746" s="19" t="s">
        <v>36</v>
      </c>
      <c r="R1746" s="20" t="s">
        <v>36</v>
      </c>
      <c r="S1746" s="21" t="str">
        <f>HYPERLINK("https://www.prohands.edu", "$20008")</f>
        <v>$20008</v>
      </c>
      <c r="T1746" s="20" t="s">
        <v>36</v>
      </c>
      <c r="U1746" s="20" t="s">
        <v>36</v>
      </c>
      <c r="V1746" s="20" t="s">
        <v>36</v>
      </c>
      <c r="W1746" s="20" t="s">
        <v>36</v>
      </c>
      <c r="Y1746" s="19">
        <v>0.28720000000000001</v>
      </c>
      <c r="Z1746" s="19">
        <v>1</v>
      </c>
      <c r="AB1746" s="18">
        <v>105</v>
      </c>
      <c r="AC1746" s="18">
        <v>6</v>
      </c>
    </row>
    <row r="1747" spans="1:29" ht="15.75" customHeight="1" x14ac:dyDescent="0.2">
      <c r="A1747" s="36" t="str">
        <f>HYPERLINK("https://www.providence.edu", "Providence College")</f>
        <v>Providence College</v>
      </c>
      <c r="B1747" s="18" t="s">
        <v>32</v>
      </c>
      <c r="C1747" s="18" t="s">
        <v>63</v>
      </c>
      <c r="D1747" s="18" t="s">
        <v>64</v>
      </c>
      <c r="E1747" s="18">
        <v>1274</v>
      </c>
      <c r="F1747" s="18" t="s">
        <v>115</v>
      </c>
      <c r="J1747" s="19"/>
      <c r="K1747" s="19">
        <v>0.84219999999999995</v>
      </c>
      <c r="L1747" s="19">
        <v>0.57657657699999998</v>
      </c>
      <c r="M1747" s="19">
        <v>0.85580000000000001</v>
      </c>
      <c r="N1747" s="19">
        <v>0.79490000000000005</v>
      </c>
      <c r="O1747" s="19">
        <v>0.72729999999999995</v>
      </c>
      <c r="P1747" s="19">
        <v>0.71430000000000005</v>
      </c>
      <c r="Q1747" s="19"/>
      <c r="R1747" s="20">
        <v>64984</v>
      </c>
      <c r="S1747" s="21" t="str">
        <f>HYPERLINK("https://npc.collegeboard.org/student/app/providence", "$20156")</f>
        <v>$20156</v>
      </c>
      <c r="T1747" s="20">
        <v>28764</v>
      </c>
      <c r="U1747" s="20">
        <v>32475</v>
      </c>
      <c r="V1747" s="20">
        <v>1980</v>
      </c>
      <c r="W1747" s="20">
        <v>18176</v>
      </c>
      <c r="Y1747" s="19">
        <v>0.14149999999999999</v>
      </c>
      <c r="Z1747" s="19">
        <v>0.2291</v>
      </c>
      <c r="AB1747" s="18">
        <v>4011</v>
      </c>
      <c r="AC1747" s="18">
        <v>2</v>
      </c>
    </row>
    <row r="1748" spans="1:29" ht="15.75" customHeight="1" x14ac:dyDescent="0.2">
      <c r="A1748" s="36" t="str">
        <f>HYPERLINK("https://www.pfw.edu", "Indiana University-Purdue University-Fort Wayne")</f>
        <v>Indiana University-Purdue University-Fort Wayne</v>
      </c>
      <c r="B1748" s="18" t="s">
        <v>49</v>
      </c>
      <c r="C1748" s="18" t="s">
        <v>148</v>
      </c>
      <c r="D1748" s="18" t="s">
        <v>815</v>
      </c>
      <c r="E1748" s="18">
        <v>1074</v>
      </c>
      <c r="F1748" s="18" t="s">
        <v>35</v>
      </c>
      <c r="J1748" s="19"/>
      <c r="K1748" s="19">
        <v>0.31640000000000001</v>
      </c>
      <c r="L1748" s="19">
        <v>0.22644067800000001</v>
      </c>
      <c r="M1748" s="19">
        <v>0.34179999999999999</v>
      </c>
      <c r="N1748" s="19">
        <v>0.11260000000000001</v>
      </c>
      <c r="O1748" s="19">
        <v>0.30170000000000002</v>
      </c>
      <c r="P1748" s="19">
        <v>0.33329999999999999</v>
      </c>
      <c r="Q1748" s="19"/>
      <c r="R1748" s="20">
        <v>33476</v>
      </c>
      <c r="S1748" s="21" t="str">
        <f>HYPERLINK("https://www.pfw.edu/offices/financial-aid/calculator/", "$24167")</f>
        <v>$24167</v>
      </c>
      <c r="T1748" s="20">
        <v>28794</v>
      </c>
      <c r="U1748" s="20">
        <v>31468</v>
      </c>
      <c r="V1748" s="20">
        <v>4126</v>
      </c>
      <c r="W1748" s="20">
        <v>20041.44025157233</v>
      </c>
      <c r="Y1748" s="19">
        <v>0.28260000000000002</v>
      </c>
      <c r="Z1748" s="19">
        <v>0.21160000000000001</v>
      </c>
      <c r="AB1748" s="18">
        <v>7708</v>
      </c>
      <c r="AC1748" s="18">
        <v>5</v>
      </c>
    </row>
    <row r="1749" spans="1:29" ht="15.75" customHeight="1" x14ac:dyDescent="0.2">
      <c r="A1749" s="36" t="str">
        <f>HYPERLINK("https://www.purdueglobal.edu/campus-locations/augusta-maine/", "Kaplan University-Augusta Campus")</f>
        <v>Kaplan University-Augusta Campus</v>
      </c>
      <c r="B1749" s="18" t="s">
        <v>368</v>
      </c>
      <c r="C1749" s="18" t="s">
        <v>43</v>
      </c>
      <c r="D1749" s="18" t="s">
        <v>805</v>
      </c>
      <c r="E1749" s="18" t="s">
        <v>36</v>
      </c>
      <c r="F1749" s="18" t="s">
        <v>36</v>
      </c>
      <c r="J1749" s="19"/>
      <c r="K1749" s="19" t="s">
        <v>36</v>
      </c>
      <c r="L1749" s="19">
        <v>0.19588919599999999</v>
      </c>
      <c r="M1749" s="19" t="s">
        <v>36</v>
      </c>
      <c r="N1749" s="19" t="s">
        <v>36</v>
      </c>
      <c r="O1749" s="19" t="s">
        <v>36</v>
      </c>
      <c r="P1749" s="19" t="s">
        <v>36</v>
      </c>
      <c r="Q1749" s="19"/>
      <c r="R1749" s="20">
        <v>20624</v>
      </c>
      <c r="S1749" s="21" t="str">
        <f>HYPERLINK("https://www.purdueglobal.edu/tuition-financial-aid/tuition-reduction/net-price-calculator/", "$14686")</f>
        <v>$14686</v>
      </c>
      <c r="T1749" s="20" t="s">
        <v>36</v>
      </c>
      <c r="U1749" s="20" t="s">
        <v>36</v>
      </c>
      <c r="V1749" s="20">
        <v>3189</v>
      </c>
      <c r="W1749" s="20">
        <v>11497</v>
      </c>
      <c r="Y1749" s="19">
        <v>0.62390000000000001</v>
      </c>
      <c r="Z1749" s="19">
        <v>0.12180000000000001</v>
      </c>
      <c r="AB1749" s="18">
        <v>427</v>
      </c>
      <c r="AC1749" s="18">
        <v>5</v>
      </c>
    </row>
    <row r="1750" spans="1:29" ht="15.75" customHeight="1" x14ac:dyDescent="0.2">
      <c r="A1750" s="36" t="str">
        <f>HYPERLINK("https://www.purdueglobal.edu/campus-locations/cedar-falls-iowa/", "Kaplan University-Cedar Falls Campus")</f>
        <v>Kaplan University-Cedar Falls Campus</v>
      </c>
      <c r="B1750" s="18" t="s">
        <v>368</v>
      </c>
      <c r="C1750" s="18" t="s">
        <v>211</v>
      </c>
      <c r="D1750" s="18" t="s">
        <v>1320</v>
      </c>
      <c r="E1750" s="18" t="s">
        <v>36</v>
      </c>
      <c r="F1750" s="18" t="s">
        <v>36</v>
      </c>
      <c r="J1750" s="19"/>
      <c r="K1750" s="19">
        <v>0.35709999999999997</v>
      </c>
      <c r="L1750" s="19">
        <v>0.19588919599999999</v>
      </c>
      <c r="M1750" s="19">
        <v>0.3846</v>
      </c>
      <c r="N1750" s="19">
        <v>0</v>
      </c>
      <c r="O1750" s="19" t="s">
        <v>36</v>
      </c>
      <c r="P1750" s="19" t="s">
        <v>36</v>
      </c>
      <c r="Q1750" s="19">
        <v>3.5615826000000003E-2</v>
      </c>
      <c r="R1750" s="20">
        <v>23502</v>
      </c>
      <c r="S1750" s="21" t="str">
        <f>HYPERLINK("https://www.purdueglobal.edu/tuition-financial-aid/tuition-reduction/net-price-calculator/", "Not reported")</f>
        <v>Not reported</v>
      </c>
      <c r="T1750" s="20" t="s">
        <v>36</v>
      </c>
      <c r="U1750" s="20" t="s">
        <v>36</v>
      </c>
      <c r="V1750" s="20" t="s">
        <v>36</v>
      </c>
      <c r="W1750" s="20" t="s">
        <v>36</v>
      </c>
      <c r="Y1750" s="19">
        <v>0.66120000000000001</v>
      </c>
      <c r="Z1750" s="19">
        <v>0.2336</v>
      </c>
      <c r="AB1750" s="18">
        <v>214</v>
      </c>
      <c r="AC1750" s="18">
        <v>6</v>
      </c>
    </row>
    <row r="1751" spans="1:29" ht="15.75" customHeight="1" x14ac:dyDescent="0.2">
      <c r="A1751" s="36" t="str">
        <f>HYPERLINK("https://www.purdueglobal.edu/campus-locations/cedar-rapids-iowa/", "Kaplan University-Cedar Rapids Campus")</f>
        <v>Kaplan University-Cedar Rapids Campus</v>
      </c>
      <c r="B1751" s="18" t="s">
        <v>368</v>
      </c>
      <c r="C1751" s="18" t="s">
        <v>211</v>
      </c>
      <c r="D1751" s="18" t="s">
        <v>333</v>
      </c>
      <c r="E1751" s="18" t="s">
        <v>36</v>
      </c>
      <c r="F1751" s="18" t="s">
        <v>36</v>
      </c>
      <c r="J1751" s="19"/>
      <c r="K1751" s="19">
        <v>0.33329999999999999</v>
      </c>
      <c r="L1751" s="19">
        <v>0.19588919599999999</v>
      </c>
      <c r="M1751" s="19">
        <v>0.4</v>
      </c>
      <c r="N1751" s="19">
        <v>0</v>
      </c>
      <c r="O1751" s="19" t="s">
        <v>36</v>
      </c>
      <c r="P1751" s="19" t="s">
        <v>36</v>
      </c>
      <c r="Q1751" s="19">
        <v>3.5615826000000003E-2</v>
      </c>
      <c r="R1751" s="20">
        <v>23502</v>
      </c>
      <c r="S1751" s="21" t="str">
        <f>HYPERLINK("https://www.purdueglobal.edu/tuition-financial-aid/tuition-reduction/net-price-calculator/", "$17081")</f>
        <v>$17081</v>
      </c>
      <c r="T1751" s="20" t="s">
        <v>36</v>
      </c>
      <c r="U1751" s="20" t="s">
        <v>36</v>
      </c>
      <c r="V1751" s="20">
        <v>3190</v>
      </c>
      <c r="W1751" s="20">
        <v>13891</v>
      </c>
      <c r="Y1751" s="19">
        <v>0.6492</v>
      </c>
      <c r="Z1751" s="19">
        <v>0.30700000000000011</v>
      </c>
      <c r="AB1751" s="18">
        <v>417</v>
      </c>
      <c r="AC1751" s="18">
        <v>6</v>
      </c>
    </row>
    <row r="1752" spans="1:29" ht="15.75" customHeight="1" x14ac:dyDescent="0.2">
      <c r="A1752" s="36" t="str">
        <f>HYPERLINK("https://www.purdueglobal.edu/campus-locations/davenport-iowa/", "Kaplan University-Davenport Campus")</f>
        <v>Kaplan University-Davenport Campus</v>
      </c>
      <c r="B1752" s="18" t="s">
        <v>368</v>
      </c>
      <c r="C1752" s="18" t="s">
        <v>211</v>
      </c>
      <c r="D1752" s="18" t="s">
        <v>818</v>
      </c>
      <c r="E1752" s="18" t="s">
        <v>36</v>
      </c>
      <c r="F1752" s="18" t="s">
        <v>36</v>
      </c>
      <c r="J1752" s="19"/>
      <c r="K1752" s="19">
        <v>0.3947</v>
      </c>
      <c r="L1752" s="19">
        <v>0.19588919599999999</v>
      </c>
      <c r="M1752" s="19">
        <v>0.3871</v>
      </c>
      <c r="N1752" s="19">
        <v>0.25</v>
      </c>
      <c r="O1752" s="19">
        <v>0.66669999999999996</v>
      </c>
      <c r="P1752" s="19" t="s">
        <v>36</v>
      </c>
      <c r="Q1752" s="19"/>
      <c r="R1752" s="20">
        <v>21413</v>
      </c>
      <c r="S1752" s="21" t="str">
        <f>HYPERLINK("https://www.purdueglobal.edu/tuition-financial-aid/tuition-reduction/net-price-calculator/", "$15578")</f>
        <v>$15578</v>
      </c>
      <c r="T1752" s="20" t="s">
        <v>36</v>
      </c>
      <c r="U1752" s="20" t="s">
        <v>36</v>
      </c>
      <c r="V1752" s="20">
        <v>3190</v>
      </c>
      <c r="W1752" s="20">
        <v>12388</v>
      </c>
      <c r="Y1752" s="19">
        <v>0.58279999999999998</v>
      </c>
      <c r="Z1752" s="19">
        <v>0.51100000000000001</v>
      </c>
      <c r="AB1752" s="18">
        <v>25237</v>
      </c>
      <c r="AC1752" s="18">
        <v>5</v>
      </c>
    </row>
    <row r="1753" spans="1:29" ht="15.75" customHeight="1" x14ac:dyDescent="0.2">
      <c r="A1753" s="36" t="str">
        <f>HYPERLINK("https://www.purdueglobal.edu/campus-locations/des-moines-iowa/", "Kaplan University-Des Moines Campus")</f>
        <v>Kaplan University-Des Moines Campus</v>
      </c>
      <c r="B1753" s="18" t="s">
        <v>368</v>
      </c>
      <c r="C1753" s="18" t="s">
        <v>211</v>
      </c>
      <c r="D1753" s="18" t="s">
        <v>1636</v>
      </c>
      <c r="E1753" s="18" t="s">
        <v>36</v>
      </c>
      <c r="F1753" s="18" t="s">
        <v>36</v>
      </c>
      <c r="J1753" s="19"/>
      <c r="K1753" s="19">
        <v>0.42499999999999999</v>
      </c>
      <c r="L1753" s="19">
        <v>0.19588919599999999</v>
      </c>
      <c r="M1753" s="19">
        <v>0.37840000000000001</v>
      </c>
      <c r="N1753" s="19" t="s">
        <v>36</v>
      </c>
      <c r="O1753" s="19">
        <v>1</v>
      </c>
      <c r="P1753" s="19" t="s">
        <v>36</v>
      </c>
      <c r="Q1753" s="19">
        <v>3.5615826000000003E-2</v>
      </c>
      <c r="R1753" s="20">
        <v>23502</v>
      </c>
      <c r="S1753" s="21" t="str">
        <f>HYPERLINK("https://www.purdueglobal.edu/tuition-financial-aid/tuition-reduction/net-price-calculator/", "$21848")</f>
        <v>$21848</v>
      </c>
      <c r="T1753" s="20" t="s">
        <v>36</v>
      </c>
      <c r="U1753" s="20" t="s">
        <v>36</v>
      </c>
      <c r="V1753" s="20">
        <v>3190</v>
      </c>
      <c r="W1753" s="20">
        <v>18658</v>
      </c>
      <c r="Y1753" s="19">
        <v>0.55000000000000004</v>
      </c>
      <c r="Z1753" s="19">
        <v>0.47030000000000011</v>
      </c>
      <c r="AB1753" s="18">
        <v>657</v>
      </c>
      <c r="AC1753" s="18">
        <v>6</v>
      </c>
    </row>
    <row r="1754" spans="1:29" ht="15.75" customHeight="1" x14ac:dyDescent="0.2">
      <c r="A1754" s="36" t="str">
        <f>HYPERLINK("https://www.purdueglobal.edu/campus-locations/hagerstown-maryland/", "Kaplan University-Hagerstown Campus")</f>
        <v>Kaplan University-Hagerstown Campus</v>
      </c>
      <c r="B1754" s="18" t="s">
        <v>368</v>
      </c>
      <c r="C1754" s="18" t="s">
        <v>124</v>
      </c>
      <c r="D1754" s="18" t="s">
        <v>820</v>
      </c>
      <c r="E1754" s="18" t="s">
        <v>36</v>
      </c>
      <c r="F1754" s="18" t="s">
        <v>36</v>
      </c>
      <c r="J1754" s="19"/>
      <c r="K1754" s="19">
        <v>0</v>
      </c>
      <c r="L1754" s="19">
        <v>0.19588919599999999</v>
      </c>
      <c r="M1754" s="19">
        <v>0</v>
      </c>
      <c r="N1754" s="19" t="s">
        <v>36</v>
      </c>
      <c r="O1754" s="19" t="s">
        <v>36</v>
      </c>
      <c r="P1754" s="19" t="s">
        <v>36</v>
      </c>
      <c r="Q1754" s="19"/>
      <c r="R1754" s="20">
        <v>22412</v>
      </c>
      <c r="S1754" s="21" t="str">
        <f t="shared" ref="S1754:S1757" si="9">HYPERLINK("https://www.purdueglobal.edu/tuition-financial-aid/tuition-reduction/net-price-calculator/", "Not reported")</f>
        <v>Not reported</v>
      </c>
      <c r="T1754" s="20" t="s">
        <v>36</v>
      </c>
      <c r="U1754" s="20" t="s">
        <v>36</v>
      </c>
      <c r="V1754" s="20">
        <v>3189</v>
      </c>
      <c r="W1754" s="20" t="s">
        <v>36</v>
      </c>
      <c r="Y1754" s="19">
        <v>0.69110000000000005</v>
      </c>
      <c r="Z1754" s="19">
        <v>0.37230000000000002</v>
      </c>
      <c r="AB1754" s="18">
        <v>470</v>
      </c>
      <c r="AC1754" s="18">
        <v>5</v>
      </c>
    </row>
    <row r="1755" spans="1:29" ht="15.75" customHeight="1" x14ac:dyDescent="0.2">
      <c r="A1755" s="36" t="str">
        <f>HYPERLINK("https://www.purdueglobal.edu/campus-locations/lewiston-maine/", "Kaplan University-Maine Campus")</f>
        <v>Kaplan University-Maine Campus</v>
      </c>
      <c r="B1755" s="18" t="s">
        <v>368</v>
      </c>
      <c r="C1755" s="18" t="s">
        <v>43</v>
      </c>
      <c r="D1755" s="18" t="s">
        <v>44</v>
      </c>
      <c r="E1755" s="18" t="s">
        <v>36</v>
      </c>
      <c r="F1755" s="18" t="s">
        <v>36</v>
      </c>
      <c r="J1755" s="19"/>
      <c r="K1755" s="19">
        <v>0.2712</v>
      </c>
      <c r="L1755" s="19">
        <v>0.19588919599999999</v>
      </c>
      <c r="M1755" s="19">
        <v>0.28070000000000001</v>
      </c>
      <c r="N1755" s="19">
        <v>0</v>
      </c>
      <c r="O1755" s="19" t="s">
        <v>36</v>
      </c>
      <c r="P1755" s="19" t="s">
        <v>36</v>
      </c>
      <c r="Q1755" s="19"/>
      <c r="R1755" s="20">
        <v>20624</v>
      </c>
      <c r="S1755" s="21" t="str">
        <f t="shared" si="9"/>
        <v>Not reported</v>
      </c>
      <c r="T1755" s="20" t="s">
        <v>36</v>
      </c>
      <c r="U1755" s="20" t="s">
        <v>36</v>
      </c>
      <c r="V1755" s="20">
        <v>3189</v>
      </c>
      <c r="W1755" s="20" t="s">
        <v>36</v>
      </c>
      <c r="Y1755" s="19">
        <v>0.59950000000000003</v>
      </c>
      <c r="Z1755" s="19">
        <v>0.2382</v>
      </c>
      <c r="AB1755" s="18">
        <v>508</v>
      </c>
      <c r="AC1755" s="18">
        <v>5</v>
      </c>
    </row>
    <row r="1756" spans="1:29" ht="15.75" customHeight="1" x14ac:dyDescent="0.2">
      <c r="A1756" s="36" t="str">
        <f>HYPERLINK("https://www.purdueglobal.edu/campus-locations/lincoln-nebraska/", "Kaplan University-Lincoln Campus")</f>
        <v>Kaplan University-Lincoln Campus</v>
      </c>
      <c r="B1756" s="18" t="s">
        <v>368</v>
      </c>
      <c r="C1756" s="18" t="s">
        <v>341</v>
      </c>
      <c r="D1756" s="18" t="s">
        <v>516</v>
      </c>
      <c r="E1756" s="18" t="s">
        <v>36</v>
      </c>
      <c r="F1756" s="18" t="s">
        <v>36</v>
      </c>
      <c r="J1756" s="19"/>
      <c r="K1756" s="19">
        <v>0.31580000000000003</v>
      </c>
      <c r="L1756" s="19">
        <v>0.19588919599999999</v>
      </c>
      <c r="M1756" s="19">
        <v>0.35289999999999999</v>
      </c>
      <c r="N1756" s="19" t="s">
        <v>36</v>
      </c>
      <c r="O1756" s="19" t="s">
        <v>36</v>
      </c>
      <c r="P1756" s="19" t="s">
        <v>36</v>
      </c>
      <c r="Q1756" s="19"/>
      <c r="R1756" s="20">
        <v>23502</v>
      </c>
      <c r="S1756" s="21" t="str">
        <f t="shared" si="9"/>
        <v>Not reported</v>
      </c>
      <c r="T1756" s="20" t="s">
        <v>36</v>
      </c>
      <c r="U1756" s="20" t="s">
        <v>36</v>
      </c>
      <c r="V1756" s="20">
        <v>3190</v>
      </c>
      <c r="W1756" s="20" t="s">
        <v>36</v>
      </c>
      <c r="Y1756" s="19">
        <v>0.6532</v>
      </c>
      <c r="Z1756" s="19">
        <v>0.31490000000000001</v>
      </c>
      <c r="AB1756" s="18">
        <v>235</v>
      </c>
      <c r="AC1756" s="18">
        <v>5</v>
      </c>
    </row>
    <row r="1757" spans="1:29" ht="15.75" customHeight="1" x14ac:dyDescent="0.2">
      <c r="A1757" s="36" t="str">
        <f>HYPERLINK("https://www.purdueglobal.edu/campus-locations/mason-city-iowa/", "Kaplan University-Mason City Campus")</f>
        <v>Kaplan University-Mason City Campus</v>
      </c>
      <c r="B1757" s="18" t="s">
        <v>368</v>
      </c>
      <c r="C1757" s="18" t="s">
        <v>211</v>
      </c>
      <c r="D1757" s="18" t="s">
        <v>1579</v>
      </c>
      <c r="E1757" s="18" t="s">
        <v>36</v>
      </c>
      <c r="F1757" s="18" t="s">
        <v>36</v>
      </c>
      <c r="J1757" s="19"/>
      <c r="K1757" s="19">
        <v>0.2727</v>
      </c>
      <c r="L1757" s="19">
        <v>0.19588919599999999</v>
      </c>
      <c r="M1757" s="19">
        <v>0.3</v>
      </c>
      <c r="N1757" s="19" t="s">
        <v>36</v>
      </c>
      <c r="O1757" s="19">
        <v>0</v>
      </c>
      <c r="P1757" s="19" t="s">
        <v>36</v>
      </c>
      <c r="Q1757" s="19">
        <v>3.5615826000000003E-2</v>
      </c>
      <c r="R1757" s="20">
        <v>23502</v>
      </c>
      <c r="S1757" s="21" t="str">
        <f t="shared" si="9"/>
        <v>Not reported</v>
      </c>
      <c r="T1757" s="20" t="s">
        <v>36</v>
      </c>
      <c r="U1757" s="20" t="s">
        <v>36</v>
      </c>
      <c r="V1757" s="20">
        <v>3190</v>
      </c>
      <c r="W1757" s="20" t="s">
        <v>36</v>
      </c>
      <c r="Y1757" s="19">
        <v>0.68510000000000004</v>
      </c>
      <c r="Z1757" s="19">
        <v>0.44359999999999999</v>
      </c>
      <c r="AB1757" s="18">
        <v>133</v>
      </c>
      <c r="AC1757" s="18">
        <v>6</v>
      </c>
    </row>
    <row r="1758" spans="1:29" ht="15.75" customHeight="1" x14ac:dyDescent="0.2">
      <c r="A1758" s="36" t="str">
        <f>HYPERLINK("https://www.purdueglobal.edu/campus-locations/omaha-nebraska/", "Kaplan University-Omaha Campus")</f>
        <v>Kaplan University-Omaha Campus</v>
      </c>
      <c r="B1758" s="18" t="s">
        <v>368</v>
      </c>
      <c r="C1758" s="18" t="s">
        <v>341</v>
      </c>
      <c r="D1758" s="18" t="s">
        <v>345</v>
      </c>
      <c r="E1758" s="18" t="s">
        <v>36</v>
      </c>
      <c r="F1758" s="18" t="s">
        <v>36</v>
      </c>
      <c r="J1758" s="19"/>
      <c r="K1758" s="19">
        <v>0.25</v>
      </c>
      <c r="L1758" s="19">
        <v>0.19588919599999999</v>
      </c>
      <c r="M1758" s="19">
        <v>0.2</v>
      </c>
      <c r="N1758" s="19">
        <v>0.1111</v>
      </c>
      <c r="O1758" s="19">
        <v>0.66669999999999996</v>
      </c>
      <c r="P1758" s="19" t="s">
        <v>36</v>
      </c>
      <c r="Q1758" s="19"/>
      <c r="R1758" s="20">
        <v>23502</v>
      </c>
      <c r="S1758" s="21" t="str">
        <f>HYPERLINK("https://www.purdueglobal.edu/tuition-financial-aid/tuition-reduction/net-price-calculator/", "$19569")</f>
        <v>$19569</v>
      </c>
      <c r="T1758" s="20" t="s">
        <v>36</v>
      </c>
      <c r="U1758" s="20" t="s">
        <v>36</v>
      </c>
      <c r="V1758" s="20">
        <v>3190</v>
      </c>
      <c r="W1758" s="20">
        <v>16379</v>
      </c>
      <c r="Y1758" s="19">
        <v>0.71919999999999995</v>
      </c>
      <c r="Z1758" s="19">
        <v>0.50990000000000002</v>
      </c>
      <c r="AB1758" s="18">
        <v>355</v>
      </c>
      <c r="AC1758" s="18">
        <v>5</v>
      </c>
    </row>
    <row r="1759" spans="1:29" ht="15.75" customHeight="1" x14ac:dyDescent="0.2">
      <c r="A1759" s="36" t="str">
        <f>HYPERLINK("https://www.pnw.edu", "Purdue University-Calumet Campus")</f>
        <v>Purdue University-Calumet Campus</v>
      </c>
      <c r="B1759" s="18" t="s">
        <v>49</v>
      </c>
      <c r="C1759" s="18" t="s">
        <v>148</v>
      </c>
      <c r="D1759" s="18" t="s">
        <v>823</v>
      </c>
      <c r="E1759" s="18">
        <v>1082</v>
      </c>
      <c r="F1759" s="18" t="s">
        <v>35</v>
      </c>
      <c r="J1759" s="19"/>
      <c r="K1759" s="19">
        <v>0.34439999999999998</v>
      </c>
      <c r="L1759" s="19" t="s">
        <v>36</v>
      </c>
      <c r="M1759" s="19">
        <v>0.37230000000000002</v>
      </c>
      <c r="N1759" s="19">
        <v>0.1565</v>
      </c>
      <c r="O1759" s="19">
        <v>0.33939999999999998</v>
      </c>
      <c r="P1759" s="19">
        <v>0.2727</v>
      </c>
      <c r="Q1759" s="19"/>
      <c r="R1759" s="20">
        <v>32094</v>
      </c>
      <c r="S1759" s="21" t="str">
        <f>HYPERLINK("https://admissions.pnw.edu/financial-aid/net-price-calculators/", "$23107")</f>
        <v>$23107</v>
      </c>
      <c r="T1759" s="20">
        <v>28131</v>
      </c>
      <c r="U1759" s="20">
        <v>30424</v>
      </c>
      <c r="V1759" s="20">
        <v>7368</v>
      </c>
      <c r="W1759" s="20">
        <v>15739.310850439881</v>
      </c>
      <c r="Y1759" s="19">
        <v>0.245</v>
      </c>
      <c r="Z1759" s="19">
        <v>0.38629999999999998</v>
      </c>
      <c r="AB1759" s="18">
        <v>8665</v>
      </c>
      <c r="AC1759" s="18">
        <v>5</v>
      </c>
    </row>
    <row r="1760" spans="1:29" ht="15.75" customHeight="1" x14ac:dyDescent="0.2">
      <c r="A1760" s="36" t="str">
        <f>HYPERLINK("https://www.purdue.edu", "Purdue University-Main Campus")</f>
        <v>Purdue University-Main Campus</v>
      </c>
      <c r="B1760" s="18" t="s">
        <v>49</v>
      </c>
      <c r="C1760" s="18" t="s">
        <v>148</v>
      </c>
      <c r="D1760" s="18" t="s">
        <v>239</v>
      </c>
      <c r="E1760" s="18">
        <v>1293</v>
      </c>
      <c r="F1760" s="18" t="s">
        <v>35</v>
      </c>
      <c r="J1760" s="19"/>
      <c r="K1760" s="19">
        <v>0.78359999999999996</v>
      </c>
      <c r="L1760" s="19">
        <v>0.58739255000000001</v>
      </c>
      <c r="M1760" s="19">
        <v>0.79320000000000002</v>
      </c>
      <c r="N1760" s="19">
        <v>0.65529999999999999</v>
      </c>
      <c r="O1760" s="19">
        <v>0.72960000000000003</v>
      </c>
      <c r="P1760" s="19">
        <v>0.73850000000000005</v>
      </c>
      <c r="Q1760" s="19"/>
      <c r="R1760" s="20">
        <v>41614</v>
      </c>
      <c r="S1760" s="21" t="str">
        <f>HYPERLINK("https://www.purdue.edu/DFA/estimator", "$24217")</f>
        <v>$24217</v>
      </c>
      <c r="T1760" s="20">
        <v>27967</v>
      </c>
      <c r="U1760" s="20">
        <v>35626</v>
      </c>
      <c r="V1760" s="20">
        <v>2790</v>
      </c>
      <c r="W1760" s="20">
        <v>21427.76666666667</v>
      </c>
      <c r="Y1760" s="19">
        <v>0.16719999999999999</v>
      </c>
      <c r="Z1760" s="19">
        <v>0.36220000000000002</v>
      </c>
      <c r="AB1760" s="18">
        <v>31887</v>
      </c>
      <c r="AC1760" s="18">
        <v>2</v>
      </c>
    </row>
    <row r="1761" spans="1:29" ht="15.75" customHeight="1" x14ac:dyDescent="0.2">
      <c r="A1761" s="36" t="str">
        <f>HYPERLINK("https://www.queens.edu", "Queens University of Charlotte")</f>
        <v>Queens University of Charlotte</v>
      </c>
      <c r="B1761" s="18" t="s">
        <v>32</v>
      </c>
      <c r="C1761" s="18" t="s">
        <v>103</v>
      </c>
      <c r="D1761" s="18" t="s">
        <v>447</v>
      </c>
      <c r="E1761" s="18">
        <v>1132</v>
      </c>
      <c r="F1761" s="18" t="s">
        <v>35</v>
      </c>
      <c r="J1761" s="19"/>
      <c r="K1761" s="19">
        <v>0.54490000000000005</v>
      </c>
      <c r="L1761" s="19">
        <v>0.50627615100000001</v>
      </c>
      <c r="M1761" s="19">
        <v>0.60440000000000005</v>
      </c>
      <c r="N1761" s="19">
        <v>0.45610000000000001</v>
      </c>
      <c r="O1761" s="19">
        <v>0.33329999999999999</v>
      </c>
      <c r="P1761" s="19">
        <v>0.5</v>
      </c>
      <c r="Q1761" s="19"/>
      <c r="R1761" s="20">
        <v>48776</v>
      </c>
      <c r="S1761" s="21" t="str">
        <f>HYPERLINK("https://tcc.ruffalonl.com/Queens%20University%20of%20Charlotte/Freshman%20Students", "$18397")</f>
        <v>$18397</v>
      </c>
      <c r="T1761" s="20">
        <v>20073</v>
      </c>
      <c r="U1761" s="20">
        <v>23065</v>
      </c>
      <c r="V1761" s="20">
        <v>3400</v>
      </c>
      <c r="W1761" s="20">
        <v>14997</v>
      </c>
      <c r="Y1761" s="19">
        <v>0.24490000000000001</v>
      </c>
      <c r="Z1761" s="19">
        <v>0.42449999999999999</v>
      </c>
      <c r="AB1761" s="18">
        <v>1602</v>
      </c>
      <c r="AC1761" s="18">
        <v>3</v>
      </c>
    </row>
    <row r="1762" spans="1:29" ht="15.75" customHeight="1" x14ac:dyDescent="0.2">
      <c r="A1762" s="36" t="str">
        <f>HYPERLINK("https://www.quincycollege.edu", "Quincy College")</f>
        <v>Quincy College</v>
      </c>
      <c r="B1762" s="18" t="s">
        <v>49</v>
      </c>
      <c r="C1762" s="18" t="s">
        <v>33</v>
      </c>
      <c r="D1762" s="18" t="s">
        <v>716</v>
      </c>
      <c r="E1762" s="18" t="s">
        <v>36</v>
      </c>
      <c r="F1762" s="18" t="s">
        <v>36</v>
      </c>
      <c r="J1762" s="19"/>
      <c r="K1762" s="19">
        <v>0.125</v>
      </c>
      <c r="L1762" s="19">
        <v>0.21044992700000001</v>
      </c>
      <c r="M1762" s="19">
        <v>0.1145</v>
      </c>
      <c r="N1762" s="19">
        <v>7.2499999999999995E-2</v>
      </c>
      <c r="O1762" s="19">
        <v>0</v>
      </c>
      <c r="P1762" s="19">
        <v>9.7600000000000006E-2</v>
      </c>
      <c r="Q1762" s="19">
        <v>0.101437025</v>
      </c>
      <c r="R1762" s="20">
        <v>26806</v>
      </c>
      <c r="S1762" s="21" t="str">
        <f>HYPERLINK("https://www.quincycollege.edu/netprice/npcalc.htm", "$22473")</f>
        <v>$22473</v>
      </c>
      <c r="T1762" s="20">
        <v>24415</v>
      </c>
      <c r="U1762" s="20">
        <v>26125</v>
      </c>
      <c r="V1762" s="20">
        <v>5500</v>
      </c>
      <c r="W1762" s="20">
        <v>16973.325806451609</v>
      </c>
      <c r="Y1762" s="19">
        <v>0.42199999999999999</v>
      </c>
      <c r="Z1762" s="19">
        <v>0.60660000000000003</v>
      </c>
      <c r="AB1762" s="18">
        <v>4634</v>
      </c>
      <c r="AC1762" s="18">
        <v>6</v>
      </c>
    </row>
    <row r="1763" spans="1:29" ht="15.75" customHeight="1" x14ac:dyDescent="0.2">
      <c r="A1763" s="36" t="str">
        <f>HYPERLINK("https://www.quincy.edu", "Quincy University")</f>
        <v>Quincy University</v>
      </c>
      <c r="B1763" s="18" t="s">
        <v>32</v>
      </c>
      <c r="C1763" s="18" t="s">
        <v>137</v>
      </c>
      <c r="D1763" s="18" t="s">
        <v>716</v>
      </c>
      <c r="E1763" s="18">
        <v>1082</v>
      </c>
      <c r="F1763" s="18" t="s">
        <v>35</v>
      </c>
      <c r="J1763" s="19"/>
      <c r="K1763" s="19">
        <v>0.45650000000000002</v>
      </c>
      <c r="L1763" s="19">
        <v>0.417218543</v>
      </c>
      <c r="M1763" s="19">
        <v>0.4551</v>
      </c>
      <c r="N1763" s="19">
        <v>0.41670000000000001</v>
      </c>
      <c r="O1763" s="19">
        <v>0.21049999999999999</v>
      </c>
      <c r="P1763" s="19">
        <v>1</v>
      </c>
      <c r="Q1763" s="19"/>
      <c r="R1763" s="20">
        <v>41670</v>
      </c>
      <c r="S1763" s="21" t="str">
        <f>HYPERLINK("https://www.quincy.edu/admissions/net-price-calculator/", "$15383")</f>
        <v>$15383</v>
      </c>
      <c r="T1763" s="20">
        <v>15138</v>
      </c>
      <c r="U1763" s="20">
        <v>18351</v>
      </c>
      <c r="V1763" s="20">
        <v>3400</v>
      </c>
      <c r="W1763" s="20">
        <v>11983</v>
      </c>
      <c r="Y1763" s="19">
        <v>0.32469999999999999</v>
      </c>
      <c r="Z1763" s="19">
        <v>0.32850000000000001</v>
      </c>
      <c r="AB1763" s="18">
        <v>898</v>
      </c>
      <c r="AC1763" s="18">
        <v>5</v>
      </c>
    </row>
    <row r="1764" spans="1:29" ht="15.75" customHeight="1" x14ac:dyDescent="0.2">
      <c r="A1764" s="36" t="str">
        <f>HYPERLINK("https://qvcc.edu", "Quinebaug Valley Community College")</f>
        <v>Quinebaug Valley Community College</v>
      </c>
      <c r="B1764" s="18" t="s">
        <v>49</v>
      </c>
      <c r="C1764" s="18" t="s">
        <v>94</v>
      </c>
      <c r="D1764" s="18" t="s">
        <v>1637</v>
      </c>
      <c r="E1764" s="18" t="s">
        <v>36</v>
      </c>
      <c r="F1764" s="18" t="s">
        <v>36</v>
      </c>
      <c r="J1764" s="19"/>
      <c r="K1764" s="19">
        <v>0.2208</v>
      </c>
      <c r="L1764" s="19">
        <v>0.10653753000000001</v>
      </c>
      <c r="M1764" s="19">
        <v>0.247</v>
      </c>
      <c r="N1764" s="19">
        <v>8.3299999999999999E-2</v>
      </c>
      <c r="O1764" s="19">
        <v>0.1163</v>
      </c>
      <c r="P1764" s="19">
        <v>0.2</v>
      </c>
      <c r="Q1764" s="19">
        <v>3.6906854000000003E-2</v>
      </c>
      <c r="R1764" s="20">
        <v>26352</v>
      </c>
      <c r="S1764" s="21" t="str">
        <f>HYPERLINK("https://bor.ct.edu/finaid/netprice/l_npcalc.htm", "$20799")</f>
        <v>$20799</v>
      </c>
      <c r="T1764" s="20">
        <v>21300</v>
      </c>
      <c r="U1764" s="20" t="s">
        <v>36</v>
      </c>
      <c r="V1764" s="20">
        <v>4730</v>
      </c>
      <c r="W1764" s="20">
        <v>16069.13541666667</v>
      </c>
      <c r="Y1764" s="19">
        <v>0.4824</v>
      </c>
      <c r="Z1764" s="19">
        <v>0.26840000000000003</v>
      </c>
      <c r="AB1764" s="18">
        <v>1401</v>
      </c>
      <c r="AC1764" s="18">
        <v>6</v>
      </c>
    </row>
    <row r="1765" spans="1:29" ht="15.75" customHeight="1" x14ac:dyDescent="0.2">
      <c r="A1765" s="36" t="str">
        <f>HYPERLINK("https://www.qu.edu", "Quinnipiac University")</f>
        <v>Quinnipiac University</v>
      </c>
      <c r="B1765" s="18" t="s">
        <v>32</v>
      </c>
      <c r="C1765" s="18" t="s">
        <v>94</v>
      </c>
      <c r="D1765" s="18" t="s">
        <v>448</v>
      </c>
      <c r="E1765" s="18">
        <v>1184</v>
      </c>
      <c r="F1765" s="18" t="s">
        <v>35</v>
      </c>
      <c r="J1765" s="19"/>
      <c r="K1765" s="19">
        <v>0.74780000000000002</v>
      </c>
      <c r="L1765" s="19">
        <v>0.62420382200000002</v>
      </c>
      <c r="M1765" s="19">
        <v>0.76180000000000003</v>
      </c>
      <c r="N1765" s="19">
        <v>0.70589999999999997</v>
      </c>
      <c r="O1765" s="19">
        <v>0.73909999999999998</v>
      </c>
      <c r="P1765" s="19">
        <v>0.60529999999999995</v>
      </c>
      <c r="Q1765" s="19"/>
      <c r="R1765" s="20">
        <v>63770</v>
      </c>
      <c r="S1765" s="21" t="str">
        <f>HYPERLINK("https://quinnipiac.studentaidcalculator.com/welcome.aspx", "$32637")</f>
        <v>$32637</v>
      </c>
      <c r="T1765" s="20">
        <v>35143</v>
      </c>
      <c r="U1765" s="20">
        <v>37640</v>
      </c>
      <c r="V1765" s="20">
        <v>2800</v>
      </c>
      <c r="W1765" s="20">
        <v>29837</v>
      </c>
      <c r="Y1765" s="19">
        <v>0.15260000000000001</v>
      </c>
      <c r="Z1765" s="19">
        <v>0.23780000000000001</v>
      </c>
      <c r="AB1765" s="18">
        <v>7249</v>
      </c>
      <c r="AC1765" s="18">
        <v>3</v>
      </c>
    </row>
    <row r="1766" spans="1:29" ht="15.75" customHeight="1" x14ac:dyDescent="0.2">
      <c r="A1766" s="36" t="str">
        <f>HYPERLINK("https://www.qcc.edu", "Quinsigamond Community College")</f>
        <v>Quinsigamond Community College</v>
      </c>
      <c r="B1766" s="18" t="s">
        <v>49</v>
      </c>
      <c r="C1766" s="18" t="s">
        <v>33</v>
      </c>
      <c r="D1766" s="18" t="s">
        <v>86</v>
      </c>
      <c r="E1766" s="18" t="s">
        <v>36</v>
      </c>
      <c r="F1766" s="18" t="s">
        <v>36</v>
      </c>
      <c r="J1766" s="19"/>
      <c r="K1766" s="19">
        <v>0.19139999999999999</v>
      </c>
      <c r="L1766" s="19">
        <v>0.21484888299999999</v>
      </c>
      <c r="M1766" s="19">
        <v>0.20250000000000001</v>
      </c>
      <c r="N1766" s="19">
        <v>0.22620000000000001</v>
      </c>
      <c r="O1766" s="19">
        <v>0.13070000000000001</v>
      </c>
      <c r="P1766" s="19">
        <v>0.27450000000000002</v>
      </c>
      <c r="Q1766" s="19">
        <v>7.0929804999999999E-2</v>
      </c>
      <c r="R1766" s="20">
        <v>22984</v>
      </c>
      <c r="S1766" s="21" t="str">
        <f>HYPERLINK("https://www.qcc.edu/federal-net-price-calculator", "$17513")</f>
        <v>$17513</v>
      </c>
      <c r="T1766" s="20">
        <v>20397</v>
      </c>
      <c r="U1766" s="20">
        <v>22158</v>
      </c>
      <c r="V1766" s="20">
        <v>3648</v>
      </c>
      <c r="W1766" s="20">
        <v>13865.831658291459</v>
      </c>
      <c r="Y1766" s="19">
        <v>0.4335</v>
      </c>
      <c r="Z1766" s="19">
        <v>0.45490000000000003</v>
      </c>
      <c r="AB1766" s="18">
        <v>6584</v>
      </c>
      <c r="AC1766" s="18">
        <v>6</v>
      </c>
    </row>
    <row r="1767" spans="1:29" ht="15.75" customHeight="1" x14ac:dyDescent="0.2">
      <c r="A1767" s="36" t="str">
        <f>HYPERLINK("https://rabbinicalcollegebethshraga.com", "Rabbinical College Beth Shraga")</f>
        <v>Rabbinical College Beth Shraga</v>
      </c>
      <c r="B1767" s="18" t="s">
        <v>32</v>
      </c>
      <c r="C1767" s="18" t="s">
        <v>38</v>
      </c>
      <c r="D1767" s="18" t="s">
        <v>1638</v>
      </c>
      <c r="E1767" s="18" t="s">
        <v>36</v>
      </c>
      <c r="F1767" s="18" t="s">
        <v>45</v>
      </c>
      <c r="J1767" s="19"/>
      <c r="K1767" s="19">
        <v>4.5499999999999999E-2</v>
      </c>
      <c r="L1767" s="19" t="s">
        <v>36</v>
      </c>
      <c r="M1767" s="19">
        <v>4.5499999999999999E-2</v>
      </c>
      <c r="N1767" s="19" t="s">
        <v>36</v>
      </c>
      <c r="O1767" s="19" t="s">
        <v>36</v>
      </c>
      <c r="P1767" s="19" t="s">
        <v>36</v>
      </c>
      <c r="Q1767" s="19" t="s">
        <v>36</v>
      </c>
      <c r="R1767" s="20">
        <v>22650</v>
      </c>
      <c r="S1767" s="21" t="str">
        <f>HYPERLINK("https://sites.google.com/site/rabbinicalcollegebethshraga/", "$9872")</f>
        <v>$9872</v>
      </c>
      <c r="T1767" s="20">
        <v>11375</v>
      </c>
      <c r="U1767" s="20">
        <v>7795</v>
      </c>
      <c r="V1767" s="20">
        <v>4000</v>
      </c>
      <c r="W1767" s="20">
        <v>5872</v>
      </c>
      <c r="Y1767" s="19">
        <v>0.35420000000000001</v>
      </c>
      <c r="Z1767" s="19">
        <v>0</v>
      </c>
      <c r="AB1767" s="18">
        <v>39</v>
      </c>
      <c r="AC1767" s="18">
        <v>6</v>
      </c>
    </row>
    <row r="1768" spans="1:29" ht="15.75" customHeight="1" x14ac:dyDescent="0.2">
      <c r="A1768" s="36" t="str">
        <f>HYPERLINK("https://rabbinicalcollegelongisland.com", "Rabbinical College of Long Island")</f>
        <v>Rabbinical College of Long Island</v>
      </c>
      <c r="B1768" s="18" t="s">
        <v>32</v>
      </c>
      <c r="C1768" s="18" t="s">
        <v>38</v>
      </c>
      <c r="D1768" s="18" t="s">
        <v>608</v>
      </c>
      <c r="E1768" s="18" t="s">
        <v>36</v>
      </c>
      <c r="F1768" s="18" t="s">
        <v>45</v>
      </c>
      <c r="J1768" s="19"/>
      <c r="K1768" s="19" t="s">
        <v>36</v>
      </c>
      <c r="L1768" s="19" t="s">
        <v>36</v>
      </c>
      <c r="M1768" s="19" t="s">
        <v>36</v>
      </c>
      <c r="N1768" s="19" t="s">
        <v>36</v>
      </c>
      <c r="O1768" s="19" t="s">
        <v>36</v>
      </c>
      <c r="P1768" s="19" t="s">
        <v>36</v>
      </c>
      <c r="Q1768" s="19" t="s">
        <v>36</v>
      </c>
      <c r="R1768" s="20">
        <v>17700</v>
      </c>
      <c r="S1768" s="21" t="str">
        <f>HYPERLINK("https://sites.google.com/site/rabbinicalcollegeoflongisland/", "$9998")</f>
        <v>$9998</v>
      </c>
      <c r="T1768" s="20">
        <v>10205</v>
      </c>
      <c r="U1768" s="20">
        <v>5687</v>
      </c>
      <c r="V1768" s="20">
        <v>4000</v>
      </c>
      <c r="W1768" s="20">
        <v>5998</v>
      </c>
      <c r="Y1768" s="19">
        <v>0.3286</v>
      </c>
      <c r="Z1768" s="19">
        <v>7.0000000000000062E-3</v>
      </c>
      <c r="AB1768" s="18">
        <v>143</v>
      </c>
      <c r="AC1768" s="18">
        <v>6</v>
      </c>
    </row>
    <row r="1769" spans="1:29" ht="15.75" customHeight="1" x14ac:dyDescent="0.2">
      <c r="A1769" s="36" t="str">
        <f>HYPERLINK("https://www.radford.edu", "Radford University")</f>
        <v>Radford University</v>
      </c>
      <c r="B1769" s="18" t="s">
        <v>49</v>
      </c>
      <c r="C1769" s="18" t="s">
        <v>83</v>
      </c>
      <c r="D1769" s="18" t="s">
        <v>1077</v>
      </c>
      <c r="E1769" s="18" t="s">
        <v>36</v>
      </c>
      <c r="F1769" s="18" t="s">
        <v>90</v>
      </c>
      <c r="J1769" s="19"/>
      <c r="K1769" s="19">
        <v>0.55169999999999997</v>
      </c>
      <c r="L1769" s="19">
        <v>0.62051282100000005</v>
      </c>
      <c r="M1769" s="19">
        <v>0.56940000000000002</v>
      </c>
      <c r="N1769" s="19">
        <v>0.51580000000000004</v>
      </c>
      <c r="O1769" s="19">
        <v>0.47560000000000002</v>
      </c>
      <c r="P1769" s="19">
        <v>0.29170000000000001</v>
      </c>
      <c r="Q1769" s="19"/>
      <c r="R1769" s="20">
        <v>35331</v>
      </c>
      <c r="S1769" s="21" t="str">
        <f>HYPERLINK("https://npc.collegeboard.org/student/app/radford", "$25060")</f>
        <v>$25060</v>
      </c>
      <c r="T1769" s="20">
        <v>29571</v>
      </c>
      <c r="U1769" s="20">
        <v>33647</v>
      </c>
      <c r="V1769" s="20">
        <v>4100</v>
      </c>
      <c r="W1769" s="20">
        <v>20960.02132196162</v>
      </c>
      <c r="Y1769" s="19">
        <v>0.32719999999999999</v>
      </c>
      <c r="Z1769" s="19">
        <v>0.33169999999999999</v>
      </c>
      <c r="AB1769" s="18">
        <v>8376</v>
      </c>
      <c r="AC1769" s="18">
        <v>4</v>
      </c>
    </row>
    <row r="1770" spans="1:29" ht="15.75" customHeight="1" x14ac:dyDescent="0.2">
      <c r="A1770" s="36" t="str">
        <f>HYPERLINK("https://www.rainyriver.edu", "Rainy River Community College")</f>
        <v>Rainy River Community College</v>
      </c>
      <c r="B1770" s="18" t="s">
        <v>49</v>
      </c>
      <c r="C1770" s="18" t="s">
        <v>72</v>
      </c>
      <c r="D1770" s="18" t="s">
        <v>1639</v>
      </c>
      <c r="E1770" s="18" t="s">
        <v>36</v>
      </c>
      <c r="F1770" s="18" t="s">
        <v>36</v>
      </c>
      <c r="J1770" s="19"/>
      <c r="K1770" s="19">
        <v>0.32429999999999998</v>
      </c>
      <c r="L1770" s="19" t="s">
        <v>36</v>
      </c>
      <c r="M1770" s="19">
        <v>0.42859999999999998</v>
      </c>
      <c r="N1770" s="19">
        <v>0.33329999999999999</v>
      </c>
      <c r="O1770" s="19">
        <v>0</v>
      </c>
      <c r="P1770" s="19">
        <v>0</v>
      </c>
      <c r="Q1770" s="19" t="s">
        <v>36</v>
      </c>
      <c r="R1770" s="20">
        <v>16107</v>
      </c>
      <c r="S1770" s="21" t="str">
        <f>HYPERLINK("https://www.minnstate.edu/admissions/calculator/rainyriver.html", "$9443")</f>
        <v>$9443</v>
      </c>
      <c r="T1770" s="20">
        <v>12326</v>
      </c>
      <c r="U1770" s="20">
        <v>14958</v>
      </c>
      <c r="V1770" s="20">
        <v>4400</v>
      </c>
      <c r="W1770" s="20">
        <v>5043</v>
      </c>
      <c r="Y1770" s="19">
        <v>0.37269999999999998</v>
      </c>
      <c r="Z1770" s="19">
        <v>0.46020000000000011</v>
      </c>
      <c r="AB1770" s="18">
        <v>176</v>
      </c>
      <c r="AC1770" s="18">
        <v>6</v>
      </c>
    </row>
    <row r="1771" spans="1:29" ht="15.75" customHeight="1" x14ac:dyDescent="0.2">
      <c r="A1771" s="36" t="str">
        <f>HYPERLINK("https://www.ramapo.edu", "Ramapo College of New Jersey")</f>
        <v>Ramapo College of New Jersey</v>
      </c>
      <c r="B1771" s="18" t="s">
        <v>49</v>
      </c>
      <c r="C1771" s="18" t="s">
        <v>141</v>
      </c>
      <c r="D1771" s="18" t="s">
        <v>1079</v>
      </c>
      <c r="E1771" s="18">
        <v>1146</v>
      </c>
      <c r="F1771" s="18" t="s">
        <v>35</v>
      </c>
      <c r="J1771" s="19"/>
      <c r="K1771" s="19">
        <v>0.74019999999999997</v>
      </c>
      <c r="L1771" s="19">
        <v>0.571428571</v>
      </c>
      <c r="M1771" s="19">
        <v>0.7823</v>
      </c>
      <c r="N1771" s="19">
        <v>0.59089999999999998</v>
      </c>
      <c r="O1771" s="19">
        <v>0.65849999999999997</v>
      </c>
      <c r="P1771" s="19">
        <v>0.73329999999999995</v>
      </c>
      <c r="Q1771" s="19"/>
      <c r="R1771" s="20">
        <v>39973</v>
      </c>
      <c r="S1771" s="21" t="str">
        <f>HYPERLINK("https://www.finaid.org/calculators/", "$23978")</f>
        <v>$23978</v>
      </c>
      <c r="T1771" s="20">
        <v>34071</v>
      </c>
      <c r="U1771" s="20">
        <v>38175</v>
      </c>
      <c r="V1771" s="20">
        <v>4579</v>
      </c>
      <c r="W1771" s="20">
        <v>19399.62827225131</v>
      </c>
      <c r="Y1771" s="19">
        <v>0.2477</v>
      </c>
      <c r="Z1771" s="19">
        <v>0.36430000000000001</v>
      </c>
      <c r="AB1771" s="18">
        <v>5314</v>
      </c>
      <c r="AC1771" s="18">
        <v>4</v>
      </c>
    </row>
    <row r="1772" spans="1:29" ht="15.75" customHeight="1" x14ac:dyDescent="0.2">
      <c r="A1772" s="36" t="str">
        <f>HYPERLINK("https://www.randolphcollege.edu", "Randolph College")</f>
        <v>Randolph College</v>
      </c>
      <c r="B1772" s="18" t="s">
        <v>32</v>
      </c>
      <c r="C1772" s="18" t="s">
        <v>83</v>
      </c>
      <c r="D1772" s="18" t="s">
        <v>449</v>
      </c>
      <c r="E1772" s="18">
        <v>1079</v>
      </c>
      <c r="F1772" s="18" t="s">
        <v>35</v>
      </c>
      <c r="J1772" s="19"/>
      <c r="K1772" s="19">
        <v>0.58760000000000001</v>
      </c>
      <c r="L1772" s="19">
        <v>0.48148148200000002</v>
      </c>
      <c r="M1772" s="19">
        <v>0.5403</v>
      </c>
      <c r="N1772" s="19">
        <v>0.58330000000000004</v>
      </c>
      <c r="O1772" s="19">
        <v>0.4</v>
      </c>
      <c r="P1772" s="19">
        <v>1</v>
      </c>
      <c r="Q1772" s="19"/>
      <c r="R1772" s="20">
        <v>54225</v>
      </c>
      <c r="S1772" s="21" t="str">
        <f>HYPERLINK("https://www.randolphcollege.edu/financialaid/net-price-calculator/", "$23198")</f>
        <v>$23198</v>
      </c>
      <c r="T1772" s="20">
        <v>25898</v>
      </c>
      <c r="U1772" s="20">
        <v>26466</v>
      </c>
      <c r="V1772" s="20">
        <v>3000</v>
      </c>
      <c r="W1772" s="20">
        <v>20198</v>
      </c>
      <c r="Y1772" s="19">
        <v>0.31069999999999998</v>
      </c>
      <c r="Z1772" s="19">
        <v>0.34720000000000001</v>
      </c>
      <c r="AB1772" s="18">
        <v>651</v>
      </c>
      <c r="AC1772" s="18">
        <v>3</v>
      </c>
    </row>
    <row r="1773" spans="1:29" ht="15.75" customHeight="1" x14ac:dyDescent="0.2">
      <c r="A1773" s="36" t="str">
        <f>HYPERLINK("https://www.randolph.edu", "Randolph Community College")</f>
        <v>Randolph Community College</v>
      </c>
      <c r="B1773" s="18" t="s">
        <v>49</v>
      </c>
      <c r="C1773" s="18" t="s">
        <v>103</v>
      </c>
      <c r="D1773" s="18" t="s">
        <v>1640</v>
      </c>
      <c r="E1773" s="18" t="s">
        <v>36</v>
      </c>
      <c r="F1773" s="18" t="s">
        <v>36</v>
      </c>
      <c r="J1773" s="19"/>
      <c r="K1773" s="19">
        <v>0.3049</v>
      </c>
      <c r="L1773" s="19" t="s">
        <v>36</v>
      </c>
      <c r="M1773" s="19">
        <v>0.3095</v>
      </c>
      <c r="N1773" s="19">
        <v>0.16669999999999999</v>
      </c>
      <c r="O1773" s="19">
        <v>0.23330000000000001</v>
      </c>
      <c r="P1773" s="19">
        <v>1</v>
      </c>
      <c r="Q1773" s="19">
        <v>5.2631578999999998E-2</v>
      </c>
      <c r="R1773" s="20">
        <v>23007</v>
      </c>
      <c r="S1773" s="21" t="str">
        <f>HYPERLINK("https://www.randolph.edu/financial-aid/costs-and-paying-your-bill.html", "$17530")</f>
        <v>$17530</v>
      </c>
      <c r="T1773" s="20">
        <v>17858</v>
      </c>
      <c r="U1773" s="20" t="s">
        <v>36</v>
      </c>
      <c r="V1773" s="20">
        <v>8122</v>
      </c>
      <c r="W1773" s="20">
        <v>9408.7142857142862</v>
      </c>
      <c r="Y1773" s="19">
        <v>0.4143</v>
      </c>
      <c r="Z1773" s="19">
        <v>0.32550000000000001</v>
      </c>
      <c r="AB1773" s="18">
        <v>1754</v>
      </c>
      <c r="AC1773" s="18">
        <v>6</v>
      </c>
    </row>
    <row r="1774" spans="1:29" ht="15.75" customHeight="1" x14ac:dyDescent="0.2">
      <c r="A1774" s="36" t="str">
        <f>HYPERLINK("https://www.rmc.edu", "Randolph-Macon College")</f>
        <v>Randolph-Macon College</v>
      </c>
      <c r="B1774" s="18" t="s">
        <v>32</v>
      </c>
      <c r="C1774" s="18" t="s">
        <v>83</v>
      </c>
      <c r="D1774" s="18" t="s">
        <v>563</v>
      </c>
      <c r="E1774" s="18">
        <v>1152</v>
      </c>
      <c r="F1774" s="18" t="s">
        <v>35</v>
      </c>
      <c r="J1774" s="19"/>
      <c r="K1774" s="19">
        <v>0.66259999999999997</v>
      </c>
      <c r="L1774" s="19">
        <v>0.51282051299999998</v>
      </c>
      <c r="M1774" s="19">
        <v>0.70589999999999997</v>
      </c>
      <c r="N1774" s="19">
        <v>0.55740000000000001</v>
      </c>
      <c r="O1774" s="19">
        <v>0.42109999999999997</v>
      </c>
      <c r="P1774" s="19">
        <v>1</v>
      </c>
      <c r="Q1774" s="19"/>
      <c r="R1774" s="20">
        <v>54180</v>
      </c>
      <c r="S1774" s="21" t="str">
        <f>HYPERLINK("https://www.rmc.edu/prospective-students/paying-for-college/net-price-calculator", "$20132")</f>
        <v>$20132</v>
      </c>
      <c r="T1774" s="20">
        <v>22796</v>
      </c>
      <c r="U1774" s="20">
        <v>26742</v>
      </c>
      <c r="V1774" s="20">
        <v>2700</v>
      </c>
      <c r="W1774" s="20">
        <v>17432</v>
      </c>
      <c r="Y1774" s="19">
        <v>0.2268</v>
      </c>
      <c r="Z1774" s="19">
        <v>0.22929999999999989</v>
      </c>
      <c r="AB1774" s="18">
        <v>1439</v>
      </c>
      <c r="AC1774" s="18">
        <v>4</v>
      </c>
    </row>
    <row r="1775" spans="1:29" ht="15.75" customHeight="1" x14ac:dyDescent="0.2">
      <c r="A1775" s="36" t="str">
        <f>HYPERLINK("https://www.rangercollege.edu", "Ranger College")</f>
        <v>Ranger College</v>
      </c>
      <c r="B1775" s="18" t="s">
        <v>49</v>
      </c>
      <c r="C1775" s="18" t="s">
        <v>146</v>
      </c>
      <c r="D1775" s="18" t="s">
        <v>1641</v>
      </c>
      <c r="E1775" s="18" t="s">
        <v>36</v>
      </c>
      <c r="F1775" s="18" t="s">
        <v>36</v>
      </c>
      <c r="J1775" s="19"/>
      <c r="K1775" s="19">
        <v>0.29899999999999999</v>
      </c>
      <c r="L1775" s="19">
        <v>0.14009661800000001</v>
      </c>
      <c r="M1775" s="19">
        <v>0.33019999999999999</v>
      </c>
      <c r="N1775" s="19">
        <v>8.1600000000000006E-2</v>
      </c>
      <c r="O1775" s="19">
        <v>0.42109999999999997</v>
      </c>
      <c r="P1775" s="19" t="s">
        <v>36</v>
      </c>
      <c r="Q1775" s="19">
        <v>0.12261580399999999</v>
      </c>
      <c r="R1775" s="20">
        <v>14641</v>
      </c>
      <c r="S1775" s="21" t="str">
        <f>HYPERLINK("https://www.rangercollege.edu", "$8352")</f>
        <v>$8352</v>
      </c>
      <c r="T1775" s="20">
        <v>9655</v>
      </c>
      <c r="U1775" s="20">
        <v>8665</v>
      </c>
      <c r="V1775" s="20">
        <v>4645</v>
      </c>
      <c r="W1775" s="20">
        <v>3707.4609375</v>
      </c>
      <c r="Y1775" s="19">
        <v>0.2666</v>
      </c>
      <c r="Z1775" s="19">
        <v>0.31730000000000003</v>
      </c>
      <c r="AB1775" s="18">
        <v>2291</v>
      </c>
      <c r="AC1775" s="18">
        <v>6</v>
      </c>
    </row>
    <row r="1776" spans="1:29" ht="15.75" customHeight="1" x14ac:dyDescent="0.2">
      <c r="A1776" s="36" t="str">
        <f>HYPERLINK("https://www.ranken.edu", "Ranken Technical College")</f>
        <v>Ranken Technical College</v>
      </c>
      <c r="B1776" s="18" t="s">
        <v>32</v>
      </c>
      <c r="C1776" s="18" t="s">
        <v>164</v>
      </c>
      <c r="D1776" s="18" t="s">
        <v>179</v>
      </c>
      <c r="E1776" s="18" t="s">
        <v>36</v>
      </c>
      <c r="F1776" s="18" t="s">
        <v>36</v>
      </c>
      <c r="J1776" s="19"/>
      <c r="K1776" s="19">
        <v>0.55730000000000002</v>
      </c>
      <c r="L1776" s="19">
        <v>0.46997929599999999</v>
      </c>
      <c r="M1776" s="19">
        <v>0.64480000000000004</v>
      </c>
      <c r="N1776" s="19">
        <v>0.32769999999999999</v>
      </c>
      <c r="O1776" s="19">
        <v>0.33329999999999999</v>
      </c>
      <c r="P1776" s="19">
        <v>0.8</v>
      </c>
      <c r="Q1776" s="19" t="s">
        <v>36</v>
      </c>
      <c r="R1776" s="20">
        <v>25239</v>
      </c>
      <c r="S1776" s="21" t="str">
        <f>HYPERLINK("https://ranken.edu/calculator/npcalc.htm", "$13505")</f>
        <v>$13505</v>
      </c>
      <c r="T1776" s="20">
        <v>14889</v>
      </c>
      <c r="U1776" s="20">
        <v>17835</v>
      </c>
      <c r="V1776" s="20">
        <v>5582</v>
      </c>
      <c r="W1776" s="20">
        <v>7923</v>
      </c>
      <c r="Y1776" s="19">
        <v>0.5857</v>
      </c>
      <c r="Z1776" s="19">
        <v>0.36499999999999999</v>
      </c>
      <c r="AB1776" s="18">
        <v>1644</v>
      </c>
      <c r="AC1776" s="18">
        <v>6</v>
      </c>
    </row>
    <row r="1777" spans="1:29" ht="15.75" customHeight="1" x14ac:dyDescent="0.2">
      <c r="A1777" s="36" t="str">
        <f>HYPERLINK("https://www.raritanval.edu", "Raritan Valley Community College")</f>
        <v>Raritan Valley Community College</v>
      </c>
      <c r="B1777" s="18" t="s">
        <v>49</v>
      </c>
      <c r="C1777" s="18" t="s">
        <v>141</v>
      </c>
      <c r="D1777" s="18" t="s">
        <v>1642</v>
      </c>
      <c r="E1777" s="18" t="s">
        <v>36</v>
      </c>
      <c r="F1777" s="18" t="s">
        <v>36</v>
      </c>
      <c r="J1777" s="19"/>
      <c r="K1777" s="19">
        <v>0.25800000000000001</v>
      </c>
      <c r="L1777" s="19">
        <v>0.17535545</v>
      </c>
      <c r="M1777" s="19">
        <v>0.32179999999999997</v>
      </c>
      <c r="N1777" s="19">
        <v>0.122</v>
      </c>
      <c r="O1777" s="19">
        <v>0.17829999999999999</v>
      </c>
      <c r="P1777" s="19">
        <v>0.21820000000000001</v>
      </c>
      <c r="Q1777" s="19">
        <v>0.119195046</v>
      </c>
      <c r="R1777" s="20">
        <v>19301</v>
      </c>
      <c r="S1777" s="21" t="str">
        <f>HYPERLINK("https://www.raritanval.edu/net-price-calculator", "$13378")</f>
        <v>$13378</v>
      </c>
      <c r="T1777" s="20">
        <v>16449</v>
      </c>
      <c r="U1777" s="20">
        <v>19029</v>
      </c>
      <c r="V1777" s="20">
        <v>4925</v>
      </c>
      <c r="W1777" s="20">
        <v>8453.2118055555547</v>
      </c>
      <c r="Y1777" s="19">
        <v>0.22739999999999999</v>
      </c>
      <c r="Z1777" s="19">
        <v>0.51849999999999996</v>
      </c>
      <c r="AB1777" s="18">
        <v>6856</v>
      </c>
      <c r="AC1777" s="18">
        <v>6</v>
      </c>
    </row>
    <row r="1778" spans="1:29" ht="15.75" customHeight="1" x14ac:dyDescent="0.2">
      <c r="A1778" s="36" t="str">
        <f>HYPERLINK("https://rasmussen.edu", "Rasmussen College-Illinois")</f>
        <v>Rasmussen College-Illinois</v>
      </c>
      <c r="B1778" s="18" t="s">
        <v>368</v>
      </c>
      <c r="C1778" s="18" t="s">
        <v>137</v>
      </c>
      <c r="D1778" s="18" t="s">
        <v>1088</v>
      </c>
      <c r="E1778" s="18" t="s">
        <v>36</v>
      </c>
      <c r="F1778" s="18" t="s">
        <v>36</v>
      </c>
      <c r="J1778" s="19"/>
      <c r="K1778" s="19">
        <v>0.30359999999999998</v>
      </c>
      <c r="L1778" s="19">
        <v>0.25473970899999998</v>
      </c>
      <c r="M1778" s="19">
        <v>0.32</v>
      </c>
      <c r="N1778" s="19">
        <v>0.18179999999999999</v>
      </c>
      <c r="O1778" s="19">
        <v>0.4118</v>
      </c>
      <c r="P1778" s="19" t="s">
        <v>36</v>
      </c>
      <c r="Q1778" s="19">
        <v>3.3513207000000003E-2</v>
      </c>
      <c r="R1778" s="20">
        <v>23877</v>
      </c>
      <c r="S1778" s="21" t="str">
        <f>HYPERLINK("https://npc.collegeboard.org/student/app/rasmussen", "$17339")</f>
        <v>$17339</v>
      </c>
      <c r="T1778" s="20">
        <v>20259</v>
      </c>
      <c r="U1778" s="20">
        <v>21692</v>
      </c>
      <c r="V1778" s="20">
        <v>4896</v>
      </c>
      <c r="W1778" s="20">
        <v>12443</v>
      </c>
      <c r="Y1778" s="19">
        <v>0.59709999999999996</v>
      </c>
      <c r="Z1778" s="19">
        <v>0.60499999999999998</v>
      </c>
      <c r="AB1778" s="18">
        <v>1671</v>
      </c>
      <c r="AC1778" s="18">
        <v>6</v>
      </c>
    </row>
    <row r="1779" spans="1:29" ht="15.75" customHeight="1" x14ac:dyDescent="0.2">
      <c r="A1779" s="36" t="str">
        <f>HYPERLINK("https://rasmussen.edu", "Rasmussen College-Kansas")</f>
        <v>Rasmussen College-Kansas</v>
      </c>
      <c r="B1779" s="18" t="s">
        <v>368</v>
      </c>
      <c r="C1779" s="18" t="s">
        <v>307</v>
      </c>
      <c r="D1779" s="18" t="s">
        <v>927</v>
      </c>
      <c r="E1779" s="18" t="s">
        <v>36</v>
      </c>
      <c r="F1779" s="18" t="s">
        <v>36</v>
      </c>
      <c r="J1779" s="19"/>
      <c r="K1779" s="19" t="s">
        <v>36</v>
      </c>
      <c r="L1779" s="19">
        <v>0.25473970899999998</v>
      </c>
      <c r="M1779" s="19" t="s">
        <v>36</v>
      </c>
      <c r="N1779" s="19" t="s">
        <v>36</v>
      </c>
      <c r="O1779" s="19" t="s">
        <v>36</v>
      </c>
      <c r="P1779" s="19" t="s">
        <v>36</v>
      </c>
      <c r="Q1779" s="19">
        <v>3.3513207000000003E-2</v>
      </c>
      <c r="R1779" s="20">
        <v>23877</v>
      </c>
      <c r="S1779" s="21" t="str">
        <f>HYPERLINK("https://npc.collegeboard.org/student/app/rasmussen", "$19713")</f>
        <v>$19713</v>
      </c>
      <c r="T1779" s="20">
        <v>20028</v>
      </c>
      <c r="U1779" s="20" t="s">
        <v>36</v>
      </c>
      <c r="V1779" s="20">
        <v>4896</v>
      </c>
      <c r="W1779" s="20">
        <v>14817</v>
      </c>
      <c r="Y1779" s="19">
        <v>0.59289999999999998</v>
      </c>
      <c r="Z1779" s="19">
        <v>0.39629999999999999</v>
      </c>
      <c r="AB1779" s="18">
        <v>376</v>
      </c>
      <c r="AC1779" s="18">
        <v>6</v>
      </c>
    </row>
    <row r="1780" spans="1:29" ht="15.75" customHeight="1" x14ac:dyDescent="0.2">
      <c r="A1780" s="36" t="str">
        <f>HYPERLINK("https://rasmussen.edu", "Rasmussen College-Minnesota")</f>
        <v>Rasmussen College-Minnesota</v>
      </c>
      <c r="B1780" s="18" t="s">
        <v>368</v>
      </c>
      <c r="C1780" s="18" t="s">
        <v>72</v>
      </c>
      <c r="D1780" s="18" t="s">
        <v>1643</v>
      </c>
      <c r="E1780" s="18" t="s">
        <v>36</v>
      </c>
      <c r="F1780" s="18" t="s">
        <v>36</v>
      </c>
      <c r="J1780" s="19"/>
      <c r="K1780" s="19">
        <v>0.34060000000000001</v>
      </c>
      <c r="L1780" s="19">
        <v>0.25473970899999998</v>
      </c>
      <c r="M1780" s="19">
        <v>0.36170000000000002</v>
      </c>
      <c r="N1780" s="19">
        <v>0.1875</v>
      </c>
      <c r="O1780" s="19">
        <v>0.4</v>
      </c>
      <c r="P1780" s="19">
        <v>0.5</v>
      </c>
      <c r="Q1780" s="19">
        <v>3.3513207000000003E-2</v>
      </c>
      <c r="R1780" s="20">
        <v>23877</v>
      </c>
      <c r="S1780" s="21" t="str">
        <f>HYPERLINK("https://npc.collegeboard.org/student/app/rasmussen", "$15482")</f>
        <v>$15482</v>
      </c>
      <c r="T1780" s="20">
        <v>17105</v>
      </c>
      <c r="U1780" s="20">
        <v>19153</v>
      </c>
      <c r="V1780" s="20">
        <v>4896</v>
      </c>
      <c r="W1780" s="20">
        <v>10586</v>
      </c>
      <c r="Y1780" s="19">
        <v>0.42849999999999999</v>
      </c>
      <c r="Z1780" s="19">
        <v>0.40899999999999997</v>
      </c>
      <c r="AB1780" s="18">
        <v>3848</v>
      </c>
      <c r="AC1780" s="18">
        <v>6</v>
      </c>
    </row>
    <row r="1781" spans="1:29" ht="15.75" customHeight="1" x14ac:dyDescent="0.2">
      <c r="A1781" s="36" t="str">
        <f>HYPERLINK("https://rasmussen.edu", "Rasmussen College-North Dakota")</f>
        <v>Rasmussen College-North Dakota</v>
      </c>
      <c r="B1781" s="18" t="s">
        <v>368</v>
      </c>
      <c r="C1781" s="18" t="s">
        <v>730</v>
      </c>
      <c r="D1781" s="18" t="s">
        <v>1012</v>
      </c>
      <c r="E1781" s="18" t="s">
        <v>36</v>
      </c>
      <c r="F1781" s="18" t="s">
        <v>36</v>
      </c>
      <c r="J1781" s="19"/>
      <c r="K1781" s="19">
        <v>0.2727</v>
      </c>
      <c r="L1781" s="19">
        <v>0.25473970899999998</v>
      </c>
      <c r="M1781" s="19">
        <v>0.26319999999999999</v>
      </c>
      <c r="N1781" s="19" t="s">
        <v>36</v>
      </c>
      <c r="O1781" s="19">
        <v>1</v>
      </c>
      <c r="P1781" s="19" t="s">
        <v>36</v>
      </c>
      <c r="Q1781" s="19">
        <v>3.3513207000000003E-2</v>
      </c>
      <c r="R1781" s="20">
        <v>23877</v>
      </c>
      <c r="S1781" s="21" t="str">
        <f>HYPERLINK("https://npc.collegeboard.org/student/app/rasmussen", "$16165")</f>
        <v>$16165</v>
      </c>
      <c r="T1781" s="20">
        <v>21578</v>
      </c>
      <c r="U1781" s="20">
        <v>18043</v>
      </c>
      <c r="V1781" s="20">
        <v>4896</v>
      </c>
      <c r="W1781" s="20">
        <v>11269</v>
      </c>
      <c r="Y1781" s="19">
        <v>0.49909999999999999</v>
      </c>
      <c r="Z1781" s="19">
        <v>0.32190000000000002</v>
      </c>
      <c r="AB1781" s="18">
        <v>525</v>
      </c>
      <c r="AC1781" s="18">
        <v>6</v>
      </c>
    </row>
    <row r="1782" spans="1:29" ht="15.75" customHeight="1" x14ac:dyDescent="0.2">
      <c r="A1782" s="36" t="str">
        <f>HYPERLINK("https://rasmussen.edu", "Rasmussen College-Wisconsin")</f>
        <v>Rasmussen College-Wisconsin</v>
      </c>
      <c r="B1782" s="18" t="s">
        <v>368</v>
      </c>
      <c r="C1782" s="18" t="s">
        <v>196</v>
      </c>
      <c r="D1782" s="18" t="s">
        <v>1353</v>
      </c>
      <c r="E1782" s="18" t="s">
        <v>36</v>
      </c>
      <c r="F1782" s="18" t="s">
        <v>36</v>
      </c>
      <c r="J1782" s="19"/>
      <c r="K1782" s="19">
        <v>0.36840000000000001</v>
      </c>
      <c r="L1782" s="19">
        <v>0.25473970899999998</v>
      </c>
      <c r="M1782" s="19">
        <v>0.3871</v>
      </c>
      <c r="N1782" s="19">
        <v>0</v>
      </c>
      <c r="O1782" s="19" t="s">
        <v>36</v>
      </c>
      <c r="P1782" s="19" t="s">
        <v>36</v>
      </c>
      <c r="Q1782" s="19">
        <v>3.3513207000000003E-2</v>
      </c>
      <c r="R1782" s="20">
        <v>23877</v>
      </c>
      <c r="S1782" s="21" t="str">
        <f>HYPERLINK("https://npc.collegeboard.org/student/app/rasmussen", "$17479")</f>
        <v>$17479</v>
      </c>
      <c r="T1782" s="20">
        <v>17326</v>
      </c>
      <c r="U1782" s="20">
        <v>20659</v>
      </c>
      <c r="V1782" s="20">
        <v>4896</v>
      </c>
      <c r="W1782" s="20">
        <v>12583</v>
      </c>
      <c r="Y1782" s="19">
        <v>0.57040000000000002</v>
      </c>
      <c r="Z1782" s="19">
        <v>0.2117</v>
      </c>
      <c r="AB1782" s="18">
        <v>699</v>
      </c>
      <c r="AC1782" s="18">
        <v>6</v>
      </c>
    </row>
    <row r="1783" spans="1:29" ht="15.75" customHeight="1" x14ac:dyDescent="0.2">
      <c r="A1783" s="36" t="str">
        <f>HYPERLINK("https://www.racc.edu", "Reading Area Community College")</f>
        <v>Reading Area Community College</v>
      </c>
      <c r="B1783" s="18" t="s">
        <v>49</v>
      </c>
      <c r="C1783" s="18" t="s">
        <v>65</v>
      </c>
      <c r="D1783" s="18" t="s">
        <v>551</v>
      </c>
      <c r="E1783" s="18" t="s">
        <v>36</v>
      </c>
      <c r="F1783" s="18" t="s">
        <v>36</v>
      </c>
      <c r="J1783" s="19"/>
      <c r="K1783" s="19">
        <v>0.15279999999999999</v>
      </c>
      <c r="L1783" s="19">
        <v>2.5720967000000001E-2</v>
      </c>
      <c r="M1783" s="19">
        <v>0.192</v>
      </c>
      <c r="N1783" s="19">
        <v>0.05</v>
      </c>
      <c r="O1783" s="19">
        <v>9.0899999999999995E-2</v>
      </c>
      <c r="P1783" s="19">
        <v>0.2</v>
      </c>
      <c r="Q1783" s="19">
        <v>8.4951455999999995E-2</v>
      </c>
      <c r="R1783" s="20">
        <v>27950</v>
      </c>
      <c r="S1783" s="21" t="str">
        <f>HYPERLINK("https://www.racc.edu/sites/default/files/imported/HEA/NetPriceCalc/npcalc.htm", "$22089")</f>
        <v>$22089</v>
      </c>
      <c r="T1783" s="20">
        <v>24634</v>
      </c>
      <c r="U1783" s="20">
        <v>26943</v>
      </c>
      <c r="V1783" s="20">
        <v>6800</v>
      </c>
      <c r="W1783" s="20">
        <v>15289.36994219653</v>
      </c>
      <c r="Y1783" s="19">
        <v>0.73499999999999999</v>
      </c>
      <c r="Z1783" s="19">
        <v>0.56190000000000007</v>
      </c>
      <c r="AB1783" s="18">
        <v>3506</v>
      </c>
      <c r="AC1783" s="18">
        <v>6</v>
      </c>
    </row>
    <row r="1784" spans="1:29" ht="15.75" customHeight="1" x14ac:dyDescent="0.2">
      <c r="A1784" s="36" t="str">
        <f>HYPERLINK("https://www.redlandscc.edu", "Redlands Community College")</f>
        <v>Redlands Community College</v>
      </c>
      <c r="B1784" s="18" t="s">
        <v>49</v>
      </c>
      <c r="C1784" s="18" t="s">
        <v>290</v>
      </c>
      <c r="D1784" s="18" t="s">
        <v>1644</v>
      </c>
      <c r="E1784" s="18" t="s">
        <v>36</v>
      </c>
      <c r="F1784" s="18" t="s">
        <v>36</v>
      </c>
      <c r="J1784" s="19"/>
      <c r="K1784" s="19">
        <v>0.29389999999999999</v>
      </c>
      <c r="L1784" s="19">
        <v>0.165865385</v>
      </c>
      <c r="M1784" s="19">
        <v>0.33510000000000001</v>
      </c>
      <c r="N1784" s="19">
        <v>0.23530000000000001</v>
      </c>
      <c r="O1784" s="19">
        <v>0.2</v>
      </c>
      <c r="P1784" s="19">
        <v>0.5</v>
      </c>
      <c r="Q1784" s="19">
        <v>9.0909090999999997E-2</v>
      </c>
      <c r="R1784" s="20">
        <v>18581</v>
      </c>
      <c r="S1784" s="21" t="str">
        <f>HYPERLINK("https://www.redlandscc.edu/content/np-calc", "$10760")</f>
        <v>$10760</v>
      </c>
      <c r="T1784" s="20">
        <v>14354</v>
      </c>
      <c r="U1784" s="20">
        <v>17016</v>
      </c>
      <c r="V1784" s="20">
        <v>4500</v>
      </c>
      <c r="W1784" s="20">
        <v>6260.0360360360364</v>
      </c>
      <c r="Y1784" s="19">
        <v>0.16020000000000001</v>
      </c>
      <c r="Z1784" s="19">
        <v>0.38990000000000002</v>
      </c>
      <c r="AB1784" s="18">
        <v>1085</v>
      </c>
      <c r="AC1784" s="18">
        <v>6</v>
      </c>
    </row>
    <row r="1785" spans="1:29" ht="15.75" customHeight="1" x14ac:dyDescent="0.2">
      <c r="A1785" s="36" t="str">
        <f>HYPERLINK("https://www.reed.edu", "Reed College")</f>
        <v>Reed College</v>
      </c>
      <c r="B1785" s="18" t="s">
        <v>32</v>
      </c>
      <c r="C1785" s="18" t="s">
        <v>143</v>
      </c>
      <c r="D1785" s="18" t="s">
        <v>144</v>
      </c>
      <c r="E1785" s="18">
        <v>1427</v>
      </c>
      <c r="F1785" s="18" t="s">
        <v>35</v>
      </c>
      <c r="J1785" s="19"/>
      <c r="K1785" s="19">
        <v>0.7984</v>
      </c>
      <c r="L1785" s="19" t="s">
        <v>36</v>
      </c>
      <c r="M1785" s="19">
        <v>0.79310000000000003</v>
      </c>
      <c r="N1785" s="19">
        <v>1</v>
      </c>
      <c r="O1785" s="19">
        <v>0.82350000000000001</v>
      </c>
      <c r="P1785" s="19">
        <v>0.875</v>
      </c>
      <c r="Q1785" s="19"/>
      <c r="R1785" s="20">
        <v>69820</v>
      </c>
      <c r="S1785" s="21" t="str">
        <f>HYPERLINK("https://npc.collegeboard.org/student/app/reed", "$15258")</f>
        <v>$15258</v>
      </c>
      <c r="T1785" s="20">
        <v>22775</v>
      </c>
      <c r="U1785" s="20">
        <v>28637</v>
      </c>
      <c r="V1785" s="20">
        <v>1950</v>
      </c>
      <c r="W1785" s="20">
        <v>13308</v>
      </c>
      <c r="X1785" s="18" t="s">
        <v>37</v>
      </c>
      <c r="Y1785" s="19">
        <v>0.15820000000000001</v>
      </c>
      <c r="Z1785" s="19">
        <v>0.40489999999999998</v>
      </c>
      <c r="AB1785" s="18">
        <v>1415</v>
      </c>
      <c r="AC1785" s="18">
        <v>1</v>
      </c>
    </row>
    <row r="1786" spans="1:29" ht="15.75" customHeight="1" x14ac:dyDescent="0.2">
      <c r="A1786" s="36" t="str">
        <f>HYPERLINK("https://www.reedleycollege.edu", "Reedley College")</f>
        <v>Reedley College</v>
      </c>
      <c r="B1786" s="18" t="s">
        <v>49</v>
      </c>
      <c r="C1786" s="18" t="s">
        <v>68</v>
      </c>
      <c r="D1786" s="18" t="s">
        <v>1645</v>
      </c>
      <c r="E1786" s="18" t="s">
        <v>36</v>
      </c>
      <c r="F1786" s="18" t="s">
        <v>36</v>
      </c>
      <c r="J1786" s="19"/>
      <c r="K1786" s="19">
        <v>0.24340000000000001</v>
      </c>
      <c r="L1786" s="19">
        <v>9.0693256999999999E-2</v>
      </c>
      <c r="M1786" s="19">
        <v>0.29320000000000002</v>
      </c>
      <c r="N1786" s="19">
        <v>0.1525</v>
      </c>
      <c r="O1786" s="19">
        <v>0.22170000000000001</v>
      </c>
      <c r="P1786" s="19">
        <v>0.32940000000000003</v>
      </c>
      <c r="Q1786" s="19">
        <v>0.119407895</v>
      </c>
      <c r="R1786" s="20">
        <v>16856</v>
      </c>
      <c r="S1786" s="21" t="str">
        <f>HYPERLINK("https://misweb.cccco.edu/npc/572/npcalc.htm", "$9379")</f>
        <v>$9379</v>
      </c>
      <c r="T1786" s="20">
        <v>12213</v>
      </c>
      <c r="U1786" s="20">
        <v>16192</v>
      </c>
      <c r="V1786" s="20">
        <v>4494</v>
      </c>
      <c r="W1786" s="20">
        <v>4885.9416058394163</v>
      </c>
      <c r="Y1786" s="19">
        <v>0.33479999999999999</v>
      </c>
      <c r="Z1786" s="19">
        <v>0.81909999999999994</v>
      </c>
      <c r="AB1786" s="18">
        <v>8624</v>
      </c>
      <c r="AC1786" s="18">
        <v>6</v>
      </c>
    </row>
    <row r="1787" spans="1:29" ht="15.75" customHeight="1" x14ac:dyDescent="0.2">
      <c r="A1787" s="36" t="str">
        <f>HYPERLINK("https://www.regiscollege.edu", "Regis College")</f>
        <v>Regis College</v>
      </c>
      <c r="B1787" s="18" t="s">
        <v>32</v>
      </c>
      <c r="C1787" s="18" t="s">
        <v>33</v>
      </c>
      <c r="D1787" s="18" t="s">
        <v>825</v>
      </c>
      <c r="E1787" s="18" t="s">
        <v>36</v>
      </c>
      <c r="F1787" s="18" t="s">
        <v>90</v>
      </c>
      <c r="J1787" s="19"/>
      <c r="K1787" s="19">
        <v>0.46410000000000001</v>
      </c>
      <c r="L1787" s="19">
        <v>0.36842105299999989</v>
      </c>
      <c r="M1787" s="19">
        <v>0.43440000000000001</v>
      </c>
      <c r="N1787" s="19">
        <v>0.62749999999999995</v>
      </c>
      <c r="O1787" s="19">
        <v>0.34379999999999999</v>
      </c>
      <c r="P1787" s="19">
        <v>0.5625</v>
      </c>
      <c r="Q1787" s="19"/>
      <c r="R1787" s="20">
        <v>57625</v>
      </c>
      <c r="S1787" s="21" t="str">
        <f>HYPERLINK("https://regiscollege.studentaidcalculator.com/survey.aspx", "$23442")</f>
        <v>$23442</v>
      </c>
      <c r="T1787" s="20">
        <v>25688</v>
      </c>
      <c r="U1787" s="20">
        <v>29431</v>
      </c>
      <c r="V1787" s="20">
        <v>3065</v>
      </c>
      <c r="W1787" s="20">
        <v>20377</v>
      </c>
      <c r="Y1787" s="19">
        <v>0.29520000000000002</v>
      </c>
      <c r="Z1787" s="19">
        <v>0.49840000000000001</v>
      </c>
      <c r="AB1787" s="18">
        <v>965</v>
      </c>
      <c r="AC1787" s="18">
        <v>5</v>
      </c>
    </row>
    <row r="1788" spans="1:29" ht="15.75" customHeight="1" x14ac:dyDescent="0.2">
      <c r="A1788" s="36" t="str">
        <f>HYPERLINK("https://www.regis.edu/", "Regis University")</f>
        <v>Regis University</v>
      </c>
      <c r="B1788" s="18" t="s">
        <v>32</v>
      </c>
      <c r="C1788" s="18" t="s">
        <v>87</v>
      </c>
      <c r="D1788" s="18" t="s">
        <v>508</v>
      </c>
      <c r="E1788" s="18">
        <v>1150</v>
      </c>
      <c r="F1788" s="18" t="s">
        <v>35</v>
      </c>
      <c r="J1788" s="19"/>
      <c r="K1788" s="19">
        <v>0.71209999999999996</v>
      </c>
      <c r="L1788" s="19">
        <v>0.21982758599999999</v>
      </c>
      <c r="M1788" s="19">
        <v>0.70089999999999997</v>
      </c>
      <c r="N1788" s="19">
        <v>0.6</v>
      </c>
      <c r="O1788" s="19">
        <v>0.76039999999999996</v>
      </c>
      <c r="P1788" s="19">
        <v>0.8125</v>
      </c>
      <c r="Q1788" s="19"/>
      <c r="R1788" s="20">
        <v>51202</v>
      </c>
      <c r="S1788" s="21" t="str">
        <f>HYPERLINK("https://www.regis.edu/RC/Financial-Aid/Applying-for-Aid/Net-Price-Calculator.aspx", "$20095")</f>
        <v>$20095</v>
      </c>
      <c r="T1788" s="20">
        <v>21117</v>
      </c>
      <c r="U1788" s="20">
        <v>24223</v>
      </c>
      <c r="V1788" s="20">
        <v>4822</v>
      </c>
      <c r="W1788" s="20">
        <v>15273</v>
      </c>
      <c r="Y1788" s="19">
        <v>0.2545</v>
      </c>
      <c r="Z1788" s="19">
        <v>0.48930000000000001</v>
      </c>
      <c r="AB1788" s="18">
        <v>4016</v>
      </c>
      <c r="AC1788" s="18">
        <v>4</v>
      </c>
    </row>
    <row r="1789" spans="1:29" ht="15.75" customHeight="1" x14ac:dyDescent="0.2">
      <c r="A1789" s="36" t="str">
        <f>HYPERLINK("https://www.reinhardt.edu", "Reinhardt University")</f>
        <v>Reinhardt University</v>
      </c>
      <c r="B1789" s="18" t="s">
        <v>32</v>
      </c>
      <c r="C1789" s="18" t="s">
        <v>107</v>
      </c>
      <c r="D1789" s="18" t="s">
        <v>1081</v>
      </c>
      <c r="E1789" s="18">
        <v>1038</v>
      </c>
      <c r="F1789" s="18" t="s">
        <v>35</v>
      </c>
      <c r="J1789" s="19"/>
      <c r="K1789" s="19">
        <v>0.36859999999999998</v>
      </c>
      <c r="L1789" s="19" t="s">
        <v>36</v>
      </c>
      <c r="M1789" s="19">
        <v>0.39379999999999998</v>
      </c>
      <c r="N1789" s="19">
        <v>0.28949999999999998</v>
      </c>
      <c r="O1789" s="19">
        <v>0.31580000000000003</v>
      </c>
      <c r="P1789" s="19">
        <v>0</v>
      </c>
      <c r="Q1789" s="19"/>
      <c r="R1789" s="20">
        <v>37748</v>
      </c>
      <c r="S1789" s="21" t="str">
        <f>HYPERLINK("https://www.reinhardt.edu/student-life/student-services-resources/financial-aid/undergraduate-financial-aid/net-price-calculator/", "$19745")</f>
        <v>$19745</v>
      </c>
      <c r="T1789" s="20">
        <v>21630</v>
      </c>
      <c r="U1789" s="20">
        <v>18881</v>
      </c>
      <c r="V1789" s="20">
        <v>7060</v>
      </c>
      <c r="W1789" s="20">
        <v>12685</v>
      </c>
      <c r="Y1789" s="19">
        <v>0.38669999999999999</v>
      </c>
      <c r="Z1789" s="19">
        <v>0.36930000000000002</v>
      </c>
      <c r="AB1789" s="18">
        <v>1381</v>
      </c>
      <c r="AC1789" s="18">
        <v>4</v>
      </c>
    </row>
    <row r="1790" spans="1:29" ht="15.75" customHeight="1" x14ac:dyDescent="0.2">
      <c r="A1790" s="36" t="str">
        <f>HYPERLINK("https://www.remingtoncollege.edu/baton-rouge-career-college", "Remington College-Baton Rouge Campus")</f>
        <v>Remington College-Baton Rouge Campus</v>
      </c>
      <c r="B1790" s="18" t="s">
        <v>32</v>
      </c>
      <c r="C1790" s="18" t="s">
        <v>158</v>
      </c>
      <c r="D1790" s="18" t="s">
        <v>398</v>
      </c>
      <c r="E1790" s="18" t="s">
        <v>36</v>
      </c>
      <c r="F1790" s="18" t="s">
        <v>36</v>
      </c>
      <c r="J1790" s="19"/>
      <c r="K1790" s="19">
        <v>0.435</v>
      </c>
      <c r="L1790" s="19">
        <v>0.51620195899999999</v>
      </c>
      <c r="M1790" s="19">
        <v>0.57140000000000002</v>
      </c>
      <c r="N1790" s="19">
        <v>0.41260000000000002</v>
      </c>
      <c r="O1790" s="19">
        <v>0.33329999999999999</v>
      </c>
      <c r="P1790" s="19" t="s">
        <v>36</v>
      </c>
      <c r="Q1790" s="19">
        <v>0.10229055500000001</v>
      </c>
      <c r="R1790" s="20">
        <v>29622</v>
      </c>
      <c r="S1790" s="21" t="str">
        <f>HYPERLINK("https://calculator.remingtoncollege.edu/", "$20397")</f>
        <v>$20397</v>
      </c>
      <c r="T1790" s="20">
        <v>24266</v>
      </c>
      <c r="U1790" s="20" t="s">
        <v>36</v>
      </c>
      <c r="V1790" s="20" t="s">
        <v>36</v>
      </c>
      <c r="W1790" s="20" t="s">
        <v>36</v>
      </c>
      <c r="Y1790" s="19">
        <v>0.75560000000000005</v>
      </c>
      <c r="Z1790" s="19">
        <v>0.95</v>
      </c>
      <c r="AB1790" s="18">
        <v>60</v>
      </c>
      <c r="AC1790" s="18">
        <v>6</v>
      </c>
    </row>
    <row r="1791" spans="1:29" ht="15.75" customHeight="1" x14ac:dyDescent="0.2">
      <c r="A1791" s="36" t="str">
        <f>HYPERLINK("https://www.remingtoncollege.edu/honolulu-hawaii-colleges-career-schools", "Remington College-Honolulu Campus")</f>
        <v>Remington College-Honolulu Campus</v>
      </c>
      <c r="B1791" s="18" t="s">
        <v>32</v>
      </c>
      <c r="C1791" s="18" t="s">
        <v>313</v>
      </c>
      <c r="D1791" s="18" t="s">
        <v>510</v>
      </c>
      <c r="E1791" s="18" t="s">
        <v>36</v>
      </c>
      <c r="F1791" s="18" t="s">
        <v>36</v>
      </c>
      <c r="J1791" s="19"/>
      <c r="K1791" s="19">
        <v>0.56299999999999994</v>
      </c>
      <c r="L1791" s="19">
        <v>0.51620195899999999</v>
      </c>
      <c r="M1791" s="19">
        <v>0.6552</v>
      </c>
      <c r="N1791" s="19">
        <v>0.5333</v>
      </c>
      <c r="O1791" s="19">
        <v>0.59089999999999998</v>
      </c>
      <c r="P1791" s="19">
        <v>0.74</v>
      </c>
      <c r="Q1791" s="19">
        <v>0.10229055500000001</v>
      </c>
      <c r="R1791" s="20">
        <v>29424</v>
      </c>
      <c r="S1791" s="21" t="str">
        <f>HYPERLINK("https://calculator.remingtoncollege.edu/", "$21990")</f>
        <v>$21990</v>
      </c>
      <c r="T1791" s="20">
        <v>23658</v>
      </c>
      <c r="U1791" s="20">
        <v>26227</v>
      </c>
      <c r="V1791" s="20" t="s">
        <v>36</v>
      </c>
      <c r="W1791" s="20" t="s">
        <v>36</v>
      </c>
      <c r="Y1791" s="19">
        <v>0.74319999999999997</v>
      </c>
      <c r="Z1791" s="19">
        <v>0.95820000000000005</v>
      </c>
      <c r="AB1791" s="18">
        <v>287</v>
      </c>
      <c r="AC1791" s="18">
        <v>6</v>
      </c>
    </row>
    <row r="1792" spans="1:29" ht="15.75" customHeight="1" x14ac:dyDescent="0.2">
      <c r="A1792" s="36" t="str">
        <f>HYPERLINK("https://www.remingtoncollege.edu/little-rock-arkansas-technical-colleges", "Remington College-Little Rock Campus")</f>
        <v>Remington College-Little Rock Campus</v>
      </c>
      <c r="B1792" s="18" t="s">
        <v>32</v>
      </c>
      <c r="C1792" s="18" t="s">
        <v>371</v>
      </c>
      <c r="D1792" s="18" t="s">
        <v>810</v>
      </c>
      <c r="E1792" s="18" t="s">
        <v>36</v>
      </c>
      <c r="F1792" s="18" t="s">
        <v>36</v>
      </c>
      <c r="J1792" s="19"/>
      <c r="K1792" s="19">
        <v>0.37780000000000002</v>
      </c>
      <c r="L1792" s="19">
        <v>0.51620195899999999</v>
      </c>
      <c r="M1792" s="19">
        <v>0.42420000000000002</v>
      </c>
      <c r="N1792" s="19">
        <v>0.28210000000000002</v>
      </c>
      <c r="O1792" s="19">
        <v>0.75</v>
      </c>
      <c r="P1792" s="19">
        <v>0.66669999999999996</v>
      </c>
      <c r="Q1792" s="19">
        <v>0.10229055500000001</v>
      </c>
      <c r="R1792" s="20">
        <v>29280</v>
      </c>
      <c r="S1792" s="21" t="str">
        <f>HYPERLINK("https://calculator.remingtoncollege.edu/", "Not reported")</f>
        <v>Not reported</v>
      </c>
      <c r="T1792" s="20" t="s">
        <v>36</v>
      </c>
      <c r="U1792" s="20" t="s">
        <v>36</v>
      </c>
      <c r="V1792" s="20" t="s">
        <v>36</v>
      </c>
      <c r="W1792" s="20" t="s">
        <v>36</v>
      </c>
      <c r="Y1792" s="19">
        <v>0.9</v>
      </c>
      <c r="Z1792" s="19">
        <v>0.73530000000000006</v>
      </c>
      <c r="AB1792" s="18">
        <v>34</v>
      </c>
      <c r="AC1792" s="18">
        <v>6</v>
      </c>
    </row>
    <row r="1793" spans="1:29" ht="15.75" customHeight="1" x14ac:dyDescent="0.2">
      <c r="A1793" s="36" t="str">
        <f>HYPERLINK("https://www.rpi.edu", "Rensselaer Polytechnic Institute")</f>
        <v>Rensselaer Polytechnic Institute</v>
      </c>
      <c r="B1793" s="18" t="s">
        <v>32</v>
      </c>
      <c r="C1793" s="18" t="s">
        <v>38</v>
      </c>
      <c r="D1793" s="18" t="s">
        <v>145</v>
      </c>
      <c r="E1793" s="18">
        <v>1405</v>
      </c>
      <c r="F1793" s="18" t="s">
        <v>35</v>
      </c>
      <c r="J1793" s="19"/>
      <c r="K1793" s="19">
        <v>0.83389999999999997</v>
      </c>
      <c r="L1793" s="19">
        <v>0.87662337700000004</v>
      </c>
      <c r="M1793" s="19">
        <v>0.84660000000000002</v>
      </c>
      <c r="N1793" s="19">
        <v>0.67859999999999998</v>
      </c>
      <c r="O1793" s="19">
        <v>0.75639999999999996</v>
      </c>
      <c r="P1793" s="19">
        <v>0.84960000000000002</v>
      </c>
      <c r="Q1793" s="19"/>
      <c r="R1793" s="20">
        <v>70132</v>
      </c>
      <c r="S1793" s="21" t="str">
        <f>HYPERLINK("https://npc.collegeboard.org/student/app/rpi", "$21319")</f>
        <v>$21319</v>
      </c>
      <c r="T1793" s="20">
        <v>28508</v>
      </c>
      <c r="U1793" s="20">
        <v>33606</v>
      </c>
      <c r="V1793" s="20">
        <v>2867</v>
      </c>
      <c r="W1793" s="20">
        <v>18452</v>
      </c>
      <c r="Y1793" s="19">
        <v>0.17030000000000001</v>
      </c>
      <c r="Z1793" s="19">
        <v>0.46639999999999998</v>
      </c>
      <c r="AB1793" s="18">
        <v>6314</v>
      </c>
      <c r="AC1793" s="18">
        <v>1</v>
      </c>
    </row>
    <row r="1794" spans="1:29" ht="15.75" customHeight="1" x14ac:dyDescent="0.2">
      <c r="A1794" s="36" t="str">
        <f>HYPERLINK("https://www.ric.edu", "Rhode Island College")</f>
        <v>Rhode Island College</v>
      </c>
      <c r="B1794" s="18" t="s">
        <v>49</v>
      </c>
      <c r="C1794" s="18" t="s">
        <v>63</v>
      </c>
      <c r="D1794" s="18" t="s">
        <v>64</v>
      </c>
      <c r="E1794" s="18">
        <v>984</v>
      </c>
      <c r="F1794" s="18" t="s">
        <v>35</v>
      </c>
      <c r="J1794" s="19"/>
      <c r="K1794" s="19">
        <v>0.46189999999999998</v>
      </c>
      <c r="L1794" s="19">
        <v>0.39650145799999997</v>
      </c>
      <c r="M1794" s="19">
        <v>0.48880000000000001</v>
      </c>
      <c r="N1794" s="19">
        <v>0.2727</v>
      </c>
      <c r="O1794" s="19">
        <v>0.46600000000000003</v>
      </c>
      <c r="P1794" s="19">
        <v>0.43480000000000002</v>
      </c>
      <c r="Q1794" s="19"/>
      <c r="R1794" s="20">
        <v>35465</v>
      </c>
      <c r="S1794" s="21" t="str">
        <f>HYPERLINK("https://www.ric.edu/financialaid/Pages/npcalc.aspx", "$27540")</f>
        <v>$27540</v>
      </c>
      <c r="T1794" s="20">
        <v>30748</v>
      </c>
      <c r="U1794" s="20">
        <v>33707</v>
      </c>
      <c r="V1794" s="20">
        <v>2640</v>
      </c>
      <c r="W1794" s="20">
        <v>24900.333333333328</v>
      </c>
      <c r="Y1794" s="19">
        <v>0.42130000000000001</v>
      </c>
      <c r="Z1794" s="19">
        <v>0.41670000000000001</v>
      </c>
      <c r="AB1794" s="18">
        <v>6900</v>
      </c>
      <c r="AC1794" s="18">
        <v>5</v>
      </c>
    </row>
    <row r="1795" spans="1:29" ht="15.75" customHeight="1" x14ac:dyDescent="0.2">
      <c r="A1795" s="36" t="str">
        <f>HYPERLINK("https://www.risd.edu", "Rhode Island School of Design")</f>
        <v>Rhode Island School of Design</v>
      </c>
      <c r="B1795" s="18" t="s">
        <v>32</v>
      </c>
      <c r="C1795" s="18" t="s">
        <v>63</v>
      </c>
      <c r="D1795" s="18" t="s">
        <v>64</v>
      </c>
      <c r="E1795" s="18">
        <v>1276</v>
      </c>
      <c r="F1795" s="18" t="s">
        <v>35</v>
      </c>
      <c r="J1795" s="19"/>
      <c r="K1795" s="19">
        <v>0.91149999999999998</v>
      </c>
      <c r="L1795" s="19" t="s">
        <v>36</v>
      </c>
      <c r="M1795" s="19">
        <v>0.93459999999999999</v>
      </c>
      <c r="N1795" s="19">
        <v>0.8</v>
      </c>
      <c r="O1795" s="19">
        <v>0.88570000000000004</v>
      </c>
      <c r="P1795" s="19">
        <v>0.9143</v>
      </c>
      <c r="Q1795" s="19"/>
      <c r="R1795" s="20">
        <v>67620</v>
      </c>
      <c r="S1795" s="21" t="str">
        <f>HYPERLINK("https://risd.studentaidcalculator.com/survey.aspx", "$35617")</f>
        <v>$35617</v>
      </c>
      <c r="T1795" s="20">
        <v>37697</v>
      </c>
      <c r="U1795" s="20">
        <v>43077</v>
      </c>
      <c r="V1795" s="20">
        <v>6200</v>
      </c>
      <c r="W1795" s="20">
        <v>29417</v>
      </c>
      <c r="Y1795" s="19">
        <v>0.15759999999999999</v>
      </c>
      <c r="Z1795" s="19">
        <v>0.68880000000000008</v>
      </c>
      <c r="AB1795" s="18">
        <v>1976</v>
      </c>
      <c r="AC1795" s="18">
        <v>4</v>
      </c>
    </row>
    <row r="1796" spans="1:29" ht="15.75" customHeight="1" x14ac:dyDescent="0.2">
      <c r="A1796" s="36" t="str">
        <f>HYPERLINK("https://www.rhodes.edu", "Rhodes College")</f>
        <v>Rhodes College</v>
      </c>
      <c r="B1796" s="18" t="s">
        <v>32</v>
      </c>
      <c r="C1796" s="18" t="s">
        <v>174</v>
      </c>
      <c r="D1796" s="18" t="s">
        <v>207</v>
      </c>
      <c r="E1796" s="18">
        <v>1362</v>
      </c>
      <c r="F1796" s="18" t="s">
        <v>35</v>
      </c>
      <c r="J1796" s="19"/>
      <c r="K1796" s="19">
        <v>0.82789999999999997</v>
      </c>
      <c r="L1796" s="19" t="s">
        <v>36</v>
      </c>
      <c r="M1796" s="19">
        <v>0.84430000000000005</v>
      </c>
      <c r="N1796" s="19">
        <v>0.70269999999999999</v>
      </c>
      <c r="O1796" s="19">
        <v>0.84619999999999995</v>
      </c>
      <c r="P1796" s="19">
        <v>0.83330000000000004</v>
      </c>
      <c r="Q1796" s="19"/>
      <c r="R1796" s="20">
        <v>61538</v>
      </c>
      <c r="S1796" s="21" t="str">
        <f>HYPERLINK("https://npc.collegeboard.org/student/app/rhodes", "$13327")</f>
        <v>$13327</v>
      </c>
      <c r="T1796" s="20">
        <v>21630</v>
      </c>
      <c r="U1796" s="20">
        <v>26616</v>
      </c>
      <c r="V1796" s="20">
        <v>3744</v>
      </c>
      <c r="W1796" s="20">
        <v>9583</v>
      </c>
      <c r="Y1796" s="19">
        <v>0.12559999999999999</v>
      </c>
      <c r="Z1796" s="19">
        <v>0.29620000000000002</v>
      </c>
      <c r="AB1796" s="18">
        <v>1975</v>
      </c>
      <c r="AC1796" s="18">
        <v>2</v>
      </c>
    </row>
    <row r="1797" spans="1:29" ht="15.75" customHeight="1" x14ac:dyDescent="0.2">
      <c r="A1797" s="36" t="str">
        <f>HYPERLINK("https://www.rice.edu", "Rice University")</f>
        <v>Rice University</v>
      </c>
      <c r="B1797" s="18" t="s">
        <v>32</v>
      </c>
      <c r="C1797" s="18" t="s">
        <v>146</v>
      </c>
      <c r="D1797" s="18" t="s">
        <v>147</v>
      </c>
      <c r="E1797" s="18">
        <v>1535</v>
      </c>
      <c r="F1797" s="18" t="s">
        <v>35</v>
      </c>
      <c r="J1797" s="19"/>
      <c r="K1797" s="19">
        <v>0.91439999999999999</v>
      </c>
      <c r="L1797" s="19">
        <v>0.83486238499999998</v>
      </c>
      <c r="M1797" s="19">
        <v>0.91690000000000005</v>
      </c>
      <c r="N1797" s="19">
        <v>0.8841</v>
      </c>
      <c r="O1797" s="19">
        <v>0.92310000000000003</v>
      </c>
      <c r="P1797" s="19">
        <v>0.9516</v>
      </c>
      <c r="Q1797" s="19"/>
      <c r="R1797" s="20">
        <v>63158</v>
      </c>
      <c r="S1797" s="21" t="str">
        <f>HYPERLINK("https://financialaid.rice.edu/resources/resources/net-price-calculator", "$7079")</f>
        <v>$7079</v>
      </c>
      <c r="T1797" s="20">
        <v>9595</v>
      </c>
      <c r="U1797" s="20">
        <v>23017</v>
      </c>
      <c r="V1797" s="20">
        <v>3700</v>
      </c>
      <c r="W1797" s="20">
        <v>3379</v>
      </c>
      <c r="X1797" s="18" t="s">
        <v>37</v>
      </c>
      <c r="Y1797" s="19">
        <v>0.13539999999999999</v>
      </c>
      <c r="Z1797" s="19">
        <v>0.6542</v>
      </c>
      <c r="AA1797" s="18" t="s">
        <v>37</v>
      </c>
      <c r="AB1797" s="18">
        <v>3970</v>
      </c>
      <c r="AC1797" s="18">
        <v>1</v>
      </c>
    </row>
    <row r="1798" spans="1:29" ht="15.75" customHeight="1" x14ac:dyDescent="0.2">
      <c r="A1798" s="36" t="str">
        <f>HYPERLINK("https://www.rbc.edu", "Richard Bland College of the College of William and Mary")</f>
        <v>Richard Bland College of the College of William and Mary</v>
      </c>
      <c r="B1798" s="18" t="s">
        <v>49</v>
      </c>
      <c r="C1798" s="18" t="s">
        <v>83</v>
      </c>
      <c r="D1798" s="18" t="s">
        <v>1646</v>
      </c>
      <c r="E1798" s="18" t="s">
        <v>36</v>
      </c>
      <c r="F1798" s="18" t="s">
        <v>90</v>
      </c>
      <c r="J1798" s="19"/>
      <c r="K1798" s="19">
        <v>0.28399999999999997</v>
      </c>
      <c r="L1798" s="19">
        <v>0.21004566199999999</v>
      </c>
      <c r="M1798" s="19">
        <v>0.40510000000000002</v>
      </c>
      <c r="N1798" s="19">
        <v>0.2</v>
      </c>
      <c r="O1798" s="19">
        <v>0.2727</v>
      </c>
      <c r="P1798" s="19">
        <v>0.1429</v>
      </c>
      <c r="Q1798" s="19">
        <v>9.6192385000000005E-2</v>
      </c>
      <c r="R1798" s="20">
        <v>37150</v>
      </c>
      <c r="S1798" s="21" t="str">
        <f>HYPERLINK("https://www.rbc.edu/admissions/costs-financial-aid/netpricecalculator-php/", "$31249")</f>
        <v>$31249</v>
      </c>
      <c r="T1798" s="20">
        <v>34005</v>
      </c>
      <c r="U1798" s="20">
        <v>35751</v>
      </c>
      <c r="V1798" s="20">
        <v>3600</v>
      </c>
      <c r="W1798" s="20">
        <v>27649.899082568809</v>
      </c>
      <c r="Y1798" s="19">
        <v>0.21360000000000001</v>
      </c>
      <c r="Z1798" s="19">
        <v>0.55780000000000007</v>
      </c>
      <c r="AB1798" s="18">
        <v>882</v>
      </c>
      <c r="AC1798" s="18">
        <v>6</v>
      </c>
    </row>
    <row r="1799" spans="1:29" ht="15.75" customHeight="1" x14ac:dyDescent="0.2">
      <c r="A1799" s="36" t="str">
        <f>HYPERLINK("https://www.richlandcollege.edu", "Richland College")</f>
        <v>Richland College</v>
      </c>
      <c r="B1799" s="18" t="s">
        <v>49</v>
      </c>
      <c r="C1799" s="18" t="s">
        <v>146</v>
      </c>
      <c r="D1799" s="18" t="s">
        <v>152</v>
      </c>
      <c r="E1799" s="18" t="s">
        <v>36</v>
      </c>
      <c r="F1799" s="18" t="s">
        <v>36</v>
      </c>
      <c r="J1799" s="19"/>
      <c r="K1799" s="19">
        <v>0.14649999999999999</v>
      </c>
      <c r="L1799" s="19" t="s">
        <v>36</v>
      </c>
      <c r="M1799" s="19">
        <v>0.1211</v>
      </c>
      <c r="N1799" s="19">
        <v>0.13039999999999999</v>
      </c>
      <c r="O1799" s="19">
        <v>0.14119999999999999</v>
      </c>
      <c r="P1799" s="19">
        <v>0.219</v>
      </c>
      <c r="Q1799" s="19">
        <v>0.184366364</v>
      </c>
      <c r="R1799" s="20">
        <v>20621</v>
      </c>
      <c r="S1799" s="21" t="str">
        <f>HYPERLINK("https://www.richlandcollege.edu/pc/cost/tuition/pages/tuitioncalc.aspx", "$15343")</f>
        <v>$15343</v>
      </c>
      <c r="T1799" s="20">
        <v>17350</v>
      </c>
      <c r="U1799" s="20">
        <v>20379</v>
      </c>
      <c r="V1799" s="20">
        <v>5456</v>
      </c>
      <c r="W1799" s="20">
        <v>9887.3333333333321</v>
      </c>
      <c r="Y1799" s="19">
        <v>0.2626</v>
      </c>
      <c r="Z1799" s="19">
        <v>0.78679999999999994</v>
      </c>
      <c r="AB1799" s="18">
        <v>13843</v>
      </c>
      <c r="AC1799" s="18">
        <v>6</v>
      </c>
    </row>
    <row r="1800" spans="1:29" ht="15.75" customHeight="1" x14ac:dyDescent="0.2">
      <c r="A1800" s="36" t="str">
        <f>HYPERLINK("https://www.rider.edu", "Rider University")</f>
        <v>Rider University</v>
      </c>
      <c r="B1800" s="18" t="s">
        <v>32</v>
      </c>
      <c r="C1800" s="18" t="s">
        <v>141</v>
      </c>
      <c r="D1800" s="18" t="s">
        <v>1082</v>
      </c>
      <c r="E1800" s="18">
        <v>1097</v>
      </c>
      <c r="F1800" s="18" t="s">
        <v>35</v>
      </c>
      <c r="J1800" s="19"/>
      <c r="K1800" s="19">
        <v>0.62339999999999995</v>
      </c>
      <c r="L1800" s="19">
        <v>0.59807074000000005</v>
      </c>
      <c r="M1800" s="19">
        <v>0.68510000000000004</v>
      </c>
      <c r="N1800" s="19">
        <v>0.45629999999999998</v>
      </c>
      <c r="O1800" s="19">
        <v>0.48980000000000001</v>
      </c>
      <c r="P1800" s="19">
        <v>0.62160000000000004</v>
      </c>
      <c r="Q1800" s="19"/>
      <c r="R1800" s="20">
        <v>59700</v>
      </c>
      <c r="S1800" s="21" t="str">
        <f>HYPERLINK("https://www.rider.edu/netpricecalculator/", "$20899")</f>
        <v>$20899</v>
      </c>
      <c r="T1800" s="20">
        <v>28895</v>
      </c>
      <c r="U1800" s="20">
        <v>32124</v>
      </c>
      <c r="V1800" s="20">
        <v>3530</v>
      </c>
      <c r="W1800" s="20">
        <v>17369</v>
      </c>
      <c r="Y1800" s="19">
        <v>0.29039999999999999</v>
      </c>
      <c r="Z1800" s="19">
        <v>0.40899999999999997</v>
      </c>
      <c r="AB1800" s="18">
        <v>4042</v>
      </c>
      <c r="AC1800" s="18">
        <v>4</v>
      </c>
    </row>
    <row r="1801" spans="1:29" ht="15.75" customHeight="1" x14ac:dyDescent="0.2">
      <c r="A1801" s="36" t="str">
        <f>HYPERLINK("https://www.ridgewater.edu", "Ridgewater College")</f>
        <v>Ridgewater College</v>
      </c>
      <c r="B1801" s="18" t="s">
        <v>49</v>
      </c>
      <c r="C1801" s="18" t="s">
        <v>72</v>
      </c>
      <c r="D1801" s="18" t="s">
        <v>1647</v>
      </c>
      <c r="E1801" s="18" t="s">
        <v>36</v>
      </c>
      <c r="F1801" s="18" t="s">
        <v>36</v>
      </c>
      <c r="J1801" s="19"/>
      <c r="K1801" s="19">
        <v>0.42699999999999999</v>
      </c>
      <c r="L1801" s="19">
        <v>0.34472511099999997</v>
      </c>
      <c r="M1801" s="19">
        <v>0.46310000000000001</v>
      </c>
      <c r="N1801" s="19">
        <v>0.2414</v>
      </c>
      <c r="O1801" s="19">
        <v>0.26319999999999999</v>
      </c>
      <c r="P1801" s="19">
        <v>0.66669999999999996</v>
      </c>
      <c r="Q1801" s="19">
        <v>7.0912671999999996E-2</v>
      </c>
      <c r="R1801" s="20">
        <v>19179</v>
      </c>
      <c r="S1801" s="21" t="str">
        <f>HYPERLINK("https://www.minnstate.edu/admissions/calculator/ridgewater.html", "$13197")</f>
        <v>$13197</v>
      </c>
      <c r="T1801" s="20">
        <v>15562</v>
      </c>
      <c r="U1801" s="20">
        <v>17581</v>
      </c>
      <c r="V1801" s="20">
        <v>5700</v>
      </c>
      <c r="W1801" s="20">
        <v>7497.78947368421</v>
      </c>
      <c r="Y1801" s="19">
        <v>0.35749999999999998</v>
      </c>
      <c r="Z1801" s="19">
        <v>0.19040000000000001</v>
      </c>
      <c r="AB1801" s="18">
        <v>2678</v>
      </c>
      <c r="AC1801" s="18">
        <v>6</v>
      </c>
    </row>
    <row r="1802" spans="1:29" ht="15.75" customHeight="1" x14ac:dyDescent="0.2">
      <c r="A1802" s="36" t="str">
        <f>HYPERLINK("https://www.ringling.edu", "Ringling College of Art and Design")</f>
        <v>Ringling College of Art and Design</v>
      </c>
      <c r="B1802" s="18" t="s">
        <v>32</v>
      </c>
      <c r="C1802" s="18" t="s">
        <v>162</v>
      </c>
      <c r="D1802" s="18" t="s">
        <v>233</v>
      </c>
      <c r="E1802" s="18" t="s">
        <v>36</v>
      </c>
      <c r="F1802" s="18" t="s">
        <v>45</v>
      </c>
      <c r="J1802" s="19"/>
      <c r="K1802" s="19">
        <v>0.65159999999999996</v>
      </c>
      <c r="L1802" s="19">
        <v>0.58585858600000007</v>
      </c>
      <c r="M1802" s="19">
        <v>0.62780000000000002</v>
      </c>
      <c r="N1802" s="19">
        <v>0.54549999999999998</v>
      </c>
      <c r="O1802" s="19">
        <v>0.67569999999999997</v>
      </c>
      <c r="P1802" s="19">
        <v>0.58819999999999995</v>
      </c>
      <c r="Q1802" s="19"/>
      <c r="R1802" s="20">
        <v>65524</v>
      </c>
      <c r="S1802" s="21" t="str">
        <f>HYPERLINK("https://npc.collegeboard.org/student/app/ringling", "$44334")</f>
        <v>$44334</v>
      </c>
      <c r="T1802" s="20">
        <v>47914</v>
      </c>
      <c r="U1802" s="20">
        <v>50024</v>
      </c>
      <c r="V1802" s="20">
        <v>6364</v>
      </c>
      <c r="W1802" s="20">
        <v>37970</v>
      </c>
      <c r="Y1802" s="19">
        <v>0.28820000000000001</v>
      </c>
      <c r="Z1802" s="19">
        <v>0.52410000000000001</v>
      </c>
      <c r="AB1802" s="18">
        <v>1454</v>
      </c>
      <c r="AC1802" s="18">
        <v>4</v>
      </c>
    </row>
    <row r="1803" spans="1:29" ht="15.75" customHeight="1" x14ac:dyDescent="0.2">
      <c r="A1803" s="36" t="str">
        <f>HYPERLINK("https://www.riohondo.edu", "Rio Hondo College")</f>
        <v>Rio Hondo College</v>
      </c>
      <c r="B1803" s="18" t="s">
        <v>49</v>
      </c>
      <c r="C1803" s="18" t="s">
        <v>68</v>
      </c>
      <c r="D1803" s="18" t="s">
        <v>1415</v>
      </c>
      <c r="E1803" s="18" t="s">
        <v>36</v>
      </c>
      <c r="F1803" s="18" t="s">
        <v>36</v>
      </c>
      <c r="J1803" s="19"/>
      <c r="K1803" s="19">
        <v>0.19670000000000001</v>
      </c>
      <c r="L1803" s="19">
        <v>5.3105737E-2</v>
      </c>
      <c r="M1803" s="19">
        <v>6.6699999999999995E-2</v>
      </c>
      <c r="N1803" s="19">
        <v>0</v>
      </c>
      <c r="O1803" s="19">
        <v>0.1641</v>
      </c>
      <c r="P1803" s="19">
        <v>0.49149999999999999</v>
      </c>
      <c r="Q1803" s="19">
        <v>9.0724441000000003E-2</v>
      </c>
      <c r="R1803" s="20">
        <v>25360</v>
      </c>
      <c r="S1803" s="21" t="str">
        <f>HYPERLINK("https://www.riohondo.edu/financial-aid/", "$18327")</f>
        <v>$18327</v>
      </c>
      <c r="T1803" s="20">
        <v>21428</v>
      </c>
      <c r="U1803" s="20">
        <v>22276</v>
      </c>
      <c r="V1803" s="20">
        <v>6430</v>
      </c>
      <c r="W1803" s="20">
        <v>11897.1965648855</v>
      </c>
      <c r="Y1803" s="19">
        <v>0.2382</v>
      </c>
      <c r="Z1803" s="19">
        <v>0.92759999999999998</v>
      </c>
      <c r="AB1803" s="18">
        <v>17807</v>
      </c>
      <c r="AC1803" s="18">
        <v>6</v>
      </c>
    </row>
    <row r="1804" spans="1:29" ht="15.75" customHeight="1" x14ac:dyDescent="0.2">
      <c r="A1804" s="36" t="str">
        <f>HYPERLINK("https://www.ripon.edu", "Ripon College")</f>
        <v>Ripon College</v>
      </c>
      <c r="B1804" s="18" t="s">
        <v>32</v>
      </c>
      <c r="C1804" s="18" t="s">
        <v>196</v>
      </c>
      <c r="D1804" s="18" t="s">
        <v>1083</v>
      </c>
      <c r="E1804" s="18">
        <v>1145</v>
      </c>
      <c r="F1804" s="18" t="s">
        <v>115</v>
      </c>
      <c r="J1804" s="19"/>
      <c r="K1804" s="19">
        <v>0.6784</v>
      </c>
      <c r="L1804" s="19">
        <v>0.44</v>
      </c>
      <c r="M1804" s="19">
        <v>0.71279999999999999</v>
      </c>
      <c r="N1804" s="19">
        <v>0.25</v>
      </c>
      <c r="O1804" s="19">
        <v>0.54549999999999998</v>
      </c>
      <c r="P1804" s="19">
        <v>1</v>
      </c>
      <c r="Q1804" s="19"/>
      <c r="R1804" s="20">
        <v>52341</v>
      </c>
      <c r="S1804" s="21" t="str">
        <f>HYPERLINK("https://www.ripon.edu/admission/calculator/", "$15108")</f>
        <v>$15108</v>
      </c>
      <c r="T1804" s="20">
        <v>16261</v>
      </c>
      <c r="U1804" s="20">
        <v>19763</v>
      </c>
      <c r="V1804" s="20">
        <v>2350</v>
      </c>
      <c r="W1804" s="20">
        <v>12758</v>
      </c>
      <c r="Y1804" s="19">
        <v>0.3392</v>
      </c>
      <c r="Z1804" s="19">
        <v>0.20269999999999999</v>
      </c>
      <c r="AB1804" s="18">
        <v>740</v>
      </c>
      <c r="AC1804" s="18">
        <v>4</v>
      </c>
    </row>
    <row r="1805" spans="1:29" ht="15.75" customHeight="1" x14ac:dyDescent="0.2">
      <c r="A1805" s="36" t="str">
        <f>HYPERLINK("https://www.rivervalley.edu", "River Valley Community College")</f>
        <v>River Valley Community College</v>
      </c>
      <c r="B1805" s="18" t="s">
        <v>49</v>
      </c>
      <c r="C1805" s="18" t="s">
        <v>101</v>
      </c>
      <c r="D1805" s="18" t="s">
        <v>77</v>
      </c>
      <c r="E1805" s="18" t="s">
        <v>36</v>
      </c>
      <c r="F1805" s="18" t="s">
        <v>36</v>
      </c>
      <c r="J1805" s="19"/>
      <c r="K1805" s="19">
        <v>0.2407</v>
      </c>
      <c r="L1805" s="19">
        <v>0.375</v>
      </c>
      <c r="M1805" s="19">
        <v>0.27660000000000001</v>
      </c>
      <c r="N1805" s="19" t="s">
        <v>36</v>
      </c>
      <c r="O1805" s="19">
        <v>0</v>
      </c>
      <c r="P1805" s="19">
        <v>0</v>
      </c>
      <c r="Q1805" s="19">
        <v>6.8452380999999993E-2</v>
      </c>
      <c r="R1805" s="20">
        <v>37439</v>
      </c>
      <c r="S1805" s="21" t="str">
        <f>HYPERLINK("https://www.rivervalley.edu/admissions/financial-aid", "$33325")</f>
        <v>$33325</v>
      </c>
      <c r="T1805" s="20">
        <v>37439</v>
      </c>
      <c r="U1805" s="20">
        <v>37439</v>
      </c>
      <c r="V1805" s="20">
        <v>9718</v>
      </c>
      <c r="W1805" s="20">
        <v>23607.111111111109</v>
      </c>
      <c r="Y1805" s="19">
        <v>0.4123</v>
      </c>
      <c r="Z1805" s="19">
        <v>0.16180000000000011</v>
      </c>
      <c r="AB1805" s="18">
        <v>754</v>
      </c>
      <c r="AC1805" s="18">
        <v>6</v>
      </c>
    </row>
    <row r="1806" spans="1:29" ht="15.75" customHeight="1" x14ac:dyDescent="0.2">
      <c r="A1806" s="36" t="str">
        <f>HYPERLINK("https://www.rcc.edu/riverside/", "Riverside City College")</f>
        <v>Riverside City College</v>
      </c>
      <c r="B1806" s="18" t="s">
        <v>49</v>
      </c>
      <c r="C1806" s="18" t="s">
        <v>68</v>
      </c>
      <c r="D1806" s="18" t="s">
        <v>392</v>
      </c>
      <c r="E1806" s="18" t="s">
        <v>36</v>
      </c>
      <c r="F1806" s="18" t="s">
        <v>36</v>
      </c>
      <c r="J1806" s="19"/>
      <c r="K1806" s="19">
        <v>0.27900000000000003</v>
      </c>
      <c r="L1806" s="19">
        <v>8.1691772999999995E-2</v>
      </c>
      <c r="M1806" s="19">
        <v>0.33329999999999999</v>
      </c>
      <c r="N1806" s="19">
        <v>0.1842</v>
      </c>
      <c r="O1806" s="19">
        <v>0.2319</v>
      </c>
      <c r="P1806" s="19">
        <v>0.48309999999999997</v>
      </c>
      <c r="Q1806" s="19">
        <v>0.10658042700000001</v>
      </c>
      <c r="R1806" s="20">
        <v>31220</v>
      </c>
      <c r="S1806" s="21" t="str">
        <f>HYPERLINK("https://misweb.cccco.edu/npc/961/npcalc.htm", "$24624")</f>
        <v>$24624</v>
      </c>
      <c r="T1806" s="20">
        <v>27129</v>
      </c>
      <c r="U1806" s="20">
        <v>27537</v>
      </c>
      <c r="V1806" s="20">
        <v>6094</v>
      </c>
      <c r="W1806" s="20">
        <v>18530.404980340762</v>
      </c>
      <c r="Y1806" s="19">
        <v>0.31009999999999999</v>
      </c>
      <c r="Z1806" s="19">
        <v>0.79630000000000001</v>
      </c>
      <c r="AB1806" s="18">
        <v>18234</v>
      </c>
      <c r="AC1806" s="18">
        <v>6</v>
      </c>
    </row>
    <row r="1807" spans="1:29" ht="15.75" customHeight="1" x14ac:dyDescent="0.2">
      <c r="A1807" s="36" t="str">
        <f>HYPERLINK("https://www.rivier.edu", "Rivier University")</f>
        <v>Rivier University</v>
      </c>
      <c r="B1807" s="18" t="s">
        <v>32</v>
      </c>
      <c r="C1807" s="18" t="s">
        <v>101</v>
      </c>
      <c r="D1807" s="18" t="s">
        <v>450</v>
      </c>
      <c r="E1807" s="18" t="s">
        <v>36</v>
      </c>
      <c r="F1807" s="18" t="s">
        <v>90</v>
      </c>
      <c r="J1807" s="19"/>
      <c r="K1807" s="19">
        <v>0.54079999999999995</v>
      </c>
      <c r="L1807" s="19">
        <v>0.59405940600000007</v>
      </c>
      <c r="M1807" s="19">
        <v>0.53569999999999995</v>
      </c>
      <c r="N1807" s="19">
        <v>0.5</v>
      </c>
      <c r="O1807" s="19">
        <v>0.30769999999999997</v>
      </c>
      <c r="P1807" s="19">
        <v>0.3</v>
      </c>
      <c r="Q1807" s="19"/>
      <c r="R1807" s="20">
        <v>48158</v>
      </c>
      <c r="S1807" s="21" t="str">
        <f>HYPERLINK("https://rivier.studentaidcalculator.com/survey.aspx", "$22134")</f>
        <v>$22134</v>
      </c>
      <c r="T1807" s="20">
        <v>23228</v>
      </c>
      <c r="U1807" s="20">
        <v>24910</v>
      </c>
      <c r="V1807" s="20">
        <v>4300</v>
      </c>
      <c r="W1807" s="20">
        <v>17834</v>
      </c>
      <c r="Y1807" s="19">
        <v>0.2681</v>
      </c>
      <c r="Z1807" s="19">
        <v>0.22869999999999999</v>
      </c>
      <c r="AB1807" s="18">
        <v>1408</v>
      </c>
      <c r="AC1807" s="18">
        <v>3</v>
      </c>
    </row>
    <row r="1808" spans="1:29" ht="15.75" customHeight="1" x14ac:dyDescent="0.2">
      <c r="A1808" s="36" t="str">
        <f>HYPERLINK("https://www.roanestate.edu", "Roane State Community College")</f>
        <v>Roane State Community College</v>
      </c>
      <c r="B1808" s="18" t="s">
        <v>49</v>
      </c>
      <c r="C1808" s="18" t="s">
        <v>174</v>
      </c>
      <c r="D1808" s="18" t="s">
        <v>1648</v>
      </c>
      <c r="E1808" s="18" t="s">
        <v>36</v>
      </c>
      <c r="F1808" s="18" t="s">
        <v>36</v>
      </c>
      <c r="J1808" s="19"/>
      <c r="K1808" s="19">
        <v>0.29849999999999999</v>
      </c>
      <c r="L1808" s="19">
        <v>0.19150468000000001</v>
      </c>
      <c r="M1808" s="19">
        <v>0.31090000000000001</v>
      </c>
      <c r="N1808" s="19">
        <v>0.125</v>
      </c>
      <c r="O1808" s="19">
        <v>0.21429999999999999</v>
      </c>
      <c r="P1808" s="19">
        <v>0.16669999999999999</v>
      </c>
      <c r="Q1808" s="19">
        <v>9.2050209000000008E-2</v>
      </c>
      <c r="R1808" s="20">
        <v>26048</v>
      </c>
      <c r="S1808" s="21" t="str">
        <f>HYPERLINK("https://www.roanestate.edu/fa/netPriceCalculator", "$19098")</f>
        <v>$19098</v>
      </c>
      <c r="T1808" s="20">
        <v>21644</v>
      </c>
      <c r="U1808" s="20">
        <v>22156</v>
      </c>
      <c r="V1808" s="20">
        <v>4754</v>
      </c>
      <c r="W1808" s="20">
        <v>14344.19087136929</v>
      </c>
      <c r="Y1808" s="19">
        <v>0.39090000000000003</v>
      </c>
      <c r="Z1808" s="19">
        <v>0.1067</v>
      </c>
      <c r="AB1808" s="18">
        <v>4272</v>
      </c>
      <c r="AC1808" s="18">
        <v>6</v>
      </c>
    </row>
    <row r="1809" spans="1:29" ht="15.75" customHeight="1" x14ac:dyDescent="0.2">
      <c r="A1809" s="36" t="str">
        <f>HYPERLINK("https://www.roanoke.edu", "Roanoke College")</f>
        <v>Roanoke College</v>
      </c>
      <c r="B1809" s="18" t="s">
        <v>32</v>
      </c>
      <c r="C1809" s="18" t="s">
        <v>83</v>
      </c>
      <c r="D1809" s="18" t="s">
        <v>343</v>
      </c>
      <c r="E1809" s="18">
        <v>1154</v>
      </c>
      <c r="F1809" s="18" t="s">
        <v>35</v>
      </c>
      <c r="J1809" s="19"/>
      <c r="K1809" s="19">
        <v>0.6704</v>
      </c>
      <c r="L1809" s="19">
        <v>0.64566929100000003</v>
      </c>
      <c r="M1809" s="19">
        <v>0.66959999999999997</v>
      </c>
      <c r="N1809" s="19">
        <v>0.60870000000000002</v>
      </c>
      <c r="O1809" s="19">
        <v>0.71430000000000005</v>
      </c>
      <c r="P1809" s="19">
        <v>0.5</v>
      </c>
      <c r="Q1809" s="19"/>
      <c r="R1809" s="20">
        <v>59327</v>
      </c>
      <c r="S1809" s="21" t="str">
        <f>HYPERLINK("https://admapp.roanoke.edu/netcalc", "$21505")</f>
        <v>$21505</v>
      </c>
      <c r="T1809" s="20">
        <v>26320</v>
      </c>
      <c r="U1809" s="20">
        <v>28551</v>
      </c>
      <c r="V1809" s="20">
        <v>3250</v>
      </c>
      <c r="W1809" s="20">
        <v>18255</v>
      </c>
      <c r="Y1809" s="19">
        <v>0.2424</v>
      </c>
      <c r="Z1809" s="19">
        <v>0.19700000000000009</v>
      </c>
      <c r="AB1809" s="18">
        <v>1990</v>
      </c>
      <c r="AC1809" s="18">
        <v>4</v>
      </c>
    </row>
    <row r="1810" spans="1:29" ht="15.75" customHeight="1" x14ac:dyDescent="0.2">
      <c r="A1810" s="36" t="str">
        <f>HYPERLINK("https://www.rmu.edu", "Robert Morris University")</f>
        <v>Robert Morris University</v>
      </c>
      <c r="B1810" s="18" t="s">
        <v>32</v>
      </c>
      <c r="C1810" s="18" t="s">
        <v>65</v>
      </c>
      <c r="D1810" s="18" t="s">
        <v>1085</v>
      </c>
      <c r="E1810" s="18">
        <v>1127</v>
      </c>
      <c r="F1810" s="18" t="s">
        <v>35</v>
      </c>
      <c r="J1810" s="19"/>
      <c r="K1810" s="19">
        <v>0.6069</v>
      </c>
      <c r="L1810" s="19">
        <v>0.49689441000000001</v>
      </c>
      <c r="M1810" s="19">
        <v>0.63880000000000003</v>
      </c>
      <c r="N1810" s="19">
        <v>0.33850000000000002</v>
      </c>
      <c r="O1810" s="19">
        <v>0.5333</v>
      </c>
      <c r="P1810" s="19">
        <v>0.54549999999999998</v>
      </c>
      <c r="Q1810" s="19"/>
      <c r="R1810" s="20">
        <v>46316</v>
      </c>
      <c r="S1810" s="21" t="str">
        <f>HYPERLINK("https://rmu.edu/admissions/financial-aid/net-price-calculator", "$22081")</f>
        <v>$22081</v>
      </c>
      <c r="T1810" s="20">
        <v>22720</v>
      </c>
      <c r="U1810" s="20">
        <v>27201</v>
      </c>
      <c r="V1810" s="20">
        <v>3996</v>
      </c>
      <c r="W1810" s="20">
        <v>18085</v>
      </c>
      <c r="Y1810" s="19">
        <v>0.28029999999999999</v>
      </c>
      <c r="Z1810" s="19">
        <v>0.26819999999999999</v>
      </c>
      <c r="AB1810" s="18">
        <v>4213</v>
      </c>
      <c r="AC1810" s="18">
        <v>4</v>
      </c>
    </row>
    <row r="1811" spans="1:29" ht="15.75" customHeight="1" x14ac:dyDescent="0.2">
      <c r="A1811" s="36" t="str">
        <f>HYPERLINK("https://www.roberts.edu", "Roberts Wesleyan College")</f>
        <v>Roberts Wesleyan College</v>
      </c>
      <c r="B1811" s="18" t="s">
        <v>32</v>
      </c>
      <c r="C1811" s="18" t="s">
        <v>38</v>
      </c>
      <c r="D1811" s="18" t="s">
        <v>170</v>
      </c>
      <c r="E1811" s="18">
        <v>1144</v>
      </c>
      <c r="F1811" s="18" t="s">
        <v>35</v>
      </c>
      <c r="J1811" s="19"/>
      <c r="K1811" s="19">
        <v>0.59750000000000003</v>
      </c>
      <c r="L1811" s="19">
        <v>0.4</v>
      </c>
      <c r="M1811" s="19">
        <v>0.63639999999999997</v>
      </c>
      <c r="N1811" s="19">
        <v>0.38100000000000001</v>
      </c>
      <c r="O1811" s="19">
        <v>0.375</v>
      </c>
      <c r="P1811" s="19">
        <v>1</v>
      </c>
      <c r="Q1811" s="19"/>
      <c r="R1811" s="20">
        <v>45138</v>
      </c>
      <c r="S1811" s="21" t="str">
        <f>HYPERLINK("https://www.roberts.edu/undergraduate/tuition-and-aid/net-price-calculator.aspx", "$18582")</f>
        <v>$18582</v>
      </c>
      <c r="T1811" s="20">
        <v>22535</v>
      </c>
      <c r="U1811" s="20">
        <v>24463</v>
      </c>
      <c r="V1811" s="20">
        <v>4022</v>
      </c>
      <c r="W1811" s="20">
        <v>14560</v>
      </c>
      <c r="Y1811" s="19">
        <v>6.08E-2</v>
      </c>
      <c r="Z1811" s="19">
        <v>0.26450000000000001</v>
      </c>
      <c r="AB1811" s="18">
        <v>1297</v>
      </c>
      <c r="AC1811" s="18">
        <v>4</v>
      </c>
    </row>
    <row r="1812" spans="1:29" ht="15.75" customHeight="1" x14ac:dyDescent="0.2">
      <c r="A1812" s="36" t="str">
        <f>HYPERLINK("https://www.robeson.edu", "Robeson Community College")</f>
        <v>Robeson Community College</v>
      </c>
      <c r="B1812" s="18" t="s">
        <v>49</v>
      </c>
      <c r="C1812" s="18" t="s">
        <v>103</v>
      </c>
      <c r="D1812" s="18" t="s">
        <v>1649</v>
      </c>
      <c r="E1812" s="18" t="s">
        <v>36</v>
      </c>
      <c r="F1812" s="18" t="s">
        <v>36</v>
      </c>
      <c r="J1812" s="19"/>
      <c r="K1812" s="19">
        <v>0.23080000000000001</v>
      </c>
      <c r="L1812" s="19">
        <v>0.13777267500000001</v>
      </c>
      <c r="M1812" s="19">
        <v>0.42420000000000002</v>
      </c>
      <c r="N1812" s="19">
        <v>0.1389</v>
      </c>
      <c r="O1812" s="19">
        <v>0.5</v>
      </c>
      <c r="P1812" s="19">
        <v>1</v>
      </c>
      <c r="Q1812" s="19">
        <v>3.0155642E-2</v>
      </c>
      <c r="R1812" s="20">
        <v>24435</v>
      </c>
      <c r="S1812" s="21" t="str">
        <f>HYPERLINK("https://robeson.edu/wp-content/uploads/NetPriceCalculator/npcalc.htm", "$20030")</f>
        <v>$20030</v>
      </c>
      <c r="T1812" s="20">
        <v>23805</v>
      </c>
      <c r="U1812" s="20">
        <v>23903</v>
      </c>
      <c r="V1812" s="20">
        <v>7370</v>
      </c>
      <c r="W1812" s="20">
        <v>12660.308333333331</v>
      </c>
      <c r="Y1812" s="19">
        <v>0.29139999999999999</v>
      </c>
      <c r="Z1812" s="19">
        <v>0.8024</v>
      </c>
      <c r="AB1812" s="18">
        <v>1513</v>
      </c>
      <c r="AC1812" s="18">
        <v>6</v>
      </c>
    </row>
    <row r="1813" spans="1:29" ht="15.75" customHeight="1" x14ac:dyDescent="0.2">
      <c r="A1813" s="36" t="str">
        <f>HYPERLINK("https://www.rc.edu", "Rochester College")</f>
        <v>Rochester College</v>
      </c>
      <c r="B1813" s="18" t="s">
        <v>32</v>
      </c>
      <c r="C1813" s="18" t="s">
        <v>226</v>
      </c>
      <c r="D1813" s="18" t="s">
        <v>434</v>
      </c>
      <c r="E1813" s="18">
        <v>997</v>
      </c>
      <c r="F1813" s="18" t="s">
        <v>35</v>
      </c>
      <c r="J1813" s="19"/>
      <c r="K1813" s="19">
        <v>0.4194</v>
      </c>
      <c r="L1813" s="19">
        <v>0.51851851900000001</v>
      </c>
      <c r="M1813" s="19">
        <v>0.52939999999999998</v>
      </c>
      <c r="N1813" s="19">
        <v>0.125</v>
      </c>
      <c r="O1813" s="19">
        <v>0.66669999999999996</v>
      </c>
      <c r="P1813" s="19" t="s">
        <v>36</v>
      </c>
      <c r="Q1813" s="19"/>
      <c r="R1813" s="20">
        <v>32028</v>
      </c>
      <c r="S1813" s="21" t="str">
        <f>HYPERLINK("https://www.rc.edu/admissions/financial-services/cost-of-college/", "$14794")</f>
        <v>$14794</v>
      </c>
      <c r="T1813" s="20">
        <v>17543</v>
      </c>
      <c r="U1813" s="20">
        <v>19747</v>
      </c>
      <c r="V1813" s="20">
        <v>2556</v>
      </c>
      <c r="W1813" s="20">
        <v>12238</v>
      </c>
      <c r="Y1813" s="19">
        <v>0.36580000000000001</v>
      </c>
      <c r="Z1813" s="19">
        <v>0.28270000000000001</v>
      </c>
      <c r="AB1813" s="18">
        <v>987</v>
      </c>
      <c r="AC1813" s="18">
        <v>4</v>
      </c>
    </row>
    <row r="1814" spans="1:29" ht="15.75" customHeight="1" x14ac:dyDescent="0.2">
      <c r="A1814" s="36" t="str">
        <f>HYPERLINK("https://www.rctc.edu/", "Rochester Community and Technical College")</f>
        <v>Rochester Community and Technical College</v>
      </c>
      <c r="B1814" s="18" t="s">
        <v>49</v>
      </c>
      <c r="C1814" s="18" t="s">
        <v>72</v>
      </c>
      <c r="D1814" s="18" t="s">
        <v>170</v>
      </c>
      <c r="E1814" s="18" t="s">
        <v>36</v>
      </c>
      <c r="F1814" s="18" t="s">
        <v>36</v>
      </c>
      <c r="J1814" s="19"/>
      <c r="K1814" s="19">
        <v>0.22459999999999999</v>
      </c>
      <c r="L1814" s="19">
        <v>0.26694045199999999</v>
      </c>
      <c r="M1814" s="19">
        <v>0.26029999999999998</v>
      </c>
      <c r="N1814" s="19">
        <v>9.4E-2</v>
      </c>
      <c r="O1814" s="19">
        <v>0.1429</v>
      </c>
      <c r="P1814" s="19">
        <v>0.30430000000000001</v>
      </c>
      <c r="Q1814" s="19">
        <v>8.1642751E-2</v>
      </c>
      <c r="R1814" s="20">
        <v>22336</v>
      </c>
      <c r="S1814" s="21" t="str">
        <f>HYPERLINK("https://www.minnstate.edu/admissions/calculator/rochester.html", "$16670")</f>
        <v>$16670</v>
      </c>
      <c r="T1814" s="20">
        <v>18323</v>
      </c>
      <c r="U1814" s="20">
        <v>21063</v>
      </c>
      <c r="V1814" s="20">
        <v>9500</v>
      </c>
      <c r="W1814" s="20">
        <v>7170.2895927601821</v>
      </c>
      <c r="Y1814" s="19">
        <v>0.35170000000000001</v>
      </c>
      <c r="Z1814" s="19">
        <v>0.30690000000000001</v>
      </c>
      <c r="AB1814" s="18">
        <v>4204</v>
      </c>
      <c r="AC1814" s="18">
        <v>6</v>
      </c>
    </row>
    <row r="1815" spans="1:29" ht="15.75" customHeight="1" x14ac:dyDescent="0.2">
      <c r="A1815" s="36" t="str">
        <f>HYPERLINK("https://www.rit.edu/", "Rochester Institute of Technology")</f>
        <v>Rochester Institute of Technology</v>
      </c>
      <c r="B1815" s="18" t="s">
        <v>32</v>
      </c>
      <c r="C1815" s="18" t="s">
        <v>38</v>
      </c>
      <c r="D1815" s="18" t="s">
        <v>170</v>
      </c>
      <c r="E1815" s="18">
        <v>1315</v>
      </c>
      <c r="F1815" s="18" t="s">
        <v>35</v>
      </c>
      <c r="G1815" s="18" t="s">
        <v>40</v>
      </c>
      <c r="H1815" s="18" t="s">
        <v>451</v>
      </c>
      <c r="I1815" s="18" t="s">
        <v>452</v>
      </c>
      <c r="J1815" s="19"/>
      <c r="K1815" s="19">
        <v>0.67299999999999993</v>
      </c>
      <c r="L1815" s="19">
        <v>0.52020860499999999</v>
      </c>
      <c r="M1815" s="19">
        <v>0.70299999999999996</v>
      </c>
      <c r="N1815" s="19">
        <v>0.53249999999999997</v>
      </c>
      <c r="O1815" s="19">
        <v>0.59009999999999996</v>
      </c>
      <c r="P1815" s="19">
        <v>0.66669999999999996</v>
      </c>
      <c r="Q1815" s="19"/>
      <c r="R1815" s="20">
        <v>54714</v>
      </c>
      <c r="S1815" s="21" t="str">
        <f>HYPERLINK("https://npc.collegeboard.org/student/app/rit", "$25634")</f>
        <v>$25634</v>
      </c>
      <c r="T1815" s="20">
        <v>26856</v>
      </c>
      <c r="U1815" s="20">
        <v>28946</v>
      </c>
      <c r="V1815" s="20">
        <v>1980</v>
      </c>
      <c r="W1815" s="20">
        <v>23654</v>
      </c>
      <c r="Y1815" s="19">
        <v>0.28939999999999999</v>
      </c>
      <c r="Z1815" s="19">
        <v>0.33560000000000001</v>
      </c>
      <c r="AB1815" s="18">
        <v>12858</v>
      </c>
      <c r="AC1815" s="18">
        <v>3</v>
      </c>
    </row>
    <row r="1816" spans="1:29" ht="15.75" customHeight="1" x14ac:dyDescent="0.2">
      <c r="A1816" s="36" t="str">
        <f>HYPERLINK("https://www.rockvalleycollege.edu", "Rock Valley College")</f>
        <v>Rock Valley College</v>
      </c>
      <c r="B1816" s="18" t="s">
        <v>49</v>
      </c>
      <c r="C1816" s="18" t="s">
        <v>137</v>
      </c>
      <c r="D1816" s="18" t="s">
        <v>1088</v>
      </c>
      <c r="E1816" s="18" t="s">
        <v>36</v>
      </c>
      <c r="F1816" s="18" t="s">
        <v>36</v>
      </c>
      <c r="J1816" s="19"/>
      <c r="K1816" s="19">
        <v>0.31059999999999999</v>
      </c>
      <c r="L1816" s="19">
        <v>0.160910518</v>
      </c>
      <c r="M1816" s="19">
        <v>0.33040000000000003</v>
      </c>
      <c r="N1816" s="19">
        <v>0.11899999999999999</v>
      </c>
      <c r="O1816" s="19">
        <v>0.32</v>
      </c>
      <c r="P1816" s="19">
        <v>0.3125</v>
      </c>
      <c r="Q1816" s="19">
        <v>9.9204243999999997E-2</v>
      </c>
      <c r="R1816" s="20">
        <v>26866</v>
      </c>
      <c r="S1816" s="21" t="str">
        <f>HYPERLINK("https://apps.rockvalleycollege.edu/assets/NetPriceCalc/npcalc.htm", "$21390")</f>
        <v>$21390</v>
      </c>
      <c r="T1816" s="20">
        <v>23991</v>
      </c>
      <c r="U1816" s="20">
        <v>25064</v>
      </c>
      <c r="V1816" s="20">
        <v>4028</v>
      </c>
      <c r="W1816" s="20">
        <v>17362.882352941171</v>
      </c>
      <c r="Y1816" s="19">
        <v>0.28410000000000002</v>
      </c>
      <c r="Z1816" s="19">
        <v>0.3629</v>
      </c>
      <c r="AB1816" s="18">
        <v>5732</v>
      </c>
      <c r="AC1816" s="18">
        <v>6</v>
      </c>
    </row>
    <row r="1817" spans="1:29" ht="15.75" customHeight="1" x14ac:dyDescent="0.2">
      <c r="A1817" s="36" t="str">
        <f>HYPERLINK("https://www.rockford.edu", "Rockford University")</f>
        <v>Rockford University</v>
      </c>
      <c r="B1817" s="18" t="s">
        <v>32</v>
      </c>
      <c r="C1817" s="18" t="s">
        <v>137</v>
      </c>
      <c r="D1817" s="18" t="s">
        <v>1088</v>
      </c>
      <c r="E1817" s="18">
        <v>1059</v>
      </c>
      <c r="F1817" s="18" t="s">
        <v>35</v>
      </c>
      <c r="J1817" s="19"/>
      <c r="K1817" s="19">
        <v>0.41460000000000002</v>
      </c>
      <c r="L1817" s="19">
        <v>0.41830065399999999</v>
      </c>
      <c r="M1817" s="19">
        <v>0.46150000000000002</v>
      </c>
      <c r="N1817" s="19">
        <v>0.15379999999999999</v>
      </c>
      <c r="O1817" s="19">
        <v>0.36359999999999998</v>
      </c>
      <c r="P1817" s="19" t="s">
        <v>36</v>
      </c>
      <c r="Q1817" s="19"/>
      <c r="R1817" s="20">
        <v>43130</v>
      </c>
      <c r="S1817" s="21" t="str">
        <f>HYPERLINK("https://www.rockford.edu/admission/financialaid/netpricecalculator/", "$19856")</f>
        <v>$19856</v>
      </c>
      <c r="T1817" s="20">
        <v>19030</v>
      </c>
      <c r="U1817" s="20">
        <v>22201</v>
      </c>
      <c r="V1817" s="20">
        <v>4660</v>
      </c>
      <c r="W1817" s="20">
        <v>15196</v>
      </c>
      <c r="Y1817" s="19">
        <v>0.47810000000000002</v>
      </c>
      <c r="Z1817" s="19">
        <v>0.37719999999999998</v>
      </c>
      <c r="AB1817" s="18">
        <v>1018</v>
      </c>
      <c r="AC1817" s="18">
        <v>4</v>
      </c>
    </row>
    <row r="1818" spans="1:29" ht="15.75" customHeight="1" x14ac:dyDescent="0.2">
      <c r="A1818" s="36" t="str">
        <f>HYPERLINK("https://www.rockhurst.edu", "Rockhurst University")</f>
        <v>Rockhurst University</v>
      </c>
      <c r="B1818" s="18" t="s">
        <v>32</v>
      </c>
      <c r="C1818" s="18" t="s">
        <v>164</v>
      </c>
      <c r="D1818" s="18" t="s">
        <v>515</v>
      </c>
      <c r="E1818" s="18">
        <v>1198</v>
      </c>
      <c r="F1818" s="18" t="s">
        <v>35</v>
      </c>
      <c r="J1818" s="19"/>
      <c r="K1818" s="19">
        <v>0.74539999999999995</v>
      </c>
      <c r="L1818" s="19">
        <v>0.52884615400000001</v>
      </c>
      <c r="M1818" s="19">
        <v>0.8024</v>
      </c>
      <c r="N1818" s="19">
        <v>0.40910000000000002</v>
      </c>
      <c r="O1818" s="19">
        <v>0.30430000000000001</v>
      </c>
      <c r="P1818" s="19">
        <v>1</v>
      </c>
      <c r="Q1818" s="19"/>
      <c r="R1818" s="20">
        <v>51631</v>
      </c>
      <c r="S1818" s="21" t="str">
        <f>HYPERLINK("https://www.rockhurst.edu/admissions/scholarships-financial-aid/undergraduate-students/net-price-calculator/", "$18844")</f>
        <v>$18844</v>
      </c>
      <c r="T1818" s="20">
        <v>20874</v>
      </c>
      <c r="U1818" s="20">
        <v>24244</v>
      </c>
      <c r="V1818" s="20">
        <v>5681</v>
      </c>
      <c r="W1818" s="20">
        <v>13163</v>
      </c>
      <c r="Y1818" s="19">
        <v>0.13270000000000001</v>
      </c>
      <c r="Z1818" s="19">
        <v>0.27969999999999989</v>
      </c>
      <c r="AB1818" s="18">
        <v>1623</v>
      </c>
      <c r="AC1818" s="18">
        <v>4</v>
      </c>
    </row>
    <row r="1819" spans="1:29" ht="15.75" customHeight="1" x14ac:dyDescent="0.2">
      <c r="A1819" s="36" t="str">
        <f>HYPERLINK("https://www.rockinghamcc.edu", "Rockingham Community College")</f>
        <v>Rockingham Community College</v>
      </c>
      <c r="B1819" s="18" t="s">
        <v>49</v>
      </c>
      <c r="C1819" s="18" t="s">
        <v>103</v>
      </c>
      <c r="D1819" s="18" t="s">
        <v>1650</v>
      </c>
      <c r="E1819" s="18" t="s">
        <v>36</v>
      </c>
      <c r="F1819" s="18" t="s">
        <v>36</v>
      </c>
      <c r="J1819" s="19"/>
      <c r="K1819" s="19">
        <v>0.25430000000000003</v>
      </c>
      <c r="L1819" s="19">
        <v>0.18229166699999999</v>
      </c>
      <c r="M1819" s="19">
        <v>0.30819999999999997</v>
      </c>
      <c r="N1819" s="19">
        <v>0.1429</v>
      </c>
      <c r="O1819" s="19">
        <v>0.33329999999999999</v>
      </c>
      <c r="P1819" s="19">
        <v>0</v>
      </c>
      <c r="Q1819" s="19">
        <v>2.8205127999999999E-2</v>
      </c>
      <c r="R1819" s="20">
        <v>20198</v>
      </c>
      <c r="S1819" s="21" t="str">
        <f>HYPERLINK("https://www.rockinghamcc.edu/NetCal/npcalc.htm", "$14451")</f>
        <v>$14451</v>
      </c>
      <c r="T1819" s="20">
        <v>16289</v>
      </c>
      <c r="U1819" s="20">
        <v>16652</v>
      </c>
      <c r="V1819" s="20">
        <v>6050</v>
      </c>
      <c r="W1819" s="20">
        <v>8401.3333333333321</v>
      </c>
      <c r="Y1819" s="19">
        <v>0.35980000000000001</v>
      </c>
      <c r="Z1819" s="19">
        <v>0.31400000000000011</v>
      </c>
      <c r="AB1819" s="18">
        <v>1465</v>
      </c>
      <c r="AC1819" s="18">
        <v>6</v>
      </c>
    </row>
    <row r="1820" spans="1:29" ht="15.75" customHeight="1" x14ac:dyDescent="0.2">
      <c r="A1820" s="36" t="str">
        <f>HYPERLINK("https://www.sunyrockland.edu/", "SUNY Rockland Community College")</f>
        <v>SUNY Rockland Community College</v>
      </c>
      <c r="B1820" s="18" t="s">
        <v>49</v>
      </c>
      <c r="C1820" s="18" t="s">
        <v>38</v>
      </c>
      <c r="D1820" s="18" t="s">
        <v>1651</v>
      </c>
      <c r="E1820" s="18" t="s">
        <v>36</v>
      </c>
      <c r="F1820" s="18" t="s">
        <v>36</v>
      </c>
      <c r="J1820" s="19"/>
      <c r="K1820" s="19">
        <v>0.2777</v>
      </c>
      <c r="L1820" s="19">
        <v>0.188466948</v>
      </c>
      <c r="M1820" s="19">
        <v>0.30830000000000002</v>
      </c>
      <c r="N1820" s="19">
        <v>0.18690000000000001</v>
      </c>
      <c r="O1820" s="19">
        <v>0.30349999999999999</v>
      </c>
      <c r="P1820" s="19">
        <v>0.3286</v>
      </c>
      <c r="Q1820" s="19">
        <v>0.14360119099999999</v>
      </c>
      <c r="R1820" s="20">
        <v>19807</v>
      </c>
      <c r="S1820" s="21" t="str">
        <f>HYPERLINK("https://www.sunyrockland.edu/admissions/financial-aid/suny-net-price-cost-calculator", "$7784")</f>
        <v>$7784</v>
      </c>
      <c r="T1820" s="20">
        <v>11395</v>
      </c>
      <c r="U1820" s="20">
        <v>13881</v>
      </c>
      <c r="V1820" s="20">
        <v>4390</v>
      </c>
      <c r="W1820" s="20">
        <v>3394</v>
      </c>
      <c r="Y1820" s="19">
        <v>0.25940000000000002</v>
      </c>
      <c r="Z1820" s="19">
        <v>0.63060000000000005</v>
      </c>
      <c r="AB1820" s="18">
        <v>5595</v>
      </c>
      <c r="AC1820" s="18">
        <v>6</v>
      </c>
    </row>
    <row r="1821" spans="1:29" ht="15.75" customHeight="1" x14ac:dyDescent="0.2">
      <c r="A1821" s="36" t="str">
        <f>HYPERLINK("https://www.rocky.edu", "Rocky Mountain College")</f>
        <v>Rocky Mountain College</v>
      </c>
      <c r="B1821" s="18" t="s">
        <v>32</v>
      </c>
      <c r="C1821" s="18" t="s">
        <v>421</v>
      </c>
      <c r="D1821" s="18" t="s">
        <v>685</v>
      </c>
      <c r="E1821" s="18">
        <v>1099</v>
      </c>
      <c r="F1821" s="18" t="s">
        <v>35</v>
      </c>
      <c r="J1821" s="19"/>
      <c r="K1821" s="19">
        <v>0.52439999999999998</v>
      </c>
      <c r="L1821" s="19">
        <v>0.32954545499999999</v>
      </c>
      <c r="M1821" s="19">
        <v>0.54139999999999999</v>
      </c>
      <c r="N1821" s="19">
        <v>0</v>
      </c>
      <c r="O1821" s="19">
        <v>0.33329999999999999</v>
      </c>
      <c r="P1821" s="19">
        <v>0</v>
      </c>
      <c r="Q1821" s="19"/>
      <c r="R1821" s="20">
        <v>40346</v>
      </c>
      <c r="S1821" s="21" t="str">
        <f>HYPERLINK("https://www.rocky.edu/admissions-aid/financial-aid/net-price-calculator", "$18464")</f>
        <v>$18464</v>
      </c>
      <c r="T1821" s="20">
        <v>19508</v>
      </c>
      <c r="U1821" s="20">
        <v>20009</v>
      </c>
      <c r="V1821" s="20">
        <v>4570</v>
      </c>
      <c r="W1821" s="20">
        <v>13894</v>
      </c>
      <c r="Y1821" s="19">
        <v>0.32600000000000001</v>
      </c>
      <c r="Z1821" s="19">
        <v>0.22509999999999999</v>
      </c>
      <c r="AB1821" s="18">
        <v>884</v>
      </c>
      <c r="AC1821" s="18">
        <v>4</v>
      </c>
    </row>
    <row r="1822" spans="1:29" ht="15.75" customHeight="1" x14ac:dyDescent="0.2">
      <c r="A1822" s="36" t="str">
        <f>HYPERLINK("https://www.rmcad.edu", "Rocky Mountain College of Art and Design")</f>
        <v>Rocky Mountain College of Art and Design</v>
      </c>
      <c r="B1822" s="18" t="s">
        <v>368</v>
      </c>
      <c r="C1822" s="18" t="s">
        <v>87</v>
      </c>
      <c r="D1822" s="18" t="s">
        <v>338</v>
      </c>
      <c r="E1822" s="18" t="s">
        <v>36</v>
      </c>
      <c r="F1822" s="18" t="s">
        <v>36</v>
      </c>
      <c r="J1822" s="19"/>
      <c r="K1822" s="19">
        <v>0.46239999999999998</v>
      </c>
      <c r="L1822" s="19">
        <v>0.33783783799999989</v>
      </c>
      <c r="M1822" s="19">
        <v>0.5161</v>
      </c>
      <c r="N1822" s="19">
        <v>0</v>
      </c>
      <c r="O1822" s="19">
        <v>0.44440000000000002</v>
      </c>
      <c r="P1822" s="19">
        <v>0</v>
      </c>
      <c r="Q1822" s="19"/>
      <c r="R1822" s="20">
        <v>30295</v>
      </c>
      <c r="S1822" s="21" t="str">
        <f>HYPERLINK("https://www.rmcad.edu/consumer-information", "$22448")</f>
        <v>$22448</v>
      </c>
      <c r="T1822" s="20">
        <v>23616</v>
      </c>
      <c r="U1822" s="20">
        <v>26983</v>
      </c>
      <c r="V1822" s="20">
        <v>4972</v>
      </c>
      <c r="W1822" s="20">
        <v>17476</v>
      </c>
      <c r="Y1822" s="19">
        <v>0.4294</v>
      </c>
      <c r="Z1822" s="19">
        <v>0.39670000000000011</v>
      </c>
      <c r="AB1822" s="18">
        <v>852</v>
      </c>
      <c r="AC1822" s="18">
        <v>4</v>
      </c>
    </row>
    <row r="1823" spans="1:29" ht="15.75" customHeight="1" x14ac:dyDescent="0.2">
      <c r="A1823" s="36" t="str">
        <f>HYPERLINK("https://www.rwu.edu", "Roger Williams University")</f>
        <v>Roger Williams University</v>
      </c>
      <c r="B1823" s="18" t="s">
        <v>32</v>
      </c>
      <c r="C1823" s="18" t="s">
        <v>63</v>
      </c>
      <c r="D1823" s="18" t="s">
        <v>390</v>
      </c>
      <c r="E1823" s="18" t="s">
        <v>36</v>
      </c>
      <c r="F1823" s="18" t="s">
        <v>45</v>
      </c>
      <c r="J1823" s="19"/>
      <c r="K1823" s="19">
        <v>0.6472</v>
      </c>
      <c r="L1823" s="19">
        <v>0.67132867099999993</v>
      </c>
      <c r="M1823" s="19">
        <v>0.6512</v>
      </c>
      <c r="N1823" s="19">
        <v>0.3</v>
      </c>
      <c r="O1823" s="19">
        <v>0.57140000000000002</v>
      </c>
      <c r="P1823" s="19">
        <v>0.5333</v>
      </c>
      <c r="Q1823" s="19"/>
      <c r="R1823" s="20">
        <v>52700</v>
      </c>
      <c r="S1823" s="21" t="str">
        <f>HYPERLINK("https://rwu.studentaidcalculator.com/survey.aspx", "$30331")</f>
        <v>$30331</v>
      </c>
      <c r="T1823" s="20">
        <v>33510</v>
      </c>
      <c r="U1823" s="20">
        <v>35010</v>
      </c>
      <c r="V1823" s="20">
        <v>3800</v>
      </c>
      <c r="W1823" s="20">
        <v>26531</v>
      </c>
      <c r="Y1823" s="19">
        <v>0.121</v>
      </c>
      <c r="Z1823" s="19">
        <v>0.23240000000000011</v>
      </c>
      <c r="AB1823" s="18">
        <v>4476</v>
      </c>
      <c r="AC1823" s="18">
        <v>3</v>
      </c>
    </row>
    <row r="1824" spans="1:29" ht="15.75" customHeight="1" x14ac:dyDescent="0.2">
      <c r="A1824" s="36" t="str">
        <f>HYPERLINK("https://www.rsu.edu/", "Rogers State University")</f>
        <v>Rogers State University</v>
      </c>
      <c r="B1824" s="18" t="s">
        <v>49</v>
      </c>
      <c r="C1824" s="18" t="s">
        <v>290</v>
      </c>
      <c r="D1824" s="18" t="s">
        <v>1091</v>
      </c>
      <c r="E1824" s="18" t="s">
        <v>36</v>
      </c>
      <c r="F1824" s="18" t="s">
        <v>36</v>
      </c>
      <c r="J1824" s="19"/>
      <c r="K1824" s="19">
        <v>0.16600000000000001</v>
      </c>
      <c r="L1824" s="19">
        <v>0.18301610500000001</v>
      </c>
      <c r="M1824" s="19">
        <v>0.17330000000000001</v>
      </c>
      <c r="N1824" s="19">
        <v>7.8899999999999998E-2</v>
      </c>
      <c r="O1824" s="19">
        <v>0.15629999999999999</v>
      </c>
      <c r="P1824" s="19">
        <v>0.25</v>
      </c>
      <c r="Q1824" s="19"/>
      <c r="R1824" s="20">
        <v>30170</v>
      </c>
      <c r="S1824" s="21" t="str">
        <f>HYPERLINK("https://www.rsu.edu/s/npcalc/", "$22911")</f>
        <v>$22911</v>
      </c>
      <c r="T1824" s="20">
        <v>26520</v>
      </c>
      <c r="U1824" s="20">
        <v>28732</v>
      </c>
      <c r="V1824" s="20">
        <v>5146</v>
      </c>
      <c r="W1824" s="20">
        <v>17765.271493212669</v>
      </c>
      <c r="Y1824" s="19">
        <v>0.42880000000000001</v>
      </c>
      <c r="Z1824" s="19">
        <v>0.43159999999999998</v>
      </c>
      <c r="AB1824" s="18">
        <v>3216</v>
      </c>
      <c r="AC1824" s="18">
        <v>4</v>
      </c>
    </row>
    <row r="1825" spans="1:29" ht="15.75" customHeight="1" x14ac:dyDescent="0.2">
      <c r="A1825" s="36" t="str">
        <f>HYPERLINK("https://www.rollins.edu", "Rollins College")</f>
        <v>Rollins College</v>
      </c>
      <c r="B1825" s="18" t="s">
        <v>32</v>
      </c>
      <c r="C1825" s="18" t="s">
        <v>162</v>
      </c>
      <c r="D1825" s="18" t="s">
        <v>240</v>
      </c>
      <c r="E1825" s="18" t="s">
        <v>36</v>
      </c>
      <c r="F1825" s="18" t="s">
        <v>90</v>
      </c>
      <c r="J1825" s="19"/>
      <c r="K1825" s="19">
        <v>0.75319999999999998</v>
      </c>
      <c r="L1825" s="19">
        <v>0.63316582899999996</v>
      </c>
      <c r="M1825" s="19">
        <v>0.74729999999999996</v>
      </c>
      <c r="N1825" s="19">
        <v>0.71430000000000005</v>
      </c>
      <c r="O1825" s="19">
        <v>0.85940000000000005</v>
      </c>
      <c r="P1825" s="19">
        <v>0.92859999999999998</v>
      </c>
      <c r="Q1825" s="19"/>
      <c r="R1825" s="20">
        <v>67775</v>
      </c>
      <c r="S1825" s="21" t="str">
        <f>HYPERLINK("https://www.rollins.edu/admission/costs-financial-aid/net-price-calculator.html", "$24274")</f>
        <v>$24274</v>
      </c>
      <c r="T1825" s="20">
        <v>31220</v>
      </c>
      <c r="U1825" s="20">
        <v>29325</v>
      </c>
      <c r="V1825" s="20">
        <v>4710</v>
      </c>
      <c r="W1825" s="20">
        <v>19564</v>
      </c>
      <c r="Y1825" s="19">
        <v>0.27289999999999998</v>
      </c>
      <c r="Z1825" s="19">
        <v>0.44369999999999998</v>
      </c>
      <c r="AB1825" s="18">
        <v>2612</v>
      </c>
      <c r="AC1825" s="18">
        <v>2</v>
      </c>
    </row>
    <row r="1826" spans="1:29" ht="15.75" customHeight="1" x14ac:dyDescent="0.2">
      <c r="A1826" s="36" t="str">
        <f>HYPERLINK("https://www.roosevelt.edu", "Roosevelt University")</f>
        <v>Roosevelt University</v>
      </c>
      <c r="B1826" s="18" t="s">
        <v>32</v>
      </c>
      <c r="C1826" s="18" t="s">
        <v>137</v>
      </c>
      <c r="D1826" s="18" t="s">
        <v>161</v>
      </c>
      <c r="E1826" s="18">
        <v>1119</v>
      </c>
      <c r="F1826" s="18" t="s">
        <v>35</v>
      </c>
      <c r="J1826" s="19"/>
      <c r="K1826" s="19">
        <v>0.39860000000000001</v>
      </c>
      <c r="L1826" s="19">
        <v>0.36432926799999998</v>
      </c>
      <c r="M1826" s="19">
        <v>0.4793</v>
      </c>
      <c r="N1826" s="19">
        <v>0.19769999999999999</v>
      </c>
      <c r="O1826" s="19">
        <v>0.3649</v>
      </c>
      <c r="P1826" s="19">
        <v>0.4783</v>
      </c>
      <c r="Q1826" s="19"/>
      <c r="R1826" s="20">
        <v>47490</v>
      </c>
      <c r="S1826" s="21" t="str">
        <f>HYPERLINK("https://roosevelt.studentaidcalculator.com/survey.aspx", "$21721")</f>
        <v>$21721</v>
      </c>
      <c r="T1826" s="20">
        <v>24518</v>
      </c>
      <c r="U1826" s="20">
        <v>28074</v>
      </c>
      <c r="V1826" s="20">
        <v>5600</v>
      </c>
      <c r="W1826" s="20">
        <v>16121</v>
      </c>
      <c r="Y1826" s="19">
        <v>0.4264</v>
      </c>
      <c r="Z1826" s="19">
        <v>0.56259999999999999</v>
      </c>
      <c r="AB1826" s="18">
        <v>2485</v>
      </c>
      <c r="AC1826" s="18">
        <v>3</v>
      </c>
    </row>
    <row r="1827" spans="1:29" ht="15.75" customHeight="1" x14ac:dyDescent="0.2">
      <c r="A1827" s="36" t="str">
        <f>HYPERLINK("https://www.rose.edu", "Rose State College")</f>
        <v>Rose State College</v>
      </c>
      <c r="B1827" s="18" t="s">
        <v>49</v>
      </c>
      <c r="C1827" s="18" t="s">
        <v>290</v>
      </c>
      <c r="D1827" s="18" t="s">
        <v>1652</v>
      </c>
      <c r="E1827" s="18" t="s">
        <v>36</v>
      </c>
      <c r="F1827" s="18" t="s">
        <v>36</v>
      </c>
      <c r="J1827" s="19"/>
      <c r="K1827" s="19">
        <v>0.18759999999999999</v>
      </c>
      <c r="L1827" s="19">
        <v>9.4784071999999997E-2</v>
      </c>
      <c r="M1827" s="19">
        <v>0.23749999999999999</v>
      </c>
      <c r="N1827" s="19">
        <v>9.7699999999999995E-2</v>
      </c>
      <c r="O1827" s="19">
        <v>9.5200000000000007E-2</v>
      </c>
      <c r="P1827" s="19">
        <v>0.18179999999999999</v>
      </c>
      <c r="Q1827" s="19">
        <v>9.0737239999999997E-2</v>
      </c>
      <c r="R1827" s="20">
        <v>26438</v>
      </c>
      <c r="S1827" s="21" t="str">
        <f>HYPERLINK("https://www.rose.edu/content/admissions-aid/financial-aid-scholarships/net-price-calculator/", "$20715")</f>
        <v>$20715</v>
      </c>
      <c r="T1827" s="20">
        <v>22773</v>
      </c>
      <c r="U1827" s="20">
        <v>23952</v>
      </c>
      <c r="V1827" s="20">
        <v>6364</v>
      </c>
      <c r="W1827" s="20">
        <v>14351.004618937641</v>
      </c>
      <c r="Y1827" s="19">
        <v>0.36109999999999998</v>
      </c>
      <c r="Z1827" s="19">
        <v>0.47610000000000002</v>
      </c>
      <c r="AB1827" s="18">
        <v>5982</v>
      </c>
      <c r="AC1827" s="18">
        <v>6</v>
      </c>
    </row>
    <row r="1828" spans="1:29" ht="15.75" customHeight="1" x14ac:dyDescent="0.2">
      <c r="A1828" s="36" t="str">
        <f>HYPERLINK("https://www.rose-hulman.edu", "Rose-Hulman Institute of Technology")</f>
        <v>Rose-Hulman Institute of Technology</v>
      </c>
      <c r="B1828" s="18" t="s">
        <v>32</v>
      </c>
      <c r="C1828" s="18" t="s">
        <v>148</v>
      </c>
      <c r="D1828" s="18" t="s">
        <v>149</v>
      </c>
      <c r="E1828" s="18">
        <v>1369</v>
      </c>
      <c r="F1828" s="18" t="s">
        <v>35</v>
      </c>
      <c r="J1828" s="19"/>
      <c r="K1828" s="19">
        <v>0.8075</v>
      </c>
      <c r="L1828" s="19">
        <v>0.72093023299999992</v>
      </c>
      <c r="M1828" s="19">
        <v>0.80640000000000001</v>
      </c>
      <c r="N1828" s="19">
        <v>0.8</v>
      </c>
      <c r="O1828" s="19">
        <v>0.75</v>
      </c>
      <c r="P1828" s="19">
        <v>0.875</v>
      </c>
      <c r="Q1828" s="19"/>
      <c r="R1828" s="20">
        <v>65031</v>
      </c>
      <c r="S1828" s="21" t="str">
        <f>HYPERLINK("https://prod11gbss8.rose-hulman.edu/BanSS/RHIT_NPCALC.P_Index", "$31642")</f>
        <v>$31642</v>
      </c>
      <c r="T1828" s="20">
        <v>32754</v>
      </c>
      <c r="U1828" s="20">
        <v>35789</v>
      </c>
      <c r="V1828" s="20">
        <v>2958</v>
      </c>
      <c r="W1828" s="20">
        <v>28684</v>
      </c>
      <c r="Y1828" s="19">
        <v>0.12529999999999999</v>
      </c>
      <c r="Z1828" s="19">
        <v>0.32429999999999998</v>
      </c>
      <c r="AB1828" s="18">
        <v>2146</v>
      </c>
      <c r="AC1828" s="18">
        <v>1</v>
      </c>
    </row>
    <row r="1829" spans="1:29" ht="15.75" customHeight="1" x14ac:dyDescent="0.2">
      <c r="A1829" s="36" t="str">
        <f>HYPERLINK("https://www.rosedale.edu", "Rosedale Bible College")</f>
        <v>Rosedale Bible College</v>
      </c>
      <c r="B1829" s="18" t="s">
        <v>32</v>
      </c>
      <c r="C1829" s="18" t="s">
        <v>75</v>
      </c>
      <c r="D1829" s="18" t="s">
        <v>1653</v>
      </c>
      <c r="E1829" s="18" t="s">
        <v>36</v>
      </c>
      <c r="F1829" s="18" t="s">
        <v>36</v>
      </c>
      <c r="J1829" s="19"/>
      <c r="K1829" s="19">
        <v>0.5</v>
      </c>
      <c r="L1829" s="19" t="s">
        <v>36</v>
      </c>
      <c r="M1829" s="19">
        <v>0.48280000000000001</v>
      </c>
      <c r="N1829" s="19" t="s">
        <v>36</v>
      </c>
      <c r="O1829" s="19" t="s">
        <v>36</v>
      </c>
      <c r="P1829" s="19" t="s">
        <v>36</v>
      </c>
      <c r="Q1829" s="19" t="s">
        <v>36</v>
      </c>
      <c r="R1829" s="20">
        <v>20798</v>
      </c>
      <c r="S1829" s="21" t="str">
        <f>HYPERLINK("https://www.rosedale.edu/financial-aid/net-price-calculator/", "$11867")</f>
        <v>$11867</v>
      </c>
      <c r="T1829" s="20">
        <v>15383</v>
      </c>
      <c r="U1829" s="20">
        <v>16805</v>
      </c>
      <c r="V1829" s="20">
        <v>6392</v>
      </c>
      <c r="W1829" s="20">
        <v>5475</v>
      </c>
      <c r="Y1829" s="19">
        <v>0.47620000000000001</v>
      </c>
      <c r="Z1829" s="19">
        <v>2.1299999999999989E-2</v>
      </c>
      <c r="AB1829" s="18">
        <v>47</v>
      </c>
      <c r="AC1829" s="18">
        <v>6</v>
      </c>
    </row>
    <row r="1830" spans="1:29" ht="15.75" customHeight="1" x14ac:dyDescent="0.2">
      <c r="A1830" s="36" t="str">
        <f>HYPERLINK("https://www.rosedaletech.org", "Rosedale Technical College")</f>
        <v>Rosedale Technical College</v>
      </c>
      <c r="B1830" s="18" t="s">
        <v>32</v>
      </c>
      <c r="C1830" s="18" t="s">
        <v>65</v>
      </c>
      <c r="D1830" s="18" t="s">
        <v>74</v>
      </c>
      <c r="E1830" s="18" t="s">
        <v>36</v>
      </c>
      <c r="F1830" s="18" t="s">
        <v>36</v>
      </c>
      <c r="J1830" s="19"/>
      <c r="K1830" s="19">
        <v>0.72460000000000002</v>
      </c>
      <c r="L1830" s="19">
        <v>0.49743589700000002</v>
      </c>
      <c r="M1830" s="19">
        <v>0.75860000000000005</v>
      </c>
      <c r="N1830" s="19">
        <v>0.5</v>
      </c>
      <c r="O1830" s="19" t="s">
        <v>36</v>
      </c>
      <c r="P1830" s="19">
        <v>1</v>
      </c>
      <c r="Q1830" s="19" t="s">
        <v>36</v>
      </c>
      <c r="R1830" s="20">
        <v>30230</v>
      </c>
      <c r="S1830" s="21" t="str">
        <f>HYPERLINK("https://www.rosedaletech.org", "$11540")</f>
        <v>$11540</v>
      </c>
      <c r="T1830" s="20">
        <v>14923</v>
      </c>
      <c r="U1830" s="20">
        <v>18580</v>
      </c>
      <c r="V1830" s="20">
        <v>8000</v>
      </c>
      <c r="W1830" s="20">
        <v>3540</v>
      </c>
      <c r="Y1830" s="19">
        <v>0.57430000000000003</v>
      </c>
      <c r="Z1830" s="19">
        <v>0.1371</v>
      </c>
      <c r="AB1830" s="18">
        <v>372</v>
      </c>
      <c r="AC1830" s="18">
        <v>6</v>
      </c>
    </row>
    <row r="1831" spans="1:29" ht="15.75" customHeight="1" x14ac:dyDescent="0.2">
      <c r="A1831" s="36" t="str">
        <f>HYPERLINK("https://www.rosemont.edu", "Rosemont College")</f>
        <v>Rosemont College</v>
      </c>
      <c r="B1831" s="18" t="s">
        <v>32</v>
      </c>
      <c r="C1831" s="18" t="s">
        <v>65</v>
      </c>
      <c r="D1831" s="18" t="s">
        <v>1093</v>
      </c>
      <c r="E1831" s="18">
        <v>993</v>
      </c>
      <c r="F1831" s="18" t="s">
        <v>35</v>
      </c>
      <c r="J1831" s="19"/>
      <c r="K1831" s="19">
        <v>0.61319999999999997</v>
      </c>
      <c r="L1831" s="19">
        <v>0.37606837599999998</v>
      </c>
      <c r="M1831" s="19">
        <v>0.70369999999999999</v>
      </c>
      <c r="N1831" s="19">
        <v>0.5806</v>
      </c>
      <c r="O1831" s="19">
        <v>0.25</v>
      </c>
      <c r="P1831" s="19">
        <v>1</v>
      </c>
      <c r="Q1831" s="19"/>
      <c r="R1831" s="20">
        <v>34464</v>
      </c>
      <c r="S1831" s="21" t="str">
        <f>HYPERLINK("https://www.rosemont.edu/admissions/tuition-and-aid/cost-of-attendance/net-price-calculator.php", "$16152")</f>
        <v>$16152</v>
      </c>
      <c r="T1831" s="20">
        <v>19297</v>
      </c>
      <c r="U1831" s="20">
        <v>25213</v>
      </c>
      <c r="V1831" s="20">
        <v>3018</v>
      </c>
      <c r="W1831" s="20">
        <v>13134</v>
      </c>
      <c r="Y1831" s="19">
        <v>0.54359999999999997</v>
      </c>
      <c r="Z1831" s="19">
        <v>0.64529999999999998</v>
      </c>
      <c r="AB1831" s="18">
        <v>609</v>
      </c>
      <c r="AC1831" s="18">
        <v>4</v>
      </c>
    </row>
    <row r="1832" spans="1:29" ht="15.75" customHeight="1" x14ac:dyDescent="0.2">
      <c r="A1832" s="36" t="str">
        <f>HYPERLINK("https://www.rcbc.edu", "Rowan College at Burlington County")</f>
        <v>Rowan College at Burlington County</v>
      </c>
      <c r="B1832" s="18" t="s">
        <v>49</v>
      </c>
      <c r="C1832" s="18" t="s">
        <v>141</v>
      </c>
      <c r="D1832" s="18" t="s">
        <v>1654</v>
      </c>
      <c r="E1832" s="18" t="s">
        <v>36</v>
      </c>
      <c r="F1832" s="18" t="s">
        <v>36</v>
      </c>
      <c r="J1832" s="19"/>
      <c r="K1832" s="19">
        <v>0.23930000000000001</v>
      </c>
      <c r="L1832" s="19">
        <v>0.159471366</v>
      </c>
      <c r="M1832" s="19">
        <v>0.28050000000000003</v>
      </c>
      <c r="N1832" s="19">
        <v>0.12870000000000001</v>
      </c>
      <c r="O1832" s="19">
        <v>0.16669999999999999</v>
      </c>
      <c r="P1832" s="19">
        <v>0.33329999999999999</v>
      </c>
      <c r="Q1832" s="19">
        <v>0.11142587399999999</v>
      </c>
      <c r="R1832" s="20">
        <v>21105</v>
      </c>
      <c r="S1832" s="21" t="str">
        <f>HYPERLINK("https://staff.rcbc.edu/finaid/netprice2016/npcalc.htm", "$15350")</f>
        <v>$15350</v>
      </c>
      <c r="T1832" s="20">
        <v>18130</v>
      </c>
      <c r="U1832" s="20">
        <v>20344</v>
      </c>
      <c r="V1832" s="20">
        <v>4710</v>
      </c>
      <c r="W1832" s="20">
        <v>10640.623404255321</v>
      </c>
      <c r="Y1832" s="19">
        <v>0.29659999999999997</v>
      </c>
      <c r="Z1832" s="19">
        <v>0.45950000000000002</v>
      </c>
      <c r="AB1832" s="18">
        <v>8176</v>
      </c>
      <c r="AC1832" s="18">
        <v>6</v>
      </c>
    </row>
    <row r="1833" spans="1:29" ht="15.75" customHeight="1" x14ac:dyDescent="0.2">
      <c r="A1833" s="36" t="str">
        <f>HYPERLINK("https://www.rcgc.edu", "Rowan College at Gloucester County")</f>
        <v>Rowan College at Gloucester County</v>
      </c>
      <c r="B1833" s="18" t="s">
        <v>49</v>
      </c>
      <c r="C1833" s="18" t="s">
        <v>141</v>
      </c>
      <c r="D1833" s="18" t="s">
        <v>1655</v>
      </c>
      <c r="E1833" s="18" t="s">
        <v>36</v>
      </c>
      <c r="F1833" s="18" t="s">
        <v>36</v>
      </c>
      <c r="J1833" s="19"/>
      <c r="K1833" s="19">
        <v>0.25390000000000001</v>
      </c>
      <c r="L1833" s="19">
        <v>0.20905923300000001</v>
      </c>
      <c r="M1833" s="19">
        <v>0.30159999999999998</v>
      </c>
      <c r="N1833" s="19">
        <v>9.7600000000000006E-2</v>
      </c>
      <c r="O1833" s="19">
        <v>0.1678</v>
      </c>
      <c r="P1833" s="19">
        <v>0.2059</v>
      </c>
      <c r="Q1833" s="19">
        <v>9.2948718000000013E-2</v>
      </c>
      <c r="R1833" s="20">
        <v>23730</v>
      </c>
      <c r="S1833" s="21" t="str">
        <f>HYPERLINK("https://npc.collegeboard.org/student/app/gccnj", "$19449")</f>
        <v>$19449</v>
      </c>
      <c r="T1833" s="20">
        <v>21132</v>
      </c>
      <c r="U1833" s="20">
        <v>23272</v>
      </c>
      <c r="V1833" s="20">
        <v>4482</v>
      </c>
      <c r="W1833" s="20">
        <v>14967.80937167199</v>
      </c>
      <c r="Y1833" s="19">
        <v>0.30399999999999999</v>
      </c>
      <c r="Z1833" s="19">
        <v>0.34300000000000003</v>
      </c>
      <c r="AB1833" s="18">
        <v>6186</v>
      </c>
      <c r="AC1833" s="18">
        <v>6</v>
      </c>
    </row>
    <row r="1834" spans="1:29" ht="15.75" customHeight="1" x14ac:dyDescent="0.2">
      <c r="A1834" s="36" t="str">
        <f>HYPERLINK("https://www.rowan.edu", "Rowan University")</f>
        <v>Rowan University</v>
      </c>
      <c r="B1834" s="18" t="s">
        <v>49</v>
      </c>
      <c r="C1834" s="18" t="s">
        <v>141</v>
      </c>
      <c r="D1834" s="18" t="s">
        <v>453</v>
      </c>
      <c r="E1834" s="18">
        <v>1164</v>
      </c>
      <c r="F1834" s="18" t="s">
        <v>35</v>
      </c>
      <c r="J1834" s="19"/>
      <c r="K1834" s="19">
        <v>0.68940000000000001</v>
      </c>
      <c r="L1834" s="19">
        <v>0.52590266899999993</v>
      </c>
      <c r="M1834" s="19">
        <v>0.71819999999999995</v>
      </c>
      <c r="N1834" s="19">
        <v>0.54369999999999996</v>
      </c>
      <c r="O1834" s="19">
        <v>0.55279999999999996</v>
      </c>
      <c r="P1834" s="19">
        <v>0.74009999999999998</v>
      </c>
      <c r="Q1834" s="19"/>
      <c r="R1834" s="20">
        <v>39526</v>
      </c>
      <c r="S1834" s="21" t="str">
        <f>HYPERLINK("https://rowan.studentaidcalculator.com/survey.aspx", "$26396")</f>
        <v>$26396</v>
      </c>
      <c r="T1834" s="20">
        <v>34334</v>
      </c>
      <c r="U1834" s="20">
        <v>38785</v>
      </c>
      <c r="V1834" s="20">
        <v>5400</v>
      </c>
      <c r="W1834" s="20">
        <v>20996.423076923082</v>
      </c>
      <c r="Y1834" s="19">
        <v>0.31619999999999998</v>
      </c>
      <c r="Z1834" s="19">
        <v>0.33810000000000001</v>
      </c>
      <c r="AB1834" s="18">
        <v>15089</v>
      </c>
      <c r="AC1834" s="18">
        <v>3</v>
      </c>
    </row>
    <row r="1835" spans="1:29" ht="15.75" customHeight="1" x14ac:dyDescent="0.2">
      <c r="A1835" s="36" t="str">
        <f>HYPERLINK("https://www.rccc.edu/", "Rowan-Cabarrus Community College")</f>
        <v>Rowan-Cabarrus Community College</v>
      </c>
      <c r="B1835" s="18" t="s">
        <v>49</v>
      </c>
      <c r="C1835" s="18" t="s">
        <v>103</v>
      </c>
      <c r="D1835" s="18" t="s">
        <v>469</v>
      </c>
      <c r="E1835" s="18" t="s">
        <v>36</v>
      </c>
      <c r="F1835" s="18" t="s">
        <v>36</v>
      </c>
      <c r="J1835" s="19"/>
      <c r="K1835" s="19">
        <v>0.17630000000000001</v>
      </c>
      <c r="L1835" s="19">
        <v>3.4942820999999999E-2</v>
      </c>
      <c r="M1835" s="19">
        <v>0.193</v>
      </c>
      <c r="N1835" s="19">
        <v>9.8900000000000002E-2</v>
      </c>
      <c r="O1835" s="19">
        <v>0.19120000000000001</v>
      </c>
      <c r="P1835" s="19">
        <v>0.5</v>
      </c>
      <c r="Q1835" s="19">
        <v>7.5736324999999993E-2</v>
      </c>
      <c r="R1835" s="20">
        <v>21670</v>
      </c>
      <c r="S1835" s="21" t="str">
        <f>HYPERLINK("https://www.rccc.edu/financialaid/net-price-calculator/", "$16145")</f>
        <v>$16145</v>
      </c>
      <c r="T1835" s="20">
        <v>16790</v>
      </c>
      <c r="U1835" s="20">
        <v>17895</v>
      </c>
      <c r="V1835" s="20">
        <v>4400</v>
      </c>
      <c r="W1835" s="20">
        <v>11745.267267267271</v>
      </c>
      <c r="Y1835" s="19">
        <v>0.63980000000000004</v>
      </c>
      <c r="Z1835" s="19">
        <v>0.38890000000000002</v>
      </c>
      <c r="AB1835" s="18">
        <v>4171</v>
      </c>
      <c r="AC1835" s="18">
        <v>6</v>
      </c>
    </row>
    <row r="1836" spans="1:29" ht="15.75" customHeight="1" x14ac:dyDescent="0.2">
      <c r="A1836" s="36" t="str">
        <f>HYPERLINK("https://www.rcc.mass.edu", "Roxbury Community College")</f>
        <v>Roxbury Community College</v>
      </c>
      <c r="B1836" s="18" t="s">
        <v>49</v>
      </c>
      <c r="C1836" s="18" t="s">
        <v>33</v>
      </c>
      <c r="D1836" s="18" t="s">
        <v>1656</v>
      </c>
      <c r="E1836" s="18" t="s">
        <v>36</v>
      </c>
      <c r="F1836" s="18" t="s">
        <v>36</v>
      </c>
      <c r="J1836" s="19"/>
      <c r="K1836" s="19">
        <v>6.25E-2</v>
      </c>
      <c r="L1836" s="19">
        <v>0.12027027</v>
      </c>
      <c r="M1836" s="19">
        <v>0</v>
      </c>
      <c r="N1836" s="19">
        <v>7.46E-2</v>
      </c>
      <c r="O1836" s="19">
        <v>0</v>
      </c>
      <c r="P1836" s="19">
        <v>0</v>
      </c>
      <c r="Q1836" s="19">
        <v>7.8091105999999993E-2</v>
      </c>
      <c r="R1836" s="20">
        <v>24174</v>
      </c>
      <c r="S1836" s="21" t="str">
        <f>HYPERLINK("https://www.rcc.mass.edu/netpricecalc/", "$18191")</f>
        <v>$18191</v>
      </c>
      <c r="T1836" s="20">
        <v>21846</v>
      </c>
      <c r="U1836" s="20" t="s">
        <v>36</v>
      </c>
      <c r="V1836" s="20">
        <v>4446</v>
      </c>
      <c r="W1836" s="20">
        <v>13745.63157894737</v>
      </c>
      <c r="Y1836" s="19">
        <v>0.77449999999999997</v>
      </c>
      <c r="Z1836" s="19">
        <v>0.9395</v>
      </c>
      <c r="AB1836" s="18">
        <v>1834</v>
      </c>
      <c r="AC1836" s="18">
        <v>6</v>
      </c>
    </row>
    <row r="1837" spans="1:29" ht="15.75" customHeight="1" x14ac:dyDescent="0.2">
      <c r="A1837" s="36" t="str">
        <f>HYPERLINK("https://www.rustcollege.edu", "Rust College")</f>
        <v>Rust College</v>
      </c>
      <c r="B1837" s="18" t="s">
        <v>32</v>
      </c>
      <c r="C1837" s="18" t="s">
        <v>59</v>
      </c>
      <c r="D1837" s="18" t="s">
        <v>1094</v>
      </c>
      <c r="E1837" s="18" t="s">
        <v>36</v>
      </c>
      <c r="F1837" s="18" t="s">
        <v>90</v>
      </c>
      <c r="J1837" s="19"/>
      <c r="K1837" s="19">
        <v>0.38819999999999999</v>
      </c>
      <c r="L1837" s="19">
        <v>0.28348909700000002</v>
      </c>
      <c r="M1837" s="19">
        <v>0</v>
      </c>
      <c r="N1837" s="19">
        <v>0.37890000000000001</v>
      </c>
      <c r="O1837" s="19" t="s">
        <v>36</v>
      </c>
      <c r="P1837" s="19">
        <v>1</v>
      </c>
      <c r="Q1837" s="19"/>
      <c r="R1837" s="20">
        <v>16500</v>
      </c>
      <c r="S1837" s="21" t="str">
        <f>HYPERLINK("https://www.rustcollege.edu/administration/financial%2Daid/npcalc.htm", "$9535")</f>
        <v>$9535</v>
      </c>
      <c r="T1837" s="20">
        <v>13339</v>
      </c>
      <c r="U1837" s="20" t="s">
        <v>36</v>
      </c>
      <c r="V1837" s="20">
        <v>2500</v>
      </c>
      <c r="W1837" s="20">
        <v>7035</v>
      </c>
      <c r="Y1837" s="19">
        <v>0.79979999999999996</v>
      </c>
      <c r="Z1837" s="19">
        <v>0.99419999999999997</v>
      </c>
      <c r="AB1837" s="18">
        <v>860</v>
      </c>
      <c r="AC1837" s="18">
        <v>4</v>
      </c>
    </row>
    <row r="1838" spans="1:29" ht="15.75" customHeight="1" x14ac:dyDescent="0.2">
      <c r="A1838" s="36" t="str">
        <f>HYPERLINK("https://www.camden.rutgers.edu/", "Rutgers University-Camden")</f>
        <v>Rutgers University-Camden</v>
      </c>
      <c r="B1838" s="18" t="s">
        <v>49</v>
      </c>
      <c r="C1838" s="18" t="s">
        <v>141</v>
      </c>
      <c r="D1838" s="18" t="s">
        <v>1095</v>
      </c>
      <c r="E1838" s="18">
        <v>1090</v>
      </c>
      <c r="F1838" s="18" t="s">
        <v>35</v>
      </c>
      <c r="J1838" s="19"/>
      <c r="K1838" s="19">
        <v>0.57999999999999996</v>
      </c>
      <c r="L1838" s="19">
        <v>0.68906410699999998</v>
      </c>
      <c r="M1838" s="19">
        <v>0.61509999999999998</v>
      </c>
      <c r="N1838" s="19">
        <v>0.45569999999999999</v>
      </c>
      <c r="O1838" s="19">
        <v>0.51249999999999996</v>
      </c>
      <c r="P1838" s="19">
        <v>0.72729999999999995</v>
      </c>
      <c r="Q1838" s="19"/>
      <c r="R1838" s="20">
        <v>46505</v>
      </c>
      <c r="S1838" s="21" t="str">
        <f>HYPERLINK("https://financialaid.rutgers.edu/tools-and-resources/net-price-calculator/", "$30050")</f>
        <v>$30050</v>
      </c>
      <c r="T1838" s="20">
        <v>32715</v>
      </c>
      <c r="U1838" s="20">
        <v>38906</v>
      </c>
      <c r="V1838" s="20">
        <v>4487</v>
      </c>
      <c r="W1838" s="20">
        <v>25563.791821561339</v>
      </c>
      <c r="Y1838" s="19">
        <v>0.43269999999999997</v>
      </c>
      <c r="Z1838" s="19">
        <v>0.50900000000000001</v>
      </c>
      <c r="AB1838" s="18">
        <v>5360</v>
      </c>
      <c r="AC1838" s="18">
        <v>4</v>
      </c>
    </row>
    <row r="1839" spans="1:29" ht="15.75" customHeight="1" x14ac:dyDescent="0.2">
      <c r="A1839" s="36" t="str">
        <f>HYPERLINK("https://newbrunswick.rutgers.edu/", "Rutgers University-New Brunswick")</f>
        <v>Rutgers University-New Brunswick</v>
      </c>
      <c r="B1839" s="18" t="s">
        <v>49</v>
      </c>
      <c r="C1839" s="18" t="s">
        <v>141</v>
      </c>
      <c r="D1839" s="18" t="s">
        <v>241</v>
      </c>
      <c r="E1839" s="18">
        <v>1295</v>
      </c>
      <c r="F1839" s="18" t="s">
        <v>35</v>
      </c>
      <c r="J1839" s="19"/>
      <c r="K1839" s="19">
        <v>0.80069999999999997</v>
      </c>
      <c r="L1839" s="19">
        <v>0.68906410699999998</v>
      </c>
      <c r="M1839" s="19">
        <v>0.80410000000000004</v>
      </c>
      <c r="N1839" s="19">
        <v>0.73699999999999999</v>
      </c>
      <c r="O1839" s="19">
        <v>0.72840000000000005</v>
      </c>
      <c r="P1839" s="19">
        <v>0.84930000000000005</v>
      </c>
      <c r="Q1839" s="19"/>
      <c r="R1839" s="20">
        <v>47518</v>
      </c>
      <c r="S1839" s="21" t="str">
        <f>HYPERLINK("https://financialaid.rutgers.edu/tools-and-resources/net-price-calculator/", "$30440")</f>
        <v>$30440</v>
      </c>
      <c r="T1839" s="20">
        <v>38169</v>
      </c>
      <c r="U1839" s="20">
        <v>44248</v>
      </c>
      <c r="V1839" s="20">
        <v>4487</v>
      </c>
      <c r="W1839" s="20">
        <v>25953.009701492541</v>
      </c>
      <c r="Y1839" s="19">
        <v>0.29349999999999998</v>
      </c>
      <c r="Z1839" s="19">
        <v>0.61170000000000002</v>
      </c>
      <c r="AB1839" s="18">
        <v>35296</v>
      </c>
      <c r="AC1839" s="18">
        <v>2</v>
      </c>
    </row>
    <row r="1840" spans="1:29" ht="15.75" customHeight="1" x14ac:dyDescent="0.2">
      <c r="A1840" s="36" t="str">
        <f>HYPERLINK("https://www.newark.rutgers.edu/", "Rutgers University-Newark")</f>
        <v>Rutgers University-Newark</v>
      </c>
      <c r="B1840" s="18" t="s">
        <v>49</v>
      </c>
      <c r="C1840" s="18" t="s">
        <v>141</v>
      </c>
      <c r="D1840" s="18" t="s">
        <v>425</v>
      </c>
      <c r="E1840" s="18">
        <v>1090</v>
      </c>
      <c r="F1840" s="18" t="s">
        <v>35</v>
      </c>
      <c r="J1840" s="19"/>
      <c r="K1840" s="19">
        <v>0.67889999999999995</v>
      </c>
      <c r="L1840" s="19">
        <v>0.68906410699999998</v>
      </c>
      <c r="M1840" s="19">
        <v>0.67279999999999995</v>
      </c>
      <c r="N1840" s="19">
        <v>0.6583</v>
      </c>
      <c r="O1840" s="19">
        <v>0.64710000000000001</v>
      </c>
      <c r="P1840" s="19">
        <v>0.70909999999999995</v>
      </c>
      <c r="Q1840" s="19"/>
      <c r="R1840" s="20">
        <v>47779</v>
      </c>
      <c r="S1840" s="21" t="str">
        <f>HYPERLINK("https://financialaid.rutgers.edu/tools-and-resources/net-price-calculator/", "$32273")</f>
        <v>$32273</v>
      </c>
      <c r="T1840" s="20">
        <v>39000</v>
      </c>
      <c r="U1840" s="20">
        <v>43722</v>
      </c>
      <c r="V1840" s="20">
        <v>4487</v>
      </c>
      <c r="W1840" s="20">
        <v>27786.445993031361</v>
      </c>
      <c r="Y1840" s="19">
        <v>0.4995</v>
      </c>
      <c r="Z1840" s="19">
        <v>0.77429999999999999</v>
      </c>
      <c r="AB1840" s="18">
        <v>8122</v>
      </c>
      <c r="AC1840" s="18">
        <v>4</v>
      </c>
    </row>
    <row r="1841" spans="1:29" ht="15.75" customHeight="1" x14ac:dyDescent="0.2">
      <c r="A1841" s="36" t="str">
        <f>HYPERLINK("https://sabercollege.edu", "SABER College")</f>
        <v>SABER College</v>
      </c>
      <c r="B1841" s="18" t="s">
        <v>32</v>
      </c>
      <c r="C1841" s="18" t="s">
        <v>162</v>
      </c>
      <c r="D1841" s="18" t="s">
        <v>359</v>
      </c>
      <c r="E1841" s="18" t="s">
        <v>36</v>
      </c>
      <c r="F1841" s="18" t="s">
        <v>45</v>
      </c>
      <c r="J1841" s="19"/>
      <c r="K1841" s="19">
        <v>0.88680000000000003</v>
      </c>
      <c r="L1841" s="19">
        <v>0.643939394</v>
      </c>
      <c r="M1841" s="19" t="s">
        <v>36</v>
      </c>
      <c r="N1841" s="19">
        <v>1</v>
      </c>
      <c r="O1841" s="19">
        <v>0.88</v>
      </c>
      <c r="P1841" s="19" t="s">
        <v>36</v>
      </c>
      <c r="Q1841" s="19" t="s">
        <v>36</v>
      </c>
      <c r="R1841" s="20" t="s">
        <v>36</v>
      </c>
      <c r="S1841" s="21" t="str">
        <f>HYPERLINK("https://sabercollege.edu/sabcol_net_price_calc.htm", "$15781")</f>
        <v>$15781</v>
      </c>
      <c r="T1841" s="20" t="s">
        <v>36</v>
      </c>
      <c r="U1841" s="20" t="s">
        <v>36</v>
      </c>
      <c r="V1841" s="20" t="s">
        <v>36</v>
      </c>
      <c r="W1841" s="20" t="s">
        <v>36</v>
      </c>
      <c r="Y1841" s="19">
        <v>0.8548</v>
      </c>
      <c r="Z1841" s="19">
        <v>0.99709999999999999</v>
      </c>
      <c r="AB1841" s="18">
        <v>342</v>
      </c>
      <c r="AC1841" s="18">
        <v>6</v>
      </c>
    </row>
    <row r="1842" spans="1:29" ht="15.75" customHeight="1" x14ac:dyDescent="0.2">
      <c r="A1842" s="36" t="str">
        <f>HYPERLINK("https://www.usa.sae.edu", "SAE Institute of Technology-Atlanta")</f>
        <v>SAE Institute of Technology-Atlanta</v>
      </c>
      <c r="B1842" s="18" t="s">
        <v>368</v>
      </c>
      <c r="C1842" s="18" t="s">
        <v>107</v>
      </c>
      <c r="D1842" s="18" t="s">
        <v>108</v>
      </c>
      <c r="E1842" s="18" t="s">
        <v>36</v>
      </c>
      <c r="F1842" s="18" t="s">
        <v>36</v>
      </c>
      <c r="J1842" s="19"/>
      <c r="K1842" s="19">
        <v>0.4239</v>
      </c>
      <c r="L1842" s="19" t="s">
        <v>36</v>
      </c>
      <c r="M1842" s="19">
        <v>0.81820000000000004</v>
      </c>
      <c r="N1842" s="19">
        <v>0.38040000000000002</v>
      </c>
      <c r="O1842" s="19">
        <v>0.5</v>
      </c>
      <c r="P1842" s="19">
        <v>0.66669999999999996</v>
      </c>
      <c r="Q1842" s="19" t="s">
        <v>36</v>
      </c>
      <c r="R1842" s="20" t="s">
        <v>36</v>
      </c>
      <c r="S1842" s="21" t="str">
        <f>HYPERLINK("https://usa.sae.edu/assets/Financial-Aid-Docs/Financial-Aid-Atlanta.pdf", "$21688")</f>
        <v>$21688</v>
      </c>
      <c r="T1842" s="20">
        <v>22926</v>
      </c>
      <c r="U1842" s="20">
        <v>23537</v>
      </c>
      <c r="V1842" s="20" t="s">
        <v>36</v>
      </c>
      <c r="W1842" s="20" t="s">
        <v>36</v>
      </c>
      <c r="Y1842" s="19">
        <v>0.75629999999999997</v>
      </c>
      <c r="Z1842" s="19">
        <v>0.96260000000000001</v>
      </c>
      <c r="AB1842" s="18">
        <v>374</v>
      </c>
      <c r="AC1842" s="18">
        <v>6</v>
      </c>
    </row>
    <row r="1843" spans="1:29" ht="15.75" customHeight="1" x14ac:dyDescent="0.2">
      <c r="A1843" s="36" t="str">
        <f>HYPERLINK("https://CHICAGO.SAE.EDU", "SAE Institute of Technology-Chicago")</f>
        <v>SAE Institute of Technology-Chicago</v>
      </c>
      <c r="B1843" s="18" t="s">
        <v>368</v>
      </c>
      <c r="C1843" s="18" t="s">
        <v>137</v>
      </c>
      <c r="D1843" s="18" t="s">
        <v>161</v>
      </c>
      <c r="E1843" s="18" t="s">
        <v>36</v>
      </c>
      <c r="F1843" s="18" t="s">
        <v>36</v>
      </c>
      <c r="J1843" s="19"/>
      <c r="K1843" s="19">
        <v>0.4662</v>
      </c>
      <c r="L1843" s="19">
        <v>0.68181818199999999</v>
      </c>
      <c r="M1843" s="19">
        <v>0.625</v>
      </c>
      <c r="N1843" s="19">
        <v>0.39129999999999998</v>
      </c>
      <c r="O1843" s="19">
        <v>0.39129999999999998</v>
      </c>
      <c r="P1843" s="19">
        <v>0.75</v>
      </c>
      <c r="Q1843" s="19" t="s">
        <v>36</v>
      </c>
      <c r="R1843" s="20" t="s">
        <v>36</v>
      </c>
      <c r="S1843" s="21" t="str">
        <f>HYPERLINK("https://usa.sae.edu/assets/NPC/npc_sf.htm", "$24644")</f>
        <v>$24644</v>
      </c>
      <c r="T1843" s="20">
        <v>26402</v>
      </c>
      <c r="U1843" s="20">
        <v>27567</v>
      </c>
      <c r="V1843" s="20" t="s">
        <v>36</v>
      </c>
      <c r="W1843" s="20" t="s">
        <v>36</v>
      </c>
      <c r="Y1843" s="19">
        <v>0.71840000000000004</v>
      </c>
      <c r="Z1843" s="19">
        <v>0.79369999999999996</v>
      </c>
      <c r="AB1843" s="18">
        <v>189</v>
      </c>
      <c r="AC1843" s="18">
        <v>6</v>
      </c>
    </row>
    <row r="1844" spans="1:29" ht="15.75" customHeight="1" x14ac:dyDescent="0.2">
      <c r="A1844" s="36" t="str">
        <f>HYPERLINK("https://www.nashville.sae.edu", "SAE Institute of Technology-Nashville")</f>
        <v>SAE Institute of Technology-Nashville</v>
      </c>
      <c r="B1844" s="18" t="s">
        <v>368</v>
      </c>
      <c r="C1844" s="18" t="s">
        <v>174</v>
      </c>
      <c r="D1844" s="18" t="s">
        <v>175</v>
      </c>
      <c r="E1844" s="18" t="s">
        <v>36</v>
      </c>
      <c r="F1844" s="18" t="s">
        <v>36</v>
      </c>
      <c r="J1844" s="19"/>
      <c r="K1844" s="19">
        <v>0.67689999999999995</v>
      </c>
      <c r="L1844" s="19">
        <v>0.68181818199999999</v>
      </c>
      <c r="M1844" s="19">
        <v>0.69700000000000006</v>
      </c>
      <c r="N1844" s="19">
        <v>0.65380000000000005</v>
      </c>
      <c r="O1844" s="19">
        <v>1</v>
      </c>
      <c r="P1844" s="19" t="s">
        <v>36</v>
      </c>
      <c r="Q1844" s="19" t="s">
        <v>36</v>
      </c>
      <c r="R1844" s="20">
        <v>41636</v>
      </c>
      <c r="S1844" s="21" t="str">
        <f>HYPERLINK("https://sae-usa.com/netpricecalculator/nash/npcalc.htm", "$37308")</f>
        <v>$37308</v>
      </c>
      <c r="T1844" s="20">
        <v>39148</v>
      </c>
      <c r="U1844" s="20">
        <v>41636</v>
      </c>
      <c r="V1844" s="20">
        <v>6575</v>
      </c>
      <c r="W1844" s="20">
        <v>30733</v>
      </c>
      <c r="Y1844" s="19">
        <v>0.63919999999999999</v>
      </c>
      <c r="Z1844" s="19">
        <v>0.625</v>
      </c>
      <c r="AB1844" s="18">
        <v>192</v>
      </c>
      <c r="AC1844" s="18">
        <v>6</v>
      </c>
    </row>
    <row r="1845" spans="1:29" ht="15.75" customHeight="1" x14ac:dyDescent="0.2">
      <c r="A1845" s="36" t="str">
        <f>HYPERLINK("https://WWW.SUNYBROOME.EDU", "SUNY Broome Community College")</f>
        <v>SUNY Broome Community College</v>
      </c>
      <c r="B1845" s="18" t="s">
        <v>49</v>
      </c>
      <c r="C1845" s="18" t="s">
        <v>38</v>
      </c>
      <c r="D1845" s="18" t="s">
        <v>1657</v>
      </c>
      <c r="E1845" s="18" t="s">
        <v>36</v>
      </c>
      <c r="F1845" s="18" t="s">
        <v>36</v>
      </c>
      <c r="G1845" s="18" t="s">
        <v>51</v>
      </c>
      <c r="H1845" s="18" t="s">
        <v>459</v>
      </c>
      <c r="I1845" s="18" t="s">
        <v>1658</v>
      </c>
      <c r="J1845" s="19"/>
      <c r="K1845" s="19">
        <v>0.26540000000000002</v>
      </c>
      <c r="L1845" s="19">
        <v>0.247272727</v>
      </c>
      <c r="M1845" s="19">
        <v>0.35639999999999999</v>
      </c>
      <c r="N1845" s="19">
        <v>0.1132</v>
      </c>
      <c r="O1845" s="19">
        <v>0.187</v>
      </c>
      <c r="P1845" s="19">
        <v>0.125</v>
      </c>
      <c r="Q1845" s="19">
        <v>7.8304238999999998E-2</v>
      </c>
      <c r="R1845" s="20">
        <v>19963</v>
      </c>
      <c r="S1845" s="21" t="str">
        <f>HYPERLINK("https://www.suny.edu/howmuch/", "$5098")</f>
        <v>$5098</v>
      </c>
      <c r="T1845" s="20">
        <v>9858</v>
      </c>
      <c r="U1845" s="20">
        <v>12121</v>
      </c>
      <c r="V1845" s="20">
        <v>2904</v>
      </c>
      <c r="W1845" s="20">
        <v>2194</v>
      </c>
      <c r="Y1845" s="19">
        <v>0.50700000000000001</v>
      </c>
      <c r="Z1845" s="19">
        <v>0.42580000000000001</v>
      </c>
      <c r="AB1845" s="18">
        <v>5228</v>
      </c>
      <c r="AC1845" s="18">
        <v>6</v>
      </c>
    </row>
    <row r="1846" spans="1:29" ht="15.75" customHeight="1" x14ac:dyDescent="0.2">
      <c r="A1846" s="36" t="str">
        <f>HYPERLINK("https://suny.buffalostate.edu/", "SUNY Buffalo State")</f>
        <v>SUNY Buffalo State</v>
      </c>
      <c r="B1846" s="18" t="s">
        <v>49</v>
      </c>
      <c r="C1846" s="18" t="s">
        <v>38</v>
      </c>
      <c r="D1846" s="18" t="s">
        <v>322</v>
      </c>
      <c r="E1846" s="18">
        <v>975</v>
      </c>
      <c r="F1846" s="18" t="s">
        <v>35</v>
      </c>
      <c r="G1846" s="18" t="s">
        <v>51</v>
      </c>
      <c r="H1846" s="18" t="s">
        <v>1096</v>
      </c>
      <c r="I1846" s="18" t="s">
        <v>1097</v>
      </c>
      <c r="J1846" s="19"/>
      <c r="K1846" s="19">
        <v>0.4738</v>
      </c>
      <c r="L1846" s="19">
        <v>0.47391304400000001</v>
      </c>
      <c r="M1846" s="19">
        <v>0.50119999999999998</v>
      </c>
      <c r="N1846" s="19">
        <v>0.43690000000000001</v>
      </c>
      <c r="O1846" s="19">
        <v>0.45269999999999999</v>
      </c>
      <c r="P1846" s="19">
        <v>0.29730000000000001</v>
      </c>
      <c r="Q1846" s="19"/>
      <c r="R1846" s="20">
        <v>25208</v>
      </c>
      <c r="S1846" s="21" t="str">
        <f>HYPERLINK("https://financialaid.buffalostate.edu/net-price-calculator", "$10201")</f>
        <v>$10201</v>
      </c>
      <c r="T1846" s="20">
        <v>17160</v>
      </c>
      <c r="U1846" s="20">
        <v>19606</v>
      </c>
      <c r="V1846" s="20">
        <v>3746</v>
      </c>
      <c r="W1846" s="20">
        <v>6455</v>
      </c>
      <c r="Y1846" s="19">
        <v>0.53769999999999996</v>
      </c>
      <c r="Z1846" s="19">
        <v>0.55099999999999993</v>
      </c>
      <c r="AB1846" s="18">
        <v>8395</v>
      </c>
      <c r="AC1846" s="18">
        <v>4</v>
      </c>
    </row>
    <row r="1847" spans="1:29" ht="15.75" customHeight="1" x14ac:dyDescent="0.2">
      <c r="A1847" s="36" t="str">
        <f>HYPERLINK("https://www.brockport.edu", "SUNY College at Brockport")</f>
        <v>SUNY College at Brockport</v>
      </c>
      <c r="B1847" s="18" t="s">
        <v>49</v>
      </c>
      <c r="C1847" s="18" t="s">
        <v>38</v>
      </c>
      <c r="D1847" s="18" t="s">
        <v>454</v>
      </c>
      <c r="E1847" s="18">
        <v>1099</v>
      </c>
      <c r="F1847" s="18" t="s">
        <v>35</v>
      </c>
      <c r="G1847" s="18" t="s">
        <v>51</v>
      </c>
      <c r="H1847" s="18" t="s">
        <v>455</v>
      </c>
      <c r="I1847" s="18" t="s">
        <v>456</v>
      </c>
      <c r="J1847" s="19"/>
      <c r="K1847" s="19">
        <v>0.65900000000000003</v>
      </c>
      <c r="L1847" s="19">
        <v>0.3125</v>
      </c>
      <c r="M1847" s="19">
        <v>0.68</v>
      </c>
      <c r="N1847" s="19">
        <v>0.54169999999999996</v>
      </c>
      <c r="O1847" s="19">
        <v>0.5</v>
      </c>
      <c r="P1847" s="19">
        <v>0.81820000000000004</v>
      </c>
      <c r="Q1847" s="19"/>
      <c r="R1847" s="20">
        <v>24126</v>
      </c>
      <c r="S1847" s="21" t="str">
        <f>HYPERLINK("https://www.brockport.edu/finaid/calculator.htm", "$11014")</f>
        <v>$11014</v>
      </c>
      <c r="T1847" s="20">
        <v>17746</v>
      </c>
      <c r="U1847" s="20">
        <v>20245</v>
      </c>
      <c r="V1847" s="20">
        <v>3068</v>
      </c>
      <c r="W1847" s="20">
        <v>7946</v>
      </c>
      <c r="Y1847" s="19">
        <v>0.41270000000000001</v>
      </c>
      <c r="Z1847" s="19">
        <v>0.2974</v>
      </c>
      <c r="AB1847" s="18">
        <v>7134</v>
      </c>
      <c r="AC1847" s="18">
        <v>3</v>
      </c>
    </row>
    <row r="1848" spans="1:29" ht="15.75" customHeight="1" x14ac:dyDescent="0.2">
      <c r="A1848" s="36" t="str">
        <f>HYPERLINK("https://www.geneseo.edu/", "SUNY College at Geneseo")</f>
        <v>SUNY College at Geneseo</v>
      </c>
      <c r="B1848" s="18" t="s">
        <v>49</v>
      </c>
      <c r="C1848" s="18" t="s">
        <v>38</v>
      </c>
      <c r="D1848" s="18" t="s">
        <v>457</v>
      </c>
      <c r="E1848" s="18">
        <v>1229</v>
      </c>
      <c r="F1848" s="18" t="s">
        <v>35</v>
      </c>
      <c r="G1848" s="18" t="s">
        <v>51</v>
      </c>
      <c r="H1848" s="18" t="s">
        <v>458</v>
      </c>
      <c r="I1848" s="18" t="s">
        <v>456</v>
      </c>
      <c r="J1848" s="19"/>
      <c r="K1848" s="19">
        <v>0.77359999999999995</v>
      </c>
      <c r="L1848" s="19">
        <v>0.52403846200000004</v>
      </c>
      <c r="M1848" s="19">
        <v>0.81540000000000001</v>
      </c>
      <c r="N1848" s="19">
        <v>0.60609999999999997</v>
      </c>
      <c r="O1848" s="19">
        <v>0.71830000000000005</v>
      </c>
      <c r="P1848" s="19">
        <v>0.65790000000000004</v>
      </c>
      <c r="Q1848" s="19"/>
      <c r="R1848" s="20">
        <v>25122</v>
      </c>
      <c r="S1848" s="21" t="str">
        <f>HYPERLINK("https://suny.edu/howmuch/netpricecalculator.xhtml?embed=n&amp;id=11&amp;headerUrl=https://www.geneseo.edu/images/geneseo-header.jpg&amp;titleColor=b9cce3", "$11890")</f>
        <v>$11890</v>
      </c>
      <c r="T1848" s="20">
        <v>19135</v>
      </c>
      <c r="U1848" s="20">
        <v>21618</v>
      </c>
      <c r="V1848" s="20">
        <v>3500</v>
      </c>
      <c r="W1848" s="20">
        <v>8390</v>
      </c>
      <c r="Y1848" s="19">
        <v>0.25240000000000001</v>
      </c>
      <c r="Z1848" s="19">
        <v>0.24339999999999989</v>
      </c>
      <c r="AB1848" s="18">
        <v>5522</v>
      </c>
      <c r="AC1848" s="18">
        <v>3</v>
      </c>
    </row>
    <row r="1849" spans="1:29" ht="15.75" customHeight="1" x14ac:dyDescent="0.2">
      <c r="A1849" s="36" t="str">
        <f>HYPERLINK("https://www.oldwestbury.edu", "SUNY College at Old Westbury")</f>
        <v>SUNY College at Old Westbury</v>
      </c>
      <c r="B1849" s="18" t="s">
        <v>49</v>
      </c>
      <c r="C1849" s="18" t="s">
        <v>38</v>
      </c>
      <c r="D1849" s="18" t="s">
        <v>426</v>
      </c>
      <c r="E1849" s="18">
        <v>1028</v>
      </c>
      <c r="F1849" s="18" t="s">
        <v>35</v>
      </c>
      <c r="G1849" s="18" t="s">
        <v>51</v>
      </c>
      <c r="H1849" s="18" t="s">
        <v>1099</v>
      </c>
      <c r="I1849" s="18" t="s">
        <v>1100</v>
      </c>
      <c r="J1849" s="19"/>
      <c r="K1849" s="19">
        <v>0.47870000000000001</v>
      </c>
      <c r="L1849" s="19">
        <v>0.29818181799999999</v>
      </c>
      <c r="M1849" s="19">
        <v>0.44829999999999998</v>
      </c>
      <c r="N1849" s="19">
        <v>0.49399999999999999</v>
      </c>
      <c r="O1849" s="19">
        <v>0.4773</v>
      </c>
      <c r="P1849" s="19">
        <v>0.4375</v>
      </c>
      <c r="Q1849" s="19"/>
      <c r="R1849" s="20">
        <v>23363</v>
      </c>
      <c r="S1849" s="21" t="str">
        <f>HYPERLINK("https://www.oldwestbury.edu/financial-aid/net-price-calculator", "$7544")</f>
        <v>$7544</v>
      </c>
      <c r="T1849" s="20">
        <v>14417</v>
      </c>
      <c r="U1849" s="20">
        <v>18167</v>
      </c>
      <c r="V1849" s="20">
        <v>4460</v>
      </c>
      <c r="W1849" s="20">
        <v>3084</v>
      </c>
      <c r="Y1849" s="19">
        <v>0.48770000000000002</v>
      </c>
      <c r="Z1849" s="19">
        <v>0.70609999999999995</v>
      </c>
      <c r="AB1849" s="18">
        <v>4481</v>
      </c>
      <c r="AC1849" s="18">
        <v>4</v>
      </c>
    </row>
    <row r="1850" spans="1:29" ht="15.75" customHeight="1" x14ac:dyDescent="0.2">
      <c r="A1850" s="36" t="str">
        <f>HYPERLINK("https://www.oswego.edu/", "SUNY College at Oswego")</f>
        <v>SUNY College at Oswego</v>
      </c>
      <c r="B1850" s="18" t="s">
        <v>49</v>
      </c>
      <c r="C1850" s="18" t="s">
        <v>38</v>
      </c>
      <c r="D1850" s="18" t="s">
        <v>1102</v>
      </c>
      <c r="E1850" s="18">
        <v>1162</v>
      </c>
      <c r="F1850" s="18" t="s">
        <v>35</v>
      </c>
      <c r="G1850" s="18" t="s">
        <v>51</v>
      </c>
      <c r="H1850" s="18" t="s">
        <v>1103</v>
      </c>
      <c r="I1850" s="18" t="s">
        <v>1104</v>
      </c>
      <c r="J1850" s="19"/>
      <c r="K1850" s="19">
        <v>0.65669999999999995</v>
      </c>
      <c r="L1850" s="19">
        <v>0.53191489400000003</v>
      </c>
      <c r="M1850" s="19">
        <v>0.67310000000000003</v>
      </c>
      <c r="N1850" s="19">
        <v>0.6835</v>
      </c>
      <c r="O1850" s="19">
        <v>0.63500000000000001</v>
      </c>
      <c r="P1850" s="19">
        <v>0.4375</v>
      </c>
      <c r="Q1850" s="19"/>
      <c r="R1850" s="20">
        <v>24131</v>
      </c>
      <c r="S1850" s="21" t="str">
        <f>HYPERLINK("https://www.oswego.edu/financial-aid/net-price-calculator", "$10978")</f>
        <v>$10978</v>
      </c>
      <c r="T1850" s="20">
        <v>17482</v>
      </c>
      <c r="U1850" s="20">
        <v>20768</v>
      </c>
      <c r="V1850" s="20">
        <v>2200</v>
      </c>
      <c r="W1850" s="20">
        <v>8778</v>
      </c>
      <c r="Y1850" s="19">
        <v>0.42170000000000002</v>
      </c>
      <c r="Z1850" s="19">
        <v>0.29390000000000011</v>
      </c>
      <c r="AB1850" s="18">
        <v>7090</v>
      </c>
      <c r="AC1850" s="18">
        <v>4</v>
      </c>
    </row>
    <row r="1851" spans="1:29" ht="15.75" customHeight="1" x14ac:dyDescent="0.2">
      <c r="A1851" s="36" t="str">
        <f>HYPERLINK("https://www.plattsburgh.edu", "SUNY College at Plattsburgh")</f>
        <v>SUNY College at Plattsburgh</v>
      </c>
      <c r="B1851" s="18" t="s">
        <v>49</v>
      </c>
      <c r="C1851" s="18" t="s">
        <v>38</v>
      </c>
      <c r="D1851" s="18" t="s">
        <v>1106</v>
      </c>
      <c r="E1851" s="18">
        <v>1126</v>
      </c>
      <c r="F1851" s="18" t="s">
        <v>35</v>
      </c>
      <c r="G1851" s="18" t="s">
        <v>51</v>
      </c>
      <c r="H1851" s="18" t="s">
        <v>1107</v>
      </c>
      <c r="I1851" s="18" t="s">
        <v>1108</v>
      </c>
      <c r="J1851" s="19"/>
      <c r="K1851" s="19">
        <v>0.62570000000000003</v>
      </c>
      <c r="L1851" s="19">
        <v>0.53472222200000008</v>
      </c>
      <c r="M1851" s="19">
        <v>0.64329999999999998</v>
      </c>
      <c r="N1851" s="19">
        <v>0.60489999999999999</v>
      </c>
      <c r="O1851" s="19">
        <v>0.59799999999999998</v>
      </c>
      <c r="P1851" s="19">
        <v>0.625</v>
      </c>
      <c r="Q1851" s="19"/>
      <c r="R1851" s="20">
        <v>24648</v>
      </c>
      <c r="S1851" s="21" t="str">
        <f>HYPERLINK("https://www.plattsburgh.edu/offices/admin/financialaid/netpricecalc.php", "$7655")</f>
        <v>$7655</v>
      </c>
      <c r="T1851" s="20">
        <v>14536</v>
      </c>
      <c r="U1851" s="20">
        <v>18984</v>
      </c>
      <c r="V1851" s="20">
        <v>4010</v>
      </c>
      <c r="W1851" s="20">
        <v>3645</v>
      </c>
      <c r="Y1851" s="19">
        <v>0.37559999999999999</v>
      </c>
      <c r="Z1851" s="19">
        <v>0.36040000000000011</v>
      </c>
      <c r="AB1851" s="18">
        <v>5272</v>
      </c>
      <c r="AC1851" s="18">
        <v>4</v>
      </c>
    </row>
    <row r="1852" spans="1:29" ht="15.75" customHeight="1" x14ac:dyDescent="0.2">
      <c r="A1852" s="36" t="str">
        <f>HYPERLINK("https://www.potsdam.edu", "SUNY College at Potsdam")</f>
        <v>SUNY College at Potsdam</v>
      </c>
      <c r="B1852" s="18" t="s">
        <v>49</v>
      </c>
      <c r="C1852" s="18" t="s">
        <v>38</v>
      </c>
      <c r="D1852" s="18" t="s">
        <v>330</v>
      </c>
      <c r="E1852" s="18" t="s">
        <v>36</v>
      </c>
      <c r="F1852" s="18" t="s">
        <v>45</v>
      </c>
      <c r="G1852" s="18" t="s">
        <v>51</v>
      </c>
      <c r="H1852" s="18" t="s">
        <v>459</v>
      </c>
      <c r="I1852" s="18" t="s">
        <v>460</v>
      </c>
      <c r="J1852" s="19"/>
      <c r="K1852" s="19">
        <v>0.52510000000000001</v>
      </c>
      <c r="L1852" s="19">
        <v>0.473520249</v>
      </c>
      <c r="M1852" s="19">
        <v>0.53639999999999999</v>
      </c>
      <c r="N1852" s="19">
        <v>0.43859999999999999</v>
      </c>
      <c r="O1852" s="19">
        <v>0.53949999999999998</v>
      </c>
      <c r="P1852" s="19">
        <v>0.3846</v>
      </c>
      <c r="Q1852" s="19"/>
      <c r="R1852" s="20">
        <v>24113</v>
      </c>
      <c r="S1852" s="21" t="str">
        <f>HYPERLINK("https://www.potsdam.edu/admissions/financial/npc.cfm", "$10448")</f>
        <v>$10448</v>
      </c>
      <c r="T1852" s="20">
        <v>16651</v>
      </c>
      <c r="U1852" s="20">
        <v>19810</v>
      </c>
      <c r="V1852" s="20">
        <v>3062</v>
      </c>
      <c r="W1852" s="20">
        <v>7386</v>
      </c>
      <c r="Y1852" s="19">
        <v>0.50119999999999998</v>
      </c>
      <c r="Z1852" s="19">
        <v>0.3871</v>
      </c>
      <c r="AB1852" s="18">
        <v>3296</v>
      </c>
      <c r="AC1852" s="18">
        <v>3</v>
      </c>
    </row>
    <row r="1853" spans="1:29" ht="15.75" customHeight="1" x14ac:dyDescent="0.2">
      <c r="A1853" s="36" t="str">
        <f>HYPERLINK("https://www.cobleskill.edu/", "SUNY College of Agriculture and Technology at Cobleskill")</f>
        <v>SUNY College of Agriculture and Technology at Cobleskill</v>
      </c>
      <c r="B1853" s="18" t="s">
        <v>49</v>
      </c>
      <c r="C1853" s="18" t="s">
        <v>38</v>
      </c>
      <c r="D1853" s="18" t="s">
        <v>1109</v>
      </c>
      <c r="E1853" s="18">
        <v>975</v>
      </c>
      <c r="F1853" s="18" t="s">
        <v>35</v>
      </c>
      <c r="G1853" s="18" t="s">
        <v>51</v>
      </c>
      <c r="H1853" s="18" t="s">
        <v>1110</v>
      </c>
      <c r="I1853" s="18" t="s">
        <v>1111</v>
      </c>
      <c r="J1853" s="19"/>
      <c r="K1853" s="19">
        <v>0.44330000000000003</v>
      </c>
      <c r="L1853" s="19">
        <v>0.26943005199999998</v>
      </c>
      <c r="M1853" s="19">
        <v>0.48280000000000001</v>
      </c>
      <c r="N1853" s="19">
        <v>0.24049999999999999</v>
      </c>
      <c r="O1853" s="19">
        <v>0.34379999999999999</v>
      </c>
      <c r="P1853" s="19">
        <v>0.4</v>
      </c>
      <c r="Q1853" s="19"/>
      <c r="R1853" s="20">
        <v>24813</v>
      </c>
      <c r="S1853" s="21" t="str">
        <f>HYPERLINK("https://www.suny.edu/howmuch/netpricecalculator.xhtml", "$12482")</f>
        <v>$12482</v>
      </c>
      <c r="T1853" s="20">
        <v>18994</v>
      </c>
      <c r="U1853" s="20">
        <v>20902</v>
      </c>
      <c r="V1853" s="20">
        <v>3492</v>
      </c>
      <c r="W1853" s="20">
        <v>8990</v>
      </c>
      <c r="Y1853" s="19">
        <v>0.51600000000000001</v>
      </c>
      <c r="Z1853" s="19">
        <v>0.33</v>
      </c>
      <c r="AB1853" s="18">
        <v>2270</v>
      </c>
      <c r="AC1853" s="18">
        <v>4</v>
      </c>
    </row>
    <row r="1854" spans="1:29" ht="15.75" customHeight="1" x14ac:dyDescent="0.2">
      <c r="A1854" s="36" t="str">
        <f>HYPERLINK("https://www.esf.edu", "SUNY College of Environmental Science and Forestry")</f>
        <v>SUNY College of Environmental Science and Forestry</v>
      </c>
      <c r="B1854" s="18" t="s">
        <v>49</v>
      </c>
      <c r="C1854" s="18" t="s">
        <v>38</v>
      </c>
      <c r="D1854" s="18" t="s">
        <v>242</v>
      </c>
      <c r="E1854" s="18">
        <v>1235</v>
      </c>
      <c r="F1854" s="18" t="s">
        <v>35</v>
      </c>
      <c r="G1854" s="18" t="s">
        <v>51</v>
      </c>
      <c r="H1854" s="18" t="s">
        <v>243</v>
      </c>
      <c r="I1854" s="18" t="s">
        <v>244</v>
      </c>
      <c r="J1854" s="19"/>
      <c r="K1854" s="19">
        <v>0.78400000000000003</v>
      </c>
      <c r="L1854" s="19">
        <v>0.62162162200000004</v>
      </c>
      <c r="M1854" s="19">
        <v>0.79149999999999998</v>
      </c>
      <c r="N1854" s="19">
        <v>0.5</v>
      </c>
      <c r="O1854" s="19">
        <v>0.6</v>
      </c>
      <c r="P1854" s="19">
        <v>0.88890000000000002</v>
      </c>
      <c r="Q1854" s="19"/>
      <c r="R1854" s="20">
        <v>27303</v>
      </c>
      <c r="S1854" s="21" t="str">
        <f>HYPERLINK("https://www.esf.edu/financialaid/netprice.htm", "$11455")</f>
        <v>$11455</v>
      </c>
      <c r="T1854" s="20">
        <v>17745</v>
      </c>
      <c r="U1854" s="20">
        <v>20047</v>
      </c>
      <c r="V1854" s="20">
        <v>2250</v>
      </c>
      <c r="W1854" s="20">
        <v>9205</v>
      </c>
      <c r="Y1854" s="19">
        <v>0.25640000000000002</v>
      </c>
      <c r="Z1854" s="19">
        <v>0.20449999999999999</v>
      </c>
      <c r="AB1854" s="18">
        <v>1790</v>
      </c>
      <c r="AC1854" s="18">
        <v>2</v>
      </c>
    </row>
    <row r="1855" spans="1:29" ht="15.75" customHeight="1" x14ac:dyDescent="0.2">
      <c r="A1855" s="36" t="str">
        <f>HYPERLINK("https://www.alfredstate.edu", "SUNY College of Technology at Alfred")</f>
        <v>SUNY College of Technology at Alfred</v>
      </c>
      <c r="B1855" s="18" t="s">
        <v>49</v>
      </c>
      <c r="C1855" s="18" t="s">
        <v>38</v>
      </c>
      <c r="D1855" s="18" t="s">
        <v>292</v>
      </c>
      <c r="E1855" s="18">
        <v>1049</v>
      </c>
      <c r="F1855" s="18" t="s">
        <v>35</v>
      </c>
      <c r="G1855" s="18" t="s">
        <v>51</v>
      </c>
      <c r="H1855" s="18" t="s">
        <v>1659</v>
      </c>
      <c r="I1855" s="18" t="s">
        <v>1324</v>
      </c>
      <c r="J1855" s="19"/>
      <c r="K1855" s="19">
        <v>0.52</v>
      </c>
      <c r="L1855" s="19">
        <v>0.392578125</v>
      </c>
      <c r="M1855" s="19">
        <v>0.57330000000000003</v>
      </c>
      <c r="N1855" s="19">
        <v>0.28039999999999998</v>
      </c>
      <c r="O1855" s="19">
        <v>0.33329999999999999</v>
      </c>
      <c r="P1855" s="19">
        <v>0.33329999999999999</v>
      </c>
      <c r="Q1855" s="19">
        <v>7.4125874000000008E-2</v>
      </c>
      <c r="R1855" s="20">
        <v>24859</v>
      </c>
      <c r="S1855" s="21" t="str">
        <f>HYPERLINK("https://www.alfredstate.edu/financial-aid/tuition/net-price-calculator", "$12715")</f>
        <v>$12715</v>
      </c>
      <c r="T1855" s="20">
        <v>18290</v>
      </c>
      <c r="U1855" s="20">
        <v>20695</v>
      </c>
      <c r="V1855" s="20">
        <v>4282</v>
      </c>
      <c r="W1855" s="20">
        <v>8433</v>
      </c>
      <c r="Y1855" s="19">
        <v>0.52070000000000005</v>
      </c>
      <c r="Z1855" s="19">
        <v>0.2772</v>
      </c>
      <c r="AB1855" s="18">
        <v>3665</v>
      </c>
      <c r="AC1855" s="18">
        <v>6</v>
      </c>
    </row>
    <row r="1856" spans="1:29" ht="15.75" customHeight="1" x14ac:dyDescent="0.2">
      <c r="A1856" s="36" t="str">
        <f>HYPERLINK("https://www.delhi.edu", "SUNY College of Technology at Delhi")</f>
        <v>SUNY College of Technology at Delhi</v>
      </c>
      <c r="B1856" s="18" t="s">
        <v>49</v>
      </c>
      <c r="C1856" s="18" t="s">
        <v>38</v>
      </c>
      <c r="D1856" s="18" t="s">
        <v>1660</v>
      </c>
      <c r="E1856" s="18" t="s">
        <v>36</v>
      </c>
      <c r="F1856" s="18" t="s">
        <v>90</v>
      </c>
      <c r="G1856" s="18" t="s">
        <v>51</v>
      </c>
      <c r="H1856" s="18" t="s">
        <v>1661</v>
      </c>
      <c r="I1856" s="18" t="s">
        <v>1662</v>
      </c>
      <c r="J1856" s="19"/>
      <c r="K1856" s="19">
        <v>0.44169999999999998</v>
      </c>
      <c r="L1856" s="19">
        <v>0.37131630700000001</v>
      </c>
      <c r="M1856" s="19">
        <v>0.49170000000000003</v>
      </c>
      <c r="N1856" s="19">
        <v>0.31080000000000002</v>
      </c>
      <c r="O1856" s="19">
        <v>0.37290000000000001</v>
      </c>
      <c r="P1856" s="19">
        <v>0.55559999999999998</v>
      </c>
      <c r="Q1856" s="19">
        <v>8.1545064E-2</v>
      </c>
      <c r="R1856" s="20">
        <v>24210</v>
      </c>
      <c r="S1856" s="21" t="str">
        <f>HYPERLINK("https://www.delhi.edu/admission/financial-aid/cost-calculator/index.php", "$12154")</f>
        <v>$12154</v>
      </c>
      <c r="T1856" s="20">
        <v>18315</v>
      </c>
      <c r="U1856" s="20">
        <v>21324</v>
      </c>
      <c r="V1856" s="20">
        <v>4110</v>
      </c>
      <c r="W1856" s="20">
        <v>8044</v>
      </c>
      <c r="Y1856" s="19">
        <v>0.44500000000000001</v>
      </c>
      <c r="Z1856" s="19">
        <v>0.39970000000000011</v>
      </c>
      <c r="AB1856" s="18">
        <v>3435</v>
      </c>
      <c r="AC1856" s="18">
        <v>6</v>
      </c>
    </row>
    <row r="1857" spans="1:29" ht="15.75" customHeight="1" x14ac:dyDescent="0.2">
      <c r="A1857" s="36" t="str">
        <f>HYPERLINK("https://www2.cortland.edu", "SUNY College at Cortland")</f>
        <v>SUNY College at Cortland</v>
      </c>
      <c r="B1857" s="18" t="s">
        <v>49</v>
      </c>
      <c r="C1857" s="18" t="s">
        <v>38</v>
      </c>
      <c r="D1857" s="18" t="s">
        <v>461</v>
      </c>
      <c r="E1857" s="18">
        <v>1137</v>
      </c>
      <c r="F1857" s="18" t="s">
        <v>115</v>
      </c>
      <c r="G1857" s="18" t="s">
        <v>51</v>
      </c>
      <c r="H1857" s="18" t="s">
        <v>462</v>
      </c>
      <c r="I1857" s="18" t="s">
        <v>456</v>
      </c>
      <c r="J1857" s="19"/>
      <c r="K1857" s="19">
        <v>0.71020000000000005</v>
      </c>
      <c r="L1857" s="19">
        <v>0.58641975299999993</v>
      </c>
      <c r="M1857" s="19">
        <v>0.7389</v>
      </c>
      <c r="N1857" s="19">
        <v>0.61360000000000003</v>
      </c>
      <c r="O1857" s="19">
        <v>0.60899999999999999</v>
      </c>
      <c r="P1857" s="19">
        <v>0.48149999999999998</v>
      </c>
      <c r="Q1857" s="19"/>
      <c r="R1857" s="20">
        <v>24879</v>
      </c>
      <c r="S1857" s="21" t="str">
        <f>HYPERLINK("https://www2.cortland.edu/cost-aid/financial-aid/net-price-calculator.dot", "$12849")</f>
        <v>$12849</v>
      </c>
      <c r="T1857" s="20">
        <v>19308</v>
      </c>
      <c r="U1857" s="20">
        <v>22257</v>
      </c>
      <c r="V1857" s="20">
        <v>3769</v>
      </c>
      <c r="W1857" s="20">
        <v>9080</v>
      </c>
      <c r="Y1857" s="19">
        <v>0.2944</v>
      </c>
      <c r="Z1857" s="19">
        <v>0.27239999999999998</v>
      </c>
      <c r="AB1857" s="18">
        <v>6333</v>
      </c>
      <c r="AC1857" s="18">
        <v>3</v>
      </c>
    </row>
    <row r="1858" spans="1:29" ht="15.75" customHeight="1" x14ac:dyDescent="0.2">
      <c r="A1858" s="36" t="str">
        <f>HYPERLINK("https://www.esc.edu", "SUNY Empire State College")</f>
        <v>SUNY Empire State College</v>
      </c>
      <c r="B1858" s="18" t="s">
        <v>49</v>
      </c>
      <c r="C1858" s="18" t="s">
        <v>38</v>
      </c>
      <c r="D1858" s="18" t="s">
        <v>246</v>
      </c>
      <c r="E1858" s="18" t="s">
        <v>36</v>
      </c>
      <c r="F1858" s="18" t="s">
        <v>36</v>
      </c>
      <c r="J1858" s="19"/>
      <c r="K1858" s="19">
        <v>0.1389</v>
      </c>
      <c r="L1858" s="19">
        <v>0.23072916700000001</v>
      </c>
      <c r="M1858" s="19">
        <v>0.14929999999999999</v>
      </c>
      <c r="N1858" s="19">
        <v>9.0899999999999995E-2</v>
      </c>
      <c r="O1858" s="19">
        <v>0.1154</v>
      </c>
      <c r="P1858" s="19">
        <v>0</v>
      </c>
      <c r="Q1858" s="19"/>
      <c r="R1858" s="20">
        <v>22597</v>
      </c>
      <c r="S1858" s="21" t="str">
        <f>HYPERLINK("https://www.esc.edu/tuition-financial-aid/tuition-rates/net-price-calculator/", "$12670")</f>
        <v>$12670</v>
      </c>
      <c r="T1858" s="20">
        <v>15652</v>
      </c>
      <c r="U1858" s="20">
        <v>18960</v>
      </c>
      <c r="V1858" s="20">
        <v>3812</v>
      </c>
      <c r="W1858" s="20">
        <v>8858</v>
      </c>
      <c r="Y1858" s="19">
        <v>0.31659999999999999</v>
      </c>
      <c r="Z1858" s="19">
        <v>0.39979999999999999</v>
      </c>
      <c r="AB1858" s="18">
        <v>8622</v>
      </c>
      <c r="AC1858" s="18">
        <v>4</v>
      </c>
    </row>
    <row r="1859" spans="1:29" ht="15.75" customHeight="1" x14ac:dyDescent="0.2">
      <c r="A1859" s="36" t="str">
        <f>HYPERLINK("https://www.sunymaritime.edu", "SUNY Maritime College")</f>
        <v>SUNY Maritime College</v>
      </c>
      <c r="B1859" s="18" t="s">
        <v>49</v>
      </c>
      <c r="C1859" s="18" t="s">
        <v>38</v>
      </c>
      <c r="D1859" s="18" t="s">
        <v>1113</v>
      </c>
      <c r="E1859" s="18">
        <v>1179</v>
      </c>
      <c r="F1859" s="18" t="s">
        <v>35</v>
      </c>
      <c r="G1859" s="18" t="s">
        <v>51</v>
      </c>
      <c r="H1859" s="18" t="s">
        <v>1114</v>
      </c>
      <c r="I1859" s="18" t="s">
        <v>1115</v>
      </c>
      <c r="J1859" s="19"/>
      <c r="K1859" s="19">
        <v>0.62670000000000003</v>
      </c>
      <c r="L1859" s="19">
        <v>0.40860215100000002</v>
      </c>
      <c r="M1859" s="19">
        <v>0.64929999999999999</v>
      </c>
      <c r="N1859" s="19">
        <v>0.6</v>
      </c>
      <c r="O1859" s="19">
        <v>0.39290000000000003</v>
      </c>
      <c r="P1859" s="19">
        <v>0.64290000000000003</v>
      </c>
      <c r="Q1859" s="19"/>
      <c r="R1859" s="20">
        <v>25308</v>
      </c>
      <c r="S1859" s="21" t="str">
        <f>HYPERLINK("https://www.suny.edu/howmuch/netpricecalculator.xhtml?bgColor=87CEFA&amp;embed=N&amp;headerUrl=www.sunymaritime.edu/upload/Maritime_HEADER.gif&amp;id=25", "$10707")</f>
        <v>$10707</v>
      </c>
      <c r="T1859" s="20">
        <v>20589</v>
      </c>
      <c r="U1859" s="20">
        <v>21539</v>
      </c>
      <c r="V1859" s="20">
        <v>5100</v>
      </c>
      <c r="W1859" s="20">
        <v>5607</v>
      </c>
      <c r="Y1859" s="19">
        <v>0.23180000000000001</v>
      </c>
      <c r="Z1859" s="19">
        <v>0.28899999999999998</v>
      </c>
      <c r="AB1859" s="18">
        <v>1633</v>
      </c>
      <c r="AC1859" s="18">
        <v>4</v>
      </c>
    </row>
    <row r="1860" spans="1:29" ht="15.75" customHeight="1" x14ac:dyDescent="0.2">
      <c r="A1860" s="36" t="str">
        <f>HYPERLINK("https://www.morrisville.edu", "SUNY Morrisville State College")</f>
        <v>SUNY Morrisville State College</v>
      </c>
      <c r="B1860" s="18" t="s">
        <v>49</v>
      </c>
      <c r="C1860" s="18" t="s">
        <v>38</v>
      </c>
      <c r="D1860" s="18" t="s">
        <v>1404</v>
      </c>
      <c r="E1860" s="18">
        <v>1013</v>
      </c>
      <c r="F1860" s="18" t="s">
        <v>35</v>
      </c>
      <c r="G1860" s="18" t="s">
        <v>51</v>
      </c>
      <c r="H1860" s="18" t="s">
        <v>1663</v>
      </c>
      <c r="I1860" s="18" t="s">
        <v>1664</v>
      </c>
      <c r="J1860" s="19"/>
      <c r="K1860" s="19">
        <v>0.28120000000000001</v>
      </c>
      <c r="L1860" s="19">
        <v>0.24590163900000001</v>
      </c>
      <c r="M1860" s="19">
        <v>0.31690000000000002</v>
      </c>
      <c r="N1860" s="19">
        <v>0.251</v>
      </c>
      <c r="O1860" s="19">
        <v>0.2</v>
      </c>
      <c r="P1860" s="19">
        <v>0.3846</v>
      </c>
      <c r="Q1860" s="19">
        <v>7.2987722000000005E-2</v>
      </c>
      <c r="R1860" s="20">
        <v>26818</v>
      </c>
      <c r="S1860" s="21" t="str">
        <f>HYPERLINK("https://www.morrisville.edu/student-accounts/net-price-calculator", "$15427")</f>
        <v>$15427</v>
      </c>
      <c r="T1860" s="20">
        <v>21112</v>
      </c>
      <c r="U1860" s="20">
        <v>23240</v>
      </c>
      <c r="V1860" s="20">
        <v>4511</v>
      </c>
      <c r="W1860" s="20">
        <v>10916</v>
      </c>
      <c r="Y1860" s="19">
        <v>0.54479999999999995</v>
      </c>
      <c r="Z1860" s="19">
        <v>0.33250000000000002</v>
      </c>
      <c r="AB1860" s="18">
        <v>2815</v>
      </c>
      <c r="AC1860" s="18">
        <v>6</v>
      </c>
    </row>
    <row r="1861" spans="1:29" ht="15.75" customHeight="1" x14ac:dyDescent="0.2">
      <c r="A1861" s="36" t="str">
        <f>HYPERLINK("https://suny.oneonta.edu", "SUNY Oneonta")</f>
        <v>SUNY Oneonta</v>
      </c>
      <c r="B1861" s="18" t="s">
        <v>49</v>
      </c>
      <c r="C1861" s="18" t="s">
        <v>38</v>
      </c>
      <c r="D1861" s="18" t="s">
        <v>816</v>
      </c>
      <c r="E1861" s="18">
        <v>1124</v>
      </c>
      <c r="F1861" s="18" t="s">
        <v>35</v>
      </c>
      <c r="G1861" s="18" t="s">
        <v>51</v>
      </c>
      <c r="H1861" s="18" t="s">
        <v>1117</v>
      </c>
      <c r="I1861" s="18" t="s">
        <v>396</v>
      </c>
      <c r="J1861" s="19"/>
      <c r="K1861" s="19">
        <v>0.70900000000000007</v>
      </c>
      <c r="L1861" s="19">
        <v>0.55305466199999997</v>
      </c>
      <c r="M1861" s="19">
        <v>0.72050000000000003</v>
      </c>
      <c r="N1861" s="19">
        <v>0.76670000000000005</v>
      </c>
      <c r="O1861" s="19">
        <v>0.6421</v>
      </c>
      <c r="P1861" s="19">
        <v>0.56520000000000004</v>
      </c>
      <c r="Q1861" s="19"/>
      <c r="R1861" s="20">
        <v>24162</v>
      </c>
      <c r="S1861" s="21" t="str">
        <f>HYPERLINK("https://suny.oneonta.edu/index.php/cost-aid/suny-net-price-calculator", "$10949")</f>
        <v>$10949</v>
      </c>
      <c r="T1861" s="20">
        <v>18229</v>
      </c>
      <c r="U1861" s="20">
        <v>20938</v>
      </c>
      <c r="V1861" s="20">
        <v>3202</v>
      </c>
      <c r="W1861" s="20">
        <v>7747</v>
      </c>
      <c r="Y1861" s="19">
        <v>0.32219999999999999</v>
      </c>
      <c r="Z1861" s="19">
        <v>0.25159999999999999</v>
      </c>
      <c r="AB1861" s="18">
        <v>5923</v>
      </c>
      <c r="AC1861" s="18">
        <v>4</v>
      </c>
    </row>
    <row r="1862" spans="1:29" ht="15.75" customHeight="1" x14ac:dyDescent="0.2">
      <c r="A1862" s="36" t="str">
        <f>HYPERLINK("https://www.sunypoly.edu", "SUNY Polytechnic Institute")</f>
        <v>SUNY Polytechnic Institute</v>
      </c>
      <c r="B1862" s="18" t="s">
        <v>49</v>
      </c>
      <c r="C1862" s="18" t="s">
        <v>38</v>
      </c>
      <c r="D1862" s="18" t="s">
        <v>463</v>
      </c>
      <c r="E1862" s="18">
        <v>1150</v>
      </c>
      <c r="F1862" s="18" t="s">
        <v>35</v>
      </c>
      <c r="G1862" s="18" t="s">
        <v>51</v>
      </c>
      <c r="H1862" s="18" t="s">
        <v>464</v>
      </c>
      <c r="I1862" s="18" t="s">
        <v>465</v>
      </c>
      <c r="J1862" s="19"/>
      <c r="K1862" s="19">
        <v>0.51519999999999999</v>
      </c>
      <c r="L1862" s="19">
        <v>0.37743190700000001</v>
      </c>
      <c r="M1862" s="19">
        <v>0.55169999999999997</v>
      </c>
      <c r="N1862" s="19">
        <v>0.66669999999999996</v>
      </c>
      <c r="O1862" s="19">
        <v>0.25</v>
      </c>
      <c r="P1862" s="19">
        <v>0.4</v>
      </c>
      <c r="Q1862" s="19"/>
      <c r="R1862" s="20">
        <v>23838</v>
      </c>
      <c r="S1862" s="21" t="str">
        <f>HYPERLINK("https://sunypoly.edu/calculator.html", "$9828")</f>
        <v>$9828</v>
      </c>
      <c r="T1862" s="20">
        <v>16985</v>
      </c>
      <c r="U1862" s="20">
        <v>17232</v>
      </c>
      <c r="V1862" s="20">
        <v>3400</v>
      </c>
      <c r="W1862" s="20">
        <v>6428</v>
      </c>
      <c r="X1862" s="18" t="s">
        <v>37</v>
      </c>
      <c r="Y1862" s="19">
        <v>0.37440000000000001</v>
      </c>
      <c r="Z1862" s="19">
        <v>0.26800000000000002</v>
      </c>
      <c r="AB1862" s="18">
        <v>2052</v>
      </c>
      <c r="AC1862" s="18">
        <v>3</v>
      </c>
    </row>
    <row r="1863" spans="1:29" ht="15.75" customHeight="1" x14ac:dyDescent="0.2">
      <c r="A1863" s="36" t="str">
        <f>HYPERLINK("https://www.sunywcc.edu", "SUNY Westchester Community College")</f>
        <v>SUNY Westchester Community College</v>
      </c>
      <c r="B1863" s="18" t="s">
        <v>49</v>
      </c>
      <c r="C1863" s="18" t="s">
        <v>38</v>
      </c>
      <c r="D1863" s="18" t="s">
        <v>1665</v>
      </c>
      <c r="E1863" s="18" t="s">
        <v>36</v>
      </c>
      <c r="F1863" s="18" t="s">
        <v>36</v>
      </c>
      <c r="G1863" s="18" t="s">
        <v>51</v>
      </c>
      <c r="I1863" s="18" t="s">
        <v>1666</v>
      </c>
      <c r="J1863" s="19"/>
      <c r="K1863" s="19">
        <v>0.1716</v>
      </c>
      <c r="L1863" s="19">
        <v>7.7101449000000002E-2</v>
      </c>
      <c r="M1863" s="19">
        <v>0.2198</v>
      </c>
      <c r="N1863" s="19">
        <v>0.1197</v>
      </c>
      <c r="O1863" s="19">
        <v>0.16600000000000001</v>
      </c>
      <c r="P1863" s="19">
        <v>0.15709999999999999</v>
      </c>
      <c r="Q1863" s="19">
        <v>0.12998040499999999</v>
      </c>
      <c r="R1863" s="20">
        <v>19443</v>
      </c>
      <c r="S1863" s="21" t="str">
        <f>HYPERLINK("https://www.suny.edu/howmuch/netpricecalculator.xhtml", "$5991")</f>
        <v>$5991</v>
      </c>
      <c r="T1863" s="20">
        <v>9937</v>
      </c>
      <c r="U1863" s="20">
        <v>12229</v>
      </c>
      <c r="V1863" s="20">
        <v>5400</v>
      </c>
      <c r="W1863" s="20">
        <v>591</v>
      </c>
      <c r="Y1863" s="19">
        <v>0.36230000000000001</v>
      </c>
      <c r="Z1863" s="19">
        <v>0.71340000000000003</v>
      </c>
      <c r="AB1863" s="18">
        <v>11223</v>
      </c>
      <c r="AC1863" s="18">
        <v>6</v>
      </c>
    </row>
    <row r="1864" spans="1:29" ht="15.75" customHeight="1" x14ac:dyDescent="0.2">
      <c r="A1864" s="36" t="str">
        <f>HYPERLINK("https://www.albany.edu", "SUNY at Albany")</f>
        <v>SUNY at Albany</v>
      </c>
      <c r="B1864" s="18" t="s">
        <v>49</v>
      </c>
      <c r="C1864" s="18" t="s">
        <v>38</v>
      </c>
      <c r="D1864" s="18" t="s">
        <v>550</v>
      </c>
      <c r="E1864" s="18">
        <v>1173</v>
      </c>
      <c r="F1864" s="18" t="s">
        <v>35</v>
      </c>
      <c r="G1864" s="18" t="s">
        <v>51</v>
      </c>
      <c r="H1864" s="18" t="s">
        <v>1119</v>
      </c>
      <c r="I1864" s="18" t="s">
        <v>1120</v>
      </c>
      <c r="J1864" s="19"/>
      <c r="K1864" s="19">
        <v>0.65029999999999999</v>
      </c>
      <c r="L1864" s="19">
        <v>0.60856269100000004</v>
      </c>
      <c r="M1864" s="19">
        <v>0.64200000000000002</v>
      </c>
      <c r="N1864" s="19">
        <v>0.74180000000000001</v>
      </c>
      <c r="O1864" s="19">
        <v>0.67620000000000002</v>
      </c>
      <c r="P1864" s="19">
        <v>0.62639999999999996</v>
      </c>
      <c r="Q1864" s="19"/>
      <c r="R1864" s="20">
        <v>25682</v>
      </c>
      <c r="S1864" s="21" t="str">
        <f>HYPERLINK("https://www.albany.edu/financialaid/npc.shtml", "$12990")</f>
        <v>$12990</v>
      </c>
      <c r="T1864" s="20">
        <v>20564</v>
      </c>
      <c r="U1864" s="20">
        <v>23139</v>
      </c>
      <c r="V1864" s="20">
        <v>2728</v>
      </c>
      <c r="W1864" s="20">
        <v>10262</v>
      </c>
      <c r="Y1864" s="19">
        <v>0.4073</v>
      </c>
      <c r="Z1864" s="19">
        <v>0.54990000000000006</v>
      </c>
      <c r="AB1864" s="18">
        <v>13320</v>
      </c>
      <c r="AC1864" s="18">
        <v>4</v>
      </c>
    </row>
    <row r="1865" spans="1:29" ht="15.75" customHeight="1" x14ac:dyDescent="0.2">
      <c r="A1865" s="36" t="str">
        <f>HYPERLINK("https://www.fredonia.edu", "SUNY at Fredonia")</f>
        <v>SUNY at Fredonia</v>
      </c>
      <c r="B1865" s="18" t="s">
        <v>49</v>
      </c>
      <c r="C1865" s="18" t="s">
        <v>38</v>
      </c>
      <c r="D1865" s="18" t="s">
        <v>1121</v>
      </c>
      <c r="E1865" s="18">
        <v>1103</v>
      </c>
      <c r="F1865" s="18" t="s">
        <v>35</v>
      </c>
      <c r="G1865" s="18" t="s">
        <v>51</v>
      </c>
      <c r="H1865" s="18" t="s">
        <v>1122</v>
      </c>
      <c r="I1865" s="18" t="s">
        <v>1108</v>
      </c>
      <c r="J1865" s="19"/>
      <c r="K1865" s="19">
        <v>0.63109999999999999</v>
      </c>
      <c r="L1865" s="19">
        <v>0.57006369400000001</v>
      </c>
      <c r="M1865" s="19">
        <v>0.62809999999999999</v>
      </c>
      <c r="N1865" s="19">
        <v>0.54549999999999998</v>
      </c>
      <c r="O1865" s="19">
        <v>0.63639999999999997</v>
      </c>
      <c r="P1865" s="19">
        <v>0.8</v>
      </c>
      <c r="Q1865" s="19"/>
      <c r="R1865" s="20">
        <v>23597</v>
      </c>
      <c r="S1865" s="21" t="str">
        <f>HYPERLINK("https://www.fredonia.edu/finaid/netpricecalculator.asp", "$10474")</f>
        <v>$10474</v>
      </c>
      <c r="T1865" s="20">
        <v>17246</v>
      </c>
      <c r="U1865" s="20">
        <v>19773</v>
      </c>
      <c r="V1865" s="20">
        <v>2821</v>
      </c>
      <c r="W1865" s="20">
        <v>7653</v>
      </c>
      <c r="Y1865" s="19">
        <v>0.3881</v>
      </c>
      <c r="Z1865" s="19">
        <v>0.25929999999999997</v>
      </c>
      <c r="AB1865" s="18">
        <v>4366</v>
      </c>
      <c r="AC1865" s="18">
        <v>4</v>
      </c>
    </row>
    <row r="1866" spans="1:29" ht="15.75" customHeight="1" x14ac:dyDescent="0.2">
      <c r="A1866" s="36" t="str">
        <f>HYPERLINK("https://www.purchase.edu", "SUNY at Purchase College")</f>
        <v>SUNY at Purchase College</v>
      </c>
      <c r="B1866" s="18" t="s">
        <v>49</v>
      </c>
      <c r="C1866" s="18" t="s">
        <v>38</v>
      </c>
      <c r="D1866" s="18" t="s">
        <v>405</v>
      </c>
      <c r="E1866" s="18">
        <v>1119</v>
      </c>
      <c r="F1866" s="18" t="s">
        <v>115</v>
      </c>
      <c r="G1866" s="18" t="s">
        <v>51</v>
      </c>
      <c r="H1866" s="18" t="s">
        <v>459</v>
      </c>
      <c r="I1866" s="18" t="s">
        <v>1123</v>
      </c>
      <c r="J1866" s="19"/>
      <c r="K1866" s="19">
        <v>0.66510000000000002</v>
      </c>
      <c r="L1866" s="19">
        <v>0.60211267600000007</v>
      </c>
      <c r="M1866" s="19">
        <v>0.66200000000000003</v>
      </c>
      <c r="N1866" s="19">
        <v>0.76</v>
      </c>
      <c r="O1866" s="19">
        <v>0.624</v>
      </c>
      <c r="P1866" s="19">
        <v>0.72409999999999997</v>
      </c>
      <c r="Q1866" s="19"/>
      <c r="R1866" s="20">
        <v>26352</v>
      </c>
      <c r="S1866" s="21" t="str">
        <f>HYPERLINK("https://www.purchase.edu/offices/student-financial-services/", "$13964")</f>
        <v>$13964</v>
      </c>
      <c r="T1866" s="20">
        <v>21242</v>
      </c>
      <c r="U1866" s="20">
        <v>23488</v>
      </c>
      <c r="V1866" s="20">
        <v>4520</v>
      </c>
      <c r="W1866" s="20">
        <v>9444</v>
      </c>
      <c r="Y1866" s="19">
        <v>0.34810000000000002</v>
      </c>
      <c r="Z1866" s="19">
        <v>0.46719999999999989</v>
      </c>
      <c r="AB1866" s="18">
        <v>3968</v>
      </c>
      <c r="AC1866" s="18">
        <v>4</v>
      </c>
    </row>
    <row r="1867" spans="1:29" ht="15.75" customHeight="1" x14ac:dyDescent="0.2">
      <c r="A1867" s="36" t="str">
        <f>HYPERLINK("https://www.myunion.edu", "Sacramento Center")</f>
        <v>Sacramento Center</v>
      </c>
      <c r="B1867" s="18" t="s">
        <v>32</v>
      </c>
      <c r="C1867" s="18" t="s">
        <v>68</v>
      </c>
      <c r="D1867" s="18" t="s">
        <v>609</v>
      </c>
      <c r="E1867" s="18" t="s">
        <v>36</v>
      </c>
      <c r="F1867" s="18" t="s">
        <v>36</v>
      </c>
      <c r="J1867" s="19"/>
      <c r="K1867" s="19" t="s">
        <v>36</v>
      </c>
      <c r="L1867" s="19">
        <v>0.44725738399999998</v>
      </c>
      <c r="M1867" s="19" t="s">
        <v>36</v>
      </c>
      <c r="N1867" s="19" t="s">
        <v>36</v>
      </c>
      <c r="O1867" s="19" t="s">
        <v>36</v>
      </c>
      <c r="P1867" s="19" t="s">
        <v>36</v>
      </c>
      <c r="Q1867" s="19"/>
      <c r="R1867" s="20" t="s">
        <v>36</v>
      </c>
      <c r="S1867" s="35" t="s">
        <v>36</v>
      </c>
      <c r="T1867" s="20" t="s">
        <v>36</v>
      </c>
      <c r="U1867" s="20" t="s">
        <v>36</v>
      </c>
      <c r="V1867" s="20" t="s">
        <v>36</v>
      </c>
      <c r="W1867" s="20" t="s">
        <v>36</v>
      </c>
      <c r="Y1867" s="19" t="s">
        <v>36</v>
      </c>
      <c r="Z1867" s="19" t="s">
        <v>36</v>
      </c>
      <c r="AB1867" s="18" t="s">
        <v>36</v>
      </c>
      <c r="AC1867" s="18">
        <v>4</v>
      </c>
    </row>
    <row r="1868" spans="1:29" ht="15.75" customHeight="1" x14ac:dyDescent="0.2">
      <c r="A1868" s="36" t="str">
        <f>HYPERLINK("https://www.scc.losrios.edu/", "Sacramento City College")</f>
        <v>Sacramento City College</v>
      </c>
      <c r="B1868" s="18" t="s">
        <v>49</v>
      </c>
      <c r="C1868" s="18" t="s">
        <v>68</v>
      </c>
      <c r="D1868" s="18" t="s">
        <v>609</v>
      </c>
      <c r="E1868" s="18" t="s">
        <v>36</v>
      </c>
      <c r="F1868" s="18" t="s">
        <v>36</v>
      </c>
      <c r="J1868" s="19"/>
      <c r="K1868" s="19">
        <v>0.2445</v>
      </c>
      <c r="L1868" s="19">
        <v>4.5284587000000001E-2</v>
      </c>
      <c r="M1868" s="19">
        <v>0.34129999999999999</v>
      </c>
      <c r="N1868" s="19">
        <v>0.161</v>
      </c>
      <c r="O1868" s="19">
        <v>0.1704</v>
      </c>
      <c r="P1868" s="19">
        <v>0.31130000000000002</v>
      </c>
      <c r="Q1868" s="19">
        <v>0.122432074</v>
      </c>
      <c r="R1868" s="20">
        <v>27594</v>
      </c>
      <c r="S1868" s="21" t="str">
        <f>HYPERLINK("https://wserver.scc.losrios.edu/netprice", "$21041")</f>
        <v>$21041</v>
      </c>
      <c r="T1868" s="20">
        <v>22983</v>
      </c>
      <c r="U1868" s="20">
        <v>23926</v>
      </c>
      <c r="V1868" s="20">
        <v>6093</v>
      </c>
      <c r="W1868" s="20">
        <v>14948.347248576851</v>
      </c>
      <c r="Y1868" s="19">
        <v>0.2419</v>
      </c>
      <c r="Z1868" s="19">
        <v>0.73570000000000002</v>
      </c>
      <c r="AB1868" s="18">
        <v>19408</v>
      </c>
      <c r="AC1868" s="18">
        <v>6</v>
      </c>
    </row>
    <row r="1869" spans="1:29" ht="15.75" customHeight="1" x14ac:dyDescent="0.2">
      <c r="A1869" s="36" t="str">
        <f>HYPERLINK("https://www.sacredheart.edu", "Sacred Heart University")</f>
        <v>Sacred Heart University</v>
      </c>
      <c r="B1869" s="18" t="s">
        <v>32</v>
      </c>
      <c r="C1869" s="18" t="s">
        <v>94</v>
      </c>
      <c r="D1869" s="18" t="s">
        <v>356</v>
      </c>
      <c r="E1869" s="18" t="s">
        <v>36</v>
      </c>
      <c r="F1869" s="18" t="s">
        <v>45</v>
      </c>
      <c r="J1869" s="19"/>
      <c r="K1869" s="19">
        <v>0.72450000000000003</v>
      </c>
      <c r="L1869" s="19">
        <v>0.55172413799999998</v>
      </c>
      <c r="M1869" s="19">
        <v>0.75339999999999996</v>
      </c>
      <c r="N1869" s="19">
        <v>0.66669999999999996</v>
      </c>
      <c r="O1869" s="19">
        <v>0.74419999999999997</v>
      </c>
      <c r="P1869" s="19">
        <v>0.81820000000000004</v>
      </c>
      <c r="Q1869" s="19"/>
      <c r="R1869" s="20">
        <v>58440</v>
      </c>
      <c r="S1869" s="21" t="str">
        <f>HYPERLINK("https://www.sacredheart.edu/admissions/financialassistance/netpricecalculator", "$35081")</f>
        <v>$35081</v>
      </c>
      <c r="T1869" s="20">
        <v>38873</v>
      </c>
      <c r="U1869" s="20">
        <v>40901</v>
      </c>
      <c r="V1869" s="20">
        <v>3850</v>
      </c>
      <c r="W1869" s="20">
        <v>31231</v>
      </c>
      <c r="Y1869" s="19">
        <v>0.1671</v>
      </c>
      <c r="Z1869" s="19">
        <v>0.26440000000000002</v>
      </c>
      <c r="AB1869" s="18">
        <v>5496</v>
      </c>
      <c r="AC1869" s="18">
        <v>4</v>
      </c>
    </row>
    <row r="1870" spans="1:29" ht="15.75" customHeight="1" x14ac:dyDescent="0.2">
      <c r="A1870" s="36" t="str">
        <f>HYPERLINK("https://www.sagchip.edu", "Saginaw Chippewa Tribal College")</f>
        <v>Saginaw Chippewa Tribal College</v>
      </c>
      <c r="B1870" s="18" t="s">
        <v>49</v>
      </c>
      <c r="C1870" s="18" t="s">
        <v>226</v>
      </c>
      <c r="D1870" s="18" t="s">
        <v>639</v>
      </c>
      <c r="E1870" s="18" t="s">
        <v>36</v>
      </c>
      <c r="F1870" s="18" t="s">
        <v>36</v>
      </c>
      <c r="J1870" s="19"/>
      <c r="K1870" s="19">
        <v>0.1875</v>
      </c>
      <c r="L1870" s="19" t="s">
        <v>36</v>
      </c>
      <c r="M1870" s="19">
        <v>0</v>
      </c>
      <c r="N1870" s="19" t="s">
        <v>36</v>
      </c>
      <c r="O1870" s="19" t="s">
        <v>36</v>
      </c>
      <c r="P1870" s="19" t="s">
        <v>36</v>
      </c>
      <c r="Q1870" s="19" t="s">
        <v>36</v>
      </c>
      <c r="R1870" s="20">
        <v>12317</v>
      </c>
      <c r="S1870" s="21" t="str">
        <f>HYPERLINK("https://www.sagchip.edu", "$7292")</f>
        <v>$7292</v>
      </c>
      <c r="T1870" s="20">
        <v>7448</v>
      </c>
      <c r="U1870" s="20" t="s">
        <v>36</v>
      </c>
      <c r="V1870" s="20">
        <v>3900</v>
      </c>
      <c r="W1870" s="20">
        <v>3392.375</v>
      </c>
      <c r="Y1870" s="19">
        <v>0.50349999999999995</v>
      </c>
      <c r="Z1870" s="19">
        <v>0.86470000000000002</v>
      </c>
      <c r="AB1870" s="18">
        <v>133</v>
      </c>
      <c r="AC1870" s="18">
        <v>6</v>
      </c>
    </row>
    <row r="1871" spans="1:29" ht="15.75" customHeight="1" x14ac:dyDescent="0.2">
      <c r="A1871" s="36" t="str">
        <f>HYPERLINK("https://www.svsu.edu", "Saginaw Valley State University")</f>
        <v>Saginaw Valley State University</v>
      </c>
      <c r="B1871" s="18" t="s">
        <v>49</v>
      </c>
      <c r="C1871" s="18" t="s">
        <v>226</v>
      </c>
      <c r="D1871" s="18" t="s">
        <v>1126</v>
      </c>
      <c r="E1871" s="18">
        <v>1101</v>
      </c>
      <c r="F1871" s="18" t="s">
        <v>35</v>
      </c>
      <c r="J1871" s="19"/>
      <c r="K1871" s="19">
        <v>0.39760000000000001</v>
      </c>
      <c r="L1871" s="19">
        <v>0.36803364900000002</v>
      </c>
      <c r="M1871" s="19">
        <v>0.45689999999999997</v>
      </c>
      <c r="N1871" s="19">
        <v>0.15379999999999999</v>
      </c>
      <c r="O1871" s="19">
        <v>0.19670000000000001</v>
      </c>
      <c r="P1871" s="19">
        <v>0.5</v>
      </c>
      <c r="Q1871" s="19"/>
      <c r="R1871" s="20">
        <v>35093</v>
      </c>
      <c r="S1871" s="21" t="str">
        <f>HYPERLINK("https://webtech.svsu.edu/NetPriceCalculator/", "$27242")</f>
        <v>$27242</v>
      </c>
      <c r="T1871" s="20">
        <v>29938</v>
      </c>
      <c r="U1871" s="20">
        <v>31341</v>
      </c>
      <c r="V1871" s="20">
        <v>2565</v>
      </c>
      <c r="W1871" s="20">
        <v>24677.03661971831</v>
      </c>
      <c r="Y1871" s="19">
        <v>0.3478</v>
      </c>
      <c r="Z1871" s="19">
        <v>0.27260000000000001</v>
      </c>
      <c r="AB1871" s="18">
        <v>7498</v>
      </c>
      <c r="AC1871" s="18">
        <v>4</v>
      </c>
    </row>
    <row r="1872" spans="1:29" ht="15.75" customHeight="1" x14ac:dyDescent="0.2">
      <c r="A1872" s="36" t="str">
        <f>HYPERLINK("https://www.sau.edu", "Saint Ambrose University")</f>
        <v>Saint Ambrose University</v>
      </c>
      <c r="B1872" s="18" t="s">
        <v>32</v>
      </c>
      <c r="C1872" s="18" t="s">
        <v>211</v>
      </c>
      <c r="D1872" s="18" t="s">
        <v>818</v>
      </c>
      <c r="E1872" s="18">
        <v>1165</v>
      </c>
      <c r="F1872" s="18" t="s">
        <v>35</v>
      </c>
      <c r="J1872" s="19"/>
      <c r="K1872" s="19">
        <v>0.63249999999999995</v>
      </c>
      <c r="L1872" s="19">
        <v>0.54838709699999999</v>
      </c>
      <c r="M1872" s="19">
        <v>0.66449999999999998</v>
      </c>
      <c r="N1872" s="19">
        <v>0.25</v>
      </c>
      <c r="O1872" s="19">
        <v>0.4516</v>
      </c>
      <c r="P1872" s="19">
        <v>0.75</v>
      </c>
      <c r="Q1872" s="19"/>
      <c r="R1872" s="20">
        <v>44838</v>
      </c>
      <c r="S1872" s="21" t="str">
        <f>HYPERLINK("https://www.sau.edu/cost-and-aid/net-price-calculator", "$20611")</f>
        <v>$20611</v>
      </c>
      <c r="T1872" s="20">
        <v>23676</v>
      </c>
      <c r="U1872" s="20">
        <v>24618</v>
      </c>
      <c r="V1872" s="20">
        <v>4658</v>
      </c>
      <c r="W1872" s="20">
        <v>15953</v>
      </c>
      <c r="Y1872" s="19">
        <v>0.26329999999999998</v>
      </c>
      <c r="Z1872" s="19">
        <v>0.25449999999999989</v>
      </c>
      <c r="AB1872" s="18">
        <v>2354</v>
      </c>
      <c r="AC1872" s="18">
        <v>4</v>
      </c>
    </row>
    <row r="1873" spans="1:29" ht="15.75" customHeight="1" x14ac:dyDescent="0.2">
      <c r="A1873" s="36" t="str">
        <f>HYPERLINK("https://www.anselm.edu", "Saint Anselm College")</f>
        <v>Saint Anselm College</v>
      </c>
      <c r="B1873" s="18" t="s">
        <v>32</v>
      </c>
      <c r="C1873" s="18" t="s">
        <v>101</v>
      </c>
      <c r="D1873" s="18" t="s">
        <v>466</v>
      </c>
      <c r="E1873" s="18">
        <v>1227</v>
      </c>
      <c r="F1873" s="18" t="s">
        <v>115</v>
      </c>
      <c r="J1873" s="19"/>
      <c r="K1873" s="19">
        <v>0.79930000000000001</v>
      </c>
      <c r="L1873" s="19">
        <v>0.51785714299999996</v>
      </c>
      <c r="M1873" s="19">
        <v>0.82389999999999997</v>
      </c>
      <c r="N1873" s="19">
        <v>0.33329999999999999</v>
      </c>
      <c r="O1873" s="19">
        <v>0.75</v>
      </c>
      <c r="P1873" s="19">
        <v>0.25</v>
      </c>
      <c r="Q1873" s="19"/>
      <c r="R1873" s="20">
        <v>56846</v>
      </c>
      <c r="S1873" s="21" t="str">
        <f>HYPERLINK("https://anselm.studentaidcalculator.com/survey.aspx", "$20538")</f>
        <v>$20538</v>
      </c>
      <c r="T1873" s="20">
        <v>23678</v>
      </c>
      <c r="U1873" s="20">
        <v>29163</v>
      </c>
      <c r="V1873" s="20">
        <v>2500</v>
      </c>
      <c r="W1873" s="20">
        <v>18038</v>
      </c>
      <c r="Y1873" s="19">
        <v>0.13420000000000001</v>
      </c>
      <c r="Z1873" s="19">
        <v>0.1191</v>
      </c>
      <c r="AB1873" s="18">
        <v>1956</v>
      </c>
      <c r="AC1873" s="18">
        <v>3</v>
      </c>
    </row>
    <row r="1874" spans="1:29" ht="15.75" customHeight="1" x14ac:dyDescent="0.2">
      <c r="A1874" s="36" t="str">
        <f>HYPERLINK("https://www.staugustine.edu", "Saint Augustine College")</f>
        <v>Saint Augustine College</v>
      </c>
      <c r="B1874" s="18" t="s">
        <v>32</v>
      </c>
      <c r="C1874" s="18" t="s">
        <v>137</v>
      </c>
      <c r="D1874" s="18" t="s">
        <v>161</v>
      </c>
      <c r="E1874" s="18" t="s">
        <v>36</v>
      </c>
      <c r="F1874" s="18" t="s">
        <v>36</v>
      </c>
      <c r="J1874" s="19"/>
      <c r="K1874" s="19">
        <v>0.39360000000000001</v>
      </c>
      <c r="L1874" s="19">
        <v>0.169197397</v>
      </c>
      <c r="M1874" s="19">
        <v>0</v>
      </c>
      <c r="N1874" s="19">
        <v>0.4</v>
      </c>
      <c r="O1874" s="19">
        <v>0.43940000000000001</v>
      </c>
      <c r="P1874" s="19">
        <v>0.33329999999999999</v>
      </c>
      <c r="Q1874" s="19">
        <v>2.1276595999999998E-2</v>
      </c>
      <c r="R1874" s="20">
        <v>23900</v>
      </c>
      <c r="S1874" s="21" t="str">
        <f>HYPERLINK("https://www.staugustine.edu/index.php?src=gendocs&amp;ref=Financial_Aid_Calculator&amp;category=SAC_English", "$7842")</f>
        <v>$7842</v>
      </c>
      <c r="T1874" s="20">
        <v>8095</v>
      </c>
      <c r="U1874" s="20" t="s">
        <v>36</v>
      </c>
      <c r="V1874" s="20">
        <v>2200</v>
      </c>
      <c r="W1874" s="20">
        <v>5642</v>
      </c>
      <c r="Y1874" s="19">
        <v>0.74980000000000002</v>
      </c>
      <c r="Z1874" s="19">
        <v>0.99350000000000005</v>
      </c>
      <c r="AB1874" s="18">
        <v>1232</v>
      </c>
      <c r="AC1874" s="18">
        <v>6</v>
      </c>
    </row>
    <row r="1875" spans="1:29" ht="15.75" customHeight="1" x14ac:dyDescent="0.2">
      <c r="A1875" s="36" t="str">
        <f>HYPERLINK("https://www.st-aug.edu", "Saint Augustine's University")</f>
        <v>Saint Augustine's University</v>
      </c>
      <c r="B1875" s="18" t="s">
        <v>32</v>
      </c>
      <c r="C1875" s="18" t="s">
        <v>103</v>
      </c>
      <c r="D1875" s="18" t="s">
        <v>236</v>
      </c>
      <c r="E1875" s="18">
        <v>834</v>
      </c>
      <c r="F1875" s="18" t="s">
        <v>35</v>
      </c>
      <c r="J1875" s="19"/>
      <c r="K1875" s="19">
        <v>0.30549999999999999</v>
      </c>
      <c r="L1875" s="19">
        <v>0.236842105</v>
      </c>
      <c r="M1875" s="19" t="s">
        <v>36</v>
      </c>
      <c r="N1875" s="19">
        <v>0.2984</v>
      </c>
      <c r="O1875" s="19">
        <v>0</v>
      </c>
      <c r="P1875" s="19" t="s">
        <v>36</v>
      </c>
      <c r="Q1875" s="19"/>
      <c r="R1875" s="20">
        <v>32416</v>
      </c>
      <c r="S1875" s="21" t="str">
        <f>HYPERLINK("https://admissions.st-aug.edu/npcalc.htm", "$26120")</f>
        <v>$26120</v>
      </c>
      <c r="T1875" s="20">
        <v>28123</v>
      </c>
      <c r="U1875" s="20">
        <v>30286</v>
      </c>
      <c r="V1875" s="20">
        <v>6280</v>
      </c>
      <c r="W1875" s="20">
        <v>19840</v>
      </c>
      <c r="Y1875" s="19">
        <v>0.82310000000000005</v>
      </c>
      <c r="Z1875" s="19">
        <v>0.97950000000000004</v>
      </c>
      <c r="AB1875" s="18">
        <v>974</v>
      </c>
      <c r="AC1875" s="18">
        <v>4</v>
      </c>
    </row>
    <row r="1876" spans="1:29" ht="15.75" customHeight="1" x14ac:dyDescent="0.2">
      <c r="A1876" s="36" t="str">
        <f>HYPERLINK("https://www.stcloudstate.edu", "Saint Cloud State University")</f>
        <v>Saint Cloud State University</v>
      </c>
      <c r="B1876" s="18" t="s">
        <v>49</v>
      </c>
      <c r="C1876" s="18" t="s">
        <v>72</v>
      </c>
      <c r="D1876" s="18" t="s">
        <v>1129</v>
      </c>
      <c r="E1876" s="18">
        <v>1065</v>
      </c>
      <c r="F1876" s="18" t="s">
        <v>35</v>
      </c>
      <c r="J1876" s="19"/>
      <c r="K1876" s="19">
        <v>0.44340000000000002</v>
      </c>
      <c r="L1876" s="19">
        <v>0.34333958700000011</v>
      </c>
      <c r="M1876" s="19">
        <v>0.46889999999999998</v>
      </c>
      <c r="N1876" s="19">
        <v>0.19589999999999999</v>
      </c>
      <c r="O1876" s="19">
        <v>0.2727</v>
      </c>
      <c r="P1876" s="19">
        <v>0.42449999999999999</v>
      </c>
      <c r="Q1876" s="19"/>
      <c r="R1876" s="20">
        <v>28920</v>
      </c>
      <c r="S1876" s="21" t="str">
        <f>HYPERLINK("https://www.minnstate.edu/admissions/calculator/stcloudstate.html", "$21112")</f>
        <v>$21112</v>
      </c>
      <c r="T1876" s="20">
        <v>23565</v>
      </c>
      <c r="U1876" s="20">
        <v>27210</v>
      </c>
      <c r="V1876" s="20">
        <v>3900</v>
      </c>
      <c r="W1876" s="20">
        <v>17212.659033078879</v>
      </c>
      <c r="Y1876" s="19">
        <v>0.2737</v>
      </c>
      <c r="Z1876" s="19">
        <v>0.33239999999999997</v>
      </c>
      <c r="AB1876" s="18">
        <v>9676</v>
      </c>
      <c r="AC1876" s="18">
        <v>4</v>
      </c>
    </row>
    <row r="1877" spans="1:29" ht="15.75" customHeight="1" x14ac:dyDescent="0.2">
      <c r="A1877" s="36" t="str">
        <f>HYPERLINK("https://www.stedwards.edu", "Saint Edward's University")</f>
        <v>Saint Edward's University</v>
      </c>
      <c r="B1877" s="18" t="s">
        <v>32</v>
      </c>
      <c r="C1877" s="18" t="s">
        <v>146</v>
      </c>
      <c r="D1877" s="18" t="s">
        <v>264</v>
      </c>
      <c r="E1877" s="18">
        <v>1186</v>
      </c>
      <c r="F1877" s="18" t="s">
        <v>35</v>
      </c>
      <c r="J1877" s="19"/>
      <c r="K1877" s="19">
        <v>0.63590000000000002</v>
      </c>
      <c r="L1877" s="19">
        <v>0.59171597600000003</v>
      </c>
      <c r="M1877" s="19">
        <v>0.65680000000000005</v>
      </c>
      <c r="N1877" s="19">
        <v>0.5806</v>
      </c>
      <c r="O1877" s="19">
        <v>0.6159</v>
      </c>
      <c r="P1877" s="19">
        <v>0.57889999999999997</v>
      </c>
      <c r="Q1877" s="19"/>
      <c r="R1877" s="20">
        <v>58700</v>
      </c>
      <c r="S1877" s="21" t="str">
        <f>HYPERLINK("https://www.stedwards.edu/admission-financial-aid/undergraduate/new-freshmen/financial-aid", "$16878")</f>
        <v>$16878</v>
      </c>
      <c r="T1877" s="20">
        <v>20611</v>
      </c>
      <c r="U1877" s="20">
        <v>26495</v>
      </c>
      <c r="V1877" s="20">
        <v>3500</v>
      </c>
      <c r="W1877" s="20">
        <v>13378</v>
      </c>
      <c r="Y1877" s="19">
        <v>0.35499999999999998</v>
      </c>
      <c r="Z1877" s="19">
        <v>0.63769999999999993</v>
      </c>
      <c r="AB1877" s="18">
        <v>3930</v>
      </c>
      <c r="AC1877" s="18">
        <v>3</v>
      </c>
    </row>
    <row r="1878" spans="1:29" ht="15.75" customHeight="1" x14ac:dyDescent="0.2">
      <c r="A1878" s="36" t="str">
        <f>HYPERLINK("https://www.secon.edu", "Saint Elizabeth College of Nursing")</f>
        <v>Saint Elizabeth College of Nursing</v>
      </c>
      <c r="B1878" s="18" t="s">
        <v>32</v>
      </c>
      <c r="C1878" s="18" t="s">
        <v>38</v>
      </c>
      <c r="D1878" s="18" t="s">
        <v>463</v>
      </c>
      <c r="E1878" s="18" t="s">
        <v>36</v>
      </c>
      <c r="F1878" s="18" t="s">
        <v>90</v>
      </c>
      <c r="J1878" s="19"/>
      <c r="K1878" s="19">
        <v>0.77780000000000005</v>
      </c>
      <c r="L1878" s="19">
        <v>0.70833333300000001</v>
      </c>
      <c r="M1878" s="19">
        <v>0.77780000000000005</v>
      </c>
      <c r="N1878" s="19" t="s">
        <v>36</v>
      </c>
      <c r="O1878" s="19" t="s">
        <v>36</v>
      </c>
      <c r="P1878" s="19" t="s">
        <v>36</v>
      </c>
      <c r="Q1878" s="19" t="s">
        <v>36</v>
      </c>
      <c r="R1878" s="20">
        <v>25600</v>
      </c>
      <c r="S1878" s="21" t="str">
        <f>HYPERLINK("https://www.secon.edu", "Not reported")</f>
        <v>Not reported</v>
      </c>
      <c r="T1878" s="20" t="s">
        <v>36</v>
      </c>
      <c r="U1878" s="20" t="s">
        <v>36</v>
      </c>
      <c r="V1878" s="20">
        <v>4300</v>
      </c>
      <c r="W1878" s="20" t="s">
        <v>36</v>
      </c>
      <c r="Y1878" s="19">
        <v>0.4592</v>
      </c>
      <c r="Z1878" s="19">
        <v>0.1188</v>
      </c>
      <c r="AB1878" s="18">
        <v>202</v>
      </c>
      <c r="AC1878" s="18">
        <v>6</v>
      </c>
    </row>
    <row r="1879" spans="1:29" ht="15.75" customHeight="1" x14ac:dyDescent="0.2">
      <c r="A1879" s="36" t="str">
        <f>HYPERLINK("https://www.francis.edu", "Saint Francis University")</f>
        <v>Saint Francis University</v>
      </c>
      <c r="B1879" s="18" t="s">
        <v>32</v>
      </c>
      <c r="C1879" s="18" t="s">
        <v>65</v>
      </c>
      <c r="D1879" s="18" t="s">
        <v>829</v>
      </c>
      <c r="E1879" s="18">
        <v>1147</v>
      </c>
      <c r="F1879" s="18" t="s">
        <v>35</v>
      </c>
      <c r="J1879" s="19"/>
      <c r="K1879" s="19">
        <v>0.63570000000000004</v>
      </c>
      <c r="L1879" s="19">
        <v>0.45161290300000001</v>
      </c>
      <c r="M1879" s="19">
        <v>0.68169999999999997</v>
      </c>
      <c r="N1879" s="19">
        <v>0.3654</v>
      </c>
      <c r="O1879" s="19">
        <v>0.625</v>
      </c>
      <c r="P1879" s="19">
        <v>1</v>
      </c>
      <c r="Q1879" s="19"/>
      <c r="R1879" s="20">
        <v>51994</v>
      </c>
      <c r="S1879" s="21" t="str">
        <f>HYPERLINK("https://www.francis.edu/tuition-calculator", "$20795")</f>
        <v>$20795</v>
      </c>
      <c r="T1879" s="20">
        <v>23137</v>
      </c>
      <c r="U1879" s="20">
        <v>27164</v>
      </c>
      <c r="V1879" s="20">
        <v>5000</v>
      </c>
      <c r="W1879" s="20">
        <v>15795</v>
      </c>
      <c r="Y1879" s="19">
        <v>0.1953</v>
      </c>
      <c r="Z1879" s="19">
        <v>0.1729999999999999</v>
      </c>
      <c r="AB1879" s="18">
        <v>1676</v>
      </c>
      <c r="AC1879" s="18">
        <v>5</v>
      </c>
    </row>
    <row r="1880" spans="1:29" ht="15.75" customHeight="1" x14ac:dyDescent="0.2">
      <c r="A1880" s="36" t="str">
        <f>HYPERLINK("https://www.sjfc.edu", "Saint John Fisher College")</f>
        <v>Saint John Fisher College</v>
      </c>
      <c r="B1880" s="18" t="s">
        <v>32</v>
      </c>
      <c r="C1880" s="18" t="s">
        <v>38</v>
      </c>
      <c r="D1880" s="18" t="s">
        <v>170</v>
      </c>
      <c r="E1880" s="18">
        <v>1158</v>
      </c>
      <c r="F1880" s="18" t="s">
        <v>35</v>
      </c>
      <c r="G1880" s="18" t="s">
        <v>40</v>
      </c>
      <c r="H1880" s="18" t="s">
        <v>1130</v>
      </c>
      <c r="I1880" s="18" t="s">
        <v>456</v>
      </c>
      <c r="J1880" s="19"/>
      <c r="K1880" s="19">
        <v>0.7409</v>
      </c>
      <c r="L1880" s="19">
        <v>0.63902439</v>
      </c>
      <c r="M1880" s="19">
        <v>0.75839999999999996</v>
      </c>
      <c r="N1880" s="19">
        <v>0.64290000000000003</v>
      </c>
      <c r="O1880" s="19">
        <v>0.76919999999999999</v>
      </c>
      <c r="P1880" s="19">
        <v>0.66669999999999996</v>
      </c>
      <c r="Q1880" s="19"/>
      <c r="R1880" s="20">
        <v>47770</v>
      </c>
      <c r="S1880" s="21" t="str">
        <f>HYPERLINK("https://sjfc.studentaidcalculator.com/survey.aspx", "$18256")</f>
        <v>$18256</v>
      </c>
      <c r="T1880" s="20">
        <v>26574</v>
      </c>
      <c r="U1880" s="20">
        <v>28500</v>
      </c>
      <c r="V1880" s="20">
        <v>2500</v>
      </c>
      <c r="W1880" s="20">
        <v>15756</v>
      </c>
      <c r="Y1880" s="19">
        <v>0.29310000000000003</v>
      </c>
      <c r="Z1880" s="19">
        <v>0.16009999999999999</v>
      </c>
      <c r="AB1880" s="18">
        <v>2724</v>
      </c>
      <c r="AC1880" s="18">
        <v>4</v>
      </c>
    </row>
    <row r="1881" spans="1:29" ht="15.75" customHeight="1" x14ac:dyDescent="0.2">
      <c r="A1881" s="36" t="str">
        <f>HYPERLINK("https://www.sjrstate.edu", "Saint Johns River State College")</f>
        <v>Saint Johns River State College</v>
      </c>
      <c r="B1881" s="18" t="s">
        <v>49</v>
      </c>
      <c r="C1881" s="18" t="s">
        <v>162</v>
      </c>
      <c r="D1881" s="18" t="s">
        <v>1667</v>
      </c>
      <c r="E1881" s="18" t="s">
        <v>36</v>
      </c>
      <c r="F1881" s="18" t="s">
        <v>36</v>
      </c>
      <c r="J1881" s="19"/>
      <c r="K1881" s="19">
        <v>0.34789999999999999</v>
      </c>
      <c r="L1881" s="19">
        <v>0.182207015</v>
      </c>
      <c r="M1881" s="19">
        <v>0.36749999999999999</v>
      </c>
      <c r="N1881" s="19">
        <v>0.13250000000000001</v>
      </c>
      <c r="O1881" s="19">
        <v>0.44290000000000002</v>
      </c>
      <c r="P1881" s="19">
        <v>0.66669999999999996</v>
      </c>
      <c r="Q1881" s="19">
        <v>0.11410118399999999</v>
      </c>
      <c r="R1881" s="20">
        <v>24070</v>
      </c>
      <c r="S1881" s="21" t="str">
        <f>HYPERLINK("https://www.sjrstate.edu/netprice.html", "$18575")</f>
        <v>$18575</v>
      </c>
      <c r="T1881" s="20" t="s">
        <v>36</v>
      </c>
      <c r="U1881" s="20" t="s">
        <v>36</v>
      </c>
      <c r="V1881" s="20">
        <v>5455</v>
      </c>
      <c r="W1881" s="20">
        <v>13120.90877192983</v>
      </c>
      <c r="Y1881" s="19">
        <v>0.29880000000000001</v>
      </c>
      <c r="Z1881" s="19">
        <v>0.31740000000000002</v>
      </c>
      <c r="AB1881" s="18">
        <v>4777</v>
      </c>
      <c r="AC1881" s="18">
        <v>6</v>
      </c>
    </row>
    <row r="1882" spans="1:29" ht="15.75" customHeight="1" x14ac:dyDescent="0.2">
      <c r="A1882" s="36" t="str">
        <f>HYPERLINK("https://www.csbsju.edu", "Saint Johns University")</f>
        <v>Saint Johns University</v>
      </c>
      <c r="B1882" s="18" t="s">
        <v>32</v>
      </c>
      <c r="C1882" s="18" t="s">
        <v>72</v>
      </c>
      <c r="D1882" s="18" t="s">
        <v>529</v>
      </c>
      <c r="E1882" s="18">
        <v>1187</v>
      </c>
      <c r="F1882" s="18" t="s">
        <v>35</v>
      </c>
      <c r="J1882" s="19"/>
      <c r="K1882" s="19">
        <v>0.7389</v>
      </c>
      <c r="L1882" s="19">
        <v>0.61363636399999999</v>
      </c>
      <c r="M1882" s="19">
        <v>0.76529999999999998</v>
      </c>
      <c r="N1882" s="19">
        <v>0.5</v>
      </c>
      <c r="O1882" s="19">
        <v>0.5625</v>
      </c>
      <c r="P1882" s="19">
        <v>0.77780000000000005</v>
      </c>
      <c r="Q1882" s="19"/>
      <c r="R1882" s="20">
        <v>55872</v>
      </c>
      <c r="S1882" s="21" t="str">
        <f>HYPERLINK("https://csbsju.studentaidcalculator.com/survey.aspx", "$15226")</f>
        <v>$15226</v>
      </c>
      <c r="T1882" s="20">
        <v>19767</v>
      </c>
      <c r="U1882" s="20">
        <v>24213</v>
      </c>
      <c r="V1882" s="20">
        <v>2400</v>
      </c>
      <c r="W1882" s="20">
        <v>12826</v>
      </c>
      <c r="Y1882" s="19">
        <v>0.2024</v>
      </c>
      <c r="Z1882" s="19">
        <v>0.21629999999999999</v>
      </c>
      <c r="AB1882" s="18">
        <v>1720</v>
      </c>
      <c r="AC1882" s="18">
        <v>4</v>
      </c>
    </row>
    <row r="1883" spans="1:29" ht="15.75" customHeight="1" x14ac:dyDescent="0.2">
      <c r="A1883" s="36" t="str">
        <f>HYPERLINK("https://www.sjcme.edu", "Saint Joseph's College of Maine")</f>
        <v>Saint Joseph's College of Maine</v>
      </c>
      <c r="B1883" s="18" t="s">
        <v>32</v>
      </c>
      <c r="C1883" s="18" t="s">
        <v>43</v>
      </c>
      <c r="D1883" s="18" t="s">
        <v>1133</v>
      </c>
      <c r="E1883" s="18" t="s">
        <v>36</v>
      </c>
      <c r="F1883" s="18" t="s">
        <v>90</v>
      </c>
      <c r="J1883" s="19"/>
      <c r="K1883" s="19">
        <v>0.59219999999999995</v>
      </c>
      <c r="L1883" s="19">
        <v>0.43956044</v>
      </c>
      <c r="M1883" s="19">
        <v>0.59260000000000002</v>
      </c>
      <c r="N1883" s="19">
        <v>0.66669999999999996</v>
      </c>
      <c r="O1883" s="19">
        <v>0.42859999999999998</v>
      </c>
      <c r="P1883" s="19">
        <v>0.25</v>
      </c>
      <c r="Q1883" s="19"/>
      <c r="R1883" s="20">
        <v>50790</v>
      </c>
      <c r="S1883" s="21" t="str">
        <f>HYPERLINK("https://npc.collegeboard.org/student/app/sjcme", "$21183")</f>
        <v>$21183</v>
      </c>
      <c r="T1883" s="20">
        <v>24546</v>
      </c>
      <c r="U1883" s="20">
        <v>26479</v>
      </c>
      <c r="V1883" s="20">
        <v>2900</v>
      </c>
      <c r="W1883" s="20">
        <v>18283</v>
      </c>
      <c r="Y1883" s="19">
        <v>0.23469999999999999</v>
      </c>
      <c r="Z1883" s="19">
        <v>0.37080000000000002</v>
      </c>
      <c r="AB1883" s="18">
        <v>1494</v>
      </c>
      <c r="AC1883" s="18">
        <v>4</v>
      </c>
    </row>
    <row r="1884" spans="1:29" ht="15.75" customHeight="1" x14ac:dyDescent="0.2">
      <c r="A1884" s="36" t="str">
        <f>HYPERLINK("https://www.sju.edu", "Saint Joseph's University")</f>
        <v>Saint Joseph's University</v>
      </c>
      <c r="B1884" s="18" t="s">
        <v>32</v>
      </c>
      <c r="C1884" s="18" t="s">
        <v>65</v>
      </c>
      <c r="D1884" s="18" t="s">
        <v>168</v>
      </c>
      <c r="E1884" s="18">
        <v>1209</v>
      </c>
      <c r="F1884" s="18" t="s">
        <v>115</v>
      </c>
      <c r="J1884" s="19"/>
      <c r="K1884" s="19">
        <v>0.8196</v>
      </c>
      <c r="L1884" s="19">
        <v>0.56209150299999999</v>
      </c>
      <c r="M1884" s="19">
        <v>0.83209999999999995</v>
      </c>
      <c r="N1884" s="19">
        <v>0.55559999999999998</v>
      </c>
      <c r="O1884" s="19">
        <v>0.78129999999999999</v>
      </c>
      <c r="P1884" s="19">
        <v>0.75760000000000005</v>
      </c>
      <c r="Q1884" s="19"/>
      <c r="R1884" s="20">
        <v>60854</v>
      </c>
      <c r="S1884" s="21" t="str">
        <f>HYPERLINK("https://www.collegecostcalculator.org/sju", "$25818")</f>
        <v>$25818</v>
      </c>
      <c r="T1884" s="20">
        <v>28710</v>
      </c>
      <c r="U1884" s="20">
        <v>32026</v>
      </c>
      <c r="V1884" s="20">
        <v>2134</v>
      </c>
      <c r="W1884" s="20">
        <v>23684</v>
      </c>
      <c r="Y1884" s="19">
        <v>0.12479999999999999</v>
      </c>
      <c r="Z1884" s="19">
        <v>0.21809999999999999</v>
      </c>
      <c r="AB1884" s="18">
        <v>5040</v>
      </c>
      <c r="AC1884" s="18">
        <v>3</v>
      </c>
    </row>
    <row r="1885" spans="1:29" ht="15.75" customHeight="1" x14ac:dyDescent="0.2">
      <c r="A1885" s="36" t="str">
        <f>HYPERLINK("https://www.saintleo.edu", "Saint Leo University")</f>
        <v>Saint Leo University</v>
      </c>
      <c r="B1885" s="18" t="s">
        <v>32</v>
      </c>
      <c r="C1885" s="18" t="s">
        <v>162</v>
      </c>
      <c r="D1885" s="18" t="s">
        <v>1135</v>
      </c>
      <c r="E1885" s="18">
        <v>1056</v>
      </c>
      <c r="F1885" s="18" t="s">
        <v>115</v>
      </c>
      <c r="J1885" s="19"/>
      <c r="K1885" s="19">
        <v>0.4798</v>
      </c>
      <c r="L1885" s="19">
        <v>0.31104076000000003</v>
      </c>
      <c r="M1885" s="19">
        <v>0.4783</v>
      </c>
      <c r="N1885" s="19">
        <v>0.43940000000000001</v>
      </c>
      <c r="O1885" s="19">
        <v>0.40510000000000002</v>
      </c>
      <c r="P1885" s="19">
        <v>0.57140000000000002</v>
      </c>
      <c r="Q1885" s="19"/>
      <c r="R1885" s="20">
        <v>38492</v>
      </c>
      <c r="S1885" s="21" t="str">
        <f>HYPERLINK("https://www.saintleo.edu/net-price-calculator", "$16117")</f>
        <v>$16117</v>
      </c>
      <c r="T1885" s="20">
        <v>17704</v>
      </c>
      <c r="U1885" s="20">
        <v>20705</v>
      </c>
      <c r="V1885" s="20">
        <v>3972</v>
      </c>
      <c r="W1885" s="20">
        <v>12145</v>
      </c>
      <c r="Y1885" s="19">
        <v>0.41799999999999998</v>
      </c>
      <c r="Z1885" s="19">
        <v>0.65749999999999997</v>
      </c>
      <c r="AB1885" s="18">
        <v>9404</v>
      </c>
      <c r="AC1885" s="18">
        <v>4</v>
      </c>
    </row>
    <row r="1886" spans="1:29" ht="15.75" customHeight="1" x14ac:dyDescent="0.2">
      <c r="A1886" s="36" t="str">
        <f>HYPERLINK("https://www.stlcc.edu", "Saint Louis Community College")</f>
        <v>Saint Louis Community College</v>
      </c>
      <c r="B1886" s="18" t="s">
        <v>49</v>
      </c>
      <c r="C1886" s="18" t="s">
        <v>164</v>
      </c>
      <c r="D1886" s="18" t="s">
        <v>1668</v>
      </c>
      <c r="E1886" s="18" t="s">
        <v>36</v>
      </c>
      <c r="F1886" s="18" t="s">
        <v>36</v>
      </c>
      <c r="J1886" s="19"/>
      <c r="K1886" s="19">
        <v>0.1236</v>
      </c>
      <c r="L1886" s="19">
        <v>9.9786064000000008E-2</v>
      </c>
      <c r="M1886" s="19">
        <v>0.18310000000000001</v>
      </c>
      <c r="N1886" s="19">
        <v>3.39E-2</v>
      </c>
      <c r="O1886" s="19">
        <v>8.2199999999999995E-2</v>
      </c>
      <c r="P1886" s="19">
        <v>0.1724</v>
      </c>
      <c r="Q1886" s="19">
        <v>0.109300431</v>
      </c>
      <c r="R1886" s="20">
        <v>16435</v>
      </c>
      <c r="S1886" s="21" t="str">
        <f>HYPERLINK("https://applications.stlcc.edu/netprice/npcalc.htm", "$11330")</f>
        <v>$11330</v>
      </c>
      <c r="T1886" s="20">
        <v>13856</v>
      </c>
      <c r="U1886" s="20">
        <v>14718</v>
      </c>
      <c r="V1886" s="20">
        <v>4600</v>
      </c>
      <c r="W1886" s="20">
        <v>6730.0472361809043</v>
      </c>
      <c r="Y1886" s="19">
        <v>0.35339999999999999</v>
      </c>
      <c r="Z1886" s="19">
        <v>0.48199999999999998</v>
      </c>
      <c r="AB1886" s="18">
        <v>16785</v>
      </c>
      <c r="AC1886" s="18">
        <v>6</v>
      </c>
    </row>
    <row r="1887" spans="1:29" ht="15.75" customHeight="1" x14ac:dyDescent="0.2">
      <c r="A1887" s="36" t="str">
        <f>HYPERLINK("https://www.slu.edu", "Saint Louis University")</f>
        <v>Saint Louis University</v>
      </c>
      <c r="B1887" s="18" t="s">
        <v>32</v>
      </c>
      <c r="C1887" s="18" t="s">
        <v>164</v>
      </c>
      <c r="D1887" s="18" t="s">
        <v>179</v>
      </c>
      <c r="E1887" s="18">
        <v>1319</v>
      </c>
      <c r="F1887" s="18" t="s">
        <v>35</v>
      </c>
      <c r="J1887" s="19"/>
      <c r="K1887" s="19">
        <v>0.77329999999999999</v>
      </c>
      <c r="L1887" s="19">
        <v>0.43969849300000002</v>
      </c>
      <c r="M1887" s="19">
        <v>0.79590000000000005</v>
      </c>
      <c r="N1887" s="19">
        <v>0.58140000000000003</v>
      </c>
      <c r="O1887" s="19">
        <v>0.69840000000000002</v>
      </c>
      <c r="P1887" s="19">
        <v>0.84709999999999996</v>
      </c>
      <c r="Q1887" s="19"/>
      <c r="R1887" s="20">
        <v>57214</v>
      </c>
      <c r="S1887" s="21" t="str">
        <f>HYPERLINK("https://www.slu.edu/financial-aid/tuition-and-costs/calculator.php", "$18924")</f>
        <v>$18924</v>
      </c>
      <c r="T1887" s="20">
        <v>23180</v>
      </c>
      <c r="U1887" s="20">
        <v>27305</v>
      </c>
      <c r="V1887" s="20">
        <v>4052</v>
      </c>
      <c r="W1887" s="20">
        <v>14872</v>
      </c>
      <c r="Y1887" s="19">
        <v>0.12189999999999999</v>
      </c>
      <c r="Z1887" s="19">
        <v>0.30630000000000002</v>
      </c>
      <c r="AB1887" s="18">
        <v>7209</v>
      </c>
      <c r="AC1887" s="18">
        <v>3</v>
      </c>
    </row>
    <row r="1888" spans="1:29" ht="15.75" customHeight="1" x14ac:dyDescent="0.2">
      <c r="A1888" s="36" t="str">
        <f>HYPERLINK("https://www.stmartin.edu", "Saint Martin's University")</f>
        <v>Saint Martin's University</v>
      </c>
      <c r="B1888" s="18" t="s">
        <v>32</v>
      </c>
      <c r="C1888" s="18" t="s">
        <v>184</v>
      </c>
      <c r="D1888" s="18" t="s">
        <v>1137</v>
      </c>
      <c r="E1888" s="18">
        <v>1081</v>
      </c>
      <c r="F1888" s="18" t="s">
        <v>35</v>
      </c>
      <c r="J1888" s="19"/>
      <c r="K1888" s="19">
        <v>0.59130000000000005</v>
      </c>
      <c r="L1888" s="19">
        <v>0.46153846199999998</v>
      </c>
      <c r="M1888" s="19">
        <v>0.67420000000000002</v>
      </c>
      <c r="N1888" s="19">
        <v>0.25</v>
      </c>
      <c r="O1888" s="19">
        <v>0.58330000000000004</v>
      </c>
      <c r="P1888" s="19">
        <v>0.69230000000000003</v>
      </c>
      <c r="Q1888" s="19"/>
      <c r="R1888" s="20">
        <v>50686</v>
      </c>
      <c r="S1888" s="21" t="str">
        <f>HYPERLINK("https://www.stmartin.edu/sites/default/files/smu-files/student-financial-services/net-price-calculator.html", "$17384")</f>
        <v>$17384</v>
      </c>
      <c r="T1888" s="20">
        <v>19685</v>
      </c>
      <c r="U1888" s="20">
        <v>24567</v>
      </c>
      <c r="V1888" s="20">
        <v>4000</v>
      </c>
      <c r="W1888" s="20">
        <v>13384</v>
      </c>
      <c r="Y1888" s="19">
        <v>0.3604</v>
      </c>
      <c r="Z1888" s="19">
        <v>0.51150000000000007</v>
      </c>
      <c r="AB1888" s="18">
        <v>1259</v>
      </c>
      <c r="AC1888" s="18">
        <v>4</v>
      </c>
    </row>
    <row r="1889" spans="1:29" ht="15.75" customHeight="1" x14ac:dyDescent="0.2">
      <c r="A1889" s="36" t="str">
        <f>HYPERLINK("https://www.saintmarys.edu", "Saint Mary's College")</f>
        <v>Saint Mary's College</v>
      </c>
      <c r="B1889" s="18" t="s">
        <v>32</v>
      </c>
      <c r="C1889" s="18" t="s">
        <v>148</v>
      </c>
      <c r="D1889" s="18" t="s">
        <v>167</v>
      </c>
      <c r="E1889" s="18">
        <v>1201</v>
      </c>
      <c r="F1889" s="18" t="s">
        <v>35</v>
      </c>
      <c r="J1889" s="19"/>
      <c r="K1889" s="19">
        <v>0.79079999999999995</v>
      </c>
      <c r="L1889" s="19" t="s">
        <v>36</v>
      </c>
      <c r="M1889" s="19">
        <v>0.80820000000000003</v>
      </c>
      <c r="N1889" s="19">
        <v>0.6</v>
      </c>
      <c r="O1889" s="19">
        <v>0.73529999999999995</v>
      </c>
      <c r="P1889" s="19">
        <v>1</v>
      </c>
      <c r="Q1889" s="19"/>
      <c r="R1889" s="20">
        <v>55200</v>
      </c>
      <c r="S1889" s="21" t="str">
        <f>HYPERLINK("https://www.saintmarys.edu/financial-aid/tools/net-price-calculator", "$13505")</f>
        <v>$13505</v>
      </c>
      <c r="T1889" s="20">
        <v>15434</v>
      </c>
      <c r="U1889" s="20">
        <v>22330</v>
      </c>
      <c r="V1889" s="20">
        <v>2300</v>
      </c>
      <c r="W1889" s="20">
        <v>11205</v>
      </c>
      <c r="Y1889" s="19">
        <v>0.2172</v>
      </c>
      <c r="Z1889" s="19">
        <v>0.22359999999999999</v>
      </c>
      <c r="AA1889" s="18" t="s">
        <v>37</v>
      </c>
      <c r="AB1889" s="18">
        <v>1489</v>
      </c>
      <c r="AC1889" s="18">
        <v>3</v>
      </c>
    </row>
    <row r="1890" spans="1:29" ht="15.75" customHeight="1" x14ac:dyDescent="0.2">
      <c r="A1890" s="36" t="str">
        <f>HYPERLINK("https://www.stmarys-ca.edu", "Saint Mary's College of California")</f>
        <v>Saint Mary's College of California</v>
      </c>
      <c r="B1890" s="18" t="s">
        <v>32</v>
      </c>
      <c r="C1890" s="18" t="s">
        <v>68</v>
      </c>
      <c r="D1890" s="18" t="s">
        <v>1138</v>
      </c>
      <c r="E1890" s="18">
        <v>1170</v>
      </c>
      <c r="F1890" s="18" t="s">
        <v>35</v>
      </c>
      <c r="J1890" s="19"/>
      <c r="K1890" s="19">
        <v>0.76400000000000001</v>
      </c>
      <c r="L1890" s="19">
        <v>0.48663101600000003</v>
      </c>
      <c r="M1890" s="19">
        <v>0.75590000000000002</v>
      </c>
      <c r="N1890" s="19">
        <v>0.5625</v>
      </c>
      <c r="O1890" s="19">
        <v>0.77159999999999995</v>
      </c>
      <c r="P1890" s="19">
        <v>0.82279999999999998</v>
      </c>
      <c r="Q1890" s="19"/>
      <c r="R1890" s="20">
        <v>65524</v>
      </c>
      <c r="S1890" s="21" t="str">
        <f>HYPERLINK("https://www.stmarys-ca.edu/admissions-aid/net-price-calculator", "$24372")</f>
        <v>$24372</v>
      </c>
      <c r="T1890" s="20">
        <v>27396</v>
      </c>
      <c r="U1890" s="20">
        <v>33686</v>
      </c>
      <c r="V1890" s="20">
        <v>4518</v>
      </c>
      <c r="W1890" s="20">
        <v>19854</v>
      </c>
      <c r="Y1890" s="19">
        <v>0.25180000000000002</v>
      </c>
      <c r="Z1890" s="19">
        <v>0.55610000000000004</v>
      </c>
      <c r="AB1890" s="18">
        <v>2762</v>
      </c>
      <c r="AC1890" s="18">
        <v>4</v>
      </c>
    </row>
    <row r="1891" spans="1:29" ht="15.75" customHeight="1" x14ac:dyDescent="0.2">
      <c r="A1891" s="36" t="str">
        <f>HYPERLINK("https://www.smumn.edu", "Saint Mary's University of Minnesota")</f>
        <v>Saint Mary's University of Minnesota</v>
      </c>
      <c r="B1891" s="18" t="s">
        <v>32</v>
      </c>
      <c r="C1891" s="18" t="s">
        <v>72</v>
      </c>
      <c r="D1891" s="18" t="s">
        <v>1140</v>
      </c>
      <c r="E1891" s="18">
        <v>1122</v>
      </c>
      <c r="F1891" s="18" t="s">
        <v>35</v>
      </c>
      <c r="J1891" s="19"/>
      <c r="K1891" s="19">
        <v>0.57909999999999995</v>
      </c>
      <c r="L1891" s="19">
        <v>0.53793103499999995</v>
      </c>
      <c r="M1891" s="19">
        <v>0.63200000000000001</v>
      </c>
      <c r="N1891" s="19">
        <v>0.22220000000000001</v>
      </c>
      <c r="O1891" s="19">
        <v>0.57140000000000002</v>
      </c>
      <c r="P1891" s="19">
        <v>0.42859999999999998</v>
      </c>
      <c r="Q1891" s="19"/>
      <c r="R1891" s="20">
        <v>45300</v>
      </c>
      <c r="S1891" s="21" t="str">
        <f>HYPERLINK("https://www.smumn.edu/admission/undergraduate/financial-aid/net-price-calculator/npc", "$14030")</f>
        <v>$14030</v>
      </c>
      <c r="T1891" s="20">
        <v>20428</v>
      </c>
      <c r="U1891" s="20">
        <v>20288</v>
      </c>
      <c r="V1891" s="20">
        <v>2860</v>
      </c>
      <c r="W1891" s="20">
        <v>11170</v>
      </c>
      <c r="Y1891" s="19">
        <v>0.3019</v>
      </c>
      <c r="Z1891" s="19">
        <v>0.34189999999999998</v>
      </c>
      <c r="AB1891" s="18">
        <v>1471</v>
      </c>
      <c r="AC1891" s="18">
        <v>4</v>
      </c>
    </row>
    <row r="1892" spans="1:29" ht="15.75" customHeight="1" x14ac:dyDescent="0.2">
      <c r="A1892" s="36" t="str">
        <f>HYPERLINK("https://www.smcvt.edu", "Saint Michael's College")</f>
        <v>Saint Michael's College</v>
      </c>
      <c r="B1892" s="18" t="s">
        <v>32</v>
      </c>
      <c r="C1892" s="18" t="s">
        <v>47</v>
      </c>
      <c r="D1892" s="18" t="s">
        <v>467</v>
      </c>
      <c r="E1892" s="18" t="s">
        <v>36</v>
      </c>
      <c r="F1892" s="18" t="s">
        <v>90</v>
      </c>
      <c r="J1892" s="19"/>
      <c r="K1892" s="19">
        <v>0.78410000000000002</v>
      </c>
      <c r="L1892" s="19">
        <v>0.69491525400000009</v>
      </c>
      <c r="M1892" s="19">
        <v>0.79569999999999996</v>
      </c>
      <c r="N1892" s="19">
        <v>0.7</v>
      </c>
      <c r="O1892" s="19">
        <v>0.68969999999999998</v>
      </c>
      <c r="P1892" s="19">
        <v>0.8</v>
      </c>
      <c r="Q1892" s="19"/>
      <c r="R1892" s="20">
        <v>57560</v>
      </c>
      <c r="S1892" s="21" t="str">
        <f>HYPERLINK("https://www.smcvt.edu/admissions/financial-aid-and-tuition/tuition-resources.aspx", "$21405")</f>
        <v>$21405</v>
      </c>
      <c r="T1892" s="20">
        <v>28116</v>
      </c>
      <c r="U1892" s="20">
        <v>28340</v>
      </c>
      <c r="V1892" s="20">
        <v>2170</v>
      </c>
      <c r="W1892" s="20">
        <v>19235</v>
      </c>
      <c r="Y1892" s="19">
        <v>0.1404</v>
      </c>
      <c r="Z1892" s="19">
        <v>0.1671</v>
      </c>
      <c r="AB1892" s="18">
        <v>1759</v>
      </c>
      <c r="AC1892" s="18">
        <v>3</v>
      </c>
    </row>
    <row r="1893" spans="1:29" ht="15.75" customHeight="1" x14ac:dyDescent="0.2">
      <c r="A1893" s="36" t="str">
        <f>HYPERLINK("https://www.snc.edu", "Saint Norbert College")</f>
        <v>Saint Norbert College</v>
      </c>
      <c r="B1893" s="18" t="s">
        <v>32</v>
      </c>
      <c r="C1893" s="18" t="s">
        <v>196</v>
      </c>
      <c r="D1893" s="18" t="s">
        <v>468</v>
      </c>
      <c r="E1893" s="18">
        <v>1199</v>
      </c>
      <c r="F1893" s="18" t="s">
        <v>35</v>
      </c>
      <c r="J1893" s="19"/>
      <c r="K1893" s="19">
        <v>0.73650000000000004</v>
      </c>
      <c r="L1893" s="19">
        <v>0.13924050599999999</v>
      </c>
      <c r="M1893" s="19">
        <v>0.7571</v>
      </c>
      <c r="N1893" s="19">
        <v>0.625</v>
      </c>
      <c r="O1893" s="19">
        <v>0.4118</v>
      </c>
      <c r="P1893" s="19">
        <v>0.8</v>
      </c>
      <c r="Q1893" s="19"/>
      <c r="R1893" s="20">
        <v>48110</v>
      </c>
      <c r="S1893" s="21" t="str">
        <f>HYPERLINK("https://www.snc.edu/financialaid/incomingstudents/secure/netpricecalculator.html", "$18568")</f>
        <v>$18568</v>
      </c>
      <c r="T1893" s="20">
        <v>20877</v>
      </c>
      <c r="U1893" s="20">
        <v>24145</v>
      </c>
      <c r="V1893" s="20">
        <v>2050</v>
      </c>
      <c r="W1893" s="20">
        <v>16518</v>
      </c>
      <c r="Y1893" s="19">
        <v>0.20649999999999999</v>
      </c>
      <c r="Z1893" s="19">
        <v>0.12839999999999999</v>
      </c>
      <c r="AB1893" s="18">
        <v>2041</v>
      </c>
      <c r="AC1893" s="18">
        <v>3</v>
      </c>
    </row>
    <row r="1894" spans="1:29" ht="15.75" customHeight="1" x14ac:dyDescent="0.2">
      <c r="A1894" s="36" t="str">
        <f>HYPERLINK("https://www.saintpeters.edu", "Saint Peter's University")</f>
        <v>Saint Peter's University</v>
      </c>
      <c r="B1894" s="18" t="s">
        <v>32</v>
      </c>
      <c r="C1894" s="18" t="s">
        <v>141</v>
      </c>
      <c r="D1894" s="18" t="s">
        <v>1004</v>
      </c>
      <c r="E1894" s="18">
        <v>1021</v>
      </c>
      <c r="F1894" s="18" t="s">
        <v>115</v>
      </c>
      <c r="J1894" s="19"/>
      <c r="K1894" s="19">
        <v>0.53720000000000001</v>
      </c>
      <c r="L1894" s="19">
        <v>0.492857143</v>
      </c>
      <c r="M1894" s="19">
        <v>0.53100000000000003</v>
      </c>
      <c r="N1894" s="19">
        <v>0.49580000000000002</v>
      </c>
      <c r="O1894" s="19">
        <v>0.52210000000000001</v>
      </c>
      <c r="P1894" s="19">
        <v>0.71430000000000005</v>
      </c>
      <c r="Q1894" s="19"/>
      <c r="R1894" s="20">
        <v>54036</v>
      </c>
      <c r="S1894" s="21" t="str">
        <f>HYPERLINK("https://www.saintpeters.edu/enrollment-services/student-financial-aid/calculators/", "$10111")</f>
        <v>$10111</v>
      </c>
      <c r="T1894" s="20">
        <v>16056</v>
      </c>
      <c r="U1894" s="20">
        <v>19874</v>
      </c>
      <c r="V1894" s="20">
        <v>2300</v>
      </c>
      <c r="W1894" s="20">
        <v>7811</v>
      </c>
      <c r="Y1894" s="19">
        <v>0.60440000000000005</v>
      </c>
      <c r="Z1894" s="19">
        <v>0.84570000000000001</v>
      </c>
      <c r="AB1894" s="18">
        <v>2547</v>
      </c>
      <c r="AC1894" s="18">
        <v>4</v>
      </c>
    </row>
    <row r="1895" spans="1:29" ht="15.75" customHeight="1" x14ac:dyDescent="0.2">
      <c r="A1895" s="36" t="str">
        <f>HYPERLINK("https://www.stvincent.edu", "Saint Vincent College")</f>
        <v>Saint Vincent College</v>
      </c>
      <c r="B1895" s="18" t="s">
        <v>32</v>
      </c>
      <c r="C1895" s="18" t="s">
        <v>65</v>
      </c>
      <c r="D1895" s="18" t="s">
        <v>1143</v>
      </c>
      <c r="E1895" s="18">
        <v>1122</v>
      </c>
      <c r="F1895" s="18" t="s">
        <v>35</v>
      </c>
      <c r="J1895" s="19"/>
      <c r="K1895" s="19">
        <v>0.69189999999999996</v>
      </c>
      <c r="L1895" s="19">
        <v>0.59420289900000001</v>
      </c>
      <c r="M1895" s="19">
        <v>0.71750000000000003</v>
      </c>
      <c r="N1895" s="19">
        <v>0.3846</v>
      </c>
      <c r="O1895" s="19">
        <v>0.625</v>
      </c>
      <c r="P1895" s="19">
        <v>0.6</v>
      </c>
      <c r="Q1895" s="19"/>
      <c r="R1895" s="20">
        <v>48879</v>
      </c>
      <c r="S1895" s="21" t="str">
        <f>HYPERLINK("https://www.shoppingsheet.com/Shopping/Landing/stvincent", "$14883")</f>
        <v>$14883</v>
      </c>
      <c r="T1895" s="20">
        <v>20113</v>
      </c>
      <c r="U1895" s="20">
        <v>22330</v>
      </c>
      <c r="V1895" s="20">
        <v>3050</v>
      </c>
      <c r="W1895" s="20">
        <v>11833</v>
      </c>
      <c r="Y1895" s="19">
        <v>0.2722</v>
      </c>
      <c r="Z1895" s="19">
        <v>0.16520000000000001</v>
      </c>
      <c r="AB1895" s="18">
        <v>1616</v>
      </c>
      <c r="AC1895" s="18">
        <v>4</v>
      </c>
    </row>
    <row r="1896" spans="1:29" ht="15.75" customHeight="1" x14ac:dyDescent="0.2">
      <c r="A1896" s="36" t="str">
        <f>HYPERLINK("https://WWW.SXU.EDU", "Saint Xavier University")</f>
        <v>Saint Xavier University</v>
      </c>
      <c r="B1896" s="18" t="s">
        <v>32</v>
      </c>
      <c r="C1896" s="18" t="s">
        <v>137</v>
      </c>
      <c r="D1896" s="18" t="s">
        <v>161</v>
      </c>
      <c r="E1896" s="18">
        <v>1066</v>
      </c>
      <c r="F1896" s="18" t="s">
        <v>35</v>
      </c>
      <c r="J1896" s="19"/>
      <c r="K1896" s="19">
        <v>0.52410000000000001</v>
      </c>
      <c r="L1896" s="19">
        <v>0.51123595499999996</v>
      </c>
      <c r="M1896" s="19">
        <v>0.63829999999999998</v>
      </c>
      <c r="N1896" s="19">
        <v>0.35780000000000001</v>
      </c>
      <c r="O1896" s="19">
        <v>0.42859999999999998</v>
      </c>
      <c r="P1896" s="19">
        <v>0.9</v>
      </c>
      <c r="Q1896" s="19"/>
      <c r="R1896" s="20">
        <v>47896</v>
      </c>
      <c r="S1896" s="21" t="str">
        <f>HYPERLINK("https://www.sxu.edu/admissions/financial_aid/calculator.asp", "$11984")</f>
        <v>$11984</v>
      </c>
      <c r="T1896" s="20">
        <v>15581</v>
      </c>
      <c r="U1896" s="20">
        <v>17644</v>
      </c>
      <c r="V1896" s="20">
        <v>3176</v>
      </c>
      <c r="W1896" s="20">
        <v>8808</v>
      </c>
      <c r="Y1896" s="19">
        <v>0.53620000000000001</v>
      </c>
      <c r="Z1896" s="19">
        <v>0.58830000000000005</v>
      </c>
      <c r="AB1896" s="18">
        <v>2927</v>
      </c>
      <c r="AC1896" s="18">
        <v>4</v>
      </c>
    </row>
    <row r="1897" spans="1:29" ht="15.75" customHeight="1" x14ac:dyDescent="0.2">
      <c r="A1897" s="36" t="str">
        <f>HYPERLINK("https://www.salem.edu/", "Salem College")</f>
        <v>Salem College</v>
      </c>
      <c r="B1897" s="18" t="s">
        <v>32</v>
      </c>
      <c r="C1897" s="18" t="s">
        <v>103</v>
      </c>
      <c r="D1897" s="18" t="s">
        <v>178</v>
      </c>
      <c r="E1897" s="18">
        <v>1211</v>
      </c>
      <c r="F1897" s="18" t="s">
        <v>35</v>
      </c>
      <c r="J1897" s="19"/>
      <c r="K1897" s="19">
        <v>0.56910000000000005</v>
      </c>
      <c r="L1897" s="19">
        <v>0.54430379799999995</v>
      </c>
      <c r="M1897" s="19">
        <v>0.52529999999999999</v>
      </c>
      <c r="N1897" s="19">
        <v>0.63329999999999997</v>
      </c>
      <c r="O1897" s="19">
        <v>0.75</v>
      </c>
      <c r="P1897" s="19">
        <v>1</v>
      </c>
      <c r="Q1897" s="19"/>
      <c r="R1897" s="20">
        <v>46080</v>
      </c>
      <c r="S1897" s="21" t="str">
        <f>HYPERLINK("https://netprice.salem.edu/", "$14159")</f>
        <v>$14159</v>
      </c>
      <c r="T1897" s="20">
        <v>19138</v>
      </c>
      <c r="U1897" s="20">
        <v>22899</v>
      </c>
      <c r="V1897" s="20">
        <v>5874</v>
      </c>
      <c r="W1897" s="20">
        <v>8285</v>
      </c>
      <c r="X1897" s="18" t="s">
        <v>37</v>
      </c>
      <c r="Y1897" s="19">
        <v>0.52849999999999997</v>
      </c>
      <c r="Z1897" s="19">
        <v>0.45019999999999999</v>
      </c>
      <c r="AB1897" s="18">
        <v>813</v>
      </c>
      <c r="AC1897" s="18">
        <v>3</v>
      </c>
    </row>
    <row r="1898" spans="1:29" ht="15.75" customHeight="1" x14ac:dyDescent="0.2">
      <c r="A1898" s="36" t="str">
        <f>HYPERLINK("https://www.salemcc.edu", "Salem Community College")</f>
        <v>Salem Community College</v>
      </c>
      <c r="B1898" s="18" t="s">
        <v>49</v>
      </c>
      <c r="C1898" s="18" t="s">
        <v>141</v>
      </c>
      <c r="D1898" s="18" t="s">
        <v>1669</v>
      </c>
      <c r="E1898" s="18" t="s">
        <v>36</v>
      </c>
      <c r="F1898" s="18" t="s">
        <v>36</v>
      </c>
      <c r="J1898" s="19"/>
      <c r="K1898" s="19">
        <v>0.4229</v>
      </c>
      <c r="L1898" s="19">
        <v>0.22304832699999999</v>
      </c>
      <c r="M1898" s="19">
        <v>0.49109999999999998</v>
      </c>
      <c r="N1898" s="19">
        <v>0.28129999999999999</v>
      </c>
      <c r="O1898" s="19">
        <v>0.4375</v>
      </c>
      <c r="P1898" s="19">
        <v>0.5</v>
      </c>
      <c r="Q1898" s="19">
        <v>6.4220184E-2</v>
      </c>
      <c r="R1898" s="20">
        <v>22450</v>
      </c>
      <c r="S1898" s="21" t="str">
        <f>HYPERLINK("https://www.salemcc.edu/netpricecalculator/npcalc.htm", "$16928")</f>
        <v>$16928</v>
      </c>
      <c r="T1898" s="20">
        <v>19444</v>
      </c>
      <c r="U1898" s="20">
        <v>20368</v>
      </c>
      <c r="V1898" s="20">
        <v>6000</v>
      </c>
      <c r="W1898" s="20">
        <v>10928.074626865669</v>
      </c>
      <c r="Y1898" s="19">
        <v>0.38929999999999998</v>
      </c>
      <c r="Z1898" s="19">
        <v>0.44529999999999997</v>
      </c>
      <c r="AB1898" s="18">
        <v>896</v>
      </c>
      <c r="AC1898" s="18">
        <v>6</v>
      </c>
    </row>
    <row r="1899" spans="1:29" ht="15.75" customHeight="1" x14ac:dyDescent="0.2">
      <c r="A1899" s="36" t="str">
        <f>HYPERLINK("https://www.salemstate.edu", "Salem State University")</f>
        <v>Salem State University</v>
      </c>
      <c r="B1899" s="18" t="s">
        <v>49</v>
      </c>
      <c r="C1899" s="18" t="s">
        <v>33</v>
      </c>
      <c r="D1899" s="18" t="s">
        <v>343</v>
      </c>
      <c r="E1899" s="18">
        <v>1066</v>
      </c>
      <c r="F1899" s="18" t="s">
        <v>115</v>
      </c>
      <c r="J1899" s="19"/>
      <c r="K1899" s="19">
        <v>0.52129999999999999</v>
      </c>
      <c r="L1899" s="19">
        <v>0.51505016700000006</v>
      </c>
      <c r="M1899" s="19">
        <v>0.53339999999999999</v>
      </c>
      <c r="N1899" s="19">
        <v>0.52939999999999998</v>
      </c>
      <c r="O1899" s="19">
        <v>0.44719999999999999</v>
      </c>
      <c r="P1899" s="19">
        <v>0.66669999999999996</v>
      </c>
      <c r="Q1899" s="19"/>
      <c r="R1899" s="20">
        <v>32652</v>
      </c>
      <c r="S1899" s="21" t="str">
        <f>HYPERLINK("https://www.salemstate.edu/campus-life/student-navigation-center/financial-aid/net-price-calculator", "$23114")</f>
        <v>$23114</v>
      </c>
      <c r="T1899" s="20">
        <v>27829</v>
      </c>
      <c r="U1899" s="20">
        <v>30380</v>
      </c>
      <c r="V1899" s="20">
        <v>2946</v>
      </c>
      <c r="W1899" s="20">
        <v>20168.151595744679</v>
      </c>
      <c r="Y1899" s="19">
        <v>0.35759999999999997</v>
      </c>
      <c r="Z1899" s="19">
        <v>0.36969999999999997</v>
      </c>
      <c r="AB1899" s="18">
        <v>6776</v>
      </c>
      <c r="AC1899" s="18">
        <v>5</v>
      </c>
    </row>
    <row r="1900" spans="1:29" ht="15.75" customHeight="1" x14ac:dyDescent="0.2">
      <c r="A1900" s="36" t="str">
        <f>HYPERLINK("https://www.salisbury.edu", "Salisbury University")</f>
        <v>Salisbury University</v>
      </c>
      <c r="B1900" s="18" t="s">
        <v>49</v>
      </c>
      <c r="C1900" s="18" t="s">
        <v>124</v>
      </c>
      <c r="D1900" s="18" t="s">
        <v>469</v>
      </c>
      <c r="E1900" s="18" t="s">
        <v>36</v>
      </c>
      <c r="F1900" s="18" t="s">
        <v>90</v>
      </c>
      <c r="J1900" s="19"/>
      <c r="K1900" s="19">
        <v>0.70950000000000002</v>
      </c>
      <c r="L1900" s="19">
        <v>0.60880829000000003</v>
      </c>
      <c r="M1900" s="19">
        <v>0.73509999999999998</v>
      </c>
      <c r="N1900" s="19">
        <v>0.64839999999999998</v>
      </c>
      <c r="O1900" s="19">
        <v>0.61639999999999995</v>
      </c>
      <c r="P1900" s="19">
        <v>0.56100000000000005</v>
      </c>
      <c r="Q1900" s="19"/>
      <c r="R1900" s="20">
        <v>34102</v>
      </c>
      <c r="S1900" s="21" t="str">
        <f>HYPERLINK("https://tcc.noellevitz.com/%28S%28uvadf5cgvl0om13fktvxprrm%29%29/Salisbury%20University/Freshman%20Students", "$23084")</f>
        <v>$23084</v>
      </c>
      <c r="T1900" s="20">
        <v>28159</v>
      </c>
      <c r="U1900" s="20">
        <v>31410</v>
      </c>
      <c r="V1900" s="20">
        <v>4000</v>
      </c>
      <c r="W1900" s="20">
        <v>19084.166666666661</v>
      </c>
      <c r="Y1900" s="19">
        <v>0.25309999999999999</v>
      </c>
      <c r="Z1900" s="19">
        <v>0.29360000000000003</v>
      </c>
      <c r="AB1900" s="18">
        <v>7552</v>
      </c>
      <c r="AC1900" s="18">
        <v>3</v>
      </c>
    </row>
    <row r="1901" spans="1:29" ht="15.75" customHeight="1" x14ac:dyDescent="0.2">
      <c r="A1901" s="36" t="str">
        <f>HYPERLINK("https://www.skc.edu", "Salish Kootenai College")</f>
        <v>Salish Kootenai College</v>
      </c>
      <c r="B1901" s="18" t="s">
        <v>32</v>
      </c>
      <c r="C1901" s="18" t="s">
        <v>421</v>
      </c>
      <c r="D1901" s="18" t="s">
        <v>1670</v>
      </c>
      <c r="E1901" s="18" t="s">
        <v>36</v>
      </c>
      <c r="F1901" s="18" t="s">
        <v>36</v>
      </c>
      <c r="J1901" s="19"/>
      <c r="K1901" s="19">
        <v>0.5524</v>
      </c>
      <c r="L1901" s="19">
        <v>0.17391304399999999</v>
      </c>
      <c r="M1901" s="19">
        <v>0.52629999999999999</v>
      </c>
      <c r="N1901" s="19" t="s">
        <v>36</v>
      </c>
      <c r="O1901" s="19">
        <v>0.75</v>
      </c>
      <c r="P1901" s="19" t="s">
        <v>36</v>
      </c>
      <c r="Q1901" s="19">
        <v>3.6842105E-2</v>
      </c>
      <c r="R1901" s="20">
        <v>22158</v>
      </c>
      <c r="S1901" s="21" t="str">
        <f>HYPERLINK("https://netprice.skc.edu", "$8217")</f>
        <v>$8217</v>
      </c>
      <c r="T1901" s="20">
        <v>13051</v>
      </c>
      <c r="U1901" s="20">
        <v>11190</v>
      </c>
      <c r="V1901" s="20">
        <v>3600</v>
      </c>
      <c r="W1901" s="20">
        <v>4617</v>
      </c>
      <c r="Y1901" s="19">
        <v>0.66120000000000001</v>
      </c>
      <c r="Z1901" s="19">
        <v>0.75639999999999996</v>
      </c>
      <c r="AB1901" s="18">
        <v>739</v>
      </c>
      <c r="AC1901" s="18">
        <v>6</v>
      </c>
    </row>
    <row r="1902" spans="1:29" ht="15.75" customHeight="1" x14ac:dyDescent="0.2">
      <c r="A1902" s="36" t="str">
        <f>HYPERLINK("https://www.slcc.edu", "Salt Lake Community College")</f>
        <v>Salt Lake Community College</v>
      </c>
      <c r="B1902" s="18" t="s">
        <v>49</v>
      </c>
      <c r="C1902" s="18" t="s">
        <v>199</v>
      </c>
      <c r="D1902" s="18" t="s">
        <v>525</v>
      </c>
      <c r="E1902" s="18" t="s">
        <v>36</v>
      </c>
      <c r="F1902" s="18" t="s">
        <v>36</v>
      </c>
      <c r="J1902" s="19"/>
      <c r="K1902" s="19">
        <v>0.221</v>
      </c>
      <c r="L1902" s="19">
        <v>7.8756917999999995E-2</v>
      </c>
      <c r="M1902" s="19">
        <v>0.23980000000000001</v>
      </c>
      <c r="N1902" s="19">
        <v>0.13850000000000001</v>
      </c>
      <c r="O1902" s="19">
        <v>0.2162</v>
      </c>
      <c r="P1902" s="19">
        <v>0.191</v>
      </c>
      <c r="Q1902" s="19">
        <v>0.12985036799999999</v>
      </c>
      <c r="R1902" s="20">
        <v>27270</v>
      </c>
      <c r="S1902" s="21" t="str">
        <f>HYPERLINK("https://www.slcc.edu/financialaid/net-price-calculator.aspx", "$23360")</f>
        <v>$23360</v>
      </c>
      <c r="T1902" s="20">
        <v>23764</v>
      </c>
      <c r="U1902" s="20">
        <v>24497</v>
      </c>
      <c r="V1902" s="20">
        <v>5050</v>
      </c>
      <c r="W1902" s="20">
        <v>18310.78725398313</v>
      </c>
      <c r="Y1902" s="19">
        <v>0.2339</v>
      </c>
      <c r="Z1902" s="19">
        <v>0.34179999999999999</v>
      </c>
      <c r="AB1902" s="18">
        <v>21445</v>
      </c>
      <c r="AC1902" s="18">
        <v>6</v>
      </c>
    </row>
    <row r="1903" spans="1:29" ht="15.75" customHeight="1" x14ac:dyDescent="0.2">
      <c r="A1903" s="36" t="str">
        <f>HYPERLINK("https://www.salve.edu", "Salve Regina University")</f>
        <v>Salve Regina University</v>
      </c>
      <c r="B1903" s="18" t="s">
        <v>32</v>
      </c>
      <c r="C1903" s="18" t="s">
        <v>63</v>
      </c>
      <c r="D1903" s="18" t="s">
        <v>470</v>
      </c>
      <c r="E1903" s="18" t="s">
        <v>36</v>
      </c>
      <c r="F1903" s="18" t="s">
        <v>90</v>
      </c>
      <c r="J1903" s="19"/>
      <c r="K1903" s="19">
        <v>0.70900000000000007</v>
      </c>
      <c r="L1903" s="19">
        <v>0.71084337400000008</v>
      </c>
      <c r="M1903" s="19">
        <v>0.71120000000000005</v>
      </c>
      <c r="N1903" s="19">
        <v>0.64290000000000003</v>
      </c>
      <c r="O1903" s="19">
        <v>0.76919999999999999</v>
      </c>
      <c r="P1903" s="19">
        <v>0.75</v>
      </c>
      <c r="Q1903" s="19"/>
      <c r="R1903" s="20">
        <v>56746</v>
      </c>
      <c r="S1903" s="21" t="str">
        <f>HYPERLINK("https://www.salve.edu/net-price-calculator", "$22929")</f>
        <v>$22929</v>
      </c>
      <c r="T1903" s="20">
        <v>23913</v>
      </c>
      <c r="U1903" s="20">
        <v>27938</v>
      </c>
      <c r="V1903" s="20">
        <v>3700</v>
      </c>
      <c r="W1903" s="20">
        <v>19229</v>
      </c>
      <c r="Y1903" s="19">
        <v>0.2175</v>
      </c>
      <c r="Z1903" s="19">
        <v>0.1852</v>
      </c>
      <c r="AB1903" s="18">
        <v>2160</v>
      </c>
      <c r="AC1903" s="18">
        <v>3</v>
      </c>
    </row>
    <row r="1904" spans="1:29" ht="15.75" customHeight="1" x14ac:dyDescent="0.2">
      <c r="A1904" s="36" t="str">
        <f>HYPERLINK("https://www.shsu.edu/", "Sam Houston State University")</f>
        <v>Sam Houston State University</v>
      </c>
      <c r="B1904" s="18" t="s">
        <v>49</v>
      </c>
      <c r="C1904" s="18" t="s">
        <v>146</v>
      </c>
      <c r="D1904" s="18" t="s">
        <v>497</v>
      </c>
      <c r="E1904" s="18">
        <v>1068</v>
      </c>
      <c r="F1904" s="18" t="s">
        <v>35</v>
      </c>
      <c r="J1904" s="19"/>
      <c r="K1904" s="19">
        <v>0.51270000000000004</v>
      </c>
      <c r="L1904" s="19">
        <v>0.51978537899999999</v>
      </c>
      <c r="M1904" s="19">
        <v>0.54600000000000004</v>
      </c>
      <c r="N1904" s="19">
        <v>0.43359999999999999</v>
      </c>
      <c r="O1904" s="19">
        <v>0.50949999999999995</v>
      </c>
      <c r="P1904" s="19">
        <v>0.42859999999999998</v>
      </c>
      <c r="Q1904" s="19"/>
      <c r="R1904" s="20">
        <v>31784</v>
      </c>
      <c r="S1904" s="21" t="str">
        <f>HYPERLINK("https://www.collegeforalltexans.com/apps/CollegeMoney/", "$21598")</f>
        <v>$21598</v>
      </c>
      <c r="T1904" s="20">
        <v>24471</v>
      </c>
      <c r="U1904" s="20">
        <v>29244</v>
      </c>
      <c r="V1904" s="20">
        <v>4584</v>
      </c>
      <c r="W1904" s="20">
        <v>17014.872420262662</v>
      </c>
      <c r="Y1904" s="19">
        <v>0.3543</v>
      </c>
      <c r="Z1904" s="19">
        <v>0.49440000000000001</v>
      </c>
      <c r="AB1904" s="18">
        <v>18416</v>
      </c>
      <c r="AC1904" s="18">
        <v>4</v>
      </c>
    </row>
    <row r="1905" spans="1:29" ht="15.75" customHeight="1" x14ac:dyDescent="0.2">
      <c r="A1905" s="36" t="str">
        <f>HYPERLINK("https://www.sphp.com/SON", "Samaritan Hospital School of Nursing")</f>
        <v>Samaritan Hospital School of Nursing</v>
      </c>
      <c r="B1905" s="18" t="s">
        <v>32</v>
      </c>
      <c r="C1905" s="18" t="s">
        <v>38</v>
      </c>
      <c r="D1905" s="18" t="s">
        <v>145</v>
      </c>
      <c r="E1905" s="18" t="s">
        <v>36</v>
      </c>
      <c r="F1905" s="18" t="s">
        <v>45</v>
      </c>
      <c r="J1905" s="19"/>
      <c r="K1905" s="19">
        <v>0</v>
      </c>
      <c r="L1905" s="19">
        <v>0.64864864899999997</v>
      </c>
      <c r="M1905" s="19" t="s">
        <v>36</v>
      </c>
      <c r="N1905" s="19">
        <v>0</v>
      </c>
      <c r="O1905" s="19" t="s">
        <v>36</v>
      </c>
      <c r="P1905" s="19" t="s">
        <v>36</v>
      </c>
      <c r="Q1905" s="19" t="s">
        <v>36</v>
      </c>
      <c r="R1905" s="20">
        <v>33126</v>
      </c>
      <c r="S1905" s="21" t="str">
        <f>HYPERLINK("https://apps.sphp.com/SON/Net_Price_Calculator/", "Not reported")</f>
        <v>Not reported</v>
      </c>
      <c r="T1905" s="20" t="s">
        <v>36</v>
      </c>
      <c r="U1905" s="20" t="s">
        <v>36</v>
      </c>
      <c r="V1905" s="20">
        <v>7250</v>
      </c>
      <c r="W1905" s="20" t="s">
        <v>36</v>
      </c>
      <c r="Y1905" s="19">
        <v>0.27460000000000001</v>
      </c>
      <c r="Z1905" s="19">
        <v>0.1181</v>
      </c>
      <c r="AB1905" s="18">
        <v>144</v>
      </c>
      <c r="AC1905" s="18">
        <v>6</v>
      </c>
    </row>
    <row r="1906" spans="1:29" ht="15.75" customHeight="1" x14ac:dyDescent="0.2">
      <c r="A1906" s="36" t="str">
        <f>HYPERLINK("https://www.samford.edu", "Samford University")</f>
        <v>Samford University</v>
      </c>
      <c r="B1906" s="18" t="s">
        <v>32</v>
      </c>
      <c r="C1906" s="18" t="s">
        <v>300</v>
      </c>
      <c r="D1906" s="18" t="s">
        <v>311</v>
      </c>
      <c r="E1906" s="18">
        <v>1230</v>
      </c>
      <c r="F1906" s="18" t="s">
        <v>35</v>
      </c>
      <c r="J1906" s="19"/>
      <c r="K1906" s="19">
        <v>0.7581</v>
      </c>
      <c r="L1906" s="19">
        <v>0.52941176499999998</v>
      </c>
      <c r="M1906" s="19">
        <v>0.77229999999999999</v>
      </c>
      <c r="N1906" s="19">
        <v>0.625</v>
      </c>
      <c r="O1906" s="19">
        <v>0.64290000000000003</v>
      </c>
      <c r="P1906" s="19" t="s">
        <v>36</v>
      </c>
      <c r="Q1906" s="19"/>
      <c r="R1906" s="20">
        <v>46474</v>
      </c>
      <c r="S1906" s="21" t="str">
        <f>HYPERLINK("https://samford.studentaidcalculator.com/survey.aspx", "$23157")</f>
        <v>$23157</v>
      </c>
      <c r="T1906" s="20">
        <v>27927</v>
      </c>
      <c r="U1906" s="20">
        <v>30035</v>
      </c>
      <c r="V1906" s="20">
        <v>5704</v>
      </c>
      <c r="W1906" s="20">
        <v>17453</v>
      </c>
      <c r="Y1906" s="19">
        <v>0.114</v>
      </c>
      <c r="Z1906" s="19">
        <v>0.15609999999999999</v>
      </c>
      <c r="AB1906" s="18">
        <v>3364</v>
      </c>
      <c r="AC1906" s="18">
        <v>3</v>
      </c>
    </row>
    <row r="1907" spans="1:29" ht="15.75" customHeight="1" x14ac:dyDescent="0.2">
      <c r="A1907" s="36" t="str">
        <f>HYPERLINK("https://www.sampsoncc.edu", "Sampson Community College")</f>
        <v>Sampson Community College</v>
      </c>
      <c r="B1907" s="18" t="s">
        <v>49</v>
      </c>
      <c r="C1907" s="18" t="s">
        <v>103</v>
      </c>
      <c r="D1907" s="18" t="s">
        <v>118</v>
      </c>
      <c r="E1907" s="18" t="s">
        <v>36</v>
      </c>
      <c r="F1907" s="18" t="s">
        <v>36</v>
      </c>
      <c r="J1907" s="19"/>
      <c r="K1907" s="19">
        <v>0.29370000000000002</v>
      </c>
      <c r="L1907" s="19">
        <v>0.20274914099999999</v>
      </c>
      <c r="M1907" s="19">
        <v>0.2969</v>
      </c>
      <c r="N1907" s="19">
        <v>7.6899999999999996E-2</v>
      </c>
      <c r="O1907" s="19">
        <v>0.42859999999999998</v>
      </c>
      <c r="P1907" s="19">
        <v>0.5</v>
      </c>
      <c r="Q1907" s="19">
        <v>4.5454545999999998E-2</v>
      </c>
      <c r="R1907" s="20">
        <v>26758</v>
      </c>
      <c r="S1907" s="21" t="str">
        <f>HYPERLINK("https://www.sampsoncc.edu/student-services/net-price-calculator/npcalc.html", "$21542")</f>
        <v>$21542</v>
      </c>
      <c r="T1907" s="20">
        <v>22208</v>
      </c>
      <c r="U1907" s="20" t="s">
        <v>36</v>
      </c>
      <c r="V1907" s="20">
        <v>7456</v>
      </c>
      <c r="W1907" s="20">
        <v>14086.457831325301</v>
      </c>
      <c r="Y1907" s="19">
        <v>0.56289999999999996</v>
      </c>
      <c r="Z1907" s="19">
        <v>0.53149999999999997</v>
      </c>
      <c r="AB1907" s="18">
        <v>1411</v>
      </c>
      <c r="AC1907" s="18">
        <v>6</v>
      </c>
    </row>
    <row r="1908" spans="1:29" ht="15.75" customHeight="1" x14ac:dyDescent="0.2">
      <c r="A1908" s="36" t="str">
        <f>HYPERLINK("https://www.alamo.edu/sac", "San Antonio College")</f>
        <v>San Antonio College</v>
      </c>
      <c r="B1908" s="18" t="s">
        <v>49</v>
      </c>
      <c r="C1908" s="18" t="s">
        <v>146</v>
      </c>
      <c r="D1908" s="18" t="s">
        <v>268</v>
      </c>
      <c r="E1908" s="18" t="s">
        <v>36</v>
      </c>
      <c r="F1908" s="18" t="s">
        <v>36</v>
      </c>
      <c r="J1908" s="19"/>
      <c r="K1908" s="19">
        <v>0.18110000000000001</v>
      </c>
      <c r="L1908" s="19">
        <v>8.7323944000000001E-2</v>
      </c>
      <c r="M1908" s="19">
        <v>0.22370000000000001</v>
      </c>
      <c r="N1908" s="19">
        <v>0.1905</v>
      </c>
      <c r="O1908" s="19">
        <v>0.16009999999999999</v>
      </c>
      <c r="P1908" s="19">
        <v>0.38890000000000002</v>
      </c>
      <c r="Q1908" s="19">
        <v>0.11511497499999999</v>
      </c>
      <c r="R1908" s="20">
        <v>27402</v>
      </c>
      <c r="S1908" s="21" t="str">
        <f>HYPERLINK("https://www.alamo.edu/nvc/experience-nvc/current-students/financial-literacy/", "$21664")</f>
        <v>$21664</v>
      </c>
      <c r="T1908" s="20">
        <v>23965</v>
      </c>
      <c r="U1908" s="20">
        <v>25807</v>
      </c>
      <c r="V1908" s="20">
        <v>5180</v>
      </c>
      <c r="W1908" s="20">
        <v>16484.042553191492</v>
      </c>
      <c r="Y1908" s="19">
        <v>0.29299999999999998</v>
      </c>
      <c r="Z1908" s="19">
        <v>0.76690000000000003</v>
      </c>
      <c r="AB1908" s="18">
        <v>15917</v>
      </c>
      <c r="AC1908" s="18">
        <v>6</v>
      </c>
    </row>
    <row r="1909" spans="1:29" ht="15.75" customHeight="1" x14ac:dyDescent="0.2">
      <c r="A1909" s="36" t="str">
        <f>HYPERLINK("https://www.valleycollege.edu", "San Bernardino Valley College")</f>
        <v>San Bernardino Valley College</v>
      </c>
      <c r="B1909" s="18" t="s">
        <v>49</v>
      </c>
      <c r="C1909" s="18" t="s">
        <v>68</v>
      </c>
      <c r="D1909" s="18" t="s">
        <v>610</v>
      </c>
      <c r="E1909" s="18" t="s">
        <v>36</v>
      </c>
      <c r="F1909" s="18" t="s">
        <v>36</v>
      </c>
      <c r="J1909" s="19"/>
      <c r="K1909" s="19">
        <v>0.18940000000000001</v>
      </c>
      <c r="L1909" s="19">
        <v>5.5501460999999988E-2</v>
      </c>
      <c r="M1909" s="19">
        <v>0.18310000000000001</v>
      </c>
      <c r="N1909" s="19">
        <v>7.5499999999999998E-2</v>
      </c>
      <c r="O1909" s="19">
        <v>0.2109</v>
      </c>
      <c r="P1909" s="19">
        <v>0.26090000000000002</v>
      </c>
      <c r="Q1909" s="19">
        <v>7.7862595000000007E-2</v>
      </c>
      <c r="R1909" s="20">
        <v>20214</v>
      </c>
      <c r="S1909" s="21" t="str">
        <f>HYPERLINK("https://misweb.cccco.edu/npc/982/npcalc.htm", "$13281")</f>
        <v>$13281</v>
      </c>
      <c r="T1909" s="20">
        <v>16509</v>
      </c>
      <c r="U1909" s="20">
        <v>14977</v>
      </c>
      <c r="V1909" s="20">
        <v>7364</v>
      </c>
      <c r="W1909" s="20">
        <v>5917.6314699792974</v>
      </c>
      <c r="Y1909" s="19">
        <v>0.31879999999999997</v>
      </c>
      <c r="Z1909" s="19">
        <v>0.87619999999999998</v>
      </c>
      <c r="AB1909" s="18">
        <v>11856</v>
      </c>
      <c r="AC1909" s="18">
        <v>6</v>
      </c>
    </row>
    <row r="1910" spans="1:29" ht="15.75" customHeight="1" x14ac:dyDescent="0.2">
      <c r="A1910" s="36" t="str">
        <f>HYPERLINK("https://www.sdcity.edu/", "San Diego City College")</f>
        <v>San Diego City College</v>
      </c>
      <c r="B1910" s="18" t="s">
        <v>49</v>
      </c>
      <c r="C1910" s="18" t="s">
        <v>68</v>
      </c>
      <c r="D1910" s="18" t="s">
        <v>288</v>
      </c>
      <c r="E1910" s="18" t="s">
        <v>36</v>
      </c>
      <c r="F1910" s="18" t="s">
        <v>36</v>
      </c>
      <c r="J1910" s="19"/>
      <c r="K1910" s="19">
        <v>0.2278</v>
      </c>
      <c r="L1910" s="19">
        <v>4.4770641999999999E-2</v>
      </c>
      <c r="M1910" s="19">
        <v>0.3301</v>
      </c>
      <c r="N1910" s="19">
        <v>0.13250000000000001</v>
      </c>
      <c r="O1910" s="19">
        <v>0.2026</v>
      </c>
      <c r="P1910" s="19">
        <v>0.4143</v>
      </c>
      <c r="Q1910" s="19">
        <v>0.111347734</v>
      </c>
      <c r="R1910" s="20">
        <v>25280</v>
      </c>
      <c r="S1910" s="21" t="str">
        <f>HYPERLINK("https://www.sdcity.edu/CollegeServices/StudentSupportResources/FinancialAid/NetPriceCalculator", "$17908")</f>
        <v>$17908</v>
      </c>
      <c r="T1910" s="20">
        <v>20899</v>
      </c>
      <c r="U1910" s="20">
        <v>22573</v>
      </c>
      <c r="V1910" s="20">
        <v>6093</v>
      </c>
      <c r="W1910" s="20">
        <v>11815.29433962264</v>
      </c>
      <c r="Y1910" s="19">
        <v>0.29580000000000001</v>
      </c>
      <c r="Z1910" s="19">
        <v>0.77659999999999996</v>
      </c>
      <c r="AB1910" s="18">
        <v>13055</v>
      </c>
      <c r="AC1910" s="18">
        <v>6</v>
      </c>
    </row>
    <row r="1911" spans="1:29" ht="15.75" customHeight="1" x14ac:dyDescent="0.2">
      <c r="A1911" s="36" t="str">
        <f>HYPERLINK("https://www.sdmesa.edu/", "San Diego Mesa College")</f>
        <v>San Diego Mesa College</v>
      </c>
      <c r="B1911" s="18" t="s">
        <v>49</v>
      </c>
      <c r="C1911" s="18" t="s">
        <v>68</v>
      </c>
      <c r="D1911" s="18" t="s">
        <v>288</v>
      </c>
      <c r="E1911" s="18" t="s">
        <v>36</v>
      </c>
      <c r="F1911" s="18" t="s">
        <v>36</v>
      </c>
      <c r="J1911" s="19"/>
      <c r="K1911" s="19">
        <v>0.23180000000000001</v>
      </c>
      <c r="L1911" s="19">
        <v>7.1927000000000005E-2</v>
      </c>
      <c r="M1911" s="19">
        <v>0.2737</v>
      </c>
      <c r="N1911" s="19">
        <v>0.1169</v>
      </c>
      <c r="O1911" s="19">
        <v>0.19800000000000001</v>
      </c>
      <c r="P1911" s="19">
        <v>0.28660000000000002</v>
      </c>
      <c r="Q1911" s="19">
        <v>0.183386838</v>
      </c>
      <c r="R1911" s="20">
        <v>25280</v>
      </c>
      <c r="S1911" s="21" t="str">
        <f>HYPERLINK("https://professionals.collegeboard.org/higher-ed/financial-aid/netprice", "$17823")</f>
        <v>$17823</v>
      </c>
      <c r="T1911" s="20">
        <v>21213</v>
      </c>
      <c r="U1911" s="20">
        <v>22157</v>
      </c>
      <c r="V1911" s="20">
        <v>6093</v>
      </c>
      <c r="W1911" s="20">
        <v>11730.811946902661</v>
      </c>
      <c r="Y1911" s="19">
        <v>0.18920000000000001</v>
      </c>
      <c r="Z1911" s="19">
        <v>0.68440000000000001</v>
      </c>
      <c r="AB1911" s="18">
        <v>19856</v>
      </c>
      <c r="AC1911" s="18">
        <v>6</v>
      </c>
    </row>
    <row r="1912" spans="1:29" ht="15.75" customHeight="1" x14ac:dyDescent="0.2">
      <c r="A1912" s="36" t="str">
        <f>HYPERLINK("https://www.sdmiramar.edu", "San Diego Miramar College")</f>
        <v>San Diego Miramar College</v>
      </c>
      <c r="B1912" s="18" t="s">
        <v>49</v>
      </c>
      <c r="C1912" s="18" t="s">
        <v>68</v>
      </c>
      <c r="D1912" s="18" t="s">
        <v>288</v>
      </c>
      <c r="E1912" s="18" t="s">
        <v>36</v>
      </c>
      <c r="F1912" s="18" t="s">
        <v>36</v>
      </c>
      <c r="J1912" s="19"/>
      <c r="K1912" s="19">
        <v>0.39250000000000002</v>
      </c>
      <c r="L1912" s="19">
        <v>6.4989517999999996E-2</v>
      </c>
      <c r="M1912" s="19">
        <v>0.33150000000000002</v>
      </c>
      <c r="N1912" s="19">
        <v>0.3</v>
      </c>
      <c r="O1912" s="19">
        <v>0.30409999999999998</v>
      </c>
      <c r="P1912" s="19">
        <v>0.54269999999999996</v>
      </c>
      <c r="Q1912" s="19">
        <v>0.16760224500000001</v>
      </c>
      <c r="R1912" s="20">
        <v>25280</v>
      </c>
      <c r="S1912" s="21" t="str">
        <f>HYPERLINK("https://misweb.cccco.edu/npc/073/npcalc.htm", "$17862")</f>
        <v>$17862</v>
      </c>
      <c r="T1912" s="20">
        <v>20889</v>
      </c>
      <c r="U1912" s="20">
        <v>22696</v>
      </c>
      <c r="V1912" s="20">
        <v>6093</v>
      </c>
      <c r="W1912" s="20">
        <v>11769.429268292681</v>
      </c>
      <c r="Y1912" s="19">
        <v>0.1716</v>
      </c>
      <c r="Z1912" s="19">
        <v>0.627</v>
      </c>
      <c r="AB1912" s="18">
        <v>13213</v>
      </c>
      <c r="AC1912" s="18">
        <v>6</v>
      </c>
    </row>
    <row r="1913" spans="1:29" ht="15.75" customHeight="1" x14ac:dyDescent="0.2">
      <c r="A1913" s="36" t="str">
        <f>HYPERLINK("https://www.sdsu.edu", "San Diego State University")</f>
        <v>San Diego State University</v>
      </c>
      <c r="B1913" s="18" t="s">
        <v>49</v>
      </c>
      <c r="C1913" s="18" t="s">
        <v>68</v>
      </c>
      <c r="D1913" s="18" t="s">
        <v>288</v>
      </c>
      <c r="E1913" s="18">
        <v>1206</v>
      </c>
      <c r="F1913" s="18" t="s">
        <v>35</v>
      </c>
      <c r="J1913" s="19"/>
      <c r="K1913" s="19">
        <v>0.74239999999999995</v>
      </c>
      <c r="L1913" s="19">
        <v>0.59036658100000006</v>
      </c>
      <c r="M1913" s="19">
        <v>0.76990000000000003</v>
      </c>
      <c r="N1913" s="19">
        <v>0.71030000000000004</v>
      </c>
      <c r="O1913" s="19">
        <v>0.72689999999999999</v>
      </c>
      <c r="P1913" s="19">
        <v>0.76459999999999995</v>
      </c>
      <c r="Q1913" s="19"/>
      <c r="R1913" s="20">
        <v>40104</v>
      </c>
      <c r="S1913" s="21" t="str">
        <f>HYPERLINK("https://www2.calstate.edu/attend/paying-for-college/pages/csu-costs.aspx", "$27946")</f>
        <v>$27946</v>
      </c>
      <c r="T1913" s="20">
        <v>33364</v>
      </c>
      <c r="U1913" s="20">
        <v>37315</v>
      </c>
      <c r="V1913" s="20">
        <v>4798</v>
      </c>
      <c r="W1913" s="20">
        <v>23148.617755856969</v>
      </c>
      <c r="Y1913" s="19">
        <v>0.34439999999999998</v>
      </c>
      <c r="Z1913" s="19">
        <v>0.66280000000000006</v>
      </c>
      <c r="AB1913" s="18">
        <v>29781</v>
      </c>
      <c r="AC1913" s="18">
        <v>3</v>
      </c>
    </row>
    <row r="1914" spans="1:29" ht="15.75" customHeight="1" x14ac:dyDescent="0.2">
      <c r="A1914" s="36" t="str">
        <f>HYPERLINK("https://www.ivcampus.sdsu.edu", "San Diego State University-Imperial Valley Campus")</f>
        <v>San Diego State University-Imperial Valley Campus</v>
      </c>
      <c r="B1914" s="18" t="s">
        <v>49</v>
      </c>
      <c r="C1914" s="18" t="s">
        <v>68</v>
      </c>
      <c r="D1914" s="18" t="s">
        <v>471</v>
      </c>
      <c r="E1914" s="18" t="s">
        <v>36</v>
      </c>
      <c r="F1914" s="18" t="s">
        <v>36</v>
      </c>
      <c r="J1914" s="19"/>
      <c r="K1914" s="19" t="s">
        <v>36</v>
      </c>
      <c r="L1914" s="19">
        <v>0.59036658100000006</v>
      </c>
      <c r="M1914" s="19" t="s">
        <v>36</v>
      </c>
      <c r="N1914" s="19" t="s">
        <v>36</v>
      </c>
      <c r="O1914" s="19" t="s">
        <v>36</v>
      </c>
      <c r="P1914" s="19" t="s">
        <v>36</v>
      </c>
      <c r="Q1914" s="19"/>
      <c r="R1914" s="20" t="s">
        <v>36</v>
      </c>
      <c r="S1914" s="35" t="s">
        <v>36</v>
      </c>
      <c r="T1914" s="20" t="s">
        <v>36</v>
      </c>
      <c r="U1914" s="20" t="s">
        <v>36</v>
      </c>
      <c r="V1914" s="20" t="s">
        <v>36</v>
      </c>
      <c r="W1914" s="20" t="s">
        <v>36</v>
      </c>
      <c r="Y1914" s="19" t="s">
        <v>36</v>
      </c>
      <c r="Z1914" s="19" t="s">
        <v>36</v>
      </c>
      <c r="AB1914" s="18" t="s">
        <v>36</v>
      </c>
      <c r="AC1914" s="18">
        <v>3</v>
      </c>
    </row>
    <row r="1915" spans="1:29" ht="15.75" customHeight="1" x14ac:dyDescent="0.2">
      <c r="A1915" s="36" t="str">
        <f>HYPERLINK("https://www.sfai.edu", "San Francisco Art Institute")</f>
        <v>San Francisco Art Institute</v>
      </c>
      <c r="B1915" s="18" t="s">
        <v>32</v>
      </c>
      <c r="C1915" s="18" t="s">
        <v>68</v>
      </c>
      <c r="D1915" s="18" t="s">
        <v>522</v>
      </c>
      <c r="E1915" s="18" t="s">
        <v>36</v>
      </c>
      <c r="F1915" s="18" t="s">
        <v>45</v>
      </c>
      <c r="J1915" s="19"/>
      <c r="K1915" s="19">
        <v>0.4138</v>
      </c>
      <c r="L1915" s="19">
        <v>0.46153846199999998</v>
      </c>
      <c r="M1915" s="19">
        <v>0.37740000000000001</v>
      </c>
      <c r="N1915" s="19">
        <v>0.5</v>
      </c>
      <c r="O1915" s="19">
        <v>0.72729999999999995</v>
      </c>
      <c r="P1915" s="19">
        <v>0</v>
      </c>
      <c r="Q1915" s="19"/>
      <c r="R1915" s="20">
        <v>69127</v>
      </c>
      <c r="S1915" s="21" t="str">
        <f>HYPERLINK("https://webadvisor.sfai.edu:8082/netpricecalculator2.html", "$42554")</f>
        <v>$42554</v>
      </c>
      <c r="T1915" s="20">
        <v>35304</v>
      </c>
      <c r="U1915" s="20">
        <v>45038</v>
      </c>
      <c r="V1915" s="20">
        <v>8262</v>
      </c>
      <c r="W1915" s="20">
        <v>34292</v>
      </c>
      <c r="Y1915" s="19">
        <v>0.31069999999999998</v>
      </c>
      <c r="Z1915" s="19">
        <v>0.58779999999999999</v>
      </c>
      <c r="AB1915" s="18">
        <v>296</v>
      </c>
      <c r="AC1915" s="18">
        <v>4</v>
      </c>
    </row>
    <row r="1916" spans="1:29" ht="15.75" customHeight="1" x14ac:dyDescent="0.2">
      <c r="A1916" s="36" t="str">
        <f>HYPERLINK("https://sfcm.edu", "San Francisco Conservatory of Music")</f>
        <v>San Francisco Conservatory of Music</v>
      </c>
      <c r="B1916" s="18" t="s">
        <v>32</v>
      </c>
      <c r="C1916" s="18" t="s">
        <v>68</v>
      </c>
      <c r="D1916" s="18" t="s">
        <v>522</v>
      </c>
      <c r="E1916" s="18" t="s">
        <v>36</v>
      </c>
      <c r="F1916" s="18" t="s">
        <v>90</v>
      </c>
      <c r="J1916" s="19"/>
      <c r="K1916" s="19">
        <v>0.63270000000000004</v>
      </c>
      <c r="L1916" s="19" t="s">
        <v>36</v>
      </c>
      <c r="M1916" s="19">
        <v>0.70589999999999997</v>
      </c>
      <c r="N1916" s="19">
        <v>1</v>
      </c>
      <c r="O1916" s="19">
        <v>0</v>
      </c>
      <c r="P1916" s="19">
        <v>0.6</v>
      </c>
      <c r="Q1916" s="19"/>
      <c r="R1916" s="20">
        <v>64945</v>
      </c>
      <c r="S1916" s="21" t="str">
        <f>HYPERLINK("https://sfcm.edu/admissions/cost-aid/tuition-fees", "$32586")</f>
        <v>$32586</v>
      </c>
      <c r="T1916" s="20">
        <v>29014</v>
      </c>
      <c r="U1916" s="20">
        <v>42086</v>
      </c>
      <c r="V1916" s="20">
        <v>4075</v>
      </c>
      <c r="W1916" s="20">
        <v>28511</v>
      </c>
      <c r="Y1916" s="19">
        <v>0.29260000000000003</v>
      </c>
      <c r="Z1916" s="19">
        <v>0.65849999999999997</v>
      </c>
      <c r="AB1916" s="18">
        <v>205</v>
      </c>
      <c r="AC1916" s="18">
        <v>4</v>
      </c>
    </row>
    <row r="1917" spans="1:29" ht="15.75" customHeight="1" x14ac:dyDescent="0.2">
      <c r="A1917" s="36" t="str">
        <f>HYPERLINK("https://www.sfsu.edu", "San Francisco State University")</f>
        <v>San Francisco State University</v>
      </c>
      <c r="B1917" s="18" t="s">
        <v>49</v>
      </c>
      <c r="C1917" s="18" t="s">
        <v>68</v>
      </c>
      <c r="D1917" s="18" t="s">
        <v>522</v>
      </c>
      <c r="E1917" s="18">
        <v>1054</v>
      </c>
      <c r="F1917" s="18" t="s">
        <v>35</v>
      </c>
      <c r="J1917" s="19"/>
      <c r="K1917" s="19">
        <v>0.53590000000000004</v>
      </c>
      <c r="L1917" s="19">
        <v>0.51052840700000002</v>
      </c>
      <c r="M1917" s="19">
        <v>0.54269999999999996</v>
      </c>
      <c r="N1917" s="19">
        <v>0.42409999999999998</v>
      </c>
      <c r="O1917" s="19">
        <v>0.47820000000000001</v>
      </c>
      <c r="P1917" s="19">
        <v>0.64559999999999995</v>
      </c>
      <c r="Q1917" s="19"/>
      <c r="R1917" s="20">
        <v>38599</v>
      </c>
      <c r="S1917" s="21" t="str">
        <f>HYPERLINK("https://financialaid.sfsu.edu/node/55", "$26486")</f>
        <v>$26486</v>
      </c>
      <c r="T1917" s="20">
        <v>31372</v>
      </c>
      <c r="U1917" s="20">
        <v>35896</v>
      </c>
      <c r="V1917" s="20">
        <v>4963</v>
      </c>
      <c r="W1917" s="20">
        <v>21523.07566302652</v>
      </c>
      <c r="Y1917" s="19">
        <v>0.42670000000000002</v>
      </c>
      <c r="Z1917" s="19">
        <v>0.81699999999999995</v>
      </c>
      <c r="AB1917" s="18">
        <v>25966</v>
      </c>
      <c r="AC1917" s="18">
        <v>4</v>
      </c>
    </row>
    <row r="1918" spans="1:29" ht="15.75" customHeight="1" x14ac:dyDescent="0.2">
      <c r="A1918" s="36" t="str">
        <f>HYPERLINK("https://www.sanjac.edu/", "San Jacinto Community College")</f>
        <v>San Jacinto Community College</v>
      </c>
      <c r="B1918" s="18" t="s">
        <v>49</v>
      </c>
      <c r="C1918" s="18" t="s">
        <v>146</v>
      </c>
      <c r="D1918" s="18" t="s">
        <v>69</v>
      </c>
      <c r="E1918" s="18" t="s">
        <v>36</v>
      </c>
      <c r="F1918" s="18" t="s">
        <v>36</v>
      </c>
      <c r="J1918" s="19"/>
      <c r="K1918" s="19">
        <v>0.27589999999999998</v>
      </c>
      <c r="L1918" s="19">
        <v>0.18988999500000001</v>
      </c>
      <c r="M1918" s="19">
        <v>0.2833</v>
      </c>
      <c r="N1918" s="19">
        <v>0.20880000000000001</v>
      </c>
      <c r="O1918" s="19">
        <v>0.27100000000000002</v>
      </c>
      <c r="P1918" s="19">
        <v>0.38179999999999997</v>
      </c>
      <c r="Q1918" s="19">
        <v>7.2147650999999993E-2</v>
      </c>
      <c r="R1918" s="20">
        <v>18174</v>
      </c>
      <c r="S1918" s="21" t="str">
        <f>HYPERLINK("https://www.sanjac.edu/future-students/paying-for-college/tuition-fees", "$13028")</f>
        <v>$13028</v>
      </c>
      <c r="T1918" s="20">
        <v>15168</v>
      </c>
      <c r="U1918" s="20">
        <v>16772</v>
      </c>
      <c r="V1918" s="20">
        <v>6142</v>
      </c>
      <c r="W1918" s="20">
        <v>6886.7475083056488</v>
      </c>
      <c r="Y1918" s="19">
        <v>0.24560000000000001</v>
      </c>
      <c r="Z1918" s="19">
        <v>0.75829999999999997</v>
      </c>
      <c r="AB1918" s="18">
        <v>24827</v>
      </c>
      <c r="AC1918" s="18">
        <v>6</v>
      </c>
    </row>
    <row r="1919" spans="1:29" ht="15.75" customHeight="1" x14ac:dyDescent="0.2">
      <c r="A1919" s="36" t="str">
        <f>HYPERLINK("https://www.deltacollege.edu/", "San Joaquin Delta College")</f>
        <v>San Joaquin Delta College</v>
      </c>
      <c r="B1919" s="18" t="s">
        <v>49</v>
      </c>
      <c r="C1919" s="18" t="s">
        <v>68</v>
      </c>
      <c r="D1919" s="18" t="s">
        <v>528</v>
      </c>
      <c r="E1919" s="18" t="s">
        <v>36</v>
      </c>
      <c r="F1919" s="18" t="s">
        <v>36</v>
      </c>
      <c r="J1919" s="19"/>
      <c r="K1919" s="19">
        <v>0.26440000000000002</v>
      </c>
      <c r="L1919" s="19">
        <v>9.8175183000000013E-2</v>
      </c>
      <c r="M1919" s="19">
        <v>0.3453</v>
      </c>
      <c r="N1919" s="19">
        <v>9.9199999999999997E-2</v>
      </c>
      <c r="O1919" s="19">
        <v>0.2379</v>
      </c>
      <c r="P1919" s="19">
        <v>0.29609999999999997</v>
      </c>
      <c r="Q1919" s="19">
        <v>7.5135135000000006E-2</v>
      </c>
      <c r="R1919" s="20">
        <v>26106</v>
      </c>
      <c r="S1919" s="21" t="str">
        <f>HYPERLINK("https://www.deltacollege.edu/student-services/financial-aid-and-scholarships/cost-estimates/net-price-calculator", "$18356")</f>
        <v>$18356</v>
      </c>
      <c r="T1919" s="20">
        <v>21862</v>
      </c>
      <c r="U1919" s="20">
        <v>23500</v>
      </c>
      <c r="V1919" s="20">
        <v>6093</v>
      </c>
      <c r="W1919" s="20">
        <v>12263.088642659281</v>
      </c>
      <c r="Y1919" s="19">
        <v>0.31019999999999998</v>
      </c>
      <c r="Z1919" s="19">
        <v>0.79269999999999996</v>
      </c>
      <c r="AB1919" s="18">
        <v>15003</v>
      </c>
      <c r="AC1919" s="18">
        <v>6</v>
      </c>
    </row>
    <row r="1920" spans="1:29" ht="15.75" customHeight="1" x14ac:dyDescent="0.2">
      <c r="A1920" s="36" t="str">
        <f>HYPERLINK("https://www.sjvc.edu", "San Joaquin Valley College-Visalia")</f>
        <v>San Joaquin Valley College-Visalia</v>
      </c>
      <c r="B1920" s="18" t="s">
        <v>368</v>
      </c>
      <c r="C1920" s="18" t="s">
        <v>68</v>
      </c>
      <c r="D1920" s="18" t="s">
        <v>1197</v>
      </c>
      <c r="E1920" s="18" t="s">
        <v>36</v>
      </c>
      <c r="F1920" s="18" t="s">
        <v>36</v>
      </c>
      <c r="J1920" s="19"/>
      <c r="K1920" s="19">
        <v>0.50939999999999996</v>
      </c>
      <c r="L1920" s="19">
        <v>0.59630236400000003</v>
      </c>
      <c r="M1920" s="19">
        <v>0.48089999999999999</v>
      </c>
      <c r="N1920" s="19">
        <v>0.26829999999999998</v>
      </c>
      <c r="O1920" s="19">
        <v>0.59060000000000001</v>
      </c>
      <c r="P1920" s="19">
        <v>0.62790000000000001</v>
      </c>
      <c r="Q1920" s="19">
        <v>9.4027509999999991E-3</v>
      </c>
      <c r="R1920" s="20" t="s">
        <v>36</v>
      </c>
      <c r="S1920" s="21" t="str">
        <f>HYPERLINK("https://www.sjvc.edu/net-price-calculator", "$19494")</f>
        <v>$19494</v>
      </c>
      <c r="T1920" s="20">
        <v>21087</v>
      </c>
      <c r="U1920" s="20">
        <v>23081</v>
      </c>
      <c r="V1920" s="20" t="s">
        <v>36</v>
      </c>
      <c r="W1920" s="20" t="s">
        <v>36</v>
      </c>
      <c r="Y1920" s="19">
        <v>0.71640000000000004</v>
      </c>
      <c r="Z1920" s="19">
        <v>0.76869999999999994</v>
      </c>
      <c r="AB1920" s="18">
        <v>5239</v>
      </c>
      <c r="AC1920" s="18">
        <v>6</v>
      </c>
    </row>
    <row r="1921" spans="1:29" ht="15.75" customHeight="1" x14ac:dyDescent="0.2">
      <c r="A1921" s="36" t="str">
        <f>HYPERLINK("https://www.sjsu.edu", "San Jose State University")</f>
        <v>San Jose State University</v>
      </c>
      <c r="B1921" s="18" t="s">
        <v>49</v>
      </c>
      <c r="C1921" s="18" t="s">
        <v>68</v>
      </c>
      <c r="D1921" s="18" t="s">
        <v>659</v>
      </c>
      <c r="E1921" s="18">
        <v>1110</v>
      </c>
      <c r="F1921" s="18" t="s">
        <v>35</v>
      </c>
      <c r="J1921" s="19"/>
      <c r="K1921" s="19">
        <v>0.5675</v>
      </c>
      <c r="L1921" s="19">
        <v>0.52822580699999999</v>
      </c>
      <c r="M1921" s="19">
        <v>0.58230000000000004</v>
      </c>
      <c r="N1921" s="19">
        <v>0.43</v>
      </c>
      <c r="O1921" s="19">
        <v>0.48749999999999999</v>
      </c>
      <c r="P1921" s="19">
        <v>0.64990000000000003</v>
      </c>
      <c r="Q1921" s="19"/>
      <c r="R1921" s="20">
        <v>40046</v>
      </c>
      <c r="S1921" s="21" t="str">
        <f>HYPERLINK("https://www2.calstate.edu/attend/paying-for-college/Pages/csu-costs.aspx", "$27798")</f>
        <v>$27798</v>
      </c>
      <c r="T1921" s="20">
        <v>32969</v>
      </c>
      <c r="U1921" s="20">
        <v>36428</v>
      </c>
      <c r="V1921" s="20">
        <v>4851</v>
      </c>
      <c r="W1921" s="20">
        <v>22947.591456736031</v>
      </c>
      <c r="Y1921" s="19">
        <v>0.41039999999999999</v>
      </c>
      <c r="Z1921" s="19">
        <v>0.83810000000000007</v>
      </c>
      <c r="AB1921" s="18">
        <v>27591</v>
      </c>
      <c r="AC1921" s="18">
        <v>4</v>
      </c>
    </row>
    <row r="1922" spans="1:29" ht="15.75" customHeight="1" x14ac:dyDescent="0.2">
      <c r="A1922" s="36" t="str">
        <f>HYPERLINK("https://www.sandhills.edu", "Sandhills Community College")</f>
        <v>Sandhills Community College</v>
      </c>
      <c r="B1922" s="18" t="s">
        <v>49</v>
      </c>
      <c r="C1922" s="18" t="s">
        <v>103</v>
      </c>
      <c r="D1922" s="18" t="s">
        <v>1671</v>
      </c>
      <c r="E1922" s="18" t="s">
        <v>36</v>
      </c>
      <c r="F1922" s="18" t="s">
        <v>36</v>
      </c>
      <c r="J1922" s="19"/>
      <c r="K1922" s="19">
        <v>0.17519999999999999</v>
      </c>
      <c r="L1922" s="19">
        <v>0.114785992</v>
      </c>
      <c r="M1922" s="19">
        <v>0.2762</v>
      </c>
      <c r="N1922" s="19">
        <v>3.39E-2</v>
      </c>
      <c r="O1922" s="19">
        <v>0.1739</v>
      </c>
      <c r="P1922" s="19">
        <v>0</v>
      </c>
      <c r="Q1922" s="19">
        <v>4.9295775E-2</v>
      </c>
      <c r="R1922" s="20">
        <v>25819</v>
      </c>
      <c r="S1922" s="21" t="str">
        <f>HYPERLINK("https://www.sandhills.edu/net-price-calculator/", "$20703")</f>
        <v>$20703</v>
      </c>
      <c r="T1922" s="20">
        <v>21139</v>
      </c>
      <c r="U1922" s="20">
        <v>24053</v>
      </c>
      <c r="V1922" s="20">
        <v>7533</v>
      </c>
      <c r="W1922" s="20">
        <v>13170.347305389219</v>
      </c>
      <c r="Y1922" s="19">
        <v>0.32050000000000001</v>
      </c>
      <c r="Z1922" s="19">
        <v>0.42520000000000002</v>
      </c>
      <c r="AB1922" s="18">
        <v>2733</v>
      </c>
      <c r="AC1922" s="18">
        <v>6</v>
      </c>
    </row>
    <row r="1923" spans="1:29" ht="15.75" customHeight="1" x14ac:dyDescent="0.2">
      <c r="A1923" s="36" t="str">
        <f>HYPERLINK("https://www.sac.edu", "Santa Ana College")</f>
        <v>Santa Ana College</v>
      </c>
      <c r="B1923" s="18" t="s">
        <v>49</v>
      </c>
      <c r="C1923" s="18" t="s">
        <v>68</v>
      </c>
      <c r="D1923" s="18" t="s">
        <v>1672</v>
      </c>
      <c r="E1923" s="18" t="s">
        <v>36</v>
      </c>
      <c r="F1923" s="18" t="s">
        <v>36</v>
      </c>
      <c r="J1923" s="19"/>
      <c r="K1923" s="19">
        <v>0.25430000000000003</v>
      </c>
      <c r="L1923" s="19">
        <v>0.16940671900000001</v>
      </c>
      <c r="M1923" s="19">
        <v>0.35289999999999999</v>
      </c>
      <c r="N1923" s="19">
        <v>0.21429999999999999</v>
      </c>
      <c r="O1923" s="19">
        <v>0.217</v>
      </c>
      <c r="P1923" s="19">
        <v>0.4521</v>
      </c>
      <c r="Q1923" s="19">
        <v>8.212809900000001E-2</v>
      </c>
      <c r="R1923" s="20">
        <v>27606</v>
      </c>
      <c r="S1923" s="21" t="str">
        <f>HYPERLINK("https://misweb.cccco.edu/npc/871/npcalc.htm", "$21471")</f>
        <v>$21471</v>
      </c>
      <c r="T1923" s="20">
        <v>23995</v>
      </c>
      <c r="U1923" s="20">
        <v>24539</v>
      </c>
      <c r="V1923" s="20">
        <v>6284</v>
      </c>
      <c r="W1923" s="20">
        <v>15187.54907539118</v>
      </c>
      <c r="Y1923" s="19">
        <v>0.12620000000000001</v>
      </c>
      <c r="Z1923" s="19">
        <v>0.80679999999999996</v>
      </c>
      <c r="AB1923" s="18">
        <v>25885</v>
      </c>
      <c r="AC1923" s="18">
        <v>6</v>
      </c>
    </row>
    <row r="1924" spans="1:29" ht="15.75" customHeight="1" x14ac:dyDescent="0.2">
      <c r="A1924" s="36" t="str">
        <f>HYPERLINK("https://sbbcollege.edu", "Santa Barbara Business College-Bakersfield")</f>
        <v>Santa Barbara Business College-Bakersfield</v>
      </c>
      <c r="B1924" s="18" t="s">
        <v>368</v>
      </c>
      <c r="C1924" s="18" t="s">
        <v>68</v>
      </c>
      <c r="D1924" s="18" t="s">
        <v>669</v>
      </c>
      <c r="E1924" s="18" t="s">
        <v>36</v>
      </c>
      <c r="F1924" s="18" t="s">
        <v>36</v>
      </c>
      <c r="J1924" s="19"/>
      <c r="K1924" s="19">
        <v>0.53639999999999999</v>
      </c>
      <c r="L1924" s="19">
        <v>0.45819398</v>
      </c>
      <c r="M1924" s="19">
        <v>0.5</v>
      </c>
      <c r="N1924" s="19">
        <v>0.1429</v>
      </c>
      <c r="O1924" s="19">
        <v>0.57140000000000002</v>
      </c>
      <c r="P1924" s="19">
        <v>1</v>
      </c>
      <c r="Q1924" s="19" t="s">
        <v>36</v>
      </c>
      <c r="R1924" s="20">
        <v>26328</v>
      </c>
      <c r="S1924" s="21" t="str">
        <f>HYPERLINK("https://cloud.sbbcollege.edu/npc/npc_bkrm.htm", "$16407")</f>
        <v>$16407</v>
      </c>
      <c r="T1924" s="20">
        <v>23517</v>
      </c>
      <c r="U1924" s="20">
        <v>19822</v>
      </c>
      <c r="V1924" s="20" t="s">
        <v>36</v>
      </c>
      <c r="W1924" s="20" t="s">
        <v>36</v>
      </c>
      <c r="Y1924" s="19">
        <v>0.88539999999999996</v>
      </c>
      <c r="Z1924" s="19">
        <v>0.83729999999999993</v>
      </c>
      <c r="AB1924" s="18">
        <v>332</v>
      </c>
      <c r="AC1924" s="18">
        <v>6</v>
      </c>
    </row>
    <row r="1925" spans="1:29" ht="15.75" customHeight="1" x14ac:dyDescent="0.2">
      <c r="A1925" s="36" t="str">
        <f>HYPERLINK("https://sbbcollege.edu", "Santa Barbara Business College-Santa Maria")</f>
        <v>Santa Barbara Business College-Santa Maria</v>
      </c>
      <c r="B1925" s="18" t="s">
        <v>368</v>
      </c>
      <c r="C1925" s="18" t="s">
        <v>68</v>
      </c>
      <c r="D1925" s="18" t="s">
        <v>855</v>
      </c>
      <c r="E1925" s="18" t="s">
        <v>36</v>
      </c>
      <c r="F1925" s="18" t="s">
        <v>36</v>
      </c>
      <c r="J1925" s="19"/>
      <c r="K1925" s="19">
        <v>0.70450000000000002</v>
      </c>
      <c r="L1925" s="19">
        <v>0.56084656099999997</v>
      </c>
      <c r="M1925" s="19">
        <v>0.66669999999999996</v>
      </c>
      <c r="N1925" s="19" t="s">
        <v>36</v>
      </c>
      <c r="O1925" s="19">
        <v>0.72729999999999995</v>
      </c>
      <c r="P1925" s="19">
        <v>0</v>
      </c>
      <c r="Q1925" s="19" t="s">
        <v>36</v>
      </c>
      <c r="R1925" s="20">
        <v>26328</v>
      </c>
      <c r="S1925" s="21" t="str">
        <f>HYPERLINK("https://cloud.sbbcollege.edu/npc/npc_sm.htm", "$15500")</f>
        <v>$15500</v>
      </c>
      <c r="T1925" s="20" t="s">
        <v>36</v>
      </c>
      <c r="U1925" s="20" t="s">
        <v>36</v>
      </c>
      <c r="V1925" s="20" t="s">
        <v>36</v>
      </c>
      <c r="W1925" s="20" t="s">
        <v>36</v>
      </c>
      <c r="Y1925" s="19">
        <v>0.69230000000000003</v>
      </c>
      <c r="Z1925" s="19">
        <v>0.80769999999999997</v>
      </c>
      <c r="AB1925" s="18">
        <v>78</v>
      </c>
      <c r="AC1925" s="18">
        <v>6</v>
      </c>
    </row>
    <row r="1926" spans="1:29" ht="15.75" customHeight="1" x14ac:dyDescent="0.2">
      <c r="A1926" s="36" t="str">
        <f>HYPERLINK("https://www.sbcc.edu", "Santa Barbara City College")</f>
        <v>Santa Barbara City College</v>
      </c>
      <c r="B1926" s="18" t="s">
        <v>49</v>
      </c>
      <c r="C1926" s="18" t="s">
        <v>68</v>
      </c>
      <c r="D1926" s="18" t="s">
        <v>275</v>
      </c>
      <c r="E1926" s="18" t="s">
        <v>36</v>
      </c>
      <c r="F1926" s="18" t="s">
        <v>36</v>
      </c>
      <c r="J1926" s="19"/>
      <c r="K1926" s="19">
        <v>0.35139999999999999</v>
      </c>
      <c r="L1926" s="19">
        <v>8.9659295E-2</v>
      </c>
      <c r="M1926" s="19">
        <v>0.3972</v>
      </c>
      <c r="N1926" s="19">
        <v>0.1875</v>
      </c>
      <c r="O1926" s="19">
        <v>0.3145</v>
      </c>
      <c r="P1926" s="19">
        <v>0.49230000000000002</v>
      </c>
      <c r="Q1926" s="19">
        <v>0.15083586600000001</v>
      </c>
      <c r="R1926" s="20">
        <v>24956</v>
      </c>
      <c r="S1926" s="21" t="str">
        <f>HYPERLINK("https://misweb.cccco.edu/npc/651/npcalc.htm", "$17262")</f>
        <v>$17262</v>
      </c>
      <c r="T1926" s="20">
        <v>17046</v>
      </c>
      <c r="U1926" s="20">
        <v>17167</v>
      </c>
      <c r="V1926" s="20">
        <v>4680</v>
      </c>
      <c r="W1926" s="20">
        <v>12582.170212765959</v>
      </c>
      <c r="Y1926" s="19">
        <v>0.21540000000000001</v>
      </c>
      <c r="Z1926" s="19">
        <v>0.60040000000000004</v>
      </c>
      <c r="AB1926" s="18">
        <v>13344</v>
      </c>
      <c r="AC1926" s="18">
        <v>6</v>
      </c>
    </row>
    <row r="1927" spans="1:29" ht="15.75" customHeight="1" x14ac:dyDescent="0.2">
      <c r="A1927" s="36" t="str">
        <f>HYPERLINK("https://www.scu.edu", "Santa Clara University")</f>
        <v>Santa Clara University</v>
      </c>
      <c r="B1927" s="18" t="s">
        <v>32</v>
      </c>
      <c r="C1927" s="18" t="s">
        <v>68</v>
      </c>
      <c r="D1927" s="18" t="s">
        <v>150</v>
      </c>
      <c r="E1927" s="18">
        <v>1378</v>
      </c>
      <c r="F1927" s="18" t="s">
        <v>35</v>
      </c>
      <c r="J1927" s="19"/>
      <c r="K1927" s="19">
        <v>0.89770000000000005</v>
      </c>
      <c r="L1927" s="19">
        <v>0.65142857100000007</v>
      </c>
      <c r="M1927" s="19">
        <v>0.89039999999999997</v>
      </c>
      <c r="N1927" s="19">
        <v>0.88239999999999996</v>
      </c>
      <c r="O1927" s="19">
        <v>0.87780000000000002</v>
      </c>
      <c r="P1927" s="19">
        <v>0.92589999999999995</v>
      </c>
      <c r="Q1927" s="19"/>
      <c r="R1927" s="20">
        <v>69439</v>
      </c>
      <c r="S1927" s="21" t="str">
        <f>HYPERLINK("https://www.scu.edu/financialaid/Net-Price-Calculator.cfm", "$20279")</f>
        <v>$20279</v>
      </c>
      <c r="T1927" s="20">
        <v>22654</v>
      </c>
      <c r="U1927" s="20">
        <v>31505</v>
      </c>
      <c r="V1927" s="20">
        <v>5094</v>
      </c>
      <c r="W1927" s="20">
        <v>15185</v>
      </c>
      <c r="Y1927" s="19">
        <v>0.1056</v>
      </c>
      <c r="Z1927" s="19">
        <v>0.50319999999999998</v>
      </c>
      <c r="AB1927" s="18">
        <v>5481</v>
      </c>
      <c r="AC1927" s="18">
        <v>1</v>
      </c>
    </row>
    <row r="1928" spans="1:29" ht="15.75" customHeight="1" x14ac:dyDescent="0.2">
      <c r="A1928" s="36" t="str">
        <f>HYPERLINK("https://www.sfcollege.edu", "Santa Fe College")</f>
        <v>Santa Fe College</v>
      </c>
      <c r="B1928" s="18" t="s">
        <v>49</v>
      </c>
      <c r="C1928" s="18" t="s">
        <v>162</v>
      </c>
      <c r="D1928" s="18" t="s">
        <v>277</v>
      </c>
      <c r="E1928" s="18" t="s">
        <v>36</v>
      </c>
      <c r="F1928" s="18" t="s">
        <v>36</v>
      </c>
      <c r="J1928" s="19"/>
      <c r="K1928" s="19">
        <v>0.50480000000000003</v>
      </c>
      <c r="L1928" s="19">
        <v>0.243378119</v>
      </c>
      <c r="M1928" s="19">
        <v>0.51070000000000004</v>
      </c>
      <c r="N1928" s="19">
        <v>0.45069999999999999</v>
      </c>
      <c r="O1928" s="19">
        <v>0.51339999999999997</v>
      </c>
      <c r="P1928" s="19">
        <v>0.5</v>
      </c>
      <c r="Q1928" s="19">
        <v>0.1145364</v>
      </c>
      <c r="R1928" s="20">
        <v>23931</v>
      </c>
      <c r="S1928" s="21" t="str">
        <f>HYPERLINK("https://www.sfcollege.edu/financialaid/NetPriceCalculator/", "$20527")</f>
        <v>$20527</v>
      </c>
      <c r="T1928" s="20">
        <v>22299</v>
      </c>
      <c r="U1928" s="20">
        <v>23393</v>
      </c>
      <c r="V1928" s="20">
        <v>4734</v>
      </c>
      <c r="W1928" s="20">
        <v>15793.017543859651</v>
      </c>
      <c r="Y1928" s="19">
        <v>0.30409999999999998</v>
      </c>
      <c r="Z1928" s="19">
        <v>0.44750000000000001</v>
      </c>
      <c r="AB1928" s="18">
        <v>12925</v>
      </c>
      <c r="AC1928" s="18">
        <v>6</v>
      </c>
    </row>
    <row r="1929" spans="1:29" ht="15.75" customHeight="1" x14ac:dyDescent="0.2">
      <c r="A1929" s="36" t="str">
        <f>HYPERLINK("https://www.santafeuniversity.edu", "Santa Fe University of Art and Design")</f>
        <v>Santa Fe University of Art and Design</v>
      </c>
      <c r="B1929" s="18" t="s">
        <v>368</v>
      </c>
      <c r="C1929" s="18" t="s">
        <v>234</v>
      </c>
      <c r="D1929" s="18" t="s">
        <v>253</v>
      </c>
      <c r="E1929" s="18" t="s">
        <v>36</v>
      </c>
      <c r="F1929" s="18" t="s">
        <v>36</v>
      </c>
      <c r="J1929" s="19"/>
      <c r="K1929" s="19">
        <v>0.69189999999999996</v>
      </c>
      <c r="L1929" s="19" t="s">
        <v>36</v>
      </c>
      <c r="M1929" s="19">
        <v>0.72219999999999995</v>
      </c>
      <c r="N1929" s="19">
        <v>0.5</v>
      </c>
      <c r="O1929" s="19">
        <v>0.66669999999999996</v>
      </c>
      <c r="P1929" s="19" t="s">
        <v>36</v>
      </c>
      <c r="Q1929" s="19"/>
      <c r="R1929" s="20">
        <v>45392</v>
      </c>
      <c r="S1929" s="21" t="str">
        <f>HYPERLINK("https://santafeuniversity.studentaidcalculator.com/survey.aspx", "$25102")</f>
        <v>$25102</v>
      </c>
      <c r="T1929" s="20">
        <v>30711</v>
      </c>
      <c r="U1929" s="20">
        <v>32316</v>
      </c>
      <c r="V1929" s="20">
        <v>4100</v>
      </c>
      <c r="W1929" s="20">
        <v>21002</v>
      </c>
      <c r="Y1929" s="19">
        <v>0.4521</v>
      </c>
      <c r="Z1929" s="19">
        <v>0.54039999999999999</v>
      </c>
      <c r="AB1929" s="18">
        <v>161</v>
      </c>
      <c r="AC1929" s="18">
        <v>4</v>
      </c>
    </row>
    <row r="1930" spans="1:29" ht="15.75" customHeight="1" x14ac:dyDescent="0.2">
      <c r="A1930" s="36" t="str">
        <f>HYPERLINK("https://www.smc.edu", "Santa Monica College")</f>
        <v>Santa Monica College</v>
      </c>
      <c r="B1930" s="18" t="s">
        <v>49</v>
      </c>
      <c r="C1930" s="18" t="s">
        <v>68</v>
      </c>
      <c r="D1930" s="18" t="s">
        <v>1673</v>
      </c>
      <c r="E1930" s="18" t="s">
        <v>36</v>
      </c>
      <c r="F1930" s="18" t="s">
        <v>36</v>
      </c>
      <c r="J1930" s="19"/>
      <c r="K1930" s="19">
        <v>0.29959999999999998</v>
      </c>
      <c r="L1930" s="19">
        <v>0.111254434</v>
      </c>
      <c r="M1930" s="19">
        <v>0.39150000000000001</v>
      </c>
      <c r="N1930" s="19">
        <v>0.115</v>
      </c>
      <c r="O1930" s="19">
        <v>0.1946</v>
      </c>
      <c r="P1930" s="19">
        <v>0.42399999999999999</v>
      </c>
      <c r="Q1930" s="19">
        <v>0.14647333500000001</v>
      </c>
      <c r="R1930" s="20">
        <v>26122</v>
      </c>
      <c r="S1930" s="21" t="str">
        <f>HYPERLINK("https://misweb.cccco.edu/npc/781/npcalc.htm", "$19421")</f>
        <v>$19421</v>
      </c>
      <c r="T1930" s="20">
        <v>20710</v>
      </c>
      <c r="U1930" s="20" t="s">
        <v>36</v>
      </c>
      <c r="V1930" s="20">
        <v>6008</v>
      </c>
      <c r="W1930" s="20">
        <v>13413.33236151603</v>
      </c>
      <c r="Y1930" s="19">
        <v>0.2329</v>
      </c>
      <c r="Z1930" s="19">
        <v>0.74669999999999992</v>
      </c>
      <c r="AB1930" s="18">
        <v>27190</v>
      </c>
      <c r="AC1930" s="18">
        <v>6</v>
      </c>
    </row>
    <row r="1931" spans="1:29" ht="15.75" customHeight="1" x14ac:dyDescent="0.2">
      <c r="A1931" s="36" t="str">
        <f>HYPERLINK("https://www.sccollege.edu/Pages/default.aspx", "Santiago Canyon College")</f>
        <v>Santiago Canyon College</v>
      </c>
      <c r="B1931" s="18" t="s">
        <v>49</v>
      </c>
      <c r="C1931" s="18" t="s">
        <v>68</v>
      </c>
      <c r="D1931" s="18" t="s">
        <v>328</v>
      </c>
      <c r="E1931" s="18" t="s">
        <v>36</v>
      </c>
      <c r="F1931" s="18" t="s">
        <v>36</v>
      </c>
      <c r="J1931" s="19"/>
      <c r="K1931" s="19">
        <v>0.38850000000000001</v>
      </c>
      <c r="L1931" s="19">
        <v>0.117647059</v>
      </c>
      <c r="M1931" s="19">
        <v>0.43109999999999998</v>
      </c>
      <c r="N1931" s="19">
        <v>0.22220000000000001</v>
      </c>
      <c r="O1931" s="19">
        <v>0.3347</v>
      </c>
      <c r="P1931" s="19">
        <v>0.5625</v>
      </c>
      <c r="Q1931" s="19">
        <v>0.15056461700000001</v>
      </c>
      <c r="R1931" s="20">
        <v>27503</v>
      </c>
      <c r="S1931" s="21" t="str">
        <f>HYPERLINK("https://misweb.cccco.edu/npc/873/npcalc.htm", "$21925")</f>
        <v>$21925</v>
      </c>
      <c r="T1931" s="20">
        <v>23943</v>
      </c>
      <c r="U1931" s="20">
        <v>27503</v>
      </c>
      <c r="V1931" s="20">
        <v>6228</v>
      </c>
      <c r="W1931" s="20">
        <v>15697.35608308605</v>
      </c>
      <c r="Y1931" s="19">
        <v>0.1191</v>
      </c>
      <c r="Z1931" s="19">
        <v>0.67510000000000003</v>
      </c>
      <c r="AB1931" s="18">
        <v>11378</v>
      </c>
      <c r="AC1931" s="18">
        <v>6</v>
      </c>
    </row>
    <row r="1932" spans="1:29" ht="15.75" customHeight="1" x14ac:dyDescent="0.2">
      <c r="A1932" s="36" t="str">
        <f>HYPERLINK("https://www.sarahlawrence.edu", "Sarah Lawrence College")</f>
        <v>Sarah Lawrence College</v>
      </c>
      <c r="B1932" s="18" t="s">
        <v>32</v>
      </c>
      <c r="C1932" s="18" t="s">
        <v>38</v>
      </c>
      <c r="D1932" s="18" t="s">
        <v>245</v>
      </c>
      <c r="E1932" s="18">
        <v>1342</v>
      </c>
      <c r="F1932" s="18" t="s">
        <v>115</v>
      </c>
      <c r="J1932" s="19"/>
      <c r="K1932" s="19">
        <v>0.79410000000000003</v>
      </c>
      <c r="L1932" s="19">
        <v>0.85981308400000001</v>
      </c>
      <c r="M1932" s="19">
        <v>0.7893</v>
      </c>
      <c r="N1932" s="19">
        <v>0.66669999999999996</v>
      </c>
      <c r="O1932" s="19">
        <v>0.84</v>
      </c>
      <c r="P1932" s="19">
        <v>0.69230000000000003</v>
      </c>
      <c r="Q1932" s="19"/>
      <c r="R1932" s="20">
        <v>70266</v>
      </c>
      <c r="S1932" s="21" t="str">
        <f>HYPERLINK("https://npc.collegeboard.org/student/app/sarahlawrence", "$25597")</f>
        <v>$25597</v>
      </c>
      <c r="T1932" s="20">
        <v>24922</v>
      </c>
      <c r="U1932" s="20">
        <v>31014</v>
      </c>
      <c r="V1932" s="20">
        <v>1400</v>
      </c>
      <c r="W1932" s="20">
        <v>24197</v>
      </c>
      <c r="Y1932" s="19">
        <v>0.16900000000000001</v>
      </c>
      <c r="Z1932" s="19">
        <v>0.44350000000000001</v>
      </c>
      <c r="AB1932" s="18">
        <v>1355</v>
      </c>
      <c r="AC1932" s="18">
        <v>2</v>
      </c>
    </row>
    <row r="1933" spans="1:29" ht="15.75" customHeight="1" x14ac:dyDescent="0.2">
      <c r="A1933" s="36" t="str">
        <f>HYPERLINK("https://www.scad.edu", "Savannah College of Art and Design")</f>
        <v>Savannah College of Art and Design</v>
      </c>
      <c r="B1933" s="18" t="s">
        <v>32</v>
      </c>
      <c r="C1933" s="18" t="s">
        <v>107</v>
      </c>
      <c r="D1933" s="18" t="s">
        <v>562</v>
      </c>
      <c r="E1933" s="18">
        <v>1152</v>
      </c>
      <c r="F1933" s="18" t="s">
        <v>35</v>
      </c>
      <c r="J1933" s="19"/>
      <c r="K1933" s="19">
        <v>0.6482</v>
      </c>
      <c r="L1933" s="19">
        <v>0.57312925199999998</v>
      </c>
      <c r="M1933" s="19">
        <v>0.68410000000000004</v>
      </c>
      <c r="N1933" s="19">
        <v>0.48770000000000002</v>
      </c>
      <c r="O1933" s="19">
        <v>0.54169999999999996</v>
      </c>
      <c r="P1933" s="19">
        <v>0.6623</v>
      </c>
      <c r="Q1933" s="19"/>
      <c r="R1933" s="20">
        <v>56372</v>
      </c>
      <c r="S1933" s="21" t="str">
        <f>HYPERLINK("https://www.scad.edu/admission/financial-aid-and-scholarships/financial-aid/budget-planning-guide/net-price-calculator", "$37016")</f>
        <v>$37016</v>
      </c>
      <c r="T1933" s="20">
        <v>41214</v>
      </c>
      <c r="U1933" s="20">
        <v>41947</v>
      </c>
      <c r="V1933" s="20">
        <v>5718</v>
      </c>
      <c r="W1933" s="20">
        <v>31298</v>
      </c>
      <c r="Y1933" s="19">
        <v>0.2177</v>
      </c>
      <c r="Z1933" s="19">
        <v>0.45679999999999998</v>
      </c>
      <c r="AB1933" s="18">
        <v>10568</v>
      </c>
      <c r="AC1933" s="18">
        <v>4</v>
      </c>
    </row>
    <row r="1934" spans="1:29" ht="15.75" customHeight="1" x14ac:dyDescent="0.2">
      <c r="A1934" s="36" t="str">
        <f>HYPERLINK("https://www.savannahstate.edu/", "Savannah State University")</f>
        <v>Savannah State University</v>
      </c>
      <c r="B1934" s="18" t="s">
        <v>49</v>
      </c>
      <c r="C1934" s="18" t="s">
        <v>107</v>
      </c>
      <c r="D1934" s="18" t="s">
        <v>562</v>
      </c>
      <c r="E1934" s="18">
        <v>933</v>
      </c>
      <c r="F1934" s="18" t="s">
        <v>35</v>
      </c>
      <c r="J1934" s="19"/>
      <c r="K1934" s="19">
        <v>0.27760000000000001</v>
      </c>
      <c r="L1934" s="19">
        <v>0.237837838</v>
      </c>
      <c r="M1934" s="19">
        <v>0.26669999999999999</v>
      </c>
      <c r="N1934" s="19">
        <v>0.2787</v>
      </c>
      <c r="O1934" s="19">
        <v>0.35</v>
      </c>
      <c r="P1934" s="19">
        <v>0</v>
      </c>
      <c r="Q1934" s="19"/>
      <c r="R1934" s="20">
        <v>27460</v>
      </c>
      <c r="S1934" s="21" t="str">
        <f>HYPERLINK("https://simba.savannahstate.edu/students/netpricecalculator/", "$20629")</f>
        <v>$20629</v>
      </c>
      <c r="T1934" s="20">
        <v>24602</v>
      </c>
      <c r="U1934" s="20">
        <v>25913</v>
      </c>
      <c r="V1934" s="20">
        <v>3664</v>
      </c>
      <c r="W1934" s="20">
        <v>16965.917539267011</v>
      </c>
      <c r="Y1934" s="19">
        <v>0.73619999999999997</v>
      </c>
      <c r="Z1934" s="19">
        <v>0.96450000000000002</v>
      </c>
      <c r="AB1934" s="18">
        <v>4079</v>
      </c>
      <c r="AC1934" s="18">
        <v>4</v>
      </c>
    </row>
    <row r="1935" spans="1:29" ht="15.75" customHeight="1" x14ac:dyDescent="0.2">
      <c r="A1935" s="36" t="str">
        <f>HYPERLINK("https://sunysccc.edu", "SUNY Schenectady County Community College")</f>
        <v>SUNY Schenectady County Community College</v>
      </c>
      <c r="B1935" s="18" t="s">
        <v>49</v>
      </c>
      <c r="C1935" s="18" t="s">
        <v>38</v>
      </c>
      <c r="D1935" s="18" t="s">
        <v>270</v>
      </c>
      <c r="E1935" s="18" t="s">
        <v>36</v>
      </c>
      <c r="F1935" s="18" t="s">
        <v>36</v>
      </c>
      <c r="G1935" s="18" t="s">
        <v>51</v>
      </c>
      <c r="I1935" s="18" t="s">
        <v>1111</v>
      </c>
      <c r="J1935" s="19"/>
      <c r="K1935" s="19">
        <v>0.2026</v>
      </c>
      <c r="L1935" s="19">
        <v>0.116647792</v>
      </c>
      <c r="M1935" s="19">
        <v>0.26829999999999998</v>
      </c>
      <c r="N1935" s="19">
        <v>9.74E-2</v>
      </c>
      <c r="O1935" s="19">
        <v>0.12330000000000001</v>
      </c>
      <c r="P1935" s="19">
        <v>0.21210000000000001</v>
      </c>
      <c r="Q1935" s="19">
        <v>7.8104139000000003E-2</v>
      </c>
      <c r="R1935" s="20">
        <v>17560</v>
      </c>
      <c r="S1935" s="21" t="str">
        <f>HYPERLINK("https://sunysccc.edu/Admissions/Paying-for-SUNY-SCCC/Financial-Aid/Net-Price-Calculator-Copy", "$4485")</f>
        <v>$4485</v>
      </c>
      <c r="T1935" s="20">
        <v>7165</v>
      </c>
      <c r="U1935" s="20" t="s">
        <v>36</v>
      </c>
      <c r="V1935" s="20">
        <v>3909</v>
      </c>
      <c r="W1935" s="20">
        <v>576</v>
      </c>
      <c r="Y1935" s="19">
        <v>0.37430000000000002</v>
      </c>
      <c r="Z1935" s="19">
        <v>0.42589999999999989</v>
      </c>
      <c r="AB1935" s="18">
        <v>2940</v>
      </c>
      <c r="AC1935" s="18">
        <v>6</v>
      </c>
    </row>
    <row r="1936" spans="1:29" ht="15.75" customHeight="1" x14ac:dyDescent="0.2">
      <c r="A1936" s="36" t="str">
        <f>HYPERLINK("https://www.sva.edu", "School of Visual Arts")</f>
        <v>School of Visual Arts</v>
      </c>
      <c r="B1936" s="18" t="s">
        <v>368</v>
      </c>
      <c r="C1936" s="18" t="s">
        <v>38</v>
      </c>
      <c r="D1936" s="18" t="s">
        <v>39</v>
      </c>
      <c r="E1936" s="18">
        <v>1139</v>
      </c>
      <c r="F1936" s="18" t="s">
        <v>35</v>
      </c>
      <c r="J1936" s="19"/>
      <c r="K1936" s="19">
        <v>0.64070000000000005</v>
      </c>
      <c r="L1936" s="19">
        <v>0.61290322600000002</v>
      </c>
      <c r="M1936" s="19">
        <v>0.60799999999999998</v>
      </c>
      <c r="N1936" s="19">
        <v>0.59260000000000002</v>
      </c>
      <c r="O1936" s="19">
        <v>0.57950000000000002</v>
      </c>
      <c r="P1936" s="19">
        <v>0.70109999999999995</v>
      </c>
      <c r="Q1936" s="19"/>
      <c r="R1936" s="20">
        <v>64068</v>
      </c>
      <c r="S1936" s="21" t="str">
        <f>HYPERLINK("https://www.sva.edu/students/financial-aid/calculator", "$37842")</f>
        <v>$37842</v>
      </c>
      <c r="T1936" s="20">
        <v>44191</v>
      </c>
      <c r="U1936" s="20">
        <v>46091</v>
      </c>
      <c r="V1936" s="20">
        <v>6468</v>
      </c>
      <c r="W1936" s="20">
        <v>31374</v>
      </c>
      <c r="Y1936" s="19">
        <v>0.2064</v>
      </c>
      <c r="Z1936" s="19">
        <v>0.75529999999999997</v>
      </c>
      <c r="AB1936" s="18">
        <v>3559</v>
      </c>
      <c r="AC1936" s="18">
        <v>4</v>
      </c>
    </row>
    <row r="1937" spans="1:29" ht="15.75" customHeight="1" x14ac:dyDescent="0.2">
      <c r="A1937" s="36" t="str">
        <f>HYPERLINK("https://www.saic.edu", "School of the Art Institute of Chicago")</f>
        <v>School of the Art Institute of Chicago</v>
      </c>
      <c r="B1937" s="18" t="s">
        <v>32</v>
      </c>
      <c r="C1937" s="18" t="s">
        <v>137</v>
      </c>
      <c r="D1937" s="18" t="s">
        <v>161</v>
      </c>
      <c r="E1937" s="18">
        <v>1242</v>
      </c>
      <c r="F1937" s="18" t="s">
        <v>35</v>
      </c>
      <c r="J1937" s="19"/>
      <c r="K1937" s="19">
        <v>0.65599999999999992</v>
      </c>
      <c r="L1937" s="19">
        <v>0.607594937</v>
      </c>
      <c r="M1937" s="19">
        <v>0.62390000000000001</v>
      </c>
      <c r="N1937" s="19">
        <v>0.4</v>
      </c>
      <c r="O1937" s="19">
        <v>0.76470000000000005</v>
      </c>
      <c r="P1937" s="19">
        <v>0.79659999999999997</v>
      </c>
      <c r="Q1937" s="19"/>
      <c r="R1937" s="20">
        <v>67290</v>
      </c>
      <c r="S1937" s="21" t="str">
        <f>HYPERLINK("https://saic.studentaidcalculator.com/survey.aspx", "$38051")</f>
        <v>$38051</v>
      </c>
      <c r="T1937" s="20">
        <v>41086</v>
      </c>
      <c r="U1937" s="20">
        <v>43650</v>
      </c>
      <c r="V1937" s="20">
        <v>3790</v>
      </c>
      <c r="W1937" s="20">
        <v>34261</v>
      </c>
      <c r="Y1937" s="19">
        <v>0.19159999999999999</v>
      </c>
      <c r="Z1937" s="19">
        <v>0.65629999999999999</v>
      </c>
      <c r="AB1937" s="18">
        <v>2889</v>
      </c>
      <c r="AC1937" s="18">
        <v>4</v>
      </c>
    </row>
    <row r="1938" spans="1:29" ht="15.75" customHeight="1" x14ac:dyDescent="0.2">
      <c r="A1938" s="36" t="str">
        <f>HYPERLINK("https://www.schoolcraft.edu", "Schoolcraft College")</f>
        <v>Schoolcraft College</v>
      </c>
      <c r="B1938" s="18" t="s">
        <v>49</v>
      </c>
      <c r="C1938" s="18" t="s">
        <v>226</v>
      </c>
      <c r="D1938" s="18" t="s">
        <v>401</v>
      </c>
      <c r="E1938" s="18" t="s">
        <v>36</v>
      </c>
      <c r="F1938" s="18" t="s">
        <v>36</v>
      </c>
      <c r="J1938" s="19"/>
      <c r="K1938" s="19">
        <v>0.1709</v>
      </c>
      <c r="L1938" s="19">
        <v>0.123293703</v>
      </c>
      <c r="M1938" s="19">
        <v>0.20219999999999999</v>
      </c>
      <c r="N1938" s="19">
        <v>3.7400000000000003E-2</v>
      </c>
      <c r="O1938" s="19">
        <v>0.18920000000000001</v>
      </c>
      <c r="P1938" s="19">
        <v>0.21429999999999999</v>
      </c>
      <c r="Q1938" s="19">
        <v>8.8632526999999989E-2</v>
      </c>
      <c r="R1938" s="20">
        <v>19554</v>
      </c>
      <c r="S1938" s="21" t="str">
        <f>HYPERLINK("https://www.schoolcraft.edu/tuition/calculators/net-price-calculator", "$16552")</f>
        <v>$16552</v>
      </c>
      <c r="T1938" s="20">
        <v>17846</v>
      </c>
      <c r="U1938" s="20">
        <v>18857</v>
      </c>
      <c r="V1938" s="20">
        <v>5281</v>
      </c>
      <c r="W1938" s="20">
        <v>11271.64</v>
      </c>
      <c r="Y1938" s="19">
        <v>0.30299999999999999</v>
      </c>
      <c r="Z1938" s="19">
        <v>0.3488</v>
      </c>
      <c r="AB1938" s="18">
        <v>9359</v>
      </c>
      <c r="AC1938" s="18">
        <v>6</v>
      </c>
    </row>
    <row r="1939" spans="1:29" ht="15.75" customHeight="1" x14ac:dyDescent="0.2">
      <c r="A1939" s="36" t="str">
        <f>HYPERLINK("https://www.scottsdalecc.edu", "Scottsdale Community College")</f>
        <v>Scottsdale Community College</v>
      </c>
      <c r="B1939" s="18" t="s">
        <v>49</v>
      </c>
      <c r="C1939" s="18" t="s">
        <v>354</v>
      </c>
      <c r="D1939" s="18" t="s">
        <v>557</v>
      </c>
      <c r="E1939" s="18" t="s">
        <v>36</v>
      </c>
      <c r="F1939" s="18" t="s">
        <v>36</v>
      </c>
      <c r="J1939" s="19"/>
      <c r="K1939" s="19">
        <v>0.18890000000000001</v>
      </c>
      <c r="L1939" s="19">
        <v>1.3239875E-2</v>
      </c>
      <c r="M1939" s="19">
        <v>0.20180000000000001</v>
      </c>
      <c r="N1939" s="19">
        <v>0.16919999999999999</v>
      </c>
      <c r="O1939" s="19">
        <v>0.16769999999999999</v>
      </c>
      <c r="P1939" s="19">
        <v>0.1333</v>
      </c>
      <c r="Q1939" s="19">
        <v>0.18484555999999999</v>
      </c>
      <c r="R1939" s="20">
        <v>21565</v>
      </c>
      <c r="S1939" s="21" t="str">
        <f>HYPERLINK("https://www.scottsdalecc.edu/admissions/cashiers-office/net-price-calculator", "$16149")</f>
        <v>$16149</v>
      </c>
      <c r="T1939" s="20">
        <v>19485</v>
      </c>
      <c r="U1939" s="20">
        <v>21370</v>
      </c>
      <c r="V1939" s="20">
        <v>7907</v>
      </c>
      <c r="W1939" s="20">
        <v>8242.5393258426957</v>
      </c>
      <c r="Y1939" s="19">
        <v>0.17899999999999999</v>
      </c>
      <c r="Z1939" s="19">
        <v>0.44850000000000001</v>
      </c>
      <c r="AB1939" s="18">
        <v>6025</v>
      </c>
      <c r="AC1939" s="18">
        <v>6</v>
      </c>
    </row>
    <row r="1940" spans="1:29" ht="15.75" customHeight="1" x14ac:dyDescent="0.2">
      <c r="A1940" s="36" t="str">
        <f>HYPERLINK("https://www.scrippscollege.edu", "Scripps College")</f>
        <v>Scripps College</v>
      </c>
      <c r="B1940" s="18" t="s">
        <v>32</v>
      </c>
      <c r="C1940" s="18" t="s">
        <v>68</v>
      </c>
      <c r="D1940" s="18" t="s">
        <v>77</v>
      </c>
      <c r="E1940" s="18">
        <v>1405</v>
      </c>
      <c r="F1940" s="18" t="s">
        <v>35</v>
      </c>
      <c r="J1940" s="19"/>
      <c r="K1940" s="19">
        <v>0.88329999999999997</v>
      </c>
      <c r="L1940" s="19" t="s">
        <v>36</v>
      </c>
      <c r="M1940" s="19">
        <v>0.84250000000000003</v>
      </c>
      <c r="N1940" s="19">
        <v>1</v>
      </c>
      <c r="O1940" s="19">
        <v>0.88239999999999996</v>
      </c>
      <c r="P1940" s="19">
        <v>1</v>
      </c>
      <c r="Q1940" s="19"/>
      <c r="R1940" s="20">
        <v>71060</v>
      </c>
      <c r="S1940" s="21" t="str">
        <f>HYPERLINK("https://npc.collegeboard.org/student/app/scrippscollege", "$17597")</f>
        <v>$17597</v>
      </c>
      <c r="T1940" s="20">
        <v>23549</v>
      </c>
      <c r="U1940" s="20">
        <v>30211</v>
      </c>
      <c r="V1940" s="20">
        <v>1800</v>
      </c>
      <c r="W1940" s="20">
        <v>15797</v>
      </c>
      <c r="X1940" s="18" t="s">
        <v>37</v>
      </c>
      <c r="Y1940" s="19">
        <v>0.10680000000000001</v>
      </c>
      <c r="Z1940" s="19">
        <v>0.47030000000000011</v>
      </c>
      <c r="AB1940" s="18">
        <v>1059</v>
      </c>
      <c r="AC1940" s="18">
        <v>1</v>
      </c>
    </row>
    <row r="1941" spans="1:29" ht="15.75" customHeight="1" x14ac:dyDescent="0.2">
      <c r="A1941" s="36" t="str">
        <f>HYPERLINK("https://www.seattlecentral.edu", "Seattle Central College")</f>
        <v>Seattle Central College</v>
      </c>
      <c r="B1941" s="18" t="s">
        <v>49</v>
      </c>
      <c r="C1941" s="18" t="s">
        <v>184</v>
      </c>
      <c r="D1941" s="18" t="s">
        <v>472</v>
      </c>
      <c r="E1941" s="18" t="s">
        <v>36</v>
      </c>
      <c r="F1941" s="18" t="s">
        <v>36</v>
      </c>
      <c r="J1941" s="19"/>
      <c r="K1941" s="19">
        <v>0.24709999999999999</v>
      </c>
      <c r="L1941" s="19">
        <v>0.104890149</v>
      </c>
      <c r="M1941" s="19">
        <v>0.23</v>
      </c>
      <c r="N1941" s="19">
        <v>0.22220000000000001</v>
      </c>
      <c r="O1941" s="19">
        <v>0.28570000000000001</v>
      </c>
      <c r="P1941" s="19">
        <v>0.3095</v>
      </c>
      <c r="Q1941" s="19">
        <v>0.114439784</v>
      </c>
      <c r="R1941" s="20">
        <v>18171</v>
      </c>
      <c r="S1941" s="21" t="str">
        <f>HYPERLINK("https://www.seattlecentral.edu/enrollment-and-funding/financial-aid-and-funding/financial-aid/net-price-calculator", "$10605")</f>
        <v>$10605</v>
      </c>
      <c r="T1941" s="20">
        <v>12563</v>
      </c>
      <c r="U1941" s="20">
        <v>14844</v>
      </c>
      <c r="V1941" s="20">
        <v>4236</v>
      </c>
      <c r="W1941" s="20">
        <v>6369.1150442477883</v>
      </c>
      <c r="Y1941" s="19">
        <v>0.19769999999999999</v>
      </c>
      <c r="Z1941" s="19">
        <v>0.67859999999999998</v>
      </c>
      <c r="AB1941" s="18">
        <v>3174</v>
      </c>
      <c r="AC1941" s="18">
        <v>6</v>
      </c>
    </row>
    <row r="1942" spans="1:29" ht="15.75" customHeight="1" x14ac:dyDescent="0.2">
      <c r="A1942" s="36" t="str">
        <f>HYPERLINK("https://www.spu.edu", "Seattle Pacific University")</f>
        <v>Seattle Pacific University</v>
      </c>
      <c r="B1942" s="18" t="s">
        <v>32</v>
      </c>
      <c r="C1942" s="18" t="s">
        <v>184</v>
      </c>
      <c r="D1942" s="18" t="s">
        <v>472</v>
      </c>
      <c r="E1942" s="18">
        <v>1173</v>
      </c>
      <c r="F1942" s="18" t="s">
        <v>35</v>
      </c>
      <c r="J1942" s="19"/>
      <c r="K1942" s="19">
        <v>0.68679999999999997</v>
      </c>
      <c r="L1942" s="19">
        <v>0.42920353999999999</v>
      </c>
      <c r="M1942" s="19">
        <v>0.70479999999999998</v>
      </c>
      <c r="N1942" s="19">
        <v>0.60870000000000002</v>
      </c>
      <c r="O1942" s="19">
        <v>0.63929999999999998</v>
      </c>
      <c r="P1942" s="19">
        <v>0.67469999999999997</v>
      </c>
      <c r="Q1942" s="19"/>
      <c r="R1942" s="20">
        <v>56485</v>
      </c>
      <c r="S1942" s="21" t="str">
        <f>HYPERLINK("https://spu.studentaidcalculator.com/survey.aspx", "$25473")</f>
        <v>$25473</v>
      </c>
      <c r="T1942" s="20">
        <v>28298</v>
      </c>
      <c r="U1942" s="20">
        <v>30221</v>
      </c>
      <c r="V1942" s="20">
        <v>4360</v>
      </c>
      <c r="W1942" s="20">
        <v>21113</v>
      </c>
      <c r="Y1942" s="19">
        <v>0.27210000000000001</v>
      </c>
      <c r="Z1942" s="19">
        <v>0.44619999999999999</v>
      </c>
      <c r="AB1942" s="18">
        <v>2900</v>
      </c>
      <c r="AC1942" s="18">
        <v>3</v>
      </c>
    </row>
    <row r="1943" spans="1:29" ht="15.75" customHeight="1" x14ac:dyDescent="0.2">
      <c r="A1943" s="36" t="str">
        <f>HYPERLINK("https://www.seattleu.edu", "Seattle University")</f>
        <v>Seattle University</v>
      </c>
      <c r="B1943" s="18" t="s">
        <v>32</v>
      </c>
      <c r="C1943" s="18" t="s">
        <v>184</v>
      </c>
      <c r="D1943" s="18" t="s">
        <v>472</v>
      </c>
      <c r="E1943" s="18">
        <v>1250</v>
      </c>
      <c r="F1943" s="18" t="s">
        <v>35</v>
      </c>
      <c r="J1943" s="19"/>
      <c r="K1943" s="19">
        <v>0.74829999999999997</v>
      </c>
      <c r="L1943" s="19">
        <v>0.77227722799999998</v>
      </c>
      <c r="M1943" s="19">
        <v>0.75460000000000005</v>
      </c>
      <c r="N1943" s="19">
        <v>0.47620000000000001</v>
      </c>
      <c r="O1943" s="19">
        <v>0.6522</v>
      </c>
      <c r="P1943" s="19">
        <v>0.79349999999999998</v>
      </c>
      <c r="Q1943" s="19"/>
      <c r="R1943" s="20">
        <v>59607</v>
      </c>
      <c r="S1943" s="21" t="str">
        <f>HYPERLINK("https://www.seattleu.edu/undergraduate-admissions/finances/calculator/", "$27686")</f>
        <v>$27686</v>
      </c>
      <c r="T1943" s="20">
        <v>32228</v>
      </c>
      <c r="U1943" s="20">
        <v>35203</v>
      </c>
      <c r="V1943" s="20">
        <v>4650</v>
      </c>
      <c r="W1943" s="20">
        <v>23036</v>
      </c>
      <c r="Y1943" s="19">
        <v>0.18179999999999999</v>
      </c>
      <c r="Z1943" s="19">
        <v>0.56099999999999994</v>
      </c>
      <c r="AB1943" s="18">
        <v>4547</v>
      </c>
      <c r="AC1943" s="18">
        <v>3</v>
      </c>
    </row>
    <row r="1944" spans="1:29" ht="15.75" customHeight="1" x14ac:dyDescent="0.2">
      <c r="A1944" s="36" t="str">
        <f>HYPERLINK("https://www.sscok.edu", "Seminole State College")</f>
        <v>Seminole State College</v>
      </c>
      <c r="B1944" s="18" t="s">
        <v>49</v>
      </c>
      <c r="C1944" s="18" t="s">
        <v>290</v>
      </c>
      <c r="D1944" s="18" t="s">
        <v>1674</v>
      </c>
      <c r="E1944" s="18" t="s">
        <v>36</v>
      </c>
      <c r="F1944" s="18" t="s">
        <v>36</v>
      </c>
      <c r="J1944" s="19"/>
      <c r="K1944" s="19">
        <v>0.3947</v>
      </c>
      <c r="L1944" s="19">
        <v>0.161921708</v>
      </c>
      <c r="M1944" s="19">
        <v>0.42580000000000001</v>
      </c>
      <c r="N1944" s="19">
        <v>0.31030000000000002</v>
      </c>
      <c r="O1944" s="19">
        <v>0.5</v>
      </c>
      <c r="P1944" s="19">
        <v>0.2</v>
      </c>
      <c r="Q1944" s="19">
        <v>6.8268015000000001E-2</v>
      </c>
      <c r="R1944" s="20">
        <v>24470</v>
      </c>
      <c r="S1944" s="21" t="str">
        <f>HYPERLINK("https://www.sscok.edu/NetPriceCalculator/npcalc.htm", "$17383")</f>
        <v>$17383</v>
      </c>
      <c r="T1944" s="20">
        <v>18311</v>
      </c>
      <c r="U1944" s="20">
        <v>23383</v>
      </c>
      <c r="V1944" s="20">
        <v>7020</v>
      </c>
      <c r="W1944" s="20">
        <v>10363.969325153381</v>
      </c>
      <c r="Y1944" s="19">
        <v>0.47139999999999999</v>
      </c>
      <c r="Z1944" s="19">
        <v>0.41930000000000001</v>
      </c>
      <c r="AB1944" s="18">
        <v>1307</v>
      </c>
      <c r="AC1944" s="18">
        <v>6</v>
      </c>
    </row>
    <row r="1945" spans="1:29" ht="15.75" customHeight="1" x14ac:dyDescent="0.2">
      <c r="A1945" s="36" t="str">
        <f>HYPERLINK("https://www.seminolestate.edu/", "Seminole State College of Florida")</f>
        <v>Seminole State College of Florida</v>
      </c>
      <c r="B1945" s="18" t="s">
        <v>49</v>
      </c>
      <c r="C1945" s="18" t="s">
        <v>162</v>
      </c>
      <c r="D1945" s="18" t="s">
        <v>1675</v>
      </c>
      <c r="E1945" s="18" t="s">
        <v>36</v>
      </c>
      <c r="F1945" s="18" t="s">
        <v>36</v>
      </c>
      <c r="J1945" s="19"/>
      <c r="K1945" s="19">
        <v>0.36899999999999999</v>
      </c>
      <c r="L1945" s="19">
        <v>0.24280753999999999</v>
      </c>
      <c r="M1945" s="19">
        <v>0.42780000000000001</v>
      </c>
      <c r="N1945" s="19">
        <v>0.1862</v>
      </c>
      <c r="O1945" s="19">
        <v>0.33279999999999998</v>
      </c>
      <c r="P1945" s="19">
        <v>0.65310000000000001</v>
      </c>
      <c r="Q1945" s="19">
        <v>9.1874999999999998E-2</v>
      </c>
      <c r="R1945" s="20">
        <v>22524</v>
      </c>
      <c r="S1945" s="21" t="str">
        <f>HYPERLINK("https://www.seminolestate.edu/financial-aid/resources/cost-estimator", "$17257")</f>
        <v>$17257</v>
      </c>
      <c r="T1945" s="20">
        <v>20278</v>
      </c>
      <c r="U1945" s="20">
        <v>22257</v>
      </c>
      <c r="V1945" s="20">
        <v>4604</v>
      </c>
      <c r="W1945" s="20">
        <v>12653.506555423121</v>
      </c>
      <c r="Y1945" s="19">
        <v>0.39219999999999999</v>
      </c>
      <c r="Z1945" s="19">
        <v>0.53669999999999995</v>
      </c>
      <c r="AB1945" s="18">
        <v>15438</v>
      </c>
      <c r="AC1945" s="18">
        <v>6</v>
      </c>
    </row>
    <row r="1946" spans="1:29" ht="15.75" customHeight="1" x14ac:dyDescent="0.2">
      <c r="A1946" s="36" t="str">
        <f>HYPERLINK("https://www.shu.edu/", "Seton Hall University")</f>
        <v>Seton Hall University</v>
      </c>
      <c r="B1946" s="18" t="s">
        <v>32</v>
      </c>
      <c r="C1946" s="18" t="s">
        <v>141</v>
      </c>
      <c r="D1946" s="18" t="s">
        <v>1148</v>
      </c>
      <c r="E1946" s="18">
        <v>1222</v>
      </c>
      <c r="F1946" s="18" t="s">
        <v>35</v>
      </c>
      <c r="J1946" s="19"/>
      <c r="K1946" s="19">
        <v>0.6714</v>
      </c>
      <c r="L1946" s="19">
        <v>0.50806451600000002</v>
      </c>
      <c r="M1946" s="19">
        <v>0.74299999999999999</v>
      </c>
      <c r="N1946" s="19">
        <v>0.53900000000000003</v>
      </c>
      <c r="O1946" s="19">
        <v>0.62649999999999995</v>
      </c>
      <c r="P1946" s="19">
        <v>0.6875</v>
      </c>
      <c r="Q1946" s="19"/>
      <c r="R1946" s="20">
        <v>57090</v>
      </c>
      <c r="S1946" s="21" t="str">
        <f>HYPERLINK("https://www.shu.edu/undergraduate-admissions/cost-calculator.cfm", "$19447")</f>
        <v>$19447</v>
      </c>
      <c r="T1946" s="20">
        <v>27238</v>
      </c>
      <c r="U1946" s="20">
        <v>31474</v>
      </c>
      <c r="V1946" s="20">
        <v>3000</v>
      </c>
      <c r="W1946" s="20">
        <v>16447</v>
      </c>
      <c r="Y1946" s="19">
        <v>0.28070000000000001</v>
      </c>
      <c r="Z1946" s="19">
        <v>0.50970000000000004</v>
      </c>
      <c r="AB1946" s="18">
        <v>5717</v>
      </c>
      <c r="AC1946" s="18">
        <v>4</v>
      </c>
    </row>
    <row r="1947" spans="1:29" ht="15.75" customHeight="1" x14ac:dyDescent="0.2">
      <c r="A1947" s="36" t="str">
        <f>HYPERLINK("https://www.setonhill.edu", "Seton Hill University")</f>
        <v>Seton Hill University</v>
      </c>
      <c r="B1947" s="18" t="s">
        <v>32</v>
      </c>
      <c r="C1947" s="18" t="s">
        <v>65</v>
      </c>
      <c r="D1947" s="18" t="s">
        <v>1150</v>
      </c>
      <c r="E1947" s="18" t="s">
        <v>36</v>
      </c>
      <c r="F1947" s="18" t="s">
        <v>90</v>
      </c>
      <c r="J1947" s="19"/>
      <c r="K1947" s="19">
        <v>0.58150000000000002</v>
      </c>
      <c r="L1947" s="19">
        <v>0.52</v>
      </c>
      <c r="M1947" s="19">
        <v>0.63539999999999996</v>
      </c>
      <c r="N1947" s="19">
        <v>0.38640000000000002</v>
      </c>
      <c r="O1947" s="19">
        <v>0.2727</v>
      </c>
      <c r="P1947" s="19">
        <v>0.5</v>
      </c>
      <c r="Q1947" s="19"/>
      <c r="R1947" s="20">
        <v>49896</v>
      </c>
      <c r="S1947" s="21" t="str">
        <f>HYPERLINK("https://www.setonhill.edu/npc/", "$20335")</f>
        <v>$20335</v>
      </c>
      <c r="T1947" s="20">
        <v>21830</v>
      </c>
      <c r="U1947" s="20">
        <v>25379</v>
      </c>
      <c r="V1947" s="20">
        <v>3700</v>
      </c>
      <c r="W1947" s="20">
        <v>16635</v>
      </c>
      <c r="Y1947" s="19">
        <v>0.2344</v>
      </c>
      <c r="Z1947" s="19">
        <v>0.18200000000000011</v>
      </c>
      <c r="AB1947" s="18">
        <v>1659</v>
      </c>
      <c r="AC1947" s="18">
        <v>4</v>
      </c>
    </row>
    <row r="1948" spans="1:29" ht="15.75" customHeight="1" x14ac:dyDescent="0.2">
      <c r="A1948" s="36" t="str">
        <f>HYPERLINK("https://www.shastacollege.edu", "Shasta College")</f>
        <v>Shasta College</v>
      </c>
      <c r="B1948" s="18" t="s">
        <v>49</v>
      </c>
      <c r="C1948" s="18" t="s">
        <v>68</v>
      </c>
      <c r="D1948" s="18" t="s">
        <v>1158</v>
      </c>
      <c r="E1948" s="18" t="s">
        <v>36</v>
      </c>
      <c r="F1948" s="18" t="s">
        <v>36</v>
      </c>
      <c r="J1948" s="19"/>
      <c r="K1948" s="19">
        <v>0.19800000000000001</v>
      </c>
      <c r="L1948" s="19" t="s">
        <v>36</v>
      </c>
      <c r="M1948" s="19">
        <v>0.22450000000000001</v>
      </c>
      <c r="N1948" s="19">
        <v>7.6899999999999996E-2</v>
      </c>
      <c r="O1948" s="19">
        <v>0.15329999999999999</v>
      </c>
      <c r="P1948" s="19">
        <v>0.22220000000000001</v>
      </c>
      <c r="Q1948" s="19">
        <v>0.12691697499999999</v>
      </c>
      <c r="R1948" s="20">
        <v>17013</v>
      </c>
      <c r="S1948" s="21" t="str">
        <f>HYPERLINK("https://misweb.cccco.edu/npc/171/npcalc.htm", "$10758")</f>
        <v>$10758</v>
      </c>
      <c r="T1948" s="20">
        <v>11849</v>
      </c>
      <c r="U1948" s="20">
        <v>13640</v>
      </c>
      <c r="V1948" s="20">
        <v>5032</v>
      </c>
      <c r="W1948" s="20">
        <v>5726.9153094462536</v>
      </c>
      <c r="Y1948" s="19">
        <v>0.33900000000000002</v>
      </c>
      <c r="Z1948" s="19">
        <v>0.33239999999999997</v>
      </c>
      <c r="AB1948" s="18">
        <v>7820</v>
      </c>
      <c r="AC1948" s="18">
        <v>6</v>
      </c>
    </row>
    <row r="1949" spans="1:29" ht="15.75" customHeight="1" x14ac:dyDescent="0.2">
      <c r="A1949" s="36" t="str">
        <f>HYPERLINK("https://www.shawu.edu", "Shaw University")</f>
        <v>Shaw University</v>
      </c>
      <c r="B1949" s="18" t="s">
        <v>32</v>
      </c>
      <c r="C1949" s="18" t="s">
        <v>103</v>
      </c>
      <c r="D1949" s="18" t="s">
        <v>236</v>
      </c>
      <c r="E1949" s="18" t="s">
        <v>36</v>
      </c>
      <c r="F1949" s="18" t="s">
        <v>90</v>
      </c>
      <c r="J1949" s="19"/>
      <c r="K1949" s="19">
        <v>0.1764</v>
      </c>
      <c r="L1949" s="19">
        <v>0.28452579</v>
      </c>
      <c r="M1949" s="19">
        <v>0</v>
      </c>
      <c r="N1949" s="19">
        <v>0.1789</v>
      </c>
      <c r="O1949" s="19">
        <v>0</v>
      </c>
      <c r="P1949" s="19">
        <v>0</v>
      </c>
      <c r="Q1949" s="19"/>
      <c r="R1949" s="20">
        <v>29378</v>
      </c>
      <c r="S1949" s="21" t="str">
        <f>HYPERLINK("https://www.shawu.edu/Net_Price_Calculator/", "$17905")</f>
        <v>$17905</v>
      </c>
      <c r="T1949" s="20">
        <v>21400</v>
      </c>
      <c r="U1949" s="20">
        <v>23961</v>
      </c>
      <c r="V1949" s="20">
        <v>4740</v>
      </c>
      <c r="W1949" s="20">
        <v>13165</v>
      </c>
      <c r="Y1949" s="19">
        <v>0.81730000000000003</v>
      </c>
      <c r="Z1949" s="19">
        <v>0.97860000000000003</v>
      </c>
      <c r="AB1949" s="18">
        <v>1545</v>
      </c>
      <c r="AC1949" s="18">
        <v>5</v>
      </c>
    </row>
    <row r="1950" spans="1:29" ht="15.75" customHeight="1" x14ac:dyDescent="0.2">
      <c r="A1950" s="36" t="str">
        <f>HYPERLINK("https://www.shawnee.edu/", "Shawnee State University")</f>
        <v>Shawnee State University</v>
      </c>
      <c r="B1950" s="18" t="s">
        <v>49</v>
      </c>
      <c r="C1950" s="18" t="s">
        <v>75</v>
      </c>
      <c r="D1950" s="18" t="s">
        <v>833</v>
      </c>
      <c r="E1950" s="18">
        <v>1068</v>
      </c>
      <c r="F1950" s="18" t="s">
        <v>35</v>
      </c>
      <c r="J1950" s="19"/>
      <c r="K1950" s="19">
        <v>0.29220000000000002</v>
      </c>
      <c r="L1950" s="19">
        <v>0.203346203</v>
      </c>
      <c r="M1950" s="19">
        <v>0.32569999999999999</v>
      </c>
      <c r="N1950" s="19">
        <v>0.1169</v>
      </c>
      <c r="O1950" s="19">
        <v>0.25</v>
      </c>
      <c r="P1950" s="19">
        <v>0.33329999999999999</v>
      </c>
      <c r="Q1950" s="19"/>
      <c r="R1950" s="20">
        <v>26718</v>
      </c>
      <c r="S1950" s="21" t="str">
        <f>HYPERLINK("https://www.shawnee.edu/offices/financial-aid/net-price-calculator/", "$20643")</f>
        <v>$20643</v>
      </c>
      <c r="T1950" s="20">
        <v>24604</v>
      </c>
      <c r="U1950" s="20">
        <v>26319</v>
      </c>
      <c r="V1950" s="20">
        <v>3912</v>
      </c>
      <c r="W1950" s="20">
        <v>16731.447802197799</v>
      </c>
      <c r="Y1950" s="19">
        <v>0.46929999999999999</v>
      </c>
      <c r="Z1950" s="19">
        <v>0.1381</v>
      </c>
      <c r="AB1950" s="18">
        <v>3099</v>
      </c>
      <c r="AC1950" s="18">
        <v>5</v>
      </c>
    </row>
    <row r="1951" spans="1:29" ht="15.75" customHeight="1" x14ac:dyDescent="0.2">
      <c r="A1951" s="36" t="str">
        <f>HYPERLINK("https://www.sheltonstate.edu", "Shelton State Community College")</f>
        <v>Shelton State Community College</v>
      </c>
      <c r="B1951" s="18" t="s">
        <v>49</v>
      </c>
      <c r="C1951" s="18" t="s">
        <v>300</v>
      </c>
      <c r="D1951" s="18" t="s">
        <v>1211</v>
      </c>
      <c r="E1951" s="18" t="s">
        <v>36</v>
      </c>
      <c r="F1951" s="18" t="s">
        <v>36</v>
      </c>
      <c r="J1951" s="19"/>
      <c r="K1951" s="19">
        <v>0.15859999999999999</v>
      </c>
      <c r="L1951" s="19">
        <v>7.766323E-2</v>
      </c>
      <c r="M1951" s="19">
        <v>0.22789999999999999</v>
      </c>
      <c r="N1951" s="19">
        <v>5.8299999999999998E-2</v>
      </c>
      <c r="O1951" s="19" t="s">
        <v>36</v>
      </c>
      <c r="P1951" s="19">
        <v>0</v>
      </c>
      <c r="Q1951" s="19">
        <v>9.9182561000000002E-2</v>
      </c>
      <c r="R1951" s="20">
        <v>18859</v>
      </c>
      <c r="S1951" s="21" t="str">
        <f>HYPERLINK("https://apps.sheltonstate.edu/netpricecalculator/npcalc.htm", "$13517")</f>
        <v>$13517</v>
      </c>
      <c r="T1951" s="20">
        <v>15392</v>
      </c>
      <c r="U1951" s="20">
        <v>16711</v>
      </c>
      <c r="V1951" s="20">
        <v>4500</v>
      </c>
      <c r="W1951" s="20">
        <v>9017</v>
      </c>
      <c r="Y1951" s="19">
        <v>0.44740000000000002</v>
      </c>
      <c r="Z1951" s="19">
        <v>0.45319999999999999</v>
      </c>
      <c r="AB1951" s="18">
        <v>4230</v>
      </c>
      <c r="AC1951" s="18">
        <v>6</v>
      </c>
    </row>
    <row r="1952" spans="1:29" ht="15.75" customHeight="1" x14ac:dyDescent="0.2">
      <c r="A1952" s="36" t="str">
        <f>HYPERLINK("https://www.su.edu", "Shenandoah University")</f>
        <v>Shenandoah University</v>
      </c>
      <c r="B1952" s="18" t="s">
        <v>32</v>
      </c>
      <c r="C1952" s="18" t="s">
        <v>83</v>
      </c>
      <c r="D1952" s="18" t="s">
        <v>1151</v>
      </c>
      <c r="E1952" s="18">
        <v>1115</v>
      </c>
      <c r="F1952" s="18" t="s">
        <v>35</v>
      </c>
      <c r="J1952" s="19"/>
      <c r="K1952" s="19">
        <v>0.63270000000000004</v>
      </c>
      <c r="L1952" s="19">
        <v>0.46308724800000001</v>
      </c>
      <c r="M1952" s="19">
        <v>0.66400000000000003</v>
      </c>
      <c r="N1952" s="19">
        <v>0.62860000000000005</v>
      </c>
      <c r="O1952" s="19">
        <v>0.52939999999999998</v>
      </c>
      <c r="P1952" s="19">
        <v>0.66669999999999996</v>
      </c>
      <c r="Q1952" s="19"/>
      <c r="R1952" s="20">
        <v>46200</v>
      </c>
      <c r="S1952" s="21" t="str">
        <f>HYPERLINK("https://tcc.noellevitz.com/(S(5thqyxl4wqbw3n5pbjf3ruef))/Shenandoah%20University/Freshman-Students", "$21404")</f>
        <v>$21404</v>
      </c>
      <c r="T1952" s="20">
        <v>28018</v>
      </c>
      <c r="U1952" s="20">
        <v>31937</v>
      </c>
      <c r="V1952" s="20">
        <v>4100</v>
      </c>
      <c r="W1952" s="20">
        <v>17304</v>
      </c>
      <c r="Y1952" s="19">
        <v>0.29820000000000002</v>
      </c>
      <c r="Z1952" s="19">
        <v>0.42770000000000002</v>
      </c>
      <c r="AB1952" s="18">
        <v>2055</v>
      </c>
      <c r="AC1952" s="18">
        <v>4</v>
      </c>
    </row>
    <row r="1953" spans="1:29" ht="15.75" customHeight="1" x14ac:dyDescent="0.2">
      <c r="A1953" s="36" t="str">
        <f>HYPERLINK("https://www.shepherd.edu/", "Shepherd University")</f>
        <v>Shepherd University</v>
      </c>
      <c r="B1953" s="18" t="s">
        <v>49</v>
      </c>
      <c r="C1953" s="18" t="s">
        <v>574</v>
      </c>
      <c r="D1953" s="18" t="s">
        <v>1153</v>
      </c>
      <c r="E1953" s="18">
        <v>1074</v>
      </c>
      <c r="F1953" s="18" t="s">
        <v>35</v>
      </c>
      <c r="J1953" s="19"/>
      <c r="K1953" s="19">
        <v>0.42020000000000002</v>
      </c>
      <c r="L1953" s="19">
        <v>0.39116719200000011</v>
      </c>
      <c r="M1953" s="19">
        <v>0.45050000000000001</v>
      </c>
      <c r="N1953" s="19">
        <v>0.19719999999999999</v>
      </c>
      <c r="O1953" s="19">
        <v>0.27779999999999999</v>
      </c>
      <c r="P1953" s="19">
        <v>0.5</v>
      </c>
      <c r="Q1953" s="19"/>
      <c r="R1953" s="20">
        <v>31572</v>
      </c>
      <c r="S1953" s="21" t="str">
        <f>HYPERLINK("https://shepherd.studentaidcalculator.com/", "$22586")</f>
        <v>$22586</v>
      </c>
      <c r="T1953" s="20">
        <v>25827</v>
      </c>
      <c r="U1953" s="20">
        <v>27860</v>
      </c>
      <c r="V1953" s="20">
        <v>3875</v>
      </c>
      <c r="W1953" s="20">
        <v>18711.416058394159</v>
      </c>
      <c r="Y1953" s="19">
        <v>0.32419999999999999</v>
      </c>
      <c r="Z1953" s="19">
        <v>0.20669999999999999</v>
      </c>
      <c r="AB1953" s="18">
        <v>2956</v>
      </c>
      <c r="AC1953" s="18">
        <v>4</v>
      </c>
    </row>
    <row r="1954" spans="1:29" ht="15.75" customHeight="1" x14ac:dyDescent="0.2">
      <c r="A1954" s="36" t="str">
        <f>HYPERLINK("https://www.ship.edu/", "Shippensburg University of Pennsylvania")</f>
        <v>Shippensburg University of Pennsylvania</v>
      </c>
      <c r="B1954" s="18" t="s">
        <v>49</v>
      </c>
      <c r="C1954" s="18" t="s">
        <v>65</v>
      </c>
      <c r="D1954" s="18" t="s">
        <v>836</v>
      </c>
      <c r="E1954" s="18">
        <v>1049</v>
      </c>
      <c r="F1954" s="18" t="s">
        <v>35</v>
      </c>
      <c r="J1954" s="19"/>
      <c r="K1954" s="19">
        <v>0.51519999999999999</v>
      </c>
      <c r="L1954" s="19">
        <v>0.46428571400000002</v>
      </c>
      <c r="M1954" s="19">
        <v>0.54090000000000005</v>
      </c>
      <c r="N1954" s="19">
        <v>0.42859999999999998</v>
      </c>
      <c r="O1954" s="19">
        <v>0.38240000000000002</v>
      </c>
      <c r="P1954" s="19">
        <v>0.45450000000000002</v>
      </c>
      <c r="Q1954" s="19"/>
      <c r="R1954" s="20">
        <v>36300</v>
      </c>
      <c r="S1954" s="21" t="str">
        <f>HYPERLINK("https://www.passhe.edu/answers/Calculator/SH/npcalc-216010.htm", "$27632")</f>
        <v>$27632</v>
      </c>
      <c r="T1954" s="20">
        <v>31237</v>
      </c>
      <c r="U1954" s="20">
        <v>34872</v>
      </c>
      <c r="V1954" s="20">
        <v>4458</v>
      </c>
      <c r="W1954" s="20">
        <v>23174.905882352941</v>
      </c>
      <c r="Y1954" s="19">
        <v>0.31580000000000003</v>
      </c>
      <c r="Z1954" s="19">
        <v>0.2321</v>
      </c>
      <c r="AB1954" s="18">
        <v>5464</v>
      </c>
      <c r="AC1954" s="18">
        <v>5</v>
      </c>
    </row>
    <row r="1955" spans="1:29" ht="15.75" customHeight="1" x14ac:dyDescent="0.2">
      <c r="A1955" s="36" t="str">
        <f>HYPERLINK("https://www.shortercollege.edu", "Shorter College")</f>
        <v>Shorter College</v>
      </c>
      <c r="B1955" s="18" t="s">
        <v>32</v>
      </c>
      <c r="C1955" s="18" t="s">
        <v>371</v>
      </c>
      <c r="D1955" s="18" t="s">
        <v>1676</v>
      </c>
      <c r="E1955" s="18" t="s">
        <v>36</v>
      </c>
      <c r="F1955" s="18" t="s">
        <v>36</v>
      </c>
      <c r="J1955" s="19"/>
      <c r="K1955" s="19">
        <v>8.3299999999999999E-2</v>
      </c>
      <c r="L1955" s="19" t="s">
        <v>36</v>
      </c>
      <c r="M1955" s="19" t="s">
        <v>36</v>
      </c>
      <c r="N1955" s="19">
        <v>2.9399999999999999E-2</v>
      </c>
      <c r="O1955" s="19">
        <v>1</v>
      </c>
      <c r="P1955" s="19" t="s">
        <v>36</v>
      </c>
      <c r="Q1955" s="19" t="s">
        <v>36</v>
      </c>
      <c r="R1955" s="20">
        <v>22379</v>
      </c>
      <c r="S1955" s="21" t="str">
        <f>HYPERLINK("https://www.shortercollege.edu", "$15773")</f>
        <v>$15773</v>
      </c>
      <c r="T1955" s="20" t="s">
        <v>36</v>
      </c>
      <c r="U1955" s="20" t="s">
        <v>36</v>
      </c>
      <c r="V1955" s="20">
        <v>7557</v>
      </c>
      <c r="W1955" s="20">
        <v>8216</v>
      </c>
      <c r="Y1955" s="19">
        <v>0.87009999999999998</v>
      </c>
      <c r="Z1955" s="19">
        <v>0.58160000000000001</v>
      </c>
      <c r="AB1955" s="18">
        <v>521</v>
      </c>
      <c r="AC1955" s="18">
        <v>6</v>
      </c>
    </row>
    <row r="1956" spans="1:29" ht="15.75" customHeight="1" x14ac:dyDescent="0.2">
      <c r="A1956" s="36" t="str">
        <f>HYPERLINK("https://www.shorter.edu/", "Shorter University")</f>
        <v>Shorter University</v>
      </c>
      <c r="B1956" s="18" t="s">
        <v>32</v>
      </c>
      <c r="C1956" s="18" t="s">
        <v>107</v>
      </c>
      <c r="D1956" s="18" t="s">
        <v>1155</v>
      </c>
      <c r="E1956" s="18">
        <v>1017</v>
      </c>
      <c r="F1956" s="18" t="s">
        <v>35</v>
      </c>
      <c r="J1956" s="19"/>
      <c r="K1956" s="19">
        <v>0.39550000000000002</v>
      </c>
      <c r="L1956" s="19">
        <v>0.38305084799999989</v>
      </c>
      <c r="M1956" s="19">
        <v>0.41959999999999997</v>
      </c>
      <c r="N1956" s="19">
        <v>0.28070000000000001</v>
      </c>
      <c r="O1956" s="19">
        <v>0.36359999999999998</v>
      </c>
      <c r="P1956" s="19">
        <v>0.5</v>
      </c>
      <c r="Q1956" s="19"/>
      <c r="R1956" s="20">
        <v>34490</v>
      </c>
      <c r="S1956" s="21" t="str">
        <f>HYPERLINK("https://www.shorter.edu/npc/", "$18362")</f>
        <v>$18362</v>
      </c>
      <c r="T1956" s="20">
        <v>20530</v>
      </c>
      <c r="U1956" s="20">
        <v>19756</v>
      </c>
      <c r="V1956" s="20">
        <v>3360</v>
      </c>
      <c r="W1956" s="20">
        <v>15002</v>
      </c>
      <c r="Y1956" s="19">
        <v>0.44400000000000001</v>
      </c>
      <c r="Z1956" s="19">
        <v>0.40429999999999999</v>
      </c>
      <c r="AB1956" s="18">
        <v>1264</v>
      </c>
      <c r="AC1956" s="18">
        <v>4</v>
      </c>
    </row>
    <row r="1957" spans="1:29" ht="15.75" customHeight="1" x14ac:dyDescent="0.2">
      <c r="A1957" s="36" t="str">
        <f>HYPERLINK("https://www.shorter.edu/professional-education/", "Shorter University-College of Adult &amp; Professional Programs")</f>
        <v>Shorter University-College of Adult &amp; Professional Programs</v>
      </c>
      <c r="B1957" s="18" t="s">
        <v>32</v>
      </c>
      <c r="C1957" s="18" t="s">
        <v>107</v>
      </c>
      <c r="D1957" s="18" t="s">
        <v>1155</v>
      </c>
      <c r="E1957" s="18" t="s">
        <v>36</v>
      </c>
      <c r="F1957" s="18" t="s">
        <v>45</v>
      </c>
      <c r="J1957" s="19"/>
      <c r="K1957" s="19">
        <v>0.61109999999999998</v>
      </c>
      <c r="L1957" s="19">
        <v>0.38305084799999989</v>
      </c>
      <c r="M1957" s="19">
        <v>0.25</v>
      </c>
      <c r="N1957" s="19">
        <v>0.66669999999999996</v>
      </c>
      <c r="O1957" s="19">
        <v>1</v>
      </c>
      <c r="P1957" s="19" t="s">
        <v>36</v>
      </c>
      <c r="Q1957" s="19"/>
      <c r="R1957" s="20">
        <v>24635</v>
      </c>
      <c r="S1957" s="21" t="str">
        <f>HYPERLINK("https://www.shorter.edu/npcalc/npcalc.htm", "$18070")</f>
        <v>$18070</v>
      </c>
      <c r="T1957" s="20" t="s">
        <v>36</v>
      </c>
      <c r="U1957" s="20">
        <v>23896</v>
      </c>
      <c r="V1957" s="20">
        <v>6300</v>
      </c>
      <c r="W1957" s="20">
        <v>11770</v>
      </c>
      <c r="Y1957" s="19">
        <v>0.67810000000000004</v>
      </c>
      <c r="Z1957" s="19">
        <v>0.72570000000000001</v>
      </c>
      <c r="AB1957" s="18">
        <v>113</v>
      </c>
      <c r="AC1957" s="18">
        <v>4</v>
      </c>
    </row>
    <row r="1958" spans="1:29" ht="15.75" customHeight="1" x14ac:dyDescent="0.2">
      <c r="A1958" s="36" t="str">
        <f>HYPERLINK("https://www.siena.edu", "Siena College")</f>
        <v>Siena College</v>
      </c>
      <c r="B1958" s="18" t="s">
        <v>32</v>
      </c>
      <c r="C1958" s="18" t="s">
        <v>38</v>
      </c>
      <c r="D1958" s="18" t="s">
        <v>473</v>
      </c>
      <c r="E1958" s="18" t="s">
        <v>36</v>
      </c>
      <c r="F1958" s="18" t="s">
        <v>90</v>
      </c>
      <c r="G1958" s="18" t="s">
        <v>40</v>
      </c>
      <c r="H1958" s="18" t="s">
        <v>474</v>
      </c>
      <c r="I1958" s="18" t="s">
        <v>475</v>
      </c>
      <c r="J1958" s="19"/>
      <c r="K1958" s="19">
        <v>0.78159999999999996</v>
      </c>
      <c r="L1958" s="19">
        <v>0.63157894700000006</v>
      </c>
      <c r="M1958" s="19">
        <v>0.78080000000000005</v>
      </c>
      <c r="N1958" s="19">
        <v>0.66669999999999996</v>
      </c>
      <c r="O1958" s="19">
        <v>0.80389999999999995</v>
      </c>
      <c r="P1958" s="19">
        <v>0.81820000000000004</v>
      </c>
      <c r="Q1958" s="19"/>
      <c r="R1958" s="20">
        <v>53855</v>
      </c>
      <c r="S1958" s="21" t="str">
        <f>HYPERLINK("https://www.siena.edu/afford/net-price-calculator/", "$20470")</f>
        <v>$20470</v>
      </c>
      <c r="T1958" s="20">
        <v>26042</v>
      </c>
      <c r="U1958" s="20">
        <v>27749</v>
      </c>
      <c r="V1958" s="20">
        <v>3570</v>
      </c>
      <c r="W1958" s="20">
        <v>16900</v>
      </c>
      <c r="Y1958" s="19">
        <v>0.2571</v>
      </c>
      <c r="Z1958" s="19">
        <v>0.20979999999999999</v>
      </c>
      <c r="AB1958" s="18">
        <v>3132</v>
      </c>
      <c r="AC1958" s="18">
        <v>3</v>
      </c>
    </row>
    <row r="1959" spans="1:29" ht="15.75" customHeight="1" x14ac:dyDescent="0.2">
      <c r="A1959" s="36" t="str">
        <f>HYPERLINK("https://www.sierracollege.edu", "Sierra College")</f>
        <v>Sierra College</v>
      </c>
      <c r="B1959" s="18" t="s">
        <v>49</v>
      </c>
      <c r="C1959" s="18" t="s">
        <v>68</v>
      </c>
      <c r="D1959" s="18" t="s">
        <v>1677</v>
      </c>
      <c r="E1959" s="18" t="s">
        <v>36</v>
      </c>
      <c r="F1959" s="18" t="s">
        <v>36</v>
      </c>
      <c r="J1959" s="19"/>
      <c r="K1959" s="19">
        <v>0.34960000000000002</v>
      </c>
      <c r="L1959" s="19" t="s">
        <v>36</v>
      </c>
      <c r="M1959" s="19">
        <v>0.33260000000000001</v>
      </c>
      <c r="N1959" s="19">
        <v>0.2203</v>
      </c>
      <c r="O1959" s="19">
        <v>0.35539999999999999</v>
      </c>
      <c r="P1959" s="19">
        <v>0.51580000000000004</v>
      </c>
      <c r="Q1959" s="19">
        <v>0.129011553</v>
      </c>
      <c r="R1959" s="20">
        <v>18934</v>
      </c>
      <c r="S1959" s="21" t="str">
        <f>HYPERLINK("https://misweb.cccco.edu/npc/271/npcalc.htm", "$11470")</f>
        <v>$11470</v>
      </c>
      <c r="T1959" s="20">
        <v>14553</v>
      </c>
      <c r="U1959" s="20">
        <v>16473</v>
      </c>
      <c r="V1959" s="20">
        <v>5320</v>
      </c>
      <c r="W1959" s="20">
        <v>6150.9336099585053</v>
      </c>
      <c r="Y1959" s="19">
        <v>0.27279999999999999</v>
      </c>
      <c r="Z1959" s="19">
        <v>0.43769999999999998</v>
      </c>
      <c r="AB1959" s="18">
        <v>16383</v>
      </c>
      <c r="AC1959" s="18">
        <v>6</v>
      </c>
    </row>
    <row r="1960" spans="1:29" ht="15.75" customHeight="1" x14ac:dyDescent="0.2">
      <c r="A1960" s="36" t="str">
        <f>HYPERLINK("https://www.sierranevada.edu", "Sierra Nevada College")</f>
        <v>Sierra Nevada College</v>
      </c>
      <c r="B1960" s="18" t="s">
        <v>32</v>
      </c>
      <c r="C1960" s="18" t="s">
        <v>476</v>
      </c>
      <c r="D1960" s="18" t="s">
        <v>477</v>
      </c>
      <c r="E1960" s="18">
        <v>1048</v>
      </c>
      <c r="F1960" s="18" t="s">
        <v>35</v>
      </c>
      <c r="J1960" s="19"/>
      <c r="K1960" s="19">
        <v>0.44119999999999998</v>
      </c>
      <c r="L1960" s="19">
        <v>0.41935483899999998</v>
      </c>
      <c r="M1960" s="19">
        <v>0.4884</v>
      </c>
      <c r="N1960" s="19">
        <v>0</v>
      </c>
      <c r="O1960" s="19">
        <v>0.4</v>
      </c>
      <c r="P1960" s="19">
        <v>0</v>
      </c>
      <c r="Q1960" s="19"/>
      <c r="R1960" s="20">
        <v>49003</v>
      </c>
      <c r="S1960" s="21" t="str">
        <f>HYPERLINK("https://npc.collegeboard.org/student/app/sierranevada", "$36394")</f>
        <v>$36394</v>
      </c>
      <c r="T1960" s="20">
        <v>40299</v>
      </c>
      <c r="U1960" s="20">
        <v>38840</v>
      </c>
      <c r="V1960" s="20">
        <v>3600</v>
      </c>
      <c r="W1960" s="20">
        <v>32794</v>
      </c>
      <c r="Y1960" s="19">
        <v>0.37869999999999998</v>
      </c>
      <c r="Z1960" s="19">
        <v>0.22170000000000001</v>
      </c>
      <c r="AB1960" s="18">
        <v>433</v>
      </c>
      <c r="AC1960" s="18">
        <v>3</v>
      </c>
    </row>
    <row r="1961" spans="1:29" ht="15.75" customHeight="1" x14ac:dyDescent="0.2">
      <c r="A1961" s="36" t="str">
        <f>HYPERLINK("https://www.simmonscollegeky.edu", "Simmons College of Kentucky")</f>
        <v>Simmons College of Kentucky</v>
      </c>
      <c r="B1961" s="18" t="s">
        <v>32</v>
      </c>
      <c r="C1961" s="18" t="s">
        <v>205</v>
      </c>
      <c r="D1961" s="18" t="s">
        <v>306</v>
      </c>
      <c r="E1961" s="18" t="s">
        <v>36</v>
      </c>
      <c r="F1961" s="18" t="s">
        <v>36</v>
      </c>
      <c r="J1961" s="19"/>
      <c r="K1961" s="19">
        <v>1</v>
      </c>
      <c r="L1961" s="19" t="s">
        <v>36</v>
      </c>
      <c r="M1961" s="19" t="s">
        <v>36</v>
      </c>
      <c r="N1961" s="19">
        <v>1</v>
      </c>
      <c r="O1961" s="19" t="s">
        <v>36</v>
      </c>
      <c r="P1961" s="19" t="s">
        <v>36</v>
      </c>
      <c r="Q1961" s="19" t="s">
        <v>36</v>
      </c>
      <c r="R1961" s="20">
        <v>15588</v>
      </c>
      <c r="S1961" s="21" t="str">
        <f>HYPERLINK("https://www.simmonscollegeky.edu/financial-aid", "$6822")</f>
        <v>$6822</v>
      </c>
      <c r="T1961" s="20">
        <v>9104</v>
      </c>
      <c r="U1961" s="20" t="s">
        <v>36</v>
      </c>
      <c r="V1961" s="20">
        <v>3982</v>
      </c>
      <c r="W1961" s="20">
        <v>2840</v>
      </c>
      <c r="Y1961" s="19">
        <v>0.67979999999999996</v>
      </c>
      <c r="Z1961" s="19">
        <v>0.99070000000000003</v>
      </c>
      <c r="AB1961" s="18">
        <v>216</v>
      </c>
      <c r="AC1961" s="18">
        <v>6</v>
      </c>
    </row>
    <row r="1962" spans="1:29" ht="15.75" customHeight="1" x14ac:dyDescent="0.2">
      <c r="A1962" s="36" t="str">
        <f>HYPERLINK("https://www.simmons.edu", "Simmons College")</f>
        <v>Simmons College</v>
      </c>
      <c r="B1962" s="18" t="s">
        <v>32</v>
      </c>
      <c r="C1962" s="18" t="s">
        <v>33</v>
      </c>
      <c r="D1962" s="18" t="s">
        <v>136</v>
      </c>
      <c r="E1962" s="18">
        <v>1227</v>
      </c>
      <c r="F1962" s="18" t="s">
        <v>35</v>
      </c>
      <c r="J1962" s="19"/>
      <c r="K1962" s="19">
        <v>0.73260000000000003</v>
      </c>
      <c r="L1962" s="19">
        <v>0.74842767300000002</v>
      </c>
      <c r="M1962" s="19">
        <v>0.7409</v>
      </c>
      <c r="N1962" s="19">
        <v>0.54549999999999998</v>
      </c>
      <c r="O1962" s="19">
        <v>0.71430000000000005</v>
      </c>
      <c r="P1962" s="19">
        <v>0.8</v>
      </c>
      <c r="Q1962" s="19"/>
      <c r="R1962" s="20">
        <v>58230</v>
      </c>
      <c r="S1962" s="21" t="str">
        <f>HYPERLINK("https://npc.collegeboard.org/student/app/simmons", "$22249")</f>
        <v>$22249</v>
      </c>
      <c r="T1962" s="20">
        <v>25367</v>
      </c>
      <c r="U1962" s="20">
        <v>27856</v>
      </c>
      <c r="V1962" s="20">
        <v>3830</v>
      </c>
      <c r="W1962" s="20">
        <v>18419</v>
      </c>
      <c r="Y1962" s="19">
        <v>0.25659999999999999</v>
      </c>
      <c r="Z1962" s="19">
        <v>0.35129999999999989</v>
      </c>
      <c r="AB1962" s="18">
        <v>1708</v>
      </c>
      <c r="AC1962" s="18">
        <v>3</v>
      </c>
    </row>
    <row r="1963" spans="1:29" ht="15.75" customHeight="1" x14ac:dyDescent="0.2">
      <c r="A1963" s="36" t="str">
        <f>HYPERLINK("https://www.simpson.edu", "Simpson College")</f>
        <v>Simpson College</v>
      </c>
      <c r="B1963" s="18" t="s">
        <v>32</v>
      </c>
      <c r="C1963" s="18" t="s">
        <v>211</v>
      </c>
      <c r="D1963" s="18" t="s">
        <v>478</v>
      </c>
      <c r="E1963" s="18">
        <v>1178</v>
      </c>
      <c r="F1963" s="18" t="s">
        <v>35</v>
      </c>
      <c r="J1963" s="19"/>
      <c r="K1963" s="19">
        <v>0.68279999999999996</v>
      </c>
      <c r="L1963" s="19">
        <v>0.52380952400000003</v>
      </c>
      <c r="M1963" s="19">
        <v>0.70409999999999995</v>
      </c>
      <c r="N1963" s="19">
        <v>0.44440000000000002</v>
      </c>
      <c r="O1963" s="19">
        <v>0.5</v>
      </c>
      <c r="P1963" s="19">
        <v>1</v>
      </c>
      <c r="Q1963" s="19"/>
      <c r="R1963" s="20">
        <v>50180</v>
      </c>
      <c r="S1963" s="21" t="str">
        <f>HYPERLINK("https://simpson.edu/financial-aid/net-price-calculator/", "$17509")</f>
        <v>$17509</v>
      </c>
      <c r="T1963" s="20">
        <v>20886</v>
      </c>
      <c r="U1963" s="20">
        <v>23644</v>
      </c>
      <c r="V1963" s="20">
        <v>4554</v>
      </c>
      <c r="W1963" s="20">
        <v>12955</v>
      </c>
      <c r="Y1963" s="19">
        <v>0.27410000000000001</v>
      </c>
      <c r="Z1963" s="19">
        <v>0.16070000000000001</v>
      </c>
      <c r="AB1963" s="18">
        <v>1406</v>
      </c>
      <c r="AC1963" s="18">
        <v>3</v>
      </c>
    </row>
    <row r="1964" spans="1:29" ht="15.75" customHeight="1" x14ac:dyDescent="0.2">
      <c r="A1964" s="36" t="str">
        <f>HYPERLINK("https://www.simpsonu.edu", "Simpson University")</f>
        <v>Simpson University</v>
      </c>
      <c r="B1964" s="18" t="s">
        <v>32</v>
      </c>
      <c r="C1964" s="18" t="s">
        <v>68</v>
      </c>
      <c r="D1964" s="18" t="s">
        <v>1158</v>
      </c>
      <c r="E1964" s="18">
        <v>1077</v>
      </c>
      <c r="F1964" s="18" t="s">
        <v>35</v>
      </c>
      <c r="J1964" s="19"/>
      <c r="K1964" s="19">
        <v>0.56740000000000002</v>
      </c>
      <c r="L1964" s="19">
        <v>0.51630434800000002</v>
      </c>
      <c r="M1964" s="19">
        <v>0.57889999999999997</v>
      </c>
      <c r="N1964" s="19">
        <v>0.5</v>
      </c>
      <c r="O1964" s="19">
        <v>0.47370000000000001</v>
      </c>
      <c r="P1964" s="19">
        <v>0.5</v>
      </c>
      <c r="Q1964" s="19"/>
      <c r="R1964" s="20">
        <v>40785</v>
      </c>
      <c r="S1964" s="21" t="str">
        <f>HYPERLINK("https://simpsonu.studentaidcalculator.com/survey.aspx", "$21777")</f>
        <v>$21777</v>
      </c>
      <c r="T1964" s="20">
        <v>25377</v>
      </c>
      <c r="U1964" s="20">
        <v>26524</v>
      </c>
      <c r="V1964" s="20">
        <v>4735</v>
      </c>
      <c r="W1964" s="20">
        <v>17042</v>
      </c>
      <c r="Y1964" s="19">
        <v>0.4481</v>
      </c>
      <c r="Z1964" s="19">
        <v>0.42509999999999998</v>
      </c>
      <c r="AB1964" s="18">
        <v>708</v>
      </c>
      <c r="AC1964" s="18">
        <v>4</v>
      </c>
    </row>
    <row r="1965" spans="1:29" ht="15.75" customHeight="1" x14ac:dyDescent="0.2">
      <c r="A1965" s="36" t="str">
        <f>HYPERLINK("https://www.sintegleska.edu", "Sinte Gleska University")</f>
        <v>Sinte Gleska University</v>
      </c>
      <c r="B1965" s="18" t="s">
        <v>32</v>
      </c>
      <c r="C1965" s="18" t="s">
        <v>302</v>
      </c>
      <c r="D1965" s="18" t="s">
        <v>1678</v>
      </c>
      <c r="E1965" s="18" t="s">
        <v>36</v>
      </c>
      <c r="F1965" s="18" t="s">
        <v>36</v>
      </c>
      <c r="J1965" s="19"/>
      <c r="K1965" s="19">
        <v>2.6499999999999999E-2</v>
      </c>
      <c r="L1965" s="19" t="s">
        <v>36</v>
      </c>
      <c r="M1965" s="19">
        <v>0</v>
      </c>
      <c r="N1965" s="19" t="s">
        <v>36</v>
      </c>
      <c r="O1965" s="19" t="s">
        <v>36</v>
      </c>
      <c r="P1965" s="19" t="s">
        <v>36</v>
      </c>
      <c r="Q1965" s="19" t="s">
        <v>36</v>
      </c>
      <c r="R1965" s="20">
        <v>21154</v>
      </c>
      <c r="S1965" s="21" t="str">
        <f>HYPERLINK("https://www.sintegleska.edu", "$12564")</f>
        <v>$12564</v>
      </c>
      <c r="T1965" s="20">
        <v>15584</v>
      </c>
      <c r="U1965" s="20" t="s">
        <v>36</v>
      </c>
      <c r="V1965" s="20">
        <v>8000</v>
      </c>
      <c r="W1965" s="20">
        <v>4564</v>
      </c>
      <c r="Y1965" s="19">
        <v>0.54239999999999999</v>
      </c>
      <c r="Z1965" s="19">
        <v>0.94340000000000002</v>
      </c>
      <c r="AB1965" s="18">
        <v>512</v>
      </c>
      <c r="AC1965" s="18">
        <v>6</v>
      </c>
    </row>
    <row r="1966" spans="1:29" ht="15.75" customHeight="1" x14ac:dyDescent="0.2">
      <c r="A1966" s="36" t="str">
        <f>HYPERLINK("https://www.swc.tc", "Sisseton Wahpeton College")</f>
        <v>Sisseton Wahpeton College</v>
      </c>
      <c r="B1966" s="18" t="s">
        <v>49</v>
      </c>
      <c r="C1966" s="18" t="s">
        <v>302</v>
      </c>
      <c r="D1966" s="18" t="s">
        <v>1679</v>
      </c>
      <c r="E1966" s="18" t="s">
        <v>36</v>
      </c>
      <c r="F1966" s="18" t="s">
        <v>36</v>
      </c>
      <c r="J1966" s="19"/>
      <c r="K1966" s="19">
        <v>8.3299999999999999E-2</v>
      </c>
      <c r="L1966" s="19" t="s">
        <v>36</v>
      </c>
      <c r="M1966" s="19">
        <v>0</v>
      </c>
      <c r="N1966" s="19" t="s">
        <v>36</v>
      </c>
      <c r="O1966" s="19" t="s">
        <v>36</v>
      </c>
      <c r="P1966" s="19" t="s">
        <v>36</v>
      </c>
      <c r="Q1966" s="19" t="s">
        <v>36</v>
      </c>
      <c r="R1966" s="20">
        <v>11260</v>
      </c>
      <c r="S1966" s="21" t="str">
        <f>HYPERLINK("https://www.swc.tc", "Not reported")</f>
        <v>Not reported</v>
      </c>
      <c r="T1966" s="20" t="s">
        <v>36</v>
      </c>
      <c r="U1966" s="20" t="s">
        <v>36</v>
      </c>
      <c r="V1966" s="20">
        <v>3600</v>
      </c>
      <c r="W1966" s="20" t="s">
        <v>36</v>
      </c>
      <c r="Y1966" s="19">
        <v>0.67610000000000003</v>
      </c>
      <c r="Z1966" s="19">
        <v>0.90210000000000001</v>
      </c>
      <c r="AB1966" s="18">
        <v>194</v>
      </c>
      <c r="AC1966" s="18">
        <v>6</v>
      </c>
    </row>
    <row r="1967" spans="1:29" ht="15.75" customHeight="1" x14ac:dyDescent="0.2">
      <c r="A1967" s="36" t="str">
        <f>HYPERLINK("https://www.skagit.edu", "Skagit Valley College")</f>
        <v>Skagit Valley College</v>
      </c>
      <c r="B1967" s="18" t="s">
        <v>49</v>
      </c>
      <c r="C1967" s="18" t="s">
        <v>184</v>
      </c>
      <c r="D1967" s="18" t="s">
        <v>212</v>
      </c>
      <c r="E1967" s="18" t="s">
        <v>36</v>
      </c>
      <c r="F1967" s="18" t="s">
        <v>36</v>
      </c>
      <c r="J1967" s="19"/>
      <c r="K1967" s="19">
        <v>0.21210000000000001</v>
      </c>
      <c r="L1967" s="19">
        <v>0.12782956100000001</v>
      </c>
      <c r="M1967" s="19">
        <v>0.1953</v>
      </c>
      <c r="N1967" s="19">
        <v>7.6899999999999996E-2</v>
      </c>
      <c r="O1967" s="19">
        <v>0.14749999999999999</v>
      </c>
      <c r="P1967" s="19">
        <v>0.33329999999999999</v>
      </c>
      <c r="Q1967" s="19">
        <v>8.8731144999999997E-2</v>
      </c>
      <c r="R1967" s="20">
        <v>18500</v>
      </c>
      <c r="S1967" s="21" t="str">
        <f>HYPERLINK("https://www.skagit.edu/netpricecalculator/", "$12300")</f>
        <v>$12300</v>
      </c>
      <c r="T1967" s="20">
        <v>14905</v>
      </c>
      <c r="U1967" s="20">
        <v>17026</v>
      </c>
      <c r="V1967" s="20">
        <v>4200</v>
      </c>
      <c r="W1967" s="20">
        <v>8100.2577319587617</v>
      </c>
      <c r="Y1967" s="19">
        <v>0.2442</v>
      </c>
      <c r="Z1967" s="19">
        <v>0.35539999999999999</v>
      </c>
      <c r="AB1967" s="18">
        <v>2634</v>
      </c>
      <c r="AC1967" s="18">
        <v>6</v>
      </c>
    </row>
    <row r="1968" spans="1:29" ht="15.75" customHeight="1" x14ac:dyDescent="0.2">
      <c r="A1968" s="36" t="str">
        <f>HYPERLINK("https://www.skidmore.edu/", "Skidmore College")</f>
        <v>Skidmore College</v>
      </c>
      <c r="B1968" s="18" t="s">
        <v>32</v>
      </c>
      <c r="C1968" s="18" t="s">
        <v>38</v>
      </c>
      <c r="D1968" s="18" t="s">
        <v>246</v>
      </c>
      <c r="E1968" s="18">
        <v>1330</v>
      </c>
      <c r="F1968" s="18" t="s">
        <v>115</v>
      </c>
      <c r="G1968" s="18" t="s">
        <v>40</v>
      </c>
      <c r="H1968" s="18" t="s">
        <v>247</v>
      </c>
      <c r="I1968" s="18" t="s">
        <v>248</v>
      </c>
      <c r="J1968" s="19"/>
      <c r="K1968" s="19">
        <v>0.87029999999999996</v>
      </c>
      <c r="L1968" s="19" t="s">
        <v>36</v>
      </c>
      <c r="M1968" s="19">
        <v>0.8579</v>
      </c>
      <c r="N1968" s="19">
        <v>0.82350000000000001</v>
      </c>
      <c r="O1968" s="19">
        <v>0.94340000000000002</v>
      </c>
      <c r="P1968" s="19">
        <v>0.90700000000000003</v>
      </c>
      <c r="Q1968" s="19"/>
      <c r="R1968" s="20">
        <v>69450</v>
      </c>
      <c r="S1968" s="21" t="str">
        <f>HYPERLINK("https://skidmore.studentaidcalculator.com/survey.aspx", "$10467")</f>
        <v>$10467</v>
      </c>
      <c r="T1968" s="20">
        <v>14973</v>
      </c>
      <c r="U1968" s="20">
        <v>24126</v>
      </c>
      <c r="V1968" s="20">
        <v>2850</v>
      </c>
      <c r="W1968" s="20">
        <v>7617</v>
      </c>
      <c r="X1968" s="18" t="s">
        <v>37</v>
      </c>
      <c r="Y1968" s="19">
        <v>0.1313</v>
      </c>
      <c r="Z1968" s="19">
        <v>0.37309999999999999</v>
      </c>
      <c r="AB1968" s="18">
        <v>2659</v>
      </c>
      <c r="AC1968" s="18">
        <v>2</v>
      </c>
    </row>
    <row r="1969" spans="1:29" ht="15.75" customHeight="1" x14ac:dyDescent="0.2">
      <c r="A1969" s="36" t="str">
        <f>HYPERLINK("https://skylinecollege.edu", "Skyline College")</f>
        <v>Skyline College</v>
      </c>
      <c r="B1969" s="18" t="s">
        <v>49</v>
      </c>
      <c r="C1969" s="18" t="s">
        <v>68</v>
      </c>
      <c r="D1969" s="18" t="s">
        <v>1680</v>
      </c>
      <c r="E1969" s="18" t="s">
        <v>36</v>
      </c>
      <c r="F1969" s="18" t="s">
        <v>36</v>
      </c>
      <c r="J1969" s="19"/>
      <c r="K1969" s="19">
        <v>0.245</v>
      </c>
      <c r="L1969" s="19">
        <v>0.10554089699999999</v>
      </c>
      <c r="M1969" s="19">
        <v>0.23749999999999999</v>
      </c>
      <c r="N1969" s="19">
        <v>0.2</v>
      </c>
      <c r="O1969" s="19">
        <v>0.2072</v>
      </c>
      <c r="P1969" s="19">
        <v>0.28060000000000002</v>
      </c>
      <c r="Q1969" s="19">
        <v>0.14845173</v>
      </c>
      <c r="R1969" s="20">
        <v>27126</v>
      </c>
      <c r="S1969" s="21" t="str">
        <f>HYPERLINK("https://misweb.cccco.edu/npc/373/npcalc.htm", "$19465")</f>
        <v>$19465</v>
      </c>
      <c r="T1969" s="20">
        <v>22766</v>
      </c>
      <c r="U1969" s="20">
        <v>22335</v>
      </c>
      <c r="V1969" s="20">
        <v>5976</v>
      </c>
      <c r="W1969" s="20">
        <v>13489.69072164948</v>
      </c>
      <c r="Y1969" s="19">
        <v>0.159</v>
      </c>
      <c r="Z1969" s="19">
        <v>0.82030000000000003</v>
      </c>
      <c r="AB1969" s="18">
        <v>8084</v>
      </c>
      <c r="AC1969" s="18">
        <v>6</v>
      </c>
    </row>
    <row r="1970" spans="1:29" ht="15.75" customHeight="1" x14ac:dyDescent="0.2">
      <c r="A1970" s="36" t="str">
        <f>HYPERLINK("https://www.sru.edu", "Slippery Rock University of Pennsylvania")</f>
        <v>Slippery Rock University of Pennsylvania</v>
      </c>
      <c r="B1970" s="18" t="s">
        <v>49</v>
      </c>
      <c r="C1970" s="18" t="s">
        <v>65</v>
      </c>
      <c r="D1970" s="18" t="s">
        <v>838</v>
      </c>
      <c r="E1970" s="18">
        <v>1081</v>
      </c>
      <c r="F1970" s="18" t="s">
        <v>35</v>
      </c>
      <c r="J1970" s="19"/>
      <c r="K1970" s="19">
        <v>0.66049999999999998</v>
      </c>
      <c r="L1970" s="19">
        <v>0.47227191400000001</v>
      </c>
      <c r="M1970" s="19">
        <v>0.67390000000000005</v>
      </c>
      <c r="N1970" s="19">
        <v>0.5</v>
      </c>
      <c r="O1970" s="19">
        <v>0.625</v>
      </c>
      <c r="P1970" s="19">
        <v>0.61539999999999995</v>
      </c>
      <c r="Q1970" s="19"/>
      <c r="R1970" s="20">
        <v>28365</v>
      </c>
      <c r="S1970" s="21" t="str">
        <f>HYPERLINK("https://www.passhe.edu/answers/Calculator/SL/npcalc-216038.htm", "$18663")</f>
        <v>$18663</v>
      </c>
      <c r="T1970" s="20">
        <v>22528</v>
      </c>
      <c r="U1970" s="20">
        <v>26883</v>
      </c>
      <c r="V1970" s="20">
        <v>3860</v>
      </c>
      <c r="W1970" s="20">
        <v>14803.29032258064</v>
      </c>
      <c r="Y1970" s="19">
        <v>0.31319999999999998</v>
      </c>
      <c r="Z1970" s="19">
        <v>0.14299999999999999</v>
      </c>
      <c r="AB1970" s="18">
        <v>7539</v>
      </c>
      <c r="AC1970" s="18">
        <v>5</v>
      </c>
    </row>
    <row r="1971" spans="1:29" ht="15.75" customHeight="1" x14ac:dyDescent="0.2">
      <c r="A1971" s="36" t="str">
        <f>HYPERLINK("https://www.smith.edu", "Smith College")</f>
        <v>Smith College</v>
      </c>
      <c r="B1971" s="18" t="s">
        <v>32</v>
      </c>
      <c r="C1971" s="18" t="s">
        <v>33</v>
      </c>
      <c r="D1971" s="18" t="s">
        <v>151</v>
      </c>
      <c r="E1971" s="18" t="s">
        <v>36</v>
      </c>
      <c r="F1971" s="18" t="s">
        <v>45</v>
      </c>
      <c r="J1971" s="19"/>
      <c r="K1971" s="19">
        <v>0.88039999999999996</v>
      </c>
      <c r="L1971" s="19">
        <v>0.87628866000000005</v>
      </c>
      <c r="M1971" s="19">
        <v>0.87809999999999999</v>
      </c>
      <c r="N1971" s="19">
        <v>0.80769999999999997</v>
      </c>
      <c r="O1971" s="19">
        <v>0.89470000000000005</v>
      </c>
      <c r="P1971" s="19">
        <v>0.90380000000000005</v>
      </c>
      <c r="Q1971" s="19"/>
      <c r="R1971" s="20">
        <v>69563</v>
      </c>
      <c r="S1971" s="21" t="str">
        <f>HYPERLINK("https://npc.collegeboard.org/student/app/smith", "$9589")</f>
        <v>$9589</v>
      </c>
      <c r="T1971" s="20">
        <v>13831</v>
      </c>
      <c r="U1971" s="20">
        <v>20504</v>
      </c>
      <c r="V1971" s="20">
        <v>2789</v>
      </c>
      <c r="W1971" s="20">
        <v>6800</v>
      </c>
      <c r="X1971" s="18" t="s">
        <v>37</v>
      </c>
      <c r="Y1971" s="19">
        <v>0.2021</v>
      </c>
      <c r="Z1971" s="19">
        <v>0.52479999999999993</v>
      </c>
      <c r="AA1971" s="18" t="s">
        <v>37</v>
      </c>
      <c r="AB1971" s="18">
        <v>2519</v>
      </c>
      <c r="AC1971" s="18">
        <v>1</v>
      </c>
    </row>
    <row r="1972" spans="1:29" ht="15.75" customHeight="1" x14ac:dyDescent="0.2">
      <c r="A1972" s="36" t="str">
        <f>HYPERLINK("https://www.snead.edu", "Snead State Community College")</f>
        <v>Snead State Community College</v>
      </c>
      <c r="B1972" s="18" t="s">
        <v>49</v>
      </c>
      <c r="C1972" s="18" t="s">
        <v>300</v>
      </c>
      <c r="D1972" s="18" t="s">
        <v>1681</v>
      </c>
      <c r="E1972" s="18" t="s">
        <v>36</v>
      </c>
      <c r="F1972" s="18" t="s">
        <v>36</v>
      </c>
      <c r="J1972" s="19"/>
      <c r="K1972" s="19">
        <v>0.42720000000000002</v>
      </c>
      <c r="L1972" s="19">
        <v>8.6460033000000006E-2</v>
      </c>
      <c r="M1972" s="19">
        <v>0.47320000000000001</v>
      </c>
      <c r="N1972" s="19">
        <v>8.4699999999999998E-2</v>
      </c>
      <c r="O1972" s="19">
        <v>0.57830000000000004</v>
      </c>
      <c r="P1972" s="19">
        <v>0.1111</v>
      </c>
      <c r="Q1972" s="19">
        <v>0.12227602899999999</v>
      </c>
      <c r="R1972" s="20">
        <v>16615</v>
      </c>
      <c r="S1972" s="21" t="str">
        <f>HYPERLINK("https://www.snead.edu/financial_aid/net_price_calculator.aspx", "$10876")</f>
        <v>$10876</v>
      </c>
      <c r="T1972" s="20">
        <v>11360</v>
      </c>
      <c r="U1972" s="20">
        <v>12923</v>
      </c>
      <c r="V1972" s="20">
        <v>5358</v>
      </c>
      <c r="W1972" s="20">
        <v>5518.3983286908078</v>
      </c>
      <c r="Y1972" s="19">
        <v>0.50109999999999999</v>
      </c>
      <c r="Z1972" s="19">
        <v>0.26919999999999999</v>
      </c>
      <c r="AB1972" s="18">
        <v>1891</v>
      </c>
      <c r="AC1972" s="18">
        <v>6</v>
      </c>
    </row>
    <row r="1973" spans="1:29" ht="15.75" customHeight="1" x14ac:dyDescent="0.2">
      <c r="A1973" s="36" t="str">
        <f>HYPERLINK("https://www.snow.edu", "Snow College")</f>
        <v>Snow College</v>
      </c>
      <c r="B1973" s="18" t="s">
        <v>49</v>
      </c>
      <c r="C1973" s="18" t="s">
        <v>199</v>
      </c>
      <c r="D1973" s="18" t="s">
        <v>1682</v>
      </c>
      <c r="E1973" s="18" t="s">
        <v>36</v>
      </c>
      <c r="F1973" s="18" t="s">
        <v>36</v>
      </c>
      <c r="J1973" s="19"/>
      <c r="K1973" s="19">
        <v>0.48280000000000001</v>
      </c>
      <c r="L1973" s="19">
        <v>6.3786007999999991E-2</v>
      </c>
      <c r="M1973" s="19">
        <v>0.50309999999999999</v>
      </c>
      <c r="N1973" s="19">
        <v>0.5</v>
      </c>
      <c r="O1973" s="19">
        <v>0.26829999999999998</v>
      </c>
      <c r="P1973" s="19">
        <v>0.375</v>
      </c>
      <c r="Q1973" s="19">
        <v>0.23290203300000001</v>
      </c>
      <c r="R1973" s="20">
        <v>21582</v>
      </c>
      <c r="S1973" s="21" t="str">
        <f>HYPERLINK("https://www.collegeraptor.com/Shopping/School/Snow-College-UT--230597", "$17620")</f>
        <v>$17620</v>
      </c>
      <c r="T1973" s="20">
        <v>17771</v>
      </c>
      <c r="U1973" s="20">
        <v>19792</v>
      </c>
      <c r="V1973" s="20">
        <v>5000</v>
      </c>
      <c r="W1973" s="20">
        <v>12620.790235081369</v>
      </c>
      <c r="Y1973" s="19">
        <v>0.28110000000000002</v>
      </c>
      <c r="Z1973" s="19">
        <v>0.17</v>
      </c>
      <c r="AB1973" s="18">
        <v>3471</v>
      </c>
      <c r="AC1973" s="18">
        <v>6</v>
      </c>
    </row>
    <row r="1974" spans="1:29" ht="15.75" customHeight="1" x14ac:dyDescent="0.2">
      <c r="A1974" s="36" t="str">
        <f>HYPERLINK("https://www.soka.edu", "Soka University of America")</f>
        <v>Soka University of America</v>
      </c>
      <c r="B1974" s="18" t="s">
        <v>32</v>
      </c>
      <c r="C1974" s="18" t="s">
        <v>68</v>
      </c>
      <c r="D1974" s="18" t="s">
        <v>479</v>
      </c>
      <c r="E1974" s="18">
        <v>1318</v>
      </c>
      <c r="F1974" s="18" t="s">
        <v>35</v>
      </c>
      <c r="J1974" s="19"/>
      <c r="K1974" s="19">
        <v>0.93640000000000001</v>
      </c>
      <c r="L1974" s="19" t="s">
        <v>36</v>
      </c>
      <c r="M1974" s="19">
        <v>0.83330000000000004</v>
      </c>
      <c r="N1974" s="19">
        <v>0.88890000000000002</v>
      </c>
      <c r="O1974" s="19">
        <v>1</v>
      </c>
      <c r="P1974" s="19">
        <v>0.96</v>
      </c>
      <c r="Q1974" s="19"/>
      <c r="R1974" s="20">
        <v>47368</v>
      </c>
      <c r="S1974" s="21" t="str">
        <f>HYPERLINK("https://www.soka.edu/admission_aid/Financial_Aid/net-price-calculator.aspx", "$9323")</f>
        <v>$9323</v>
      </c>
      <c r="T1974" s="20">
        <v>7103</v>
      </c>
      <c r="U1974" s="20">
        <v>12049</v>
      </c>
      <c r="V1974" s="20">
        <v>3426</v>
      </c>
      <c r="W1974" s="20">
        <v>5897</v>
      </c>
      <c r="X1974" s="18" t="s">
        <v>37</v>
      </c>
      <c r="Y1974" s="19">
        <v>0.25419999999999998</v>
      </c>
      <c r="Z1974" s="19">
        <v>0.79610000000000003</v>
      </c>
      <c r="AB1974" s="18">
        <v>412</v>
      </c>
      <c r="AC1974" s="18">
        <v>3</v>
      </c>
    </row>
    <row r="1975" spans="1:29" ht="15.75" customHeight="1" x14ac:dyDescent="0.2">
      <c r="A1975" s="36" t="str">
        <f>HYPERLINK("https://www.solano.edu", "Solano Community College")</f>
        <v>Solano Community College</v>
      </c>
      <c r="B1975" s="18" t="s">
        <v>49</v>
      </c>
      <c r="C1975" s="18" t="s">
        <v>68</v>
      </c>
      <c r="D1975" s="18" t="s">
        <v>356</v>
      </c>
      <c r="E1975" s="18" t="s">
        <v>36</v>
      </c>
      <c r="F1975" s="18" t="s">
        <v>36</v>
      </c>
      <c r="J1975" s="19"/>
      <c r="K1975" s="19">
        <v>0.27529999999999999</v>
      </c>
      <c r="L1975" s="19">
        <v>5.4588607999999997E-2</v>
      </c>
      <c r="M1975" s="19">
        <v>0.2888</v>
      </c>
      <c r="N1975" s="19">
        <v>7.1400000000000005E-2</v>
      </c>
      <c r="O1975" s="19">
        <v>0.29270000000000002</v>
      </c>
      <c r="P1975" s="19">
        <v>0.41070000000000001</v>
      </c>
      <c r="Q1975" s="19">
        <v>8.5542169000000001E-2</v>
      </c>
      <c r="R1975" s="20">
        <v>25977</v>
      </c>
      <c r="S1975" s="21" t="str">
        <f>HYPERLINK("https://collegecost.ed.gov/netpricecenter.aspx", "$19185")</f>
        <v>$19185</v>
      </c>
      <c r="T1975" s="20">
        <v>22137</v>
      </c>
      <c r="U1975" s="20">
        <v>22489</v>
      </c>
      <c r="V1975" s="20">
        <v>6360</v>
      </c>
      <c r="W1975" s="20">
        <v>12825.40425531915</v>
      </c>
      <c r="Y1975" s="19">
        <v>0.19</v>
      </c>
      <c r="Z1975" s="19">
        <v>0.72</v>
      </c>
      <c r="AB1975" s="18">
        <v>7962</v>
      </c>
      <c r="AC1975" s="18">
        <v>6</v>
      </c>
    </row>
    <row r="1976" spans="1:29" ht="15.75" customHeight="1" x14ac:dyDescent="0.2">
      <c r="A1976" s="36" t="str">
        <f>HYPERLINK("https://www.sonoma.edu", "Sonoma State University")</f>
        <v>Sonoma State University</v>
      </c>
      <c r="B1976" s="18" t="s">
        <v>49</v>
      </c>
      <c r="C1976" s="18" t="s">
        <v>68</v>
      </c>
      <c r="D1976" s="18" t="s">
        <v>1160</v>
      </c>
      <c r="E1976" s="18">
        <v>1078</v>
      </c>
      <c r="F1976" s="18" t="s">
        <v>35</v>
      </c>
      <c r="J1976" s="19"/>
      <c r="K1976" s="19">
        <v>0.58460000000000001</v>
      </c>
      <c r="L1976" s="19">
        <v>0.51272015700000007</v>
      </c>
      <c r="M1976" s="19">
        <v>0.62749999999999995</v>
      </c>
      <c r="N1976" s="19">
        <v>0.37140000000000001</v>
      </c>
      <c r="O1976" s="19">
        <v>0.54390000000000005</v>
      </c>
      <c r="P1976" s="19">
        <v>0.61109999999999998</v>
      </c>
      <c r="Q1976" s="19"/>
      <c r="R1976" s="20">
        <v>37914</v>
      </c>
      <c r="S1976" s="21" t="str">
        <f>HYPERLINK("https://www2.calstate.edu/attend/paying-for-college/Pages/csu-costs.aspx", "$25849")</f>
        <v>$25849</v>
      </c>
      <c r="T1976" s="20">
        <v>31582</v>
      </c>
      <c r="U1976" s="20">
        <v>35101</v>
      </c>
      <c r="V1976" s="20">
        <v>4756</v>
      </c>
      <c r="W1976" s="20">
        <v>21093.54285714286</v>
      </c>
      <c r="Y1976" s="19">
        <v>0.3271</v>
      </c>
      <c r="Z1976" s="19">
        <v>0.56330000000000002</v>
      </c>
      <c r="AB1976" s="18">
        <v>8633</v>
      </c>
      <c r="AC1976" s="18">
        <v>4</v>
      </c>
    </row>
    <row r="1977" spans="1:29" ht="15.75" customHeight="1" x14ac:dyDescent="0.2">
      <c r="A1977" s="36" t="str">
        <f>HYPERLINK("https://www.scsu.edu", "South Carolina State University")</f>
        <v>South Carolina State University</v>
      </c>
      <c r="B1977" s="18" t="s">
        <v>49</v>
      </c>
      <c r="C1977" s="18" t="s">
        <v>208</v>
      </c>
      <c r="D1977" s="18" t="s">
        <v>647</v>
      </c>
      <c r="E1977" s="18">
        <v>898</v>
      </c>
      <c r="F1977" s="18" t="s">
        <v>35</v>
      </c>
      <c r="J1977" s="19"/>
      <c r="K1977" s="19">
        <v>0.35980000000000001</v>
      </c>
      <c r="L1977" s="19">
        <v>0.29366305999999998</v>
      </c>
      <c r="M1977" s="19">
        <v>0.4</v>
      </c>
      <c r="N1977" s="19">
        <v>0.3614</v>
      </c>
      <c r="O1977" s="19">
        <v>0.33329999999999999</v>
      </c>
      <c r="P1977" s="19">
        <v>0.5</v>
      </c>
      <c r="Q1977" s="19"/>
      <c r="R1977" s="20">
        <v>40120</v>
      </c>
      <c r="S1977" s="21" t="str">
        <f>HYPERLINK("https://www.scsu.edu/admissions/financialaid.aspx", "$31998")</f>
        <v>$31998</v>
      </c>
      <c r="T1977" s="20">
        <v>34272</v>
      </c>
      <c r="U1977" s="20">
        <v>37098</v>
      </c>
      <c r="V1977" s="20">
        <v>10000</v>
      </c>
      <c r="W1977" s="20">
        <v>21998.589552238809</v>
      </c>
      <c r="Y1977" s="19">
        <v>0.73860000000000003</v>
      </c>
      <c r="Z1977" s="19">
        <v>0.97870000000000001</v>
      </c>
      <c r="AB1977" s="18">
        <v>2489</v>
      </c>
      <c r="AC1977" s="18">
        <v>5</v>
      </c>
    </row>
    <row r="1978" spans="1:29" ht="15.75" customHeight="1" x14ac:dyDescent="0.2">
      <c r="A1978" s="36" t="str">
        <f>HYPERLINK("https://www.southcentral.edu", "South Central College")</f>
        <v>South Central College</v>
      </c>
      <c r="B1978" s="18" t="s">
        <v>49</v>
      </c>
      <c r="C1978" s="18" t="s">
        <v>72</v>
      </c>
      <c r="D1978" s="18" t="s">
        <v>1683</v>
      </c>
      <c r="E1978" s="18" t="s">
        <v>36</v>
      </c>
      <c r="F1978" s="18" t="s">
        <v>36</v>
      </c>
      <c r="J1978" s="19"/>
      <c r="K1978" s="19">
        <v>0.2467</v>
      </c>
      <c r="L1978" s="19">
        <v>0.30608695699999999</v>
      </c>
      <c r="M1978" s="19">
        <v>0.27250000000000002</v>
      </c>
      <c r="N1978" s="19">
        <v>0.16669999999999999</v>
      </c>
      <c r="O1978" s="19">
        <v>0.18179999999999999</v>
      </c>
      <c r="P1978" s="19">
        <v>0</v>
      </c>
      <c r="Q1978" s="19">
        <v>8.1617085999999991E-2</v>
      </c>
      <c r="R1978" s="20">
        <v>17669</v>
      </c>
      <c r="S1978" s="21" t="str">
        <f>HYPERLINK("https://southcentral.edu/aid-financial/net-price-calculator.html", "$12093")</f>
        <v>$12093</v>
      </c>
      <c r="T1978" s="20">
        <v>13719</v>
      </c>
      <c r="U1978" s="20">
        <v>16366</v>
      </c>
      <c r="V1978" s="20">
        <v>5752</v>
      </c>
      <c r="W1978" s="20">
        <v>6341.0243902439033</v>
      </c>
      <c r="Y1978" s="19">
        <v>0.45240000000000002</v>
      </c>
      <c r="Z1978" s="19">
        <v>0.28879999999999989</v>
      </c>
      <c r="AB1978" s="18">
        <v>2393</v>
      </c>
      <c r="AC1978" s="18">
        <v>6</v>
      </c>
    </row>
    <row r="1979" spans="1:29" ht="15.75" customHeight="1" x14ac:dyDescent="0.2">
      <c r="A1979" s="36" t="str">
        <f>HYPERLINK("https://www.south.edu", "South College")</f>
        <v>South College</v>
      </c>
      <c r="B1979" s="18" t="s">
        <v>368</v>
      </c>
      <c r="C1979" s="18" t="s">
        <v>174</v>
      </c>
      <c r="D1979" s="18" t="s">
        <v>492</v>
      </c>
      <c r="E1979" s="18" t="s">
        <v>36</v>
      </c>
      <c r="F1979" s="18" t="s">
        <v>36</v>
      </c>
      <c r="J1979" s="19"/>
      <c r="K1979" s="19">
        <v>0.3906</v>
      </c>
      <c r="L1979" s="19">
        <v>0.16723549500000001</v>
      </c>
      <c r="M1979" s="19">
        <v>0.39910000000000001</v>
      </c>
      <c r="N1979" s="19">
        <v>0.21429999999999999</v>
      </c>
      <c r="O1979" s="19">
        <v>0.25</v>
      </c>
      <c r="P1979" s="19">
        <v>0.5</v>
      </c>
      <c r="Q1979" s="19">
        <v>8.1712062000000002E-2</v>
      </c>
      <c r="R1979" s="20">
        <v>36020</v>
      </c>
      <c r="S1979" s="21" t="str">
        <f>HYPERLINK("https://www.south.edu", "$23709")</f>
        <v>$23709</v>
      </c>
      <c r="T1979" s="20">
        <v>24125</v>
      </c>
      <c r="U1979" s="20">
        <v>26207</v>
      </c>
      <c r="V1979" s="20">
        <v>4907</v>
      </c>
      <c r="W1979" s="20">
        <v>18802</v>
      </c>
      <c r="Y1979" s="19">
        <v>0.49700000000000011</v>
      </c>
      <c r="Z1979" s="19">
        <v>0.2109</v>
      </c>
      <c r="AB1979" s="18">
        <v>1408</v>
      </c>
      <c r="AC1979" s="18">
        <v>6</v>
      </c>
    </row>
    <row r="1980" spans="1:29" ht="15.75" customHeight="1" x14ac:dyDescent="0.2">
      <c r="A1980" s="36" t="str">
        <f>HYPERLINK("https://www.sdsmt.edu", "South Dakota School of Mines and Technology")</f>
        <v>South Dakota School of Mines and Technology</v>
      </c>
      <c r="B1980" s="18" t="s">
        <v>49</v>
      </c>
      <c r="C1980" s="18" t="s">
        <v>302</v>
      </c>
      <c r="D1980" s="18" t="s">
        <v>480</v>
      </c>
      <c r="E1980" s="18">
        <v>1267</v>
      </c>
      <c r="F1980" s="18" t="s">
        <v>35</v>
      </c>
      <c r="J1980" s="19"/>
      <c r="K1980" s="19">
        <v>0.50739999999999996</v>
      </c>
      <c r="L1980" s="19">
        <v>0.38095238100000001</v>
      </c>
      <c r="M1980" s="19">
        <v>0.52969999999999995</v>
      </c>
      <c r="N1980" s="19">
        <v>0.4</v>
      </c>
      <c r="O1980" s="19">
        <v>0.33329999999999999</v>
      </c>
      <c r="P1980" s="19">
        <v>0</v>
      </c>
      <c r="Q1980" s="19"/>
      <c r="R1980" s="20">
        <v>28770</v>
      </c>
      <c r="S1980" s="21" t="str">
        <f>HYPERLINK("https://interact.sdsmt.edu/NetPriceCalculator/npcalc.htm", "$21316")</f>
        <v>$21316</v>
      </c>
      <c r="T1980" s="20">
        <v>23798</v>
      </c>
      <c r="U1980" s="20">
        <v>26577</v>
      </c>
      <c r="V1980" s="20">
        <v>6020</v>
      </c>
      <c r="W1980" s="20">
        <v>15296.777777777779</v>
      </c>
      <c r="Y1980" s="19">
        <v>0.2205</v>
      </c>
      <c r="Z1980" s="19">
        <v>0.16689999999999999</v>
      </c>
      <c r="AB1980" s="18">
        <v>2295</v>
      </c>
      <c r="AC1980" s="18">
        <v>3</v>
      </c>
    </row>
    <row r="1981" spans="1:29" ht="15.75" customHeight="1" x14ac:dyDescent="0.2">
      <c r="A1981" s="36" t="str">
        <f>HYPERLINK("https://www.sdstate.edu/", "South Dakota State University")</f>
        <v>South Dakota State University</v>
      </c>
      <c r="B1981" s="18" t="s">
        <v>49</v>
      </c>
      <c r="C1981" s="18" t="s">
        <v>302</v>
      </c>
      <c r="D1981" s="18" t="s">
        <v>1161</v>
      </c>
      <c r="E1981" s="18">
        <v>1144</v>
      </c>
      <c r="F1981" s="18" t="s">
        <v>35</v>
      </c>
      <c r="J1981" s="19"/>
      <c r="K1981" s="19">
        <v>0.54920000000000002</v>
      </c>
      <c r="L1981" s="19">
        <v>0.36041358899999998</v>
      </c>
      <c r="M1981" s="19">
        <v>0.57310000000000005</v>
      </c>
      <c r="N1981" s="19">
        <v>0.2414</v>
      </c>
      <c r="O1981" s="19">
        <v>0.31709999999999999</v>
      </c>
      <c r="P1981" s="19">
        <v>0.23810000000000001</v>
      </c>
      <c r="Q1981" s="19"/>
      <c r="R1981" s="20">
        <v>26052</v>
      </c>
      <c r="S1981" s="21" t="str">
        <f>HYPERLINK("https://www.sdstate.edu/admissions/office-financial-aid/net-price-calculator", "$19460")</f>
        <v>$19460</v>
      </c>
      <c r="T1981" s="20">
        <v>22496</v>
      </c>
      <c r="U1981" s="20">
        <v>24408</v>
      </c>
      <c r="V1981" s="20">
        <v>5800</v>
      </c>
      <c r="W1981" s="20">
        <v>13660.35294117647</v>
      </c>
      <c r="Y1981" s="19">
        <v>0.2097</v>
      </c>
      <c r="Z1981" s="19">
        <v>0.13</v>
      </c>
      <c r="AB1981" s="18">
        <v>9704</v>
      </c>
      <c r="AC1981" s="18">
        <v>4</v>
      </c>
    </row>
    <row r="1982" spans="1:29" ht="15.75" customHeight="1" x14ac:dyDescent="0.2">
      <c r="A1982" s="36" t="str">
        <f>HYPERLINK("https://www.sfbc.edu", "South Florida Bible College and Theological Seminary")</f>
        <v>South Florida Bible College and Theological Seminary</v>
      </c>
      <c r="B1982" s="18" t="s">
        <v>32</v>
      </c>
      <c r="C1982" s="18" t="s">
        <v>162</v>
      </c>
      <c r="D1982" s="18" t="s">
        <v>1684</v>
      </c>
      <c r="E1982" s="18" t="s">
        <v>36</v>
      </c>
      <c r="F1982" s="18" t="s">
        <v>36</v>
      </c>
      <c r="J1982" s="19"/>
      <c r="K1982" s="19">
        <v>0.5</v>
      </c>
      <c r="L1982" s="19" t="s">
        <v>36</v>
      </c>
      <c r="M1982" s="19">
        <v>0</v>
      </c>
      <c r="N1982" s="19">
        <v>0.6</v>
      </c>
      <c r="O1982" s="19">
        <v>0</v>
      </c>
      <c r="P1982" s="19" t="s">
        <v>36</v>
      </c>
      <c r="Q1982" s="19" t="s">
        <v>36</v>
      </c>
      <c r="R1982" s="20">
        <v>19310</v>
      </c>
      <c r="S1982" s="21" t="str">
        <f>HYPERLINK("https://sfbc.vfao.com/aidestimator/default.aspx", "$15220")</f>
        <v>$15220</v>
      </c>
      <c r="T1982" s="20" t="s">
        <v>36</v>
      </c>
      <c r="U1982" s="20" t="s">
        <v>36</v>
      </c>
      <c r="V1982" s="20">
        <v>3150</v>
      </c>
      <c r="W1982" s="20">
        <v>12070</v>
      </c>
      <c r="Y1982" s="19">
        <v>0.47699999999999998</v>
      </c>
      <c r="Z1982" s="19">
        <v>0.92389999999999994</v>
      </c>
      <c r="AB1982" s="18">
        <v>276</v>
      </c>
      <c r="AC1982" s="18">
        <v>6</v>
      </c>
    </row>
    <row r="1983" spans="1:29" ht="15.75" customHeight="1" x14ac:dyDescent="0.2">
      <c r="A1983" s="36" t="str">
        <f>HYPERLINK("https://www.southflorida.edu", "South Florida State College")</f>
        <v>South Florida State College</v>
      </c>
      <c r="B1983" s="18" t="s">
        <v>49</v>
      </c>
      <c r="C1983" s="18" t="s">
        <v>162</v>
      </c>
      <c r="D1983" s="18" t="s">
        <v>1685</v>
      </c>
      <c r="E1983" s="18" t="s">
        <v>36</v>
      </c>
      <c r="F1983" s="18" t="s">
        <v>36</v>
      </c>
      <c r="J1983" s="19"/>
      <c r="K1983" s="19">
        <v>0.39539999999999997</v>
      </c>
      <c r="L1983" s="19">
        <v>0.12828947399999999</v>
      </c>
      <c r="M1983" s="19">
        <v>0.45079999999999998</v>
      </c>
      <c r="N1983" s="19">
        <v>0.25</v>
      </c>
      <c r="O1983" s="19">
        <v>0.376</v>
      </c>
      <c r="P1983" s="19">
        <v>0.6</v>
      </c>
      <c r="Q1983" s="19">
        <v>9.324009300000001E-2</v>
      </c>
      <c r="R1983" s="20">
        <v>23238</v>
      </c>
      <c r="S1983" s="21" t="str">
        <f>HYPERLINK("https://www.southflorida.edu/current-students/financial-aid-scholarships/net-price-calculator", "$18159")</f>
        <v>$18159</v>
      </c>
      <c r="T1983" s="20">
        <v>21133</v>
      </c>
      <c r="U1983" s="20">
        <v>21601</v>
      </c>
      <c r="V1983" s="20">
        <v>5459</v>
      </c>
      <c r="W1983" s="20">
        <v>12700.262500000001</v>
      </c>
      <c r="Y1983" s="19">
        <v>0.45150000000000001</v>
      </c>
      <c r="Z1983" s="19">
        <v>0.55320000000000003</v>
      </c>
      <c r="AB1983" s="18">
        <v>2104</v>
      </c>
      <c r="AC1983" s="18">
        <v>6</v>
      </c>
    </row>
    <row r="1984" spans="1:29" ht="15.75" customHeight="1" x14ac:dyDescent="0.2">
      <c r="A1984" s="36" t="str">
        <f>HYPERLINK("https://www.sgsc.edu", "South Georgia State College")</f>
        <v>South Georgia State College</v>
      </c>
      <c r="B1984" s="18" t="s">
        <v>49</v>
      </c>
      <c r="C1984" s="18" t="s">
        <v>107</v>
      </c>
      <c r="D1984" s="18" t="s">
        <v>1686</v>
      </c>
      <c r="E1984" s="18" t="s">
        <v>36</v>
      </c>
      <c r="F1984" s="18" t="s">
        <v>36</v>
      </c>
      <c r="J1984" s="19"/>
      <c r="K1984" s="19">
        <v>0.1008</v>
      </c>
      <c r="L1984" s="19">
        <v>0.10974106</v>
      </c>
      <c r="M1984" s="19">
        <v>0.17660000000000001</v>
      </c>
      <c r="N1984" s="19">
        <v>3.2599999999999997E-2</v>
      </c>
      <c r="O1984" s="19">
        <v>0.14630000000000001</v>
      </c>
      <c r="P1984" s="19">
        <v>0</v>
      </c>
      <c r="Q1984" s="19">
        <v>0.122249389</v>
      </c>
      <c r="R1984" s="20">
        <v>22757</v>
      </c>
      <c r="S1984" s="21" t="str">
        <f>HYPERLINK("https://www.sgsc.edu/current-students/netprice/npcalc.htm", "$16433")</f>
        <v>$16433</v>
      </c>
      <c r="T1984" s="20">
        <v>19536</v>
      </c>
      <c r="U1984" s="20">
        <v>20719</v>
      </c>
      <c r="V1984" s="20">
        <v>5056</v>
      </c>
      <c r="W1984" s="20">
        <v>11377.104212860309</v>
      </c>
      <c r="Y1984" s="19">
        <v>0.55549999999999999</v>
      </c>
      <c r="Z1984" s="19">
        <v>0.43809999999999999</v>
      </c>
      <c r="AB1984" s="18">
        <v>2150</v>
      </c>
      <c r="AC1984" s="18">
        <v>6</v>
      </c>
    </row>
    <row r="1985" spans="1:29" ht="15.75" customHeight="1" x14ac:dyDescent="0.2">
      <c r="A1985" s="36" t="str">
        <f>HYPERLINK("https://www.southhills.edu", "South Hills School of Business &amp; Technology")</f>
        <v>South Hills School of Business &amp; Technology</v>
      </c>
      <c r="B1985" s="18" t="s">
        <v>368</v>
      </c>
      <c r="C1985" s="18" t="s">
        <v>65</v>
      </c>
      <c r="D1985" s="18" t="s">
        <v>1687</v>
      </c>
      <c r="E1985" s="18" t="s">
        <v>36</v>
      </c>
      <c r="F1985" s="18" t="s">
        <v>45</v>
      </c>
      <c r="J1985" s="19"/>
      <c r="K1985" s="19">
        <v>0.52739999999999998</v>
      </c>
      <c r="L1985" s="19">
        <v>0.48908296899999998</v>
      </c>
      <c r="M1985" s="19">
        <v>0.53159999999999996</v>
      </c>
      <c r="N1985" s="19">
        <v>0.57140000000000002</v>
      </c>
      <c r="O1985" s="19">
        <v>0.5</v>
      </c>
      <c r="P1985" s="19">
        <v>0</v>
      </c>
      <c r="Q1985" s="19" t="s">
        <v>36</v>
      </c>
      <c r="R1985" s="20">
        <v>30608</v>
      </c>
      <c r="S1985" s="21" t="str">
        <f>HYPERLINK("https://www.southhills.edu/financial-aid/net-price-calculator/", "$15838")</f>
        <v>$15838</v>
      </c>
      <c r="T1985" s="20">
        <v>18595</v>
      </c>
      <c r="U1985" s="20">
        <v>24669</v>
      </c>
      <c r="V1985" s="20">
        <v>8500</v>
      </c>
      <c r="W1985" s="20">
        <v>7338</v>
      </c>
      <c r="Y1985" s="19">
        <v>0.64429999999999998</v>
      </c>
      <c r="Z1985" s="19">
        <v>6.1499999999999999E-2</v>
      </c>
      <c r="AB1985" s="18">
        <v>423</v>
      </c>
      <c r="AC1985" s="18">
        <v>6</v>
      </c>
    </row>
    <row r="1986" spans="1:29" ht="15.75" customHeight="1" x14ac:dyDescent="0.2">
      <c r="A1986" s="36" t="str">
        <f>HYPERLINK("https://www.southmountaincc.edu", "South Mountain Community College")</f>
        <v>South Mountain Community College</v>
      </c>
      <c r="B1986" s="18" t="s">
        <v>49</v>
      </c>
      <c r="C1986" s="18" t="s">
        <v>354</v>
      </c>
      <c r="D1986" s="18" t="s">
        <v>369</v>
      </c>
      <c r="E1986" s="18" t="s">
        <v>36</v>
      </c>
      <c r="F1986" s="18" t="s">
        <v>36</v>
      </c>
      <c r="J1986" s="19"/>
      <c r="K1986" s="19">
        <v>0.22819999999999999</v>
      </c>
      <c r="L1986" s="19" t="s">
        <v>36</v>
      </c>
      <c r="M1986" s="19">
        <v>0.31909999999999999</v>
      </c>
      <c r="N1986" s="19">
        <v>7.6899999999999996E-2</v>
      </c>
      <c r="O1986" s="19">
        <v>0.24759999999999999</v>
      </c>
      <c r="P1986" s="19">
        <v>0.125</v>
      </c>
      <c r="Q1986" s="19">
        <v>0.110294118</v>
      </c>
      <c r="R1986" s="20">
        <v>21565</v>
      </c>
      <c r="S1986" s="21" t="str">
        <f>HYPERLINK("https://www.southmountaincc.edu/disclosures/", "$16286")</f>
        <v>$16286</v>
      </c>
      <c r="T1986" s="20">
        <v>18499</v>
      </c>
      <c r="U1986" s="20">
        <v>20682</v>
      </c>
      <c r="V1986" s="20">
        <v>7907</v>
      </c>
      <c r="W1986" s="20">
        <v>8379.0122950819677</v>
      </c>
      <c r="Y1986" s="19">
        <v>0.42430000000000001</v>
      </c>
      <c r="Z1986" s="19">
        <v>0.8851</v>
      </c>
      <c r="AB1986" s="18">
        <v>3167</v>
      </c>
      <c r="AC1986" s="18">
        <v>6</v>
      </c>
    </row>
    <row r="1987" spans="1:29" ht="15.75" customHeight="1" x14ac:dyDescent="0.2">
      <c r="A1987" s="36" t="str">
        <f>HYPERLINK("https://www.southplainscollege.edu/", "South Plains College")</f>
        <v>South Plains College</v>
      </c>
      <c r="B1987" s="18" t="s">
        <v>49</v>
      </c>
      <c r="C1987" s="18" t="s">
        <v>146</v>
      </c>
      <c r="D1987" s="18" t="s">
        <v>1688</v>
      </c>
      <c r="E1987" s="18" t="s">
        <v>36</v>
      </c>
      <c r="F1987" s="18" t="s">
        <v>36</v>
      </c>
      <c r="J1987" s="19"/>
      <c r="K1987" s="19">
        <v>0.19550000000000001</v>
      </c>
      <c r="L1987" s="19">
        <v>0.1558669</v>
      </c>
      <c r="M1987" s="19">
        <v>0.21049999999999999</v>
      </c>
      <c r="N1987" s="19">
        <v>0.1182</v>
      </c>
      <c r="O1987" s="19">
        <v>0.2041</v>
      </c>
      <c r="P1987" s="19">
        <v>0</v>
      </c>
      <c r="Q1987" s="19">
        <v>0.118667592</v>
      </c>
      <c r="R1987" s="20">
        <v>12906</v>
      </c>
      <c r="S1987" s="21" t="str">
        <f>HYPERLINK("https://www.collegeforalltexans.com/apps/CollegeMoney/", "$7516")</f>
        <v>$7516</v>
      </c>
      <c r="T1987" s="20">
        <v>9970</v>
      </c>
      <c r="U1987" s="20">
        <v>11149</v>
      </c>
      <c r="V1987" s="20">
        <v>4950</v>
      </c>
      <c r="W1987" s="20">
        <v>2566.903129657228</v>
      </c>
      <c r="Y1987" s="19">
        <v>0.39950000000000002</v>
      </c>
      <c r="Z1987" s="19">
        <v>0.60360000000000003</v>
      </c>
      <c r="AB1987" s="18">
        <v>7431</v>
      </c>
      <c r="AC1987" s="18">
        <v>6</v>
      </c>
    </row>
    <row r="1988" spans="1:29" ht="15.75" customHeight="1" x14ac:dyDescent="0.2">
      <c r="A1988" s="36" t="str">
        <f>HYPERLINK("https://www.spscc.edu", "South Puget Sound Community College")</f>
        <v>South Puget Sound Community College</v>
      </c>
      <c r="B1988" s="18" t="s">
        <v>49</v>
      </c>
      <c r="C1988" s="18" t="s">
        <v>184</v>
      </c>
      <c r="D1988" s="18" t="s">
        <v>1223</v>
      </c>
      <c r="E1988" s="18" t="s">
        <v>36</v>
      </c>
      <c r="F1988" s="18" t="s">
        <v>36</v>
      </c>
      <c r="J1988" s="19"/>
      <c r="K1988" s="19">
        <v>0.37530000000000002</v>
      </c>
      <c r="L1988" s="19">
        <v>0.15741675099999999</v>
      </c>
      <c r="M1988" s="19">
        <v>0.36880000000000002</v>
      </c>
      <c r="N1988" s="19">
        <v>0</v>
      </c>
      <c r="O1988" s="19">
        <v>0.28260000000000002</v>
      </c>
      <c r="P1988" s="19">
        <v>0.66669999999999996</v>
      </c>
      <c r="Q1988" s="19">
        <v>9.6618358000000001E-2</v>
      </c>
      <c r="R1988" s="20">
        <v>23559</v>
      </c>
      <c r="S1988" s="21" t="str">
        <f>HYPERLINK("https://www.spscc.edu/extra/netprice/index.html", "$17478")</f>
        <v>$17478</v>
      </c>
      <c r="T1988" s="20">
        <v>21160</v>
      </c>
      <c r="U1988" s="20">
        <v>22379</v>
      </c>
      <c r="V1988" s="20">
        <v>4050</v>
      </c>
      <c r="W1988" s="20">
        <v>13428.89393939394</v>
      </c>
      <c r="Y1988" s="19">
        <v>0.27200000000000002</v>
      </c>
      <c r="Z1988" s="19">
        <v>0.39389999999999997</v>
      </c>
      <c r="AB1988" s="18">
        <v>3785</v>
      </c>
      <c r="AC1988" s="18">
        <v>6</v>
      </c>
    </row>
    <row r="1989" spans="1:29" ht="15.75" customHeight="1" x14ac:dyDescent="0.2">
      <c r="A1989" s="36" t="str">
        <f>HYPERLINK("https://southseattle.edu", "South Seattle College")</f>
        <v>South Seattle College</v>
      </c>
      <c r="B1989" s="18" t="s">
        <v>49</v>
      </c>
      <c r="C1989" s="18" t="s">
        <v>184</v>
      </c>
      <c r="D1989" s="18" t="s">
        <v>472</v>
      </c>
      <c r="E1989" s="18" t="s">
        <v>36</v>
      </c>
      <c r="F1989" s="18" t="s">
        <v>36</v>
      </c>
      <c r="J1989" s="19"/>
      <c r="K1989" s="19">
        <v>0.40870000000000001</v>
      </c>
      <c r="L1989" s="19">
        <v>0.128458498</v>
      </c>
      <c r="M1989" s="19">
        <v>0.39389999999999997</v>
      </c>
      <c r="N1989" s="19">
        <v>0.43590000000000001</v>
      </c>
      <c r="O1989" s="19">
        <v>0.3846</v>
      </c>
      <c r="P1989" s="19">
        <v>0.40629999999999999</v>
      </c>
      <c r="Q1989" s="19">
        <v>0.11217948699999999</v>
      </c>
      <c r="R1989" s="20">
        <v>18891</v>
      </c>
      <c r="S1989" s="21" t="str">
        <f>HYPERLINK("https://www.southseattle.edu/financial-aid/net-calculator/index.htm", "$12967")</f>
        <v>$12967</v>
      </c>
      <c r="T1989" s="20">
        <v>16544</v>
      </c>
      <c r="U1989" s="20">
        <v>18891</v>
      </c>
      <c r="V1989" s="20">
        <v>4236</v>
      </c>
      <c r="W1989" s="20">
        <v>8731.5714285714275</v>
      </c>
      <c r="Y1989" s="19">
        <v>9.4200000000000006E-2</v>
      </c>
      <c r="Z1989" s="19">
        <v>0.68059999999999998</v>
      </c>
      <c r="AB1989" s="18">
        <v>1606</v>
      </c>
      <c r="AC1989" s="18">
        <v>6</v>
      </c>
    </row>
    <row r="1990" spans="1:29" ht="15.75" customHeight="1" x14ac:dyDescent="0.2">
      <c r="A1990" s="36" t="str">
        <f>HYPERLINK("https://www.ssc.edu", "South Suburban College")</f>
        <v>South Suburban College</v>
      </c>
      <c r="B1990" s="18" t="s">
        <v>49</v>
      </c>
      <c r="C1990" s="18" t="s">
        <v>137</v>
      </c>
      <c r="D1990" s="18" t="s">
        <v>1689</v>
      </c>
      <c r="E1990" s="18" t="s">
        <v>36</v>
      </c>
      <c r="F1990" s="18" t="s">
        <v>36</v>
      </c>
      <c r="J1990" s="19"/>
      <c r="K1990" s="19">
        <v>0.14910000000000001</v>
      </c>
      <c r="L1990" s="19">
        <v>6.0634769999999998E-2</v>
      </c>
      <c r="M1990" s="19">
        <v>0.2319</v>
      </c>
      <c r="N1990" s="19">
        <v>0.12039999999999999</v>
      </c>
      <c r="O1990" s="19">
        <v>0.16830000000000001</v>
      </c>
      <c r="P1990" s="19">
        <v>0.33329999999999999</v>
      </c>
      <c r="Q1990" s="19">
        <v>8.3491461000000003E-2</v>
      </c>
      <c r="R1990" s="20">
        <v>18973</v>
      </c>
      <c r="S1990" s="21" t="str">
        <f>HYPERLINK("https://www.ssc.edu/admissions-registration/financial-aid/net-price-calculator/", "$14466")</f>
        <v>$14466</v>
      </c>
      <c r="T1990" s="20">
        <v>17328</v>
      </c>
      <c r="U1990" s="20">
        <v>15518</v>
      </c>
      <c r="V1990" s="20">
        <v>2400</v>
      </c>
      <c r="W1990" s="20">
        <v>12066.98039215686</v>
      </c>
      <c r="Y1990" s="19">
        <v>0.62809999999999999</v>
      </c>
      <c r="Z1990" s="19">
        <v>0.84919999999999995</v>
      </c>
      <c r="AB1990" s="18">
        <v>2945</v>
      </c>
      <c r="AC1990" s="18">
        <v>6</v>
      </c>
    </row>
    <row r="1991" spans="1:29" ht="15.75" customHeight="1" x14ac:dyDescent="0.2">
      <c r="A1991" s="36" t="str">
        <f>HYPERLINK("https://www.southtexascollege.edu", "South Texas College")</f>
        <v>South Texas College</v>
      </c>
      <c r="B1991" s="18" t="s">
        <v>49</v>
      </c>
      <c r="C1991" s="18" t="s">
        <v>146</v>
      </c>
      <c r="D1991" s="18" t="s">
        <v>1690</v>
      </c>
      <c r="E1991" s="18" t="s">
        <v>36</v>
      </c>
      <c r="F1991" s="18" t="s">
        <v>36</v>
      </c>
      <c r="J1991" s="19"/>
      <c r="K1991" s="19">
        <v>0.15040000000000001</v>
      </c>
      <c r="L1991" s="19">
        <v>0.17753191500000001</v>
      </c>
      <c r="M1991" s="19">
        <v>0.24560000000000001</v>
      </c>
      <c r="N1991" s="19">
        <v>0.16669999999999999</v>
      </c>
      <c r="O1991" s="19">
        <v>0.1472</v>
      </c>
      <c r="P1991" s="19">
        <v>0.5</v>
      </c>
      <c r="Q1991" s="19">
        <v>9.5508811999999998E-2</v>
      </c>
      <c r="R1991" s="20">
        <v>16048</v>
      </c>
      <c r="S1991" s="21" t="str">
        <f>HYPERLINK("https://studentservices.southtexascollege.edu/finaid/websites.html", "$11218")</f>
        <v>$11218</v>
      </c>
      <c r="T1991" s="20">
        <v>13252</v>
      </c>
      <c r="U1991" s="20">
        <v>15062</v>
      </c>
      <c r="V1991" s="20">
        <v>2600</v>
      </c>
      <c r="W1991" s="20">
        <v>8618.6357913669053</v>
      </c>
      <c r="Y1991" s="19">
        <v>0.3805</v>
      </c>
      <c r="Z1991" s="19">
        <v>0.9748</v>
      </c>
      <c r="AB1991" s="18">
        <v>19452</v>
      </c>
      <c r="AC1991" s="18">
        <v>6</v>
      </c>
    </row>
    <row r="1992" spans="1:29" ht="15.75" customHeight="1" x14ac:dyDescent="0.2">
      <c r="A1992" s="36" t="str">
        <f>HYPERLINK("https://www.southeast.edu", "Southeast Community College Area")</f>
        <v>Southeast Community College Area</v>
      </c>
      <c r="B1992" s="18" t="s">
        <v>49</v>
      </c>
      <c r="C1992" s="18" t="s">
        <v>341</v>
      </c>
      <c r="D1992" s="18" t="s">
        <v>516</v>
      </c>
      <c r="E1992" s="18" t="s">
        <v>36</v>
      </c>
      <c r="F1992" s="18" t="s">
        <v>36</v>
      </c>
      <c r="J1992" s="19"/>
      <c r="K1992" s="19">
        <v>0.30730000000000002</v>
      </c>
      <c r="L1992" s="19">
        <v>0.26204039400000001</v>
      </c>
      <c r="M1992" s="19">
        <v>0.33560000000000001</v>
      </c>
      <c r="N1992" s="19">
        <v>0.17780000000000001</v>
      </c>
      <c r="O1992" s="19">
        <v>0.14630000000000001</v>
      </c>
      <c r="P1992" s="19">
        <v>0.26469999999999999</v>
      </c>
      <c r="Q1992" s="19">
        <v>9.2183288000000002E-2</v>
      </c>
      <c r="R1992" s="20">
        <v>14532</v>
      </c>
      <c r="S1992" s="21" t="str">
        <f>HYPERLINK("https://www.southeast.edu/NPC/", "$10443")</f>
        <v>$10443</v>
      </c>
      <c r="T1992" s="20">
        <v>12169</v>
      </c>
      <c r="U1992" s="20">
        <v>14032</v>
      </c>
      <c r="V1992" s="20">
        <v>4200</v>
      </c>
      <c r="W1992" s="20">
        <v>6243.8885350318469</v>
      </c>
      <c r="Y1992" s="19">
        <v>0.32979999999999998</v>
      </c>
      <c r="Z1992" s="19">
        <v>0.221</v>
      </c>
      <c r="AB1992" s="18">
        <v>6250</v>
      </c>
      <c r="AC1992" s="18">
        <v>6</v>
      </c>
    </row>
    <row r="1993" spans="1:29" ht="15.75" customHeight="1" x14ac:dyDescent="0.2">
      <c r="A1993" s="36" t="str">
        <f>HYPERLINK("https://www.sehcollege.edu/", "Southeast Missouri Hospital College of Nursing and Health Sciences")</f>
        <v>Southeast Missouri Hospital College of Nursing and Health Sciences</v>
      </c>
      <c r="B1993" s="18" t="s">
        <v>32</v>
      </c>
      <c r="C1993" s="18" t="s">
        <v>164</v>
      </c>
      <c r="D1993" s="18" t="s">
        <v>1162</v>
      </c>
      <c r="E1993" s="18">
        <v>1105</v>
      </c>
      <c r="F1993" s="18" t="s">
        <v>35</v>
      </c>
      <c r="J1993" s="19"/>
      <c r="K1993" s="19">
        <v>1</v>
      </c>
      <c r="L1993" s="19">
        <v>0.67567567599999989</v>
      </c>
      <c r="M1993" s="19">
        <v>1</v>
      </c>
      <c r="N1993" s="19" t="s">
        <v>36</v>
      </c>
      <c r="O1993" s="19" t="s">
        <v>36</v>
      </c>
      <c r="P1993" s="19" t="s">
        <v>36</v>
      </c>
      <c r="Q1993" s="19" t="s">
        <v>36</v>
      </c>
      <c r="R1993" s="20">
        <v>36080</v>
      </c>
      <c r="S1993" s="21" t="str">
        <f>HYPERLINK("https://www.sehcollege.edu/~/media/files/college/netpricecalculator/npcalc.htm?la=en", "Not reported")</f>
        <v>Not reported</v>
      </c>
      <c r="T1993" s="20">
        <v>29663</v>
      </c>
      <c r="U1993" s="20">
        <v>30413</v>
      </c>
      <c r="V1993" s="20">
        <v>10000</v>
      </c>
      <c r="W1993" s="20" t="s">
        <v>36</v>
      </c>
      <c r="Y1993" s="19">
        <v>0.54069999999999996</v>
      </c>
      <c r="Z1993" s="19">
        <v>2.449999999999997E-2</v>
      </c>
      <c r="AB1993" s="18">
        <v>204</v>
      </c>
      <c r="AC1993" s="18">
        <v>6</v>
      </c>
    </row>
    <row r="1994" spans="1:29" ht="15.75" customHeight="1" x14ac:dyDescent="0.2">
      <c r="A1994" s="36" t="str">
        <f>HYPERLINK("https://www.semo.edu", "Southeast Missouri State University")</f>
        <v>Southeast Missouri State University</v>
      </c>
      <c r="B1994" s="18" t="s">
        <v>49</v>
      </c>
      <c r="C1994" s="18" t="s">
        <v>164</v>
      </c>
      <c r="D1994" s="18" t="s">
        <v>1162</v>
      </c>
      <c r="E1994" s="18">
        <v>1145</v>
      </c>
      <c r="F1994" s="18" t="s">
        <v>35</v>
      </c>
      <c r="J1994" s="19"/>
      <c r="K1994" s="19">
        <v>0.52100000000000002</v>
      </c>
      <c r="L1994" s="19">
        <v>0.30478309199999998</v>
      </c>
      <c r="M1994" s="19">
        <v>0.54039999999999999</v>
      </c>
      <c r="N1994" s="19">
        <v>0.41399999999999998</v>
      </c>
      <c r="O1994" s="19">
        <v>0.56000000000000005</v>
      </c>
      <c r="P1994" s="19">
        <v>0.63639999999999997</v>
      </c>
      <c r="Q1994" s="19"/>
      <c r="R1994" s="20">
        <v>26539</v>
      </c>
      <c r="S1994" s="21" t="str">
        <f>HYPERLINK("https://banssb.semo.edu:8099/pls/apexprod/f?p=400:3", "$17618")</f>
        <v>$17618</v>
      </c>
      <c r="T1994" s="20">
        <v>20736</v>
      </c>
      <c r="U1994" s="20">
        <v>23559</v>
      </c>
      <c r="V1994" s="20">
        <v>5104</v>
      </c>
      <c r="W1994" s="20">
        <v>12514.330900243311</v>
      </c>
      <c r="Y1994" s="19">
        <v>0.31</v>
      </c>
      <c r="Z1994" s="19">
        <v>0.20649999999999999</v>
      </c>
      <c r="AB1994" s="18">
        <v>8910</v>
      </c>
      <c r="AC1994" s="18">
        <v>4</v>
      </c>
    </row>
    <row r="1995" spans="1:29" ht="15.75" customHeight="1" x14ac:dyDescent="0.2">
      <c r="A1995" s="36" t="str">
        <f>HYPERLINK("https://www.southeasttech.edu", "Southeast Technical Institute")</f>
        <v>Southeast Technical Institute</v>
      </c>
      <c r="B1995" s="18" t="s">
        <v>49</v>
      </c>
      <c r="C1995" s="18" t="s">
        <v>302</v>
      </c>
      <c r="D1995" s="18" t="s">
        <v>303</v>
      </c>
      <c r="E1995" s="18" t="s">
        <v>36</v>
      </c>
      <c r="F1995" s="18" t="s">
        <v>36</v>
      </c>
      <c r="J1995" s="19"/>
      <c r="K1995" s="19">
        <v>0.4617</v>
      </c>
      <c r="L1995" s="19">
        <v>0.28321678300000003</v>
      </c>
      <c r="M1995" s="19">
        <v>0.48620000000000002</v>
      </c>
      <c r="N1995" s="19">
        <v>0</v>
      </c>
      <c r="O1995" s="19">
        <v>0.4375</v>
      </c>
      <c r="P1995" s="19">
        <v>0.66669999999999996</v>
      </c>
      <c r="Q1995" s="19">
        <v>3.8167938999999998E-2</v>
      </c>
      <c r="R1995" s="20">
        <v>20110</v>
      </c>
      <c r="S1995" s="21" t="str">
        <f>HYPERLINK("https://www.southeasttech.edu/admissions/financialaid/netpricecalculator/", "$15094")</f>
        <v>$15094</v>
      </c>
      <c r="T1995" s="20">
        <v>17447</v>
      </c>
      <c r="U1995" s="20">
        <v>18441</v>
      </c>
      <c r="V1995" s="20">
        <v>5900</v>
      </c>
      <c r="W1995" s="20">
        <v>9194.5433070866129</v>
      </c>
      <c r="Y1995" s="19">
        <v>0.35389999999999999</v>
      </c>
      <c r="Z1995" s="19">
        <v>0.14860000000000001</v>
      </c>
      <c r="AB1995" s="18">
        <v>2025</v>
      </c>
      <c r="AC1995" s="18">
        <v>6</v>
      </c>
    </row>
    <row r="1996" spans="1:29" ht="15.75" customHeight="1" x14ac:dyDescent="0.2">
      <c r="A1996" s="36" t="str">
        <f>HYPERLINK("https://www.southeasternbaptist.edu", "Southeastern Baptist College")</f>
        <v>Southeastern Baptist College</v>
      </c>
      <c r="B1996" s="18" t="s">
        <v>32</v>
      </c>
      <c r="C1996" s="18" t="s">
        <v>59</v>
      </c>
      <c r="D1996" s="18" t="s">
        <v>618</v>
      </c>
      <c r="E1996" s="18" t="s">
        <v>36</v>
      </c>
      <c r="F1996" s="18" t="s">
        <v>36</v>
      </c>
      <c r="J1996" s="19"/>
      <c r="K1996" s="19">
        <v>1</v>
      </c>
      <c r="L1996" s="19" t="s">
        <v>36</v>
      </c>
      <c r="M1996" s="19">
        <v>1</v>
      </c>
      <c r="N1996" s="19" t="s">
        <v>36</v>
      </c>
      <c r="O1996" s="19" t="s">
        <v>36</v>
      </c>
      <c r="P1996" s="19" t="s">
        <v>36</v>
      </c>
      <c r="Q1996" s="19" t="s">
        <v>36</v>
      </c>
      <c r="R1996" s="20">
        <v>9765</v>
      </c>
      <c r="S1996" s="21" t="str">
        <f>HYPERLINK("https://www.southeasternbaptist.edu", "$3533")</f>
        <v>$3533</v>
      </c>
      <c r="T1996" s="20" t="s">
        <v>36</v>
      </c>
      <c r="U1996" s="20" t="s">
        <v>36</v>
      </c>
      <c r="V1996" s="20">
        <v>1600</v>
      </c>
      <c r="W1996" s="20">
        <v>1933</v>
      </c>
      <c r="Y1996" s="19">
        <v>0.64439999999999997</v>
      </c>
      <c r="Z1996" s="19">
        <v>0.56759999999999999</v>
      </c>
      <c r="AB1996" s="18">
        <v>37</v>
      </c>
      <c r="AC1996" s="18">
        <v>6</v>
      </c>
    </row>
    <row r="1997" spans="1:29" ht="15.75" customHeight="1" x14ac:dyDescent="0.2">
      <c r="A1997" s="36" t="str">
        <f>HYPERLINK("https://www.scciowa.edu", "Southeastern Community College")</f>
        <v>Southeastern Community College</v>
      </c>
      <c r="B1997" s="18" t="s">
        <v>49</v>
      </c>
      <c r="C1997" s="18" t="s">
        <v>211</v>
      </c>
      <c r="D1997" s="18" t="s">
        <v>1691</v>
      </c>
      <c r="E1997" s="18" t="s">
        <v>36</v>
      </c>
      <c r="F1997" s="18" t="s">
        <v>36</v>
      </c>
      <c r="J1997" s="19"/>
      <c r="K1997" s="19">
        <v>0.374</v>
      </c>
      <c r="L1997" s="19">
        <v>0.192840647</v>
      </c>
      <c r="M1997" s="19">
        <v>0.37459999999999999</v>
      </c>
      <c r="N1997" s="19">
        <v>0.38100000000000001</v>
      </c>
      <c r="O1997" s="19">
        <v>0.5</v>
      </c>
      <c r="P1997" s="19">
        <v>0</v>
      </c>
      <c r="Q1997" s="19">
        <v>3.9877300999999997E-2</v>
      </c>
      <c r="R1997" s="20">
        <v>16540</v>
      </c>
      <c r="S1997" s="21" t="str">
        <f>HYPERLINK("https://www.scciowa.edu/admissions/costaid/finaid/nprcal.aspx", "$11183")</f>
        <v>$11183</v>
      </c>
      <c r="T1997" s="20">
        <v>13722</v>
      </c>
      <c r="U1997" s="20">
        <v>15667</v>
      </c>
      <c r="V1997" s="20">
        <v>3040</v>
      </c>
      <c r="W1997" s="20">
        <v>8143.5593220338997</v>
      </c>
      <c r="Y1997" s="19">
        <v>0.3115</v>
      </c>
      <c r="Z1997" s="19">
        <v>0.39140000000000003</v>
      </c>
      <c r="AB1997" s="18">
        <v>1676</v>
      </c>
      <c r="AC1997" s="18">
        <v>6</v>
      </c>
    </row>
    <row r="1998" spans="1:29" ht="15.75" customHeight="1" x14ac:dyDescent="0.2">
      <c r="A1998" s="36" t="str">
        <f>HYPERLINK("https://www.sic.edu", "Southeastern Illinois College")</f>
        <v>Southeastern Illinois College</v>
      </c>
      <c r="B1998" s="18" t="s">
        <v>49</v>
      </c>
      <c r="C1998" s="18" t="s">
        <v>137</v>
      </c>
      <c r="D1998" s="18" t="s">
        <v>1398</v>
      </c>
      <c r="E1998" s="18" t="s">
        <v>36</v>
      </c>
      <c r="F1998" s="18" t="s">
        <v>36</v>
      </c>
      <c r="J1998" s="19"/>
      <c r="K1998" s="19">
        <v>0.3972</v>
      </c>
      <c r="L1998" s="19">
        <v>0.110795455</v>
      </c>
      <c r="M1998" s="19">
        <v>0.39660000000000001</v>
      </c>
      <c r="N1998" s="19">
        <v>0.3</v>
      </c>
      <c r="O1998" s="19">
        <v>0.33329999999999999</v>
      </c>
      <c r="P1998" s="19">
        <v>0.5</v>
      </c>
      <c r="Q1998" s="19">
        <v>7.3118279999999994E-2</v>
      </c>
      <c r="R1998" s="20">
        <v>20078</v>
      </c>
      <c r="S1998" s="21" t="str">
        <f>HYPERLINK("https://www.sic.edu/financial-aid/cost-calculator", "$13422")</f>
        <v>$13422</v>
      </c>
      <c r="T1998" s="20">
        <v>16853</v>
      </c>
      <c r="U1998" s="20">
        <v>17038</v>
      </c>
      <c r="V1998" s="20">
        <v>4974</v>
      </c>
      <c r="W1998" s="20">
        <v>8448.925925925927</v>
      </c>
      <c r="Y1998" s="19">
        <v>0.26590000000000003</v>
      </c>
      <c r="Z1998" s="19">
        <v>0.13700000000000001</v>
      </c>
      <c r="AB1998" s="18">
        <v>905</v>
      </c>
      <c r="AC1998" s="18">
        <v>6</v>
      </c>
    </row>
    <row r="1999" spans="1:29" ht="15.75" customHeight="1" x14ac:dyDescent="0.2">
      <c r="A1999" s="36" t="str">
        <f>HYPERLINK("https://www.southeastern.edu", "Southeastern Louisiana University")</f>
        <v>Southeastern Louisiana University</v>
      </c>
      <c r="B1999" s="18" t="s">
        <v>49</v>
      </c>
      <c r="C1999" s="18" t="s">
        <v>158</v>
      </c>
      <c r="D1999" s="18" t="s">
        <v>823</v>
      </c>
      <c r="E1999" s="18">
        <v>1085</v>
      </c>
      <c r="F1999" s="18" t="s">
        <v>35</v>
      </c>
      <c r="J1999" s="19"/>
      <c r="K1999" s="19">
        <v>0.41349999999999998</v>
      </c>
      <c r="L1999" s="19">
        <v>0.33205226799999998</v>
      </c>
      <c r="M1999" s="19">
        <v>0.4209</v>
      </c>
      <c r="N1999" s="19">
        <v>0.3448</v>
      </c>
      <c r="O1999" s="19">
        <v>0.34439999999999998</v>
      </c>
      <c r="P1999" s="19">
        <v>0.58330000000000004</v>
      </c>
      <c r="Q1999" s="19"/>
      <c r="R1999" s="20">
        <v>34155</v>
      </c>
      <c r="S1999" s="21" t="str">
        <f>HYPERLINK("https://www.southeastern.edu/admin/fin_aid/net_price_calculator/index.html", "$25957")</f>
        <v>$25957</v>
      </c>
      <c r="T1999" s="20">
        <v>28658</v>
      </c>
      <c r="U1999" s="20">
        <v>30299</v>
      </c>
      <c r="V1999" s="20">
        <v>4670</v>
      </c>
      <c r="W1999" s="20">
        <v>21287.703190013872</v>
      </c>
      <c r="Y1999" s="19">
        <v>0.3342</v>
      </c>
      <c r="Z1999" s="19">
        <v>0.37640000000000001</v>
      </c>
      <c r="AB1999" s="18">
        <v>10929</v>
      </c>
      <c r="AC1999" s="18">
        <v>4</v>
      </c>
    </row>
    <row r="2000" spans="1:29" ht="15.75" customHeight="1" x14ac:dyDescent="0.2">
      <c r="A2000" s="36" t="str">
        <f>HYPERLINK("https://www.se.edu", "Southeastern Oklahoma State University")</f>
        <v>Southeastern Oklahoma State University</v>
      </c>
      <c r="B2000" s="18" t="s">
        <v>49</v>
      </c>
      <c r="C2000" s="18" t="s">
        <v>290</v>
      </c>
      <c r="D2000" s="18" t="s">
        <v>1164</v>
      </c>
      <c r="E2000" s="18">
        <v>1045</v>
      </c>
      <c r="F2000" s="18" t="s">
        <v>35</v>
      </c>
      <c r="J2000" s="19"/>
      <c r="K2000" s="19">
        <v>0.27350000000000002</v>
      </c>
      <c r="L2000" s="19">
        <v>0.261829653</v>
      </c>
      <c r="M2000" s="19">
        <v>0.2964</v>
      </c>
      <c r="N2000" s="19">
        <v>0.12</v>
      </c>
      <c r="O2000" s="19">
        <v>0.1724</v>
      </c>
      <c r="P2000" s="19">
        <v>0.42859999999999998</v>
      </c>
      <c r="Q2000" s="19"/>
      <c r="R2000" s="20">
        <v>26260</v>
      </c>
      <c r="S2000" s="21" t="str">
        <f>HYPERLINK("https://campusconnect.se.edu/cc3/net-price-calculator.html", "$17003")</f>
        <v>$17003</v>
      </c>
      <c r="T2000" s="20">
        <v>20468</v>
      </c>
      <c r="U2000" s="20">
        <v>24233</v>
      </c>
      <c r="V2000" s="20">
        <v>3897</v>
      </c>
      <c r="W2000" s="20">
        <v>13106.22627737226</v>
      </c>
      <c r="Y2000" s="19">
        <v>0.41099999999999998</v>
      </c>
      <c r="Z2000" s="19">
        <v>0.47529999999999989</v>
      </c>
      <c r="AB2000" s="18">
        <v>2937</v>
      </c>
      <c r="AC2000" s="18">
        <v>4</v>
      </c>
    </row>
    <row r="2001" spans="1:29" ht="15.75" customHeight="1" x14ac:dyDescent="0.2">
      <c r="A2001" s="36" t="str">
        <f>HYPERLINK("https://www.seu.edu/", "Southeastern University")</f>
        <v>Southeastern University</v>
      </c>
      <c r="B2001" s="18" t="s">
        <v>32</v>
      </c>
      <c r="C2001" s="18" t="s">
        <v>162</v>
      </c>
      <c r="D2001" s="18" t="s">
        <v>360</v>
      </c>
      <c r="E2001" s="18">
        <v>1063</v>
      </c>
      <c r="F2001" s="18" t="s">
        <v>115</v>
      </c>
      <c r="J2001" s="19"/>
      <c r="K2001" s="19">
        <v>0.39960000000000001</v>
      </c>
      <c r="L2001" s="19">
        <v>0.3203125</v>
      </c>
      <c r="M2001" s="19">
        <v>0.46039999999999998</v>
      </c>
      <c r="N2001" s="19">
        <v>0.25419999999999998</v>
      </c>
      <c r="O2001" s="19">
        <v>0.3049</v>
      </c>
      <c r="P2001" s="19">
        <v>0.66669999999999996</v>
      </c>
      <c r="Q2001" s="19"/>
      <c r="R2001" s="20">
        <v>39408</v>
      </c>
      <c r="S2001" s="21" t="str">
        <f>HYPERLINK("https://www.seu.edu/financial/cost-calculator/", "$22215")</f>
        <v>$22215</v>
      </c>
      <c r="T2001" s="20">
        <v>22536</v>
      </c>
      <c r="U2001" s="20">
        <v>23962</v>
      </c>
      <c r="V2001" s="20">
        <v>4000</v>
      </c>
      <c r="W2001" s="20">
        <v>18215</v>
      </c>
      <c r="Y2001" s="19">
        <v>0.39489999999999997</v>
      </c>
      <c r="Z2001" s="19">
        <v>0.39889999999999998</v>
      </c>
      <c r="AB2001" s="18">
        <v>4786</v>
      </c>
      <c r="AC2001" s="18">
        <v>4</v>
      </c>
    </row>
    <row r="2002" spans="1:29" ht="15.75" customHeight="1" x14ac:dyDescent="0.2">
      <c r="A2002" s="36" t="str">
        <f>HYPERLINK("https://www.southern.edu", "Southern Adventist University")</f>
        <v>Southern Adventist University</v>
      </c>
      <c r="B2002" s="18" t="s">
        <v>32</v>
      </c>
      <c r="C2002" s="18" t="s">
        <v>174</v>
      </c>
      <c r="D2002" s="18" t="s">
        <v>1166</v>
      </c>
      <c r="E2002" s="18" t="s">
        <v>36</v>
      </c>
      <c r="F2002" s="18" t="s">
        <v>36</v>
      </c>
      <c r="J2002" s="19"/>
      <c r="K2002" s="19">
        <v>0.52349999999999997</v>
      </c>
      <c r="L2002" s="19">
        <v>0.40740740700000011</v>
      </c>
      <c r="M2002" s="19">
        <v>0.55520000000000003</v>
      </c>
      <c r="N2002" s="19">
        <v>0.43369999999999997</v>
      </c>
      <c r="O2002" s="19">
        <v>0.4602</v>
      </c>
      <c r="P2002" s="19">
        <v>0.6</v>
      </c>
      <c r="Q2002" s="19"/>
      <c r="R2002" s="20">
        <v>33550</v>
      </c>
      <c r="S2002" s="21" t="str">
        <f>HYPERLINK("https://www.southern.edu/undergrad/finances/cost-calculator.html#!#st", "$17159")</f>
        <v>$17159</v>
      </c>
      <c r="T2002" s="20">
        <v>20010</v>
      </c>
      <c r="U2002" s="20">
        <v>23558</v>
      </c>
      <c r="V2002" s="20">
        <v>5250</v>
      </c>
      <c r="W2002" s="20">
        <v>11909</v>
      </c>
      <c r="Y2002" s="19">
        <v>0.34789999999999999</v>
      </c>
      <c r="Z2002" s="19">
        <v>0.54709999999999992</v>
      </c>
      <c r="AB2002" s="18">
        <v>2486</v>
      </c>
      <c r="AC2002" s="18">
        <v>4</v>
      </c>
    </row>
    <row r="2003" spans="1:29" ht="15.75" customHeight="1" x14ac:dyDescent="0.2">
      <c r="A2003" s="36" t="str">
        <f>HYPERLINK("https://www.saumag.edu", "Southern Arkansas University Main Campus")</f>
        <v>Southern Arkansas University Main Campus</v>
      </c>
      <c r="B2003" s="18" t="s">
        <v>49</v>
      </c>
      <c r="C2003" s="18" t="s">
        <v>371</v>
      </c>
      <c r="D2003" s="18" t="s">
        <v>1168</v>
      </c>
      <c r="E2003" s="18">
        <v>1102</v>
      </c>
      <c r="F2003" s="18" t="s">
        <v>35</v>
      </c>
      <c r="J2003" s="19"/>
      <c r="K2003" s="19">
        <v>0.3604</v>
      </c>
      <c r="L2003" s="19">
        <v>0.32603938700000001</v>
      </c>
      <c r="M2003" s="19">
        <v>0.41649999999999998</v>
      </c>
      <c r="N2003" s="19">
        <v>0.25790000000000002</v>
      </c>
      <c r="O2003" s="19">
        <v>0.14810000000000001</v>
      </c>
      <c r="P2003" s="19">
        <v>0.66669999999999996</v>
      </c>
      <c r="Q2003" s="19"/>
      <c r="R2003" s="20">
        <v>26379</v>
      </c>
      <c r="S2003" s="21" t="str">
        <f>HYPERLINK("https://www.saumag.edu/netprice/", "$16622")</f>
        <v>$16622</v>
      </c>
      <c r="T2003" s="20">
        <v>19482</v>
      </c>
      <c r="U2003" s="20">
        <v>20780</v>
      </c>
      <c r="V2003" s="20">
        <v>7157</v>
      </c>
      <c r="W2003" s="20">
        <v>9465.826923076922</v>
      </c>
      <c r="Y2003" s="19">
        <v>0.50170000000000003</v>
      </c>
      <c r="Z2003" s="19">
        <v>0.35460000000000003</v>
      </c>
      <c r="AB2003" s="18">
        <v>3153</v>
      </c>
      <c r="AC2003" s="18">
        <v>4</v>
      </c>
    </row>
    <row r="2004" spans="1:29" ht="15.75" customHeight="1" x14ac:dyDescent="0.2">
      <c r="A2004" s="36" t="str">
        <f>HYPERLINK("https://www.southernct.edu", "Southern Connecticut State University")</f>
        <v>Southern Connecticut State University</v>
      </c>
      <c r="B2004" s="18" t="s">
        <v>49</v>
      </c>
      <c r="C2004" s="18" t="s">
        <v>94</v>
      </c>
      <c r="D2004" s="18" t="s">
        <v>187</v>
      </c>
      <c r="E2004" s="18">
        <v>1028</v>
      </c>
      <c r="F2004" s="18" t="s">
        <v>35</v>
      </c>
      <c r="J2004" s="19"/>
      <c r="K2004" s="19">
        <v>0.48110000000000003</v>
      </c>
      <c r="L2004" s="19">
        <v>0.45177665</v>
      </c>
      <c r="M2004" s="19">
        <v>0.50719999999999998</v>
      </c>
      <c r="N2004" s="19">
        <v>0.4516</v>
      </c>
      <c r="O2004" s="19">
        <v>0.41720000000000002</v>
      </c>
      <c r="P2004" s="19">
        <v>0.5</v>
      </c>
      <c r="Q2004" s="19"/>
      <c r="R2004" s="20">
        <v>38525</v>
      </c>
      <c r="S2004" s="21" t="str">
        <f>HYPERLINK("https://www.southernct.edu/netpricecalculator/npcalc.htm", "$32644")</f>
        <v>$32644</v>
      </c>
      <c r="T2004" s="20">
        <v>37462</v>
      </c>
      <c r="U2004" s="20">
        <v>30513</v>
      </c>
      <c r="V2004" s="20">
        <v>2867</v>
      </c>
      <c r="W2004" s="20">
        <v>29777.68894601542</v>
      </c>
      <c r="Y2004" s="19">
        <v>0.38129999999999997</v>
      </c>
      <c r="Z2004" s="19">
        <v>0.46639999999999998</v>
      </c>
      <c r="AB2004" s="18">
        <v>7703</v>
      </c>
      <c r="AC2004" s="18">
        <v>4</v>
      </c>
    </row>
    <row r="2005" spans="1:29" ht="15.75" customHeight="1" x14ac:dyDescent="0.2">
      <c r="A2005" s="36" t="str">
        <f>HYPERLINK("https://www.siu.edu", "Southern Illinois University-Carbondale")</f>
        <v>Southern Illinois University-Carbondale</v>
      </c>
      <c r="B2005" s="18" t="s">
        <v>49</v>
      </c>
      <c r="C2005" s="18" t="s">
        <v>137</v>
      </c>
      <c r="D2005" s="18" t="s">
        <v>1169</v>
      </c>
      <c r="E2005" s="18">
        <v>1143</v>
      </c>
      <c r="F2005" s="18" t="s">
        <v>35</v>
      </c>
      <c r="J2005" s="19"/>
      <c r="K2005" s="19">
        <v>0.4012</v>
      </c>
      <c r="L2005" s="19">
        <v>0.39807576700000002</v>
      </c>
      <c r="M2005" s="19">
        <v>0.51270000000000004</v>
      </c>
      <c r="N2005" s="19">
        <v>0.2515</v>
      </c>
      <c r="O2005" s="19">
        <v>0.36049999999999999</v>
      </c>
      <c r="P2005" s="19">
        <v>0.34379999999999999</v>
      </c>
      <c r="Q2005" s="19"/>
      <c r="R2005" s="20">
        <v>42770</v>
      </c>
      <c r="S2005" s="21" t="str">
        <f>HYPERLINK("https://fao.siu.edu/cost/", "$29707")</f>
        <v>$29707</v>
      </c>
      <c r="T2005" s="20">
        <v>32460</v>
      </c>
      <c r="U2005" s="20">
        <v>35479</v>
      </c>
      <c r="V2005" s="20">
        <v>4041</v>
      </c>
      <c r="W2005" s="20">
        <v>25666.138225255971</v>
      </c>
      <c r="Y2005" s="19">
        <v>0.39369999999999999</v>
      </c>
      <c r="Z2005" s="19">
        <v>0.34910000000000002</v>
      </c>
      <c r="AB2005" s="18">
        <v>10896</v>
      </c>
      <c r="AC2005" s="18">
        <v>4</v>
      </c>
    </row>
    <row r="2006" spans="1:29" ht="15.75" customHeight="1" x14ac:dyDescent="0.2">
      <c r="A2006" s="36" t="str">
        <f>HYPERLINK("https://www.siue.edu", "Southern Illinois University-Edwardsville")</f>
        <v>Southern Illinois University-Edwardsville</v>
      </c>
      <c r="B2006" s="18" t="s">
        <v>49</v>
      </c>
      <c r="C2006" s="18" t="s">
        <v>137</v>
      </c>
      <c r="D2006" s="18" t="s">
        <v>1170</v>
      </c>
      <c r="E2006" s="18">
        <v>1144</v>
      </c>
      <c r="F2006" s="18" t="s">
        <v>35</v>
      </c>
      <c r="J2006" s="19"/>
      <c r="K2006" s="19">
        <v>0.48530000000000001</v>
      </c>
      <c r="L2006" s="19">
        <v>0.42185904000000002</v>
      </c>
      <c r="M2006" s="19">
        <v>0.56440000000000001</v>
      </c>
      <c r="N2006" s="19">
        <v>0.27310000000000001</v>
      </c>
      <c r="O2006" s="19">
        <v>0.44119999999999998</v>
      </c>
      <c r="P2006" s="19">
        <v>0.51429999999999998</v>
      </c>
      <c r="Q2006" s="19"/>
      <c r="R2006" s="20">
        <v>37774</v>
      </c>
      <c r="S2006" s="21" t="str">
        <f>HYPERLINK("https://siue.studentaidcalculator.com/welcome.aspx", "$27004")</f>
        <v>$27004</v>
      </c>
      <c r="T2006" s="20">
        <v>31269</v>
      </c>
      <c r="U2006" s="20">
        <v>34410</v>
      </c>
      <c r="V2006" s="20">
        <v>3642</v>
      </c>
      <c r="W2006" s="20">
        <v>23362.176470588242</v>
      </c>
      <c r="Y2006" s="19">
        <v>0.34279999999999999</v>
      </c>
      <c r="Z2006" s="19">
        <v>0.26259999999999989</v>
      </c>
      <c r="AB2006" s="18">
        <v>11339</v>
      </c>
      <c r="AC2006" s="18">
        <v>4</v>
      </c>
    </row>
    <row r="2007" spans="1:29" ht="15.75" customHeight="1" x14ac:dyDescent="0.2">
      <c r="A2007" s="36" t="str">
        <f>HYPERLINK("https://www.smccME.edu", "Southern Maine Community College")</f>
        <v>Southern Maine Community College</v>
      </c>
      <c r="B2007" s="18" t="s">
        <v>49</v>
      </c>
      <c r="C2007" s="18" t="s">
        <v>43</v>
      </c>
      <c r="D2007" s="18" t="s">
        <v>1692</v>
      </c>
      <c r="E2007" s="18" t="s">
        <v>36</v>
      </c>
      <c r="F2007" s="18" t="s">
        <v>36</v>
      </c>
      <c r="J2007" s="19"/>
      <c r="K2007" s="19">
        <v>0.20039999999999999</v>
      </c>
      <c r="L2007" s="19">
        <v>0.22875226000000001</v>
      </c>
      <c r="M2007" s="19">
        <v>0.21859999999999999</v>
      </c>
      <c r="N2007" s="19">
        <v>8.9300000000000004E-2</v>
      </c>
      <c r="O2007" s="19">
        <v>7.6899999999999996E-2</v>
      </c>
      <c r="P2007" s="19">
        <v>0.15790000000000001</v>
      </c>
      <c r="Q2007" s="19">
        <v>7.7678989000000004E-2</v>
      </c>
      <c r="R2007" s="20">
        <v>19782</v>
      </c>
      <c r="S2007" s="21" t="str">
        <f>HYPERLINK("https://www.smccme.edu/about/consumer-info/net-price-calculator/", "$13654")</f>
        <v>$13654</v>
      </c>
      <c r="T2007" s="20">
        <v>16960</v>
      </c>
      <c r="U2007" s="20">
        <v>18844</v>
      </c>
      <c r="V2007" s="20">
        <v>4074</v>
      </c>
      <c r="W2007" s="20">
        <v>9580.6715116279083</v>
      </c>
      <c r="Y2007" s="19">
        <v>0.44690000000000002</v>
      </c>
      <c r="Z2007" s="19">
        <v>0.2026</v>
      </c>
      <c r="AB2007" s="18">
        <v>4961</v>
      </c>
      <c r="AC2007" s="18">
        <v>6</v>
      </c>
    </row>
    <row r="2008" spans="1:29" ht="15.75" customHeight="1" x14ac:dyDescent="0.2">
      <c r="A2008" s="36" t="str">
        <f>HYPERLINK("https://www.smu.edu", "Southern Methodist University")</f>
        <v>Southern Methodist University</v>
      </c>
      <c r="B2008" s="18" t="s">
        <v>32</v>
      </c>
      <c r="C2008" s="18" t="s">
        <v>146</v>
      </c>
      <c r="D2008" s="18" t="s">
        <v>152</v>
      </c>
      <c r="E2008" s="18">
        <v>1382</v>
      </c>
      <c r="F2008" s="18" t="s">
        <v>35</v>
      </c>
      <c r="J2008" s="19"/>
      <c r="K2008" s="19">
        <v>0.8054</v>
      </c>
      <c r="L2008" s="19">
        <v>0.69683257900000006</v>
      </c>
      <c r="M2008" s="19">
        <v>0.81459999999999999</v>
      </c>
      <c r="N2008" s="19">
        <v>0.73970000000000002</v>
      </c>
      <c r="O2008" s="19">
        <v>0.76919999999999999</v>
      </c>
      <c r="P2008" s="19">
        <v>0.8</v>
      </c>
      <c r="Q2008" s="19"/>
      <c r="R2008" s="20">
        <v>72408</v>
      </c>
      <c r="S2008" s="21" t="str">
        <f>HYPERLINK("https://www.smu.edu/EnrollmentServices/FinancialAid/NetPriceCalculator", "$21695")</f>
        <v>$21695</v>
      </c>
      <c r="T2008" s="20">
        <v>25927</v>
      </c>
      <c r="U2008" s="20">
        <v>28799</v>
      </c>
      <c r="V2008" s="20">
        <v>3400</v>
      </c>
      <c r="W2008" s="20">
        <v>18295</v>
      </c>
      <c r="Y2008" s="19">
        <v>0.1268</v>
      </c>
      <c r="Z2008" s="19">
        <v>0.3538</v>
      </c>
      <c r="AB2008" s="18">
        <v>6427</v>
      </c>
      <c r="AC2008" s="18">
        <v>1</v>
      </c>
    </row>
    <row r="2009" spans="1:29" ht="15.75" customHeight="1" x14ac:dyDescent="0.2">
      <c r="A2009" s="36" t="str">
        <f>HYPERLINK("https://www.snhu.edu", "Southern New Hampshire University")</f>
        <v>Southern New Hampshire University</v>
      </c>
      <c r="B2009" s="18" t="s">
        <v>32</v>
      </c>
      <c r="C2009" s="18" t="s">
        <v>101</v>
      </c>
      <c r="D2009" s="18" t="s">
        <v>466</v>
      </c>
      <c r="E2009" s="18" t="s">
        <v>36</v>
      </c>
      <c r="F2009" s="18" t="s">
        <v>45</v>
      </c>
      <c r="J2009" s="19"/>
      <c r="K2009" s="19">
        <v>0.48799999999999999</v>
      </c>
      <c r="L2009" s="19">
        <v>0.43459302300000002</v>
      </c>
      <c r="M2009" s="19">
        <v>0.58479999999999999</v>
      </c>
      <c r="N2009" s="19">
        <v>0.4375</v>
      </c>
      <c r="O2009" s="19">
        <v>0.4118</v>
      </c>
      <c r="P2009" s="19">
        <v>0.6</v>
      </c>
      <c r="Q2009" s="19"/>
      <c r="R2009" s="20">
        <v>50436</v>
      </c>
      <c r="S2009" s="21" t="str">
        <f>HYPERLINK("https://www.aidcalc.com/snhu", "$43467")</f>
        <v>$43467</v>
      </c>
      <c r="T2009" s="20">
        <v>38532</v>
      </c>
      <c r="U2009" s="20">
        <v>36487</v>
      </c>
      <c r="V2009" s="20">
        <v>7022</v>
      </c>
      <c r="W2009" s="20">
        <v>36445</v>
      </c>
      <c r="Y2009" s="19">
        <v>0.44950000000000001</v>
      </c>
      <c r="Z2009" s="19">
        <v>0.40269999999999989</v>
      </c>
      <c r="AB2009" s="18">
        <v>68214</v>
      </c>
      <c r="AC2009" s="18">
        <v>4</v>
      </c>
    </row>
    <row r="2010" spans="1:29" ht="15.75" customHeight="1" x14ac:dyDescent="0.2">
      <c r="A2010" s="36" t="str">
        <f>HYPERLINK("https://www.sou.edu", "Southern Oregon University")</f>
        <v>Southern Oregon University</v>
      </c>
      <c r="B2010" s="18" t="s">
        <v>49</v>
      </c>
      <c r="C2010" s="18" t="s">
        <v>143</v>
      </c>
      <c r="D2010" s="18" t="s">
        <v>563</v>
      </c>
      <c r="E2010" s="18">
        <v>1049</v>
      </c>
      <c r="F2010" s="18" t="s">
        <v>35</v>
      </c>
      <c r="J2010" s="19"/>
      <c r="K2010" s="19">
        <v>0.3785</v>
      </c>
      <c r="L2010" s="19">
        <v>0.31351351399999999</v>
      </c>
      <c r="M2010" s="19">
        <v>0.39319999999999999</v>
      </c>
      <c r="N2010" s="19">
        <v>0.1429</v>
      </c>
      <c r="O2010" s="19">
        <v>0.27629999999999999</v>
      </c>
      <c r="P2010" s="19">
        <v>0.42859999999999998</v>
      </c>
      <c r="Q2010" s="19"/>
      <c r="R2010" s="20">
        <v>42091</v>
      </c>
      <c r="S2010" s="21" t="str">
        <f>HYPERLINK("https://inside.sou.edu/assets/enrollment/apps/npcalc.html", "$33345")</f>
        <v>$33345</v>
      </c>
      <c r="T2010" s="20">
        <v>36007</v>
      </c>
      <c r="U2010" s="20">
        <v>39092</v>
      </c>
      <c r="V2010" s="20">
        <v>3697</v>
      </c>
      <c r="W2010" s="20">
        <v>29648.028571428571</v>
      </c>
      <c r="Y2010" s="19">
        <v>0.3201</v>
      </c>
      <c r="Z2010" s="19">
        <v>0.40189999999999998</v>
      </c>
      <c r="AB2010" s="18">
        <v>4399</v>
      </c>
      <c r="AC2010" s="18">
        <v>4</v>
      </c>
    </row>
    <row r="2011" spans="1:29" ht="15.75" customHeight="1" x14ac:dyDescent="0.2">
      <c r="A2011" s="36" t="str">
        <f>HYPERLINK("https://www.sscc.edu", "Southern State Community College")</f>
        <v>Southern State Community College</v>
      </c>
      <c r="B2011" s="18" t="s">
        <v>49</v>
      </c>
      <c r="C2011" s="18" t="s">
        <v>75</v>
      </c>
      <c r="D2011" s="18" t="s">
        <v>854</v>
      </c>
      <c r="E2011" s="18" t="s">
        <v>36</v>
      </c>
      <c r="F2011" s="18" t="s">
        <v>36</v>
      </c>
      <c r="J2011" s="19"/>
      <c r="K2011" s="19">
        <v>0.2286</v>
      </c>
      <c r="L2011" s="19">
        <v>0.207427536</v>
      </c>
      <c r="M2011" s="19">
        <v>0.22889999999999999</v>
      </c>
      <c r="N2011" s="19">
        <v>0</v>
      </c>
      <c r="O2011" s="19">
        <v>0.6</v>
      </c>
      <c r="P2011" s="19" t="s">
        <v>36</v>
      </c>
      <c r="Q2011" s="19">
        <v>6.2380649000000003E-2</v>
      </c>
      <c r="R2011" s="20">
        <v>16278</v>
      </c>
      <c r="S2011" s="21" t="str">
        <f>HYPERLINK("https://www.sscc.edu/_private/npcalc.htm", "$11510")</f>
        <v>$11510</v>
      </c>
      <c r="T2011" s="20">
        <v>14358</v>
      </c>
      <c r="U2011" s="20">
        <v>15978</v>
      </c>
      <c r="V2011" s="20">
        <v>4960</v>
      </c>
      <c r="W2011" s="20">
        <v>6550.6912751677846</v>
      </c>
      <c r="Y2011" s="19">
        <v>0.3458</v>
      </c>
      <c r="Z2011" s="19">
        <v>7.2100000000000053E-2</v>
      </c>
      <c r="AB2011" s="18">
        <v>1428</v>
      </c>
      <c r="AC2011" s="18">
        <v>6</v>
      </c>
    </row>
    <row r="2012" spans="1:29" ht="15.75" customHeight="1" x14ac:dyDescent="0.2">
      <c r="A2012" s="36" t="str">
        <f t="shared" ref="A2012:A2013" si="10">HYPERLINK("https://www.southerntech.edu", "Southern Technical College")</f>
        <v>Southern Technical College</v>
      </c>
      <c r="B2012" s="18" t="s">
        <v>368</v>
      </c>
      <c r="C2012" s="18" t="s">
        <v>162</v>
      </c>
      <c r="D2012" s="18" t="s">
        <v>501</v>
      </c>
      <c r="E2012" s="18" t="s">
        <v>36</v>
      </c>
      <c r="F2012" s="18" t="s">
        <v>36</v>
      </c>
      <c r="J2012" s="19"/>
      <c r="K2012" s="19">
        <v>0.39040000000000002</v>
      </c>
      <c r="L2012" s="19">
        <v>0.31846344500000001</v>
      </c>
      <c r="M2012" s="19">
        <v>0.35799999999999998</v>
      </c>
      <c r="N2012" s="19">
        <v>0.37840000000000001</v>
      </c>
      <c r="O2012" s="19">
        <v>0.4219</v>
      </c>
      <c r="P2012" s="19">
        <v>0.54549999999999998</v>
      </c>
      <c r="Q2012" s="19">
        <v>1.9874477000000002E-2</v>
      </c>
      <c r="R2012" s="20" t="s">
        <v>36</v>
      </c>
      <c r="S2012" s="21" t="str">
        <f>HYPERLINK("https://www.southerntech.edu/admissions/net-price-calculator/", "$19261")</f>
        <v>$19261</v>
      </c>
      <c r="T2012" s="20">
        <v>22491</v>
      </c>
      <c r="U2012" s="20">
        <v>22889</v>
      </c>
      <c r="V2012" s="20" t="s">
        <v>36</v>
      </c>
      <c r="W2012" s="20" t="s">
        <v>36</v>
      </c>
      <c r="Y2012" s="19">
        <v>0.75570000000000004</v>
      </c>
      <c r="Z2012" s="19">
        <v>0.74109999999999998</v>
      </c>
      <c r="AB2012" s="18">
        <v>1321</v>
      </c>
      <c r="AC2012" s="18">
        <v>6</v>
      </c>
    </row>
    <row r="2013" spans="1:29" ht="15.75" customHeight="1" x14ac:dyDescent="0.2">
      <c r="A2013" s="36" t="str">
        <f t="shared" si="10"/>
        <v>Southern Technical College</v>
      </c>
      <c r="B2013" s="18" t="s">
        <v>368</v>
      </c>
      <c r="C2013" s="18" t="s">
        <v>162</v>
      </c>
      <c r="D2013" s="18" t="s">
        <v>766</v>
      </c>
      <c r="E2013" s="18" t="s">
        <v>36</v>
      </c>
      <c r="F2013" s="18" t="s">
        <v>36</v>
      </c>
      <c r="J2013" s="19"/>
      <c r="K2013" s="19">
        <v>0.4637</v>
      </c>
      <c r="L2013" s="19">
        <v>0.36148955500000002</v>
      </c>
      <c r="M2013" s="19">
        <v>0.53210000000000002</v>
      </c>
      <c r="N2013" s="19">
        <v>0.28570000000000001</v>
      </c>
      <c r="O2013" s="19">
        <v>0.34150000000000003</v>
      </c>
      <c r="P2013" s="19" t="s">
        <v>36</v>
      </c>
      <c r="Q2013" s="19">
        <v>3.6874999999999998E-2</v>
      </c>
      <c r="R2013" s="20">
        <v>25197</v>
      </c>
      <c r="S2013" s="21" t="str">
        <f>HYPERLINK("https://www.southerntech.edu/admissions/net-price-calculator/", "$21654")</f>
        <v>$21654</v>
      </c>
      <c r="T2013" s="20">
        <v>23353</v>
      </c>
      <c r="U2013" s="20">
        <v>23522</v>
      </c>
      <c r="V2013" s="20">
        <v>3443</v>
      </c>
      <c r="W2013" s="20">
        <v>18211</v>
      </c>
      <c r="Y2013" s="19">
        <v>0.68210000000000004</v>
      </c>
      <c r="Z2013" s="19">
        <v>0.54</v>
      </c>
      <c r="AB2013" s="18">
        <v>887</v>
      </c>
      <c r="AC2013" s="18">
        <v>6</v>
      </c>
    </row>
    <row r="2014" spans="1:29" ht="15.75" customHeight="1" x14ac:dyDescent="0.2">
      <c r="A2014" s="36" t="str">
        <f>HYPERLINK("https://www.subr.edu", "Southern University and A &amp; M College")</f>
        <v>Southern University and A &amp; M College</v>
      </c>
      <c r="B2014" s="18" t="s">
        <v>49</v>
      </c>
      <c r="C2014" s="18" t="s">
        <v>158</v>
      </c>
      <c r="D2014" s="18" t="s">
        <v>398</v>
      </c>
      <c r="E2014" s="18">
        <v>988</v>
      </c>
      <c r="F2014" s="18" t="s">
        <v>35</v>
      </c>
      <c r="J2014" s="19"/>
      <c r="K2014" s="19">
        <v>0.28999999999999998</v>
      </c>
      <c r="L2014" s="19">
        <v>0.34273318899999999</v>
      </c>
      <c r="M2014" s="19">
        <v>0.2</v>
      </c>
      <c r="N2014" s="19">
        <v>0.29270000000000002</v>
      </c>
      <c r="O2014" s="19">
        <v>0.33329999999999999</v>
      </c>
      <c r="P2014" s="19">
        <v>0.33329999999999999</v>
      </c>
      <c r="Q2014" s="19"/>
      <c r="R2014" s="20">
        <v>32791</v>
      </c>
      <c r="S2014" s="21" t="str">
        <f>HYPERLINK("https://www3.subr.edu/finaid/netpricecalculator/npcalc.htm", "$25410")</f>
        <v>$25410</v>
      </c>
      <c r="T2014" s="20">
        <v>28794</v>
      </c>
      <c r="U2014" s="20">
        <v>30161</v>
      </c>
      <c r="V2014" s="20">
        <v>5271</v>
      </c>
      <c r="W2014" s="20">
        <v>20139.782608695648</v>
      </c>
      <c r="Y2014" s="19">
        <v>0.69030000000000002</v>
      </c>
      <c r="Z2014" s="19">
        <v>0.97719999999999996</v>
      </c>
      <c r="AB2014" s="18">
        <v>5137</v>
      </c>
      <c r="AC2014" s="18">
        <v>4</v>
      </c>
    </row>
    <row r="2015" spans="1:29" ht="15.75" customHeight="1" x14ac:dyDescent="0.2">
      <c r="A2015" s="36" t="str">
        <f>HYPERLINK("https://www.susla.edu", "Southern University at Shreveport")</f>
        <v>Southern University at Shreveport</v>
      </c>
      <c r="B2015" s="18" t="s">
        <v>49</v>
      </c>
      <c r="C2015" s="18" t="s">
        <v>158</v>
      </c>
      <c r="D2015" s="18" t="s">
        <v>633</v>
      </c>
      <c r="E2015" s="18" t="s">
        <v>36</v>
      </c>
      <c r="F2015" s="18" t="s">
        <v>36</v>
      </c>
      <c r="J2015" s="19"/>
      <c r="K2015" s="19">
        <v>9.2700000000000005E-2</v>
      </c>
      <c r="L2015" s="19">
        <v>0.14940421600000001</v>
      </c>
      <c r="M2015" s="19">
        <v>4.7600000000000003E-2</v>
      </c>
      <c r="N2015" s="19">
        <v>9.7699999999999995E-2</v>
      </c>
      <c r="O2015" s="19" t="s">
        <v>36</v>
      </c>
      <c r="P2015" s="19" t="s">
        <v>36</v>
      </c>
      <c r="Q2015" s="19">
        <v>6.3345195999999993E-2</v>
      </c>
      <c r="R2015" s="20">
        <v>24204</v>
      </c>
      <c r="S2015" s="21" t="str">
        <f>HYPERLINK("https://www.susla.edu/academics/Pages/NetPriceCalculator/index.htm", "$18635")</f>
        <v>$18635</v>
      </c>
      <c r="T2015" s="20">
        <v>20936</v>
      </c>
      <c r="U2015" s="20">
        <v>24204</v>
      </c>
      <c r="V2015" s="20">
        <v>5442</v>
      </c>
      <c r="W2015" s="20">
        <v>13193.97847358121</v>
      </c>
      <c r="Y2015" s="19">
        <v>0.55859999999999999</v>
      </c>
      <c r="Z2015" s="19">
        <v>0.93759999999999999</v>
      </c>
      <c r="AB2015" s="18">
        <v>2165</v>
      </c>
      <c r="AC2015" s="18">
        <v>6</v>
      </c>
    </row>
    <row r="2016" spans="1:29" ht="15.75" customHeight="1" x14ac:dyDescent="0.2">
      <c r="A2016" s="36" t="str">
        <f>HYPERLINK("https://www.suu.edu/", "Southern Utah University")</f>
        <v>Southern Utah University</v>
      </c>
      <c r="B2016" s="18" t="s">
        <v>49</v>
      </c>
      <c r="C2016" s="18" t="s">
        <v>199</v>
      </c>
      <c r="D2016" s="18" t="s">
        <v>1175</v>
      </c>
      <c r="E2016" s="18">
        <v>1156</v>
      </c>
      <c r="F2016" s="18" t="s">
        <v>35</v>
      </c>
      <c r="J2016" s="19"/>
      <c r="K2016" s="19">
        <v>0.4677</v>
      </c>
      <c r="L2016" s="19">
        <v>0.38461538499999998</v>
      </c>
      <c r="M2016" s="19">
        <v>0.4894</v>
      </c>
      <c r="N2016" s="19">
        <v>0.57889999999999997</v>
      </c>
      <c r="O2016" s="19">
        <v>0.46939999999999998</v>
      </c>
      <c r="P2016" s="19">
        <v>0.71430000000000005</v>
      </c>
      <c r="Q2016" s="19"/>
      <c r="R2016" s="20">
        <v>33755</v>
      </c>
      <c r="S2016" s="21" t="str">
        <f>HYPERLINK("https://www.suu.edu/finaid/net-price/index.html", "$26849")</f>
        <v>$26849</v>
      </c>
      <c r="T2016" s="20">
        <v>28423</v>
      </c>
      <c r="U2016" s="20">
        <v>29969</v>
      </c>
      <c r="V2016" s="20">
        <v>6400</v>
      </c>
      <c r="W2016" s="20">
        <v>20449.289962825282</v>
      </c>
      <c r="Y2016" s="19">
        <v>0.32940000000000003</v>
      </c>
      <c r="Z2016" s="19">
        <v>0.25269999999999998</v>
      </c>
      <c r="AB2016" s="18">
        <v>6849</v>
      </c>
      <c r="AC2016" s="18">
        <v>4</v>
      </c>
    </row>
    <row r="2017" spans="1:29" ht="15.75" customHeight="1" x14ac:dyDescent="0.2">
      <c r="A2017" s="36" t="str">
        <f>HYPERLINK("https://svc.edu", "Southern Vermont College")</f>
        <v>Southern Vermont College</v>
      </c>
      <c r="B2017" s="18" t="s">
        <v>32</v>
      </c>
      <c r="C2017" s="18" t="s">
        <v>47</v>
      </c>
      <c r="D2017" s="18" t="s">
        <v>48</v>
      </c>
      <c r="E2017" s="18" t="s">
        <v>36</v>
      </c>
      <c r="F2017" s="18" t="s">
        <v>90</v>
      </c>
      <c r="J2017" s="19"/>
      <c r="K2017" s="19">
        <v>0.45100000000000001</v>
      </c>
      <c r="L2017" s="19">
        <v>0.25862068999999999</v>
      </c>
      <c r="M2017" s="19">
        <v>0.42859999999999998</v>
      </c>
      <c r="N2017" s="19">
        <v>0.5</v>
      </c>
      <c r="O2017" s="19">
        <v>0.61539999999999995</v>
      </c>
      <c r="P2017" s="19">
        <v>0.33329999999999999</v>
      </c>
      <c r="Q2017" s="19"/>
      <c r="R2017" s="20">
        <v>37775</v>
      </c>
      <c r="S2017" s="21" t="str">
        <f>HYPERLINK("https://www.svc.edu/wp-content/uploads/npcalc/npcalc.htm", "$17086")</f>
        <v>$17086</v>
      </c>
      <c r="T2017" s="20">
        <v>24231</v>
      </c>
      <c r="U2017" s="20">
        <v>27774</v>
      </c>
      <c r="V2017" s="20">
        <v>2000</v>
      </c>
      <c r="W2017" s="20">
        <v>15086</v>
      </c>
      <c r="Y2017" s="19">
        <v>0.47060000000000002</v>
      </c>
      <c r="Z2017" s="19">
        <v>0.44379999999999997</v>
      </c>
      <c r="AB2017" s="18">
        <v>347</v>
      </c>
      <c r="AC2017" s="18">
        <v>5</v>
      </c>
    </row>
    <row r="2018" spans="1:29" ht="15.75" customHeight="1" x14ac:dyDescent="0.2">
      <c r="A2018" s="36" t="str">
        <f>HYPERLINK("https://www.svu.edu", "Southern Virginia University")</f>
        <v>Southern Virginia University</v>
      </c>
      <c r="B2018" s="18" t="s">
        <v>32</v>
      </c>
      <c r="C2018" s="18" t="s">
        <v>83</v>
      </c>
      <c r="D2018" s="18" t="s">
        <v>1179</v>
      </c>
      <c r="E2018" s="18">
        <v>992</v>
      </c>
      <c r="F2018" s="18" t="s">
        <v>35</v>
      </c>
      <c r="J2018" s="19"/>
      <c r="K2018" s="19">
        <v>0.2702</v>
      </c>
      <c r="L2018" s="19">
        <v>0.22580645199999999</v>
      </c>
      <c r="M2018" s="19">
        <v>0.29730000000000001</v>
      </c>
      <c r="N2018" s="19">
        <v>0.18179999999999999</v>
      </c>
      <c r="O2018" s="19">
        <v>0.3</v>
      </c>
      <c r="P2018" s="19">
        <v>0</v>
      </c>
      <c r="Q2018" s="19"/>
      <c r="R2018" s="20">
        <v>26910</v>
      </c>
      <c r="S2018" s="21" t="str">
        <f>HYPERLINK("https://secure.svu.edu/calculator/npcalc.htm", "$16873")</f>
        <v>$16873</v>
      </c>
      <c r="T2018" s="20">
        <v>18533</v>
      </c>
      <c r="U2018" s="20">
        <v>20531</v>
      </c>
      <c r="V2018" s="20">
        <v>4700</v>
      </c>
      <c r="W2018" s="20">
        <v>12173</v>
      </c>
      <c r="Y2018" s="19">
        <v>0.49880000000000002</v>
      </c>
      <c r="Z2018" s="19">
        <v>0.29189999999999999</v>
      </c>
      <c r="AB2018" s="18">
        <v>877</v>
      </c>
      <c r="AC2018" s="18">
        <v>4</v>
      </c>
    </row>
    <row r="2019" spans="1:29" ht="15.75" customHeight="1" x14ac:dyDescent="0.2">
      <c r="A2019" s="36" t="str">
        <f>HYPERLINK("https://www.swu.edu", "Southern Wesleyan University")</f>
        <v>Southern Wesleyan University</v>
      </c>
      <c r="B2019" s="18" t="s">
        <v>32</v>
      </c>
      <c r="C2019" s="18" t="s">
        <v>208</v>
      </c>
      <c r="D2019" s="18" t="s">
        <v>1181</v>
      </c>
      <c r="E2019" s="18" t="s">
        <v>36</v>
      </c>
      <c r="F2019" s="18" t="s">
        <v>90</v>
      </c>
      <c r="J2019" s="19"/>
      <c r="K2019" s="19">
        <v>0.43799999999999989</v>
      </c>
      <c r="L2019" s="19">
        <v>0.32978723399999998</v>
      </c>
      <c r="M2019" s="19">
        <v>0.4884</v>
      </c>
      <c r="N2019" s="19">
        <v>0.31819999999999998</v>
      </c>
      <c r="O2019" s="19">
        <v>0.25</v>
      </c>
      <c r="P2019" s="19" t="s">
        <v>36</v>
      </c>
      <c r="Q2019" s="19"/>
      <c r="R2019" s="20">
        <v>36860</v>
      </c>
      <c r="S2019" s="21" t="str">
        <f>HYPERLINK("https://www.swu.edu/traditional-campus/financial-aid/net-price-calculator/", "$14884")</f>
        <v>$14884</v>
      </c>
      <c r="T2019" s="20">
        <v>18128</v>
      </c>
      <c r="U2019" s="20">
        <v>17769</v>
      </c>
      <c r="V2019" s="20">
        <v>3190</v>
      </c>
      <c r="W2019" s="20">
        <v>11694</v>
      </c>
      <c r="Y2019" s="19">
        <v>0.44590000000000002</v>
      </c>
      <c r="Z2019" s="19">
        <v>0.36</v>
      </c>
      <c r="AB2019" s="18">
        <v>1286</v>
      </c>
      <c r="AC2019" s="18">
        <v>4</v>
      </c>
    </row>
    <row r="2020" spans="1:29" ht="15.75" customHeight="1" x14ac:dyDescent="0.2">
      <c r="A2020" s="36" t="str">
        <f>HYPERLINK("https://www.southernwv.edu", "Southern West Virginia Community and Technical College")</f>
        <v>Southern West Virginia Community and Technical College</v>
      </c>
      <c r="B2020" s="18" t="s">
        <v>49</v>
      </c>
      <c r="C2020" s="18" t="s">
        <v>574</v>
      </c>
      <c r="D2020" s="18" t="s">
        <v>1693</v>
      </c>
      <c r="E2020" s="18" t="s">
        <v>36</v>
      </c>
      <c r="F2020" s="18" t="s">
        <v>36</v>
      </c>
      <c r="J2020" s="19"/>
      <c r="K2020" s="19">
        <v>0.1759</v>
      </c>
      <c r="L2020" s="19" t="s">
        <v>36</v>
      </c>
      <c r="M2020" s="19">
        <v>0.18559999999999999</v>
      </c>
      <c r="N2020" s="19">
        <v>0</v>
      </c>
      <c r="O2020" s="19" t="s">
        <v>36</v>
      </c>
      <c r="P2020" s="19" t="s">
        <v>36</v>
      </c>
      <c r="Q2020" s="19">
        <v>8.7301586999999986E-2</v>
      </c>
      <c r="R2020" s="20">
        <v>17081</v>
      </c>
      <c r="S2020" s="21" t="str">
        <f>HYPERLINK("https://southernwv.studentaidcalculator.com/survey.aspx", "$10781")</f>
        <v>$10781</v>
      </c>
      <c r="T2020" s="20">
        <v>12902</v>
      </c>
      <c r="U2020" s="20">
        <v>16161</v>
      </c>
      <c r="V2020" s="20">
        <v>6300</v>
      </c>
      <c r="W2020" s="20">
        <v>4481.0614334470993</v>
      </c>
      <c r="Y2020" s="19">
        <v>0.62439999999999996</v>
      </c>
      <c r="Z2020" s="19">
        <v>1.41E-2</v>
      </c>
      <c r="AB2020" s="18">
        <v>1557</v>
      </c>
      <c r="AC2020" s="18">
        <v>6</v>
      </c>
    </row>
    <row r="2021" spans="1:29" ht="15.75" customHeight="1" x14ac:dyDescent="0.2">
      <c r="A2021" s="36" t="str">
        <f>HYPERLINK("https://www.srmconline.com", "Southside Regional Medical Center Professional Schools")</f>
        <v>Southside Regional Medical Center Professional Schools</v>
      </c>
      <c r="B2021" s="18" t="s">
        <v>368</v>
      </c>
      <c r="C2021" s="18" t="s">
        <v>83</v>
      </c>
      <c r="D2021" s="18" t="s">
        <v>1694</v>
      </c>
      <c r="E2021" s="18" t="s">
        <v>36</v>
      </c>
      <c r="F2021" s="18" t="s">
        <v>45</v>
      </c>
      <c r="J2021" s="19"/>
      <c r="K2021" s="19" t="s">
        <v>36</v>
      </c>
      <c r="L2021" s="19">
        <v>0.48</v>
      </c>
      <c r="M2021" s="19" t="s">
        <v>36</v>
      </c>
      <c r="N2021" s="19" t="s">
        <v>36</v>
      </c>
      <c r="O2021" s="19" t="s">
        <v>36</v>
      </c>
      <c r="P2021" s="19" t="s">
        <v>36</v>
      </c>
      <c r="Q2021" s="19" t="s">
        <v>36</v>
      </c>
      <c r="R2021" s="20">
        <v>26902</v>
      </c>
      <c r="S2021" s="21" t="str">
        <f>HYPERLINK("https://www.srmconline.com", "Not reported")</f>
        <v>Not reported</v>
      </c>
      <c r="T2021" s="20" t="s">
        <v>36</v>
      </c>
      <c r="U2021" s="20" t="s">
        <v>36</v>
      </c>
      <c r="V2021" s="20">
        <v>3000</v>
      </c>
      <c r="W2021" s="20" t="s">
        <v>36</v>
      </c>
      <c r="Y2021" s="19">
        <v>0.30280000000000001</v>
      </c>
      <c r="Z2021" s="19">
        <v>0.27270000000000011</v>
      </c>
      <c r="AB2021" s="18">
        <v>110</v>
      </c>
      <c r="AC2021" s="18">
        <v>6</v>
      </c>
    </row>
    <row r="2022" spans="1:29" ht="15.75" customHeight="1" x14ac:dyDescent="0.2">
      <c r="A2022" s="36" t="str">
        <f>HYPERLINK("https://www.sbuniv.edu", "Southwest Baptist University")</f>
        <v>Southwest Baptist University</v>
      </c>
      <c r="B2022" s="18" t="s">
        <v>32</v>
      </c>
      <c r="C2022" s="18" t="s">
        <v>164</v>
      </c>
      <c r="D2022" s="18" t="s">
        <v>1182</v>
      </c>
      <c r="E2022" s="18">
        <v>1136</v>
      </c>
      <c r="F2022" s="18" t="s">
        <v>35</v>
      </c>
      <c r="J2022" s="19"/>
      <c r="K2022" s="19">
        <v>0.45379999999999998</v>
      </c>
      <c r="L2022" s="19">
        <v>0.33333333300000001</v>
      </c>
      <c r="M2022" s="19">
        <v>0.49009999999999998</v>
      </c>
      <c r="N2022" s="19">
        <v>0.1429</v>
      </c>
      <c r="O2022" s="19">
        <v>0.63639999999999997</v>
      </c>
      <c r="P2022" s="19">
        <v>0.66669999999999996</v>
      </c>
      <c r="Q2022" s="19"/>
      <c r="R2022" s="20">
        <v>34458</v>
      </c>
      <c r="S2022" s="21" t="str">
        <f>HYPERLINK("https://www.sbuniv.edu/admissions/financial-aid/estimator.php", "$17382")</f>
        <v>$17382</v>
      </c>
      <c r="T2022" s="20">
        <v>17334</v>
      </c>
      <c r="U2022" s="20">
        <v>17977</v>
      </c>
      <c r="V2022" s="20">
        <v>3500</v>
      </c>
      <c r="W2022" s="20">
        <v>13882</v>
      </c>
      <c r="Y2022" s="19">
        <v>0.38919999999999999</v>
      </c>
      <c r="Z2022" s="19">
        <v>0.1709999999999999</v>
      </c>
      <c r="AB2022" s="18">
        <v>2252</v>
      </c>
      <c r="AC2022" s="18">
        <v>4</v>
      </c>
    </row>
    <row r="2023" spans="1:29" ht="15.75" customHeight="1" x14ac:dyDescent="0.2">
      <c r="A2023" s="36" t="str">
        <f>HYPERLINK("https://howardcollege.edu/swcid/", "Southwest Collegiate Institute for the Deaf")</f>
        <v>Southwest Collegiate Institute for the Deaf</v>
      </c>
      <c r="B2023" s="18" t="s">
        <v>49</v>
      </c>
      <c r="C2023" s="18" t="s">
        <v>146</v>
      </c>
      <c r="D2023" s="18" t="s">
        <v>1428</v>
      </c>
      <c r="E2023" s="18" t="s">
        <v>36</v>
      </c>
      <c r="F2023" s="18" t="s">
        <v>36</v>
      </c>
      <c r="J2023" s="19"/>
      <c r="K2023" s="19">
        <v>0.23080000000000001</v>
      </c>
      <c r="L2023" s="19">
        <v>0.231884058</v>
      </c>
      <c r="M2023" s="19">
        <v>0.33329999999999999</v>
      </c>
      <c r="N2023" s="19">
        <v>0.4</v>
      </c>
      <c r="O2023" s="19">
        <v>0.2</v>
      </c>
      <c r="P2023" s="19">
        <v>0.5</v>
      </c>
      <c r="Q2023" s="19">
        <v>8.2393754999999999E-2</v>
      </c>
      <c r="R2023" s="20">
        <v>23448</v>
      </c>
      <c r="S2023" s="21" t="str">
        <f>HYPERLINK("https://www.collegeforalltexans.com/apps/CollegeMoney/", "$14684")</f>
        <v>$14684</v>
      </c>
      <c r="T2023" s="20">
        <v>15898</v>
      </c>
      <c r="U2023" s="20" t="s">
        <v>36</v>
      </c>
      <c r="V2023" s="20">
        <v>3822</v>
      </c>
      <c r="W2023" s="20">
        <v>10862.33333333333</v>
      </c>
      <c r="Y2023" s="19">
        <v>0.54720000000000002</v>
      </c>
      <c r="Z2023" s="19">
        <v>0.79349999999999998</v>
      </c>
      <c r="AB2023" s="18">
        <v>92</v>
      </c>
      <c r="AC2023" s="18">
        <v>6</v>
      </c>
    </row>
    <row r="2024" spans="1:29" ht="15.75" customHeight="1" x14ac:dyDescent="0.2">
      <c r="A2024" s="36" t="str">
        <f>HYPERLINK("https://www.smsu.edu", "Southwest Minnesota State University")</f>
        <v>Southwest Minnesota State University</v>
      </c>
      <c r="B2024" s="18" t="s">
        <v>49</v>
      </c>
      <c r="C2024" s="18" t="s">
        <v>72</v>
      </c>
      <c r="D2024" s="18" t="s">
        <v>709</v>
      </c>
      <c r="E2024" s="18">
        <v>1065</v>
      </c>
      <c r="F2024" s="18" t="s">
        <v>35</v>
      </c>
      <c r="J2024" s="19"/>
      <c r="K2024" s="19">
        <v>0.44940000000000002</v>
      </c>
      <c r="L2024" s="19">
        <v>0.35294117700000011</v>
      </c>
      <c r="M2024" s="19">
        <v>0.48</v>
      </c>
      <c r="N2024" s="19">
        <v>5.5599999999999997E-2</v>
      </c>
      <c r="O2024" s="19">
        <v>0.22220000000000001</v>
      </c>
      <c r="P2024" s="19">
        <v>0.25</v>
      </c>
      <c r="Q2024" s="19"/>
      <c r="R2024" s="20">
        <v>20776</v>
      </c>
      <c r="S2024" s="21" t="str">
        <f>HYPERLINK("https://www.minnstate.edu/admissions/calculator/southwestmsu.html?_ga=2.135537657.998509588.1537211262-179850922.1537211262", "$12401")</f>
        <v>$12401</v>
      </c>
      <c r="T2024" s="20">
        <v>14786</v>
      </c>
      <c r="U2024" s="20">
        <v>17580</v>
      </c>
      <c r="V2024" s="20">
        <v>4356</v>
      </c>
      <c r="W2024" s="20">
        <v>8045.922330097088</v>
      </c>
      <c r="Y2024" s="19">
        <v>0.1166</v>
      </c>
      <c r="Z2024" s="19">
        <v>0.2382</v>
      </c>
      <c r="AB2024" s="18">
        <v>2133</v>
      </c>
      <c r="AC2024" s="18">
        <v>4</v>
      </c>
    </row>
    <row r="2025" spans="1:29" ht="15.75" customHeight="1" x14ac:dyDescent="0.2">
      <c r="A2025" s="36" t="str">
        <f>HYPERLINK("https://www.smcc.edu", "Southwest Mississippi Community College")</f>
        <v>Southwest Mississippi Community College</v>
      </c>
      <c r="B2025" s="18" t="s">
        <v>49</v>
      </c>
      <c r="C2025" s="18" t="s">
        <v>59</v>
      </c>
      <c r="D2025" s="18" t="s">
        <v>1695</v>
      </c>
      <c r="E2025" s="18" t="s">
        <v>36</v>
      </c>
      <c r="F2025" s="18" t="s">
        <v>36</v>
      </c>
      <c r="J2025" s="19"/>
      <c r="K2025" s="19">
        <v>0.39960000000000001</v>
      </c>
      <c r="L2025" s="19">
        <v>0.21052631599999999</v>
      </c>
      <c r="M2025" s="19">
        <v>0.4355</v>
      </c>
      <c r="N2025" s="19">
        <v>0.3619</v>
      </c>
      <c r="O2025" s="19">
        <v>0.25</v>
      </c>
      <c r="P2025" s="19">
        <v>1</v>
      </c>
      <c r="Q2025" s="19">
        <v>5.3553037999999997E-2</v>
      </c>
      <c r="R2025" s="20">
        <v>12950</v>
      </c>
      <c r="S2025" s="21" t="str">
        <f>HYPERLINK("https://www.smcc.edu/financial-aid/net_price_calculator.php", "$6871")</f>
        <v>$6871</v>
      </c>
      <c r="T2025" s="20">
        <v>8882</v>
      </c>
      <c r="U2025" s="20">
        <v>9471</v>
      </c>
      <c r="V2025" s="20">
        <v>3300</v>
      </c>
      <c r="W2025" s="20">
        <v>3571.8236994219651</v>
      </c>
      <c r="Y2025" s="19">
        <v>0.5827</v>
      </c>
      <c r="Z2025" s="19">
        <v>0.46489999999999998</v>
      </c>
      <c r="AB2025" s="18">
        <v>1779</v>
      </c>
      <c r="AC2025" s="18">
        <v>6</v>
      </c>
    </row>
    <row r="2026" spans="1:29" ht="15.75" customHeight="1" x14ac:dyDescent="0.2">
      <c r="A2026" s="36" t="str">
        <f>HYPERLINK("https://www.southwest.tn.edu", "Southwest Tennessee Community College")</f>
        <v>Southwest Tennessee Community College</v>
      </c>
      <c r="B2026" s="18" t="s">
        <v>49</v>
      </c>
      <c r="C2026" s="18" t="s">
        <v>174</v>
      </c>
      <c r="D2026" s="18" t="s">
        <v>207</v>
      </c>
      <c r="E2026" s="18" t="s">
        <v>36</v>
      </c>
      <c r="F2026" s="18" t="s">
        <v>90</v>
      </c>
      <c r="J2026" s="19"/>
      <c r="K2026" s="19">
        <v>0.1021</v>
      </c>
      <c r="L2026" s="19">
        <v>7.1961982000000008E-2</v>
      </c>
      <c r="M2026" s="19">
        <v>0.15240000000000001</v>
      </c>
      <c r="N2026" s="19">
        <v>7.0499999999999993E-2</v>
      </c>
      <c r="O2026" s="19">
        <v>0.15709999999999999</v>
      </c>
      <c r="P2026" s="19">
        <v>0.3</v>
      </c>
      <c r="Q2026" s="19">
        <v>9.8739088000000003E-2</v>
      </c>
      <c r="R2026" s="20">
        <v>28141</v>
      </c>
      <c r="S2026" s="21" t="str">
        <f>HYPERLINK("https://eas.southwest.tn.edu/request/netprice/20140205/npcalc.htm.htm", "$22067")</f>
        <v>$22067</v>
      </c>
      <c r="T2026" s="20">
        <v>23711</v>
      </c>
      <c r="U2026" s="20">
        <v>25593</v>
      </c>
      <c r="V2026" s="20">
        <v>3680</v>
      </c>
      <c r="W2026" s="20">
        <v>18387.389312977099</v>
      </c>
      <c r="Y2026" s="19">
        <v>0.53459999999999996</v>
      </c>
      <c r="Z2026" s="19">
        <v>0.74360000000000004</v>
      </c>
      <c r="AB2026" s="18">
        <v>8250</v>
      </c>
      <c r="AC2026" s="18">
        <v>6</v>
      </c>
    </row>
    <row r="2027" spans="1:29" ht="15.75" customHeight="1" x14ac:dyDescent="0.2">
      <c r="A2027" s="36" t="str">
        <f>HYPERLINK("https://www.swtjc.net", "Southwest Texas Junior College")</f>
        <v>Southwest Texas Junior College</v>
      </c>
      <c r="B2027" s="18" t="s">
        <v>49</v>
      </c>
      <c r="C2027" s="18" t="s">
        <v>146</v>
      </c>
      <c r="D2027" s="18" t="s">
        <v>1696</v>
      </c>
      <c r="E2027" s="18" t="s">
        <v>36</v>
      </c>
      <c r="F2027" s="18" t="s">
        <v>36</v>
      </c>
      <c r="J2027" s="19"/>
      <c r="K2027" s="19">
        <v>0.28660000000000002</v>
      </c>
      <c r="L2027" s="19">
        <v>0.22999222999999999</v>
      </c>
      <c r="M2027" s="19">
        <v>0.41860000000000003</v>
      </c>
      <c r="N2027" s="19">
        <v>0.1429</v>
      </c>
      <c r="O2027" s="19">
        <v>0.28070000000000001</v>
      </c>
      <c r="P2027" s="19">
        <v>0</v>
      </c>
      <c r="Q2027" s="19">
        <v>6.4748200999999991E-2</v>
      </c>
      <c r="R2027" s="20">
        <v>16315</v>
      </c>
      <c r="S2027" s="21" t="str">
        <f>HYPERLINK("https://www.collegeforalltexans.com/apps/CollegeMoney/", "$10503")</f>
        <v>$10503</v>
      </c>
      <c r="T2027" s="20">
        <v>12999</v>
      </c>
      <c r="U2027" s="20">
        <v>15544</v>
      </c>
      <c r="V2027" s="20">
        <v>7359</v>
      </c>
      <c r="W2027" s="20">
        <v>3144.7538802660752</v>
      </c>
      <c r="Y2027" s="19">
        <v>0.4093</v>
      </c>
      <c r="Z2027" s="19">
        <v>0.91210000000000002</v>
      </c>
      <c r="AB2027" s="18">
        <v>4230</v>
      </c>
      <c r="AC2027" s="18">
        <v>6</v>
      </c>
    </row>
    <row r="2028" spans="1:29" ht="15.75" customHeight="1" x14ac:dyDescent="0.2">
      <c r="A2028" s="36" t="str">
        <f>HYPERLINK("https://southwestuniversity.edu", "Southwest University at El Paso")</f>
        <v>Southwest University at El Paso</v>
      </c>
      <c r="B2028" s="18" t="s">
        <v>368</v>
      </c>
      <c r="C2028" s="18" t="s">
        <v>146</v>
      </c>
      <c r="D2028" s="18" t="s">
        <v>869</v>
      </c>
      <c r="E2028" s="18" t="s">
        <v>36</v>
      </c>
      <c r="F2028" s="18" t="s">
        <v>36</v>
      </c>
      <c r="J2028" s="19"/>
      <c r="K2028" s="19">
        <v>0.65939999999999999</v>
      </c>
      <c r="L2028" s="19">
        <v>0.65379310299999993</v>
      </c>
      <c r="M2028" s="19">
        <v>0.76919999999999999</v>
      </c>
      <c r="N2028" s="19">
        <v>0.66669999999999996</v>
      </c>
      <c r="O2028" s="19">
        <v>0.65539999999999998</v>
      </c>
      <c r="P2028" s="19">
        <v>0</v>
      </c>
      <c r="Q2028" s="19" t="s">
        <v>36</v>
      </c>
      <c r="R2028" s="20">
        <v>26550</v>
      </c>
      <c r="S2028" s="21" t="str">
        <f>HYPERLINK("https://southwestuniversity.edu/npcalc.htm", "$17678")</f>
        <v>$17678</v>
      </c>
      <c r="T2028" s="20">
        <v>19667</v>
      </c>
      <c r="U2028" s="20" t="s">
        <v>36</v>
      </c>
      <c r="V2028" s="20">
        <v>7210</v>
      </c>
      <c r="W2028" s="20">
        <v>10468</v>
      </c>
      <c r="Y2028" s="19">
        <v>0.82240000000000002</v>
      </c>
      <c r="Z2028" s="19">
        <v>0.94169999999999998</v>
      </c>
      <c r="AB2028" s="18">
        <v>1527</v>
      </c>
      <c r="AC2028" s="18">
        <v>6</v>
      </c>
    </row>
    <row r="2029" spans="1:29" ht="15.75" customHeight="1" x14ac:dyDescent="0.2">
      <c r="A2029" s="36" t="str">
        <f>HYPERLINK("https://sw.edu", "Southwest Virginia Community College")</f>
        <v>Southwest Virginia Community College</v>
      </c>
      <c r="B2029" s="18" t="s">
        <v>49</v>
      </c>
      <c r="C2029" s="18" t="s">
        <v>83</v>
      </c>
      <c r="D2029" s="18" t="s">
        <v>1697</v>
      </c>
      <c r="E2029" s="18" t="s">
        <v>36</v>
      </c>
      <c r="F2029" s="18" t="s">
        <v>36</v>
      </c>
      <c r="J2029" s="19"/>
      <c r="K2029" s="19">
        <v>0.35170000000000001</v>
      </c>
      <c r="L2029" s="19">
        <v>0.16242937900000001</v>
      </c>
      <c r="M2029" s="19">
        <v>0.35189999999999999</v>
      </c>
      <c r="N2029" s="19">
        <v>0.33329999999999999</v>
      </c>
      <c r="O2029" s="19">
        <v>0.33329999999999999</v>
      </c>
      <c r="P2029" s="19">
        <v>0.5</v>
      </c>
      <c r="Q2029" s="19">
        <v>4.8192771000000002E-2</v>
      </c>
      <c r="R2029" s="20">
        <v>20119</v>
      </c>
      <c r="S2029" s="21" t="str">
        <f>HYPERLINK("https://www.vawizard.org/wizard/financing-college", "$13959")</f>
        <v>$13959</v>
      </c>
      <c r="T2029" s="20">
        <v>15046</v>
      </c>
      <c r="U2029" s="20" t="s">
        <v>36</v>
      </c>
      <c r="V2029" s="20">
        <v>6400</v>
      </c>
      <c r="W2029" s="20">
        <v>7559.4362934362944</v>
      </c>
      <c r="Y2029" s="19">
        <v>0.50419999999999998</v>
      </c>
      <c r="Z2029" s="19">
        <v>4.500000000000004E-2</v>
      </c>
      <c r="AB2029" s="18">
        <v>1621</v>
      </c>
      <c r="AC2029" s="18">
        <v>6</v>
      </c>
    </row>
    <row r="2030" spans="1:29" ht="15.75" customHeight="1" x14ac:dyDescent="0.2">
      <c r="A2030" s="36" t="str">
        <f>HYPERLINK("https://www.swau.edu/", "Southwestern Adventist University")</f>
        <v>Southwestern Adventist University</v>
      </c>
      <c r="B2030" s="18" t="s">
        <v>32</v>
      </c>
      <c r="C2030" s="18" t="s">
        <v>146</v>
      </c>
      <c r="D2030" s="18" t="s">
        <v>845</v>
      </c>
      <c r="E2030" s="18">
        <v>1040</v>
      </c>
      <c r="F2030" s="18" t="s">
        <v>35</v>
      </c>
      <c r="J2030" s="19"/>
      <c r="K2030" s="19">
        <v>0.37009999999999998</v>
      </c>
      <c r="L2030" s="19">
        <v>0.26315789499999998</v>
      </c>
      <c r="M2030" s="19">
        <v>0.3448</v>
      </c>
      <c r="N2030" s="19">
        <v>0.27779999999999999</v>
      </c>
      <c r="O2030" s="19">
        <v>0.42109999999999997</v>
      </c>
      <c r="P2030" s="19">
        <v>0.7</v>
      </c>
      <c r="Q2030" s="19"/>
      <c r="R2030" s="20">
        <v>32732</v>
      </c>
      <c r="S2030" s="21" t="str">
        <f>HYPERLINK("https://swau.studentaidcalculator.com/survey.aspx", "$17727")</f>
        <v>$17727</v>
      </c>
      <c r="T2030" s="20">
        <v>24821</v>
      </c>
      <c r="U2030" s="20">
        <v>21584</v>
      </c>
      <c r="V2030" s="20">
        <v>4500</v>
      </c>
      <c r="W2030" s="20">
        <v>13227</v>
      </c>
      <c r="Y2030" s="19">
        <v>0.51580000000000004</v>
      </c>
      <c r="Z2030" s="19">
        <v>0.7833</v>
      </c>
      <c r="AB2030" s="18">
        <v>780</v>
      </c>
      <c r="AC2030" s="18">
        <v>5</v>
      </c>
    </row>
    <row r="2031" spans="1:29" ht="15.75" customHeight="1" x14ac:dyDescent="0.2">
      <c r="A2031" s="36" t="str">
        <f>HYPERLINK("https://www.sagu.edu", "Southwestern Assemblies of God University")</f>
        <v>Southwestern Assemblies of God University</v>
      </c>
      <c r="B2031" s="18" t="s">
        <v>32</v>
      </c>
      <c r="C2031" s="18" t="s">
        <v>146</v>
      </c>
      <c r="D2031" s="18" t="s">
        <v>1183</v>
      </c>
      <c r="E2031" s="18">
        <v>1021</v>
      </c>
      <c r="F2031" s="18" t="s">
        <v>35</v>
      </c>
      <c r="J2031" s="19"/>
      <c r="K2031" s="19">
        <v>0.44440000000000002</v>
      </c>
      <c r="L2031" s="19">
        <v>0.32015810300000003</v>
      </c>
      <c r="M2031" s="19">
        <v>0.51829999999999998</v>
      </c>
      <c r="N2031" s="19">
        <v>0.19439999999999999</v>
      </c>
      <c r="O2031" s="19">
        <v>0.36170000000000002</v>
      </c>
      <c r="P2031" s="19">
        <v>0.4</v>
      </c>
      <c r="Q2031" s="19"/>
      <c r="R2031" s="20">
        <v>34442</v>
      </c>
      <c r="S2031" s="21" t="str">
        <f>HYPERLINK("https://www.sagu.edu/financial-aid/net-price-calculator", "$22545")</f>
        <v>$22545</v>
      </c>
      <c r="T2031" s="20">
        <v>25356</v>
      </c>
      <c r="U2031" s="20">
        <v>27674</v>
      </c>
      <c r="V2031" s="20">
        <v>7096</v>
      </c>
      <c r="W2031" s="20">
        <v>15449</v>
      </c>
      <c r="Y2031" s="19">
        <v>0.51970000000000005</v>
      </c>
      <c r="Z2031" s="19">
        <v>0.39879999999999999</v>
      </c>
      <c r="AB2031" s="18">
        <v>1730</v>
      </c>
      <c r="AC2031" s="18">
        <v>4</v>
      </c>
    </row>
    <row r="2032" spans="1:29" ht="15.75" customHeight="1" x14ac:dyDescent="0.2">
      <c r="A2032" s="36" t="str">
        <f>HYPERLINK("https://www.swcc.edu", "Southwestern Christian College")</f>
        <v>Southwestern Christian College</v>
      </c>
      <c r="B2032" s="18" t="s">
        <v>32</v>
      </c>
      <c r="C2032" s="18" t="s">
        <v>146</v>
      </c>
      <c r="D2032" s="18" t="s">
        <v>1698</v>
      </c>
      <c r="E2032" s="18" t="s">
        <v>36</v>
      </c>
      <c r="F2032" s="18" t="s">
        <v>36</v>
      </c>
      <c r="J2032" s="19"/>
      <c r="K2032" s="19">
        <v>0.9890000000000001</v>
      </c>
      <c r="L2032" s="19" t="s">
        <v>36</v>
      </c>
      <c r="M2032" s="19">
        <v>1</v>
      </c>
      <c r="N2032" s="19">
        <v>0.98670000000000002</v>
      </c>
      <c r="O2032" s="19">
        <v>1</v>
      </c>
      <c r="P2032" s="19" t="s">
        <v>36</v>
      </c>
      <c r="Q2032" s="19">
        <v>0.14432989700000001</v>
      </c>
      <c r="R2032" s="20">
        <v>16186</v>
      </c>
      <c r="S2032" s="21" t="str">
        <f>HYPERLINK("https://www.collegeforalltexans.com/apps/CollegeMoney/", "$6383")</f>
        <v>$6383</v>
      </c>
      <c r="T2032" s="20">
        <v>4110</v>
      </c>
      <c r="U2032" s="20">
        <v>8089</v>
      </c>
      <c r="V2032" s="20">
        <v>2450</v>
      </c>
      <c r="W2032" s="20">
        <v>3933</v>
      </c>
      <c r="Y2032" s="19">
        <v>0.65969999999999995</v>
      </c>
      <c r="Z2032" s="19">
        <v>1</v>
      </c>
      <c r="AB2032" s="18">
        <v>158</v>
      </c>
      <c r="AC2032" s="18">
        <v>6</v>
      </c>
    </row>
    <row r="2033" spans="1:29" ht="15.75" customHeight="1" x14ac:dyDescent="0.2">
      <c r="A2033" s="36" t="str">
        <f>HYPERLINK("https://www.sckans.edu", "Southwestern College")</f>
        <v>Southwestern College</v>
      </c>
      <c r="B2033" s="18" t="s">
        <v>32</v>
      </c>
      <c r="C2033" s="18" t="s">
        <v>307</v>
      </c>
      <c r="D2033" s="18" t="s">
        <v>1184</v>
      </c>
      <c r="E2033" s="18">
        <v>1019</v>
      </c>
      <c r="F2033" s="18" t="s">
        <v>35</v>
      </c>
      <c r="J2033" s="19"/>
      <c r="K2033" s="19">
        <v>0.40629999999999999</v>
      </c>
      <c r="L2033" s="19">
        <v>0.48387096800000001</v>
      </c>
      <c r="M2033" s="19">
        <v>0.42159999999999997</v>
      </c>
      <c r="N2033" s="19">
        <v>0.125</v>
      </c>
      <c r="O2033" s="19">
        <v>0.36840000000000001</v>
      </c>
      <c r="P2033" s="19">
        <v>1</v>
      </c>
      <c r="Q2033" s="19"/>
      <c r="R2033" s="20">
        <v>42821</v>
      </c>
      <c r="S2033" s="21" t="str">
        <f>HYPERLINK("https://www.sckans.edu/other/net-price-calculator/", "$21218")</f>
        <v>$21218</v>
      </c>
      <c r="T2033" s="20">
        <v>21087</v>
      </c>
      <c r="U2033" s="20">
        <v>23713</v>
      </c>
      <c r="V2033" s="20">
        <v>6551</v>
      </c>
      <c r="W2033" s="20">
        <v>14667</v>
      </c>
      <c r="Y2033" s="19">
        <v>0.36380000000000001</v>
      </c>
      <c r="Z2033" s="19">
        <v>0.58299999999999996</v>
      </c>
      <c r="AB2033" s="18">
        <v>1096</v>
      </c>
      <c r="AC2033" s="18">
        <v>4</v>
      </c>
    </row>
    <row r="2034" spans="1:29" ht="15.75" customHeight="1" x14ac:dyDescent="0.2">
      <c r="A2034" s="36" t="str">
        <f>HYPERLINK("https://www.swccd.edu", "Southwestern College")</f>
        <v>Southwestern College</v>
      </c>
      <c r="B2034" s="18" t="s">
        <v>49</v>
      </c>
      <c r="C2034" s="18" t="s">
        <v>68</v>
      </c>
      <c r="D2034" s="18" t="s">
        <v>1699</v>
      </c>
      <c r="E2034" s="18" t="s">
        <v>36</v>
      </c>
      <c r="F2034" s="18" t="s">
        <v>36</v>
      </c>
      <c r="J2034" s="19"/>
      <c r="K2034" s="19">
        <v>0.2215</v>
      </c>
      <c r="L2034" s="19">
        <v>6.3609468000000002E-2</v>
      </c>
      <c r="M2034" s="19">
        <v>0.2482</v>
      </c>
      <c r="N2034" s="19">
        <v>0.16</v>
      </c>
      <c r="O2034" s="19">
        <v>0.2117</v>
      </c>
      <c r="P2034" s="19">
        <v>0.28160000000000002</v>
      </c>
      <c r="Q2034" s="19">
        <v>0.119868035</v>
      </c>
      <c r="R2034" s="20">
        <v>25988</v>
      </c>
      <c r="S2034" s="21" t="str">
        <f>HYPERLINK("https://misweb.cccco.edu/npc/091/npcalc.htm", "$18827")</f>
        <v>$18827</v>
      </c>
      <c r="T2034" s="20">
        <v>21337</v>
      </c>
      <c r="U2034" s="20">
        <v>22219</v>
      </c>
      <c r="V2034" s="20">
        <v>6093</v>
      </c>
      <c r="W2034" s="20">
        <v>12734.71485943775</v>
      </c>
      <c r="Y2034" s="19">
        <v>0.31929999999999997</v>
      </c>
      <c r="Z2034" s="19">
        <v>0.88780000000000003</v>
      </c>
      <c r="AB2034" s="18">
        <v>16411</v>
      </c>
      <c r="AC2034" s="18">
        <v>6</v>
      </c>
    </row>
    <row r="2035" spans="1:29" ht="15.75" customHeight="1" x14ac:dyDescent="0.2">
      <c r="A2035" s="36" t="str">
        <f>HYPERLINK("https://www.southwesterncc.edu", "Southwestern Community College")</f>
        <v>Southwestern Community College</v>
      </c>
      <c r="B2035" s="18" t="s">
        <v>49</v>
      </c>
      <c r="C2035" s="18" t="s">
        <v>103</v>
      </c>
      <c r="D2035" s="18" t="s">
        <v>1700</v>
      </c>
      <c r="E2035" s="18" t="s">
        <v>36</v>
      </c>
      <c r="F2035" s="18" t="s">
        <v>36</v>
      </c>
      <c r="J2035" s="19"/>
      <c r="K2035" s="19">
        <v>0.32979999999999998</v>
      </c>
      <c r="L2035" s="19">
        <v>0.29166666699999999</v>
      </c>
      <c r="M2035" s="19">
        <v>0.35</v>
      </c>
      <c r="N2035" s="19">
        <v>0.25</v>
      </c>
      <c r="O2035" s="19">
        <v>0.125</v>
      </c>
      <c r="P2035" s="19">
        <v>0</v>
      </c>
      <c r="Q2035" s="19">
        <v>4.8973144000000003E-2</v>
      </c>
      <c r="R2035" s="20">
        <v>21914</v>
      </c>
      <c r="S2035" s="21" t="str">
        <f>HYPERLINK("https://www.southwesterncc.edu/NetPriceCalculator/npcalc.htm", "$16258")</f>
        <v>$16258</v>
      </c>
      <c r="T2035" s="20">
        <v>17280</v>
      </c>
      <c r="U2035" s="20" t="s">
        <v>36</v>
      </c>
      <c r="V2035" s="20">
        <v>5325</v>
      </c>
      <c r="W2035" s="20">
        <v>10933.33333333333</v>
      </c>
      <c r="Y2035" s="19">
        <v>0.35749999999999998</v>
      </c>
      <c r="Z2035" s="19">
        <v>0.21099999999999999</v>
      </c>
      <c r="AB2035" s="18">
        <v>1649</v>
      </c>
      <c r="AC2035" s="18">
        <v>6</v>
      </c>
    </row>
    <row r="2036" spans="1:29" ht="15.75" customHeight="1" x14ac:dyDescent="0.2">
      <c r="A2036" s="36" t="str">
        <f>HYPERLINK("https://www.swcciowa.edu", "Southwestern Community College")</f>
        <v>Southwestern Community College</v>
      </c>
      <c r="B2036" s="18" t="s">
        <v>49</v>
      </c>
      <c r="C2036" s="18" t="s">
        <v>211</v>
      </c>
      <c r="D2036" s="18" t="s">
        <v>1701</v>
      </c>
      <c r="E2036" s="18" t="s">
        <v>36</v>
      </c>
      <c r="F2036" s="18" t="s">
        <v>36</v>
      </c>
      <c r="J2036" s="19"/>
      <c r="K2036" s="19">
        <v>0.44979999999999998</v>
      </c>
      <c r="L2036" s="19">
        <v>0.276872964</v>
      </c>
      <c r="M2036" s="19">
        <v>0.50209999999999999</v>
      </c>
      <c r="N2036" s="19">
        <v>0.26090000000000002</v>
      </c>
      <c r="O2036" s="19">
        <v>0.26090000000000002</v>
      </c>
      <c r="P2036" s="19">
        <v>0</v>
      </c>
      <c r="Q2036" s="19">
        <v>5.3380783000000001E-2</v>
      </c>
      <c r="R2036" s="20">
        <v>14936</v>
      </c>
      <c r="S2036" s="21" t="str">
        <f>HYPERLINK("https://www.swcciowa.edu/campus-services/financial-aid/npcalc", "$8618")</f>
        <v>$8618</v>
      </c>
      <c r="T2036" s="20">
        <v>11035</v>
      </c>
      <c r="U2036" s="20">
        <v>13673</v>
      </c>
      <c r="V2036" s="20">
        <v>1788</v>
      </c>
      <c r="W2036" s="20">
        <v>6830.181818181818</v>
      </c>
      <c r="Y2036" s="19">
        <v>0.30070000000000002</v>
      </c>
      <c r="Z2036" s="19">
        <v>0.20930000000000001</v>
      </c>
      <c r="AB2036" s="18">
        <v>879</v>
      </c>
      <c r="AC2036" s="18">
        <v>6</v>
      </c>
    </row>
    <row r="2037" spans="1:29" ht="15.75" customHeight="1" x14ac:dyDescent="0.2">
      <c r="A2037" s="36" t="str">
        <f>HYPERLINK("https://www.sipi.edu", "Southwestern Indian Polytechnic Institute")</f>
        <v>Southwestern Indian Polytechnic Institute</v>
      </c>
      <c r="B2037" s="18" t="s">
        <v>49</v>
      </c>
      <c r="C2037" s="18" t="s">
        <v>234</v>
      </c>
      <c r="D2037" s="18" t="s">
        <v>993</v>
      </c>
      <c r="E2037" s="18" t="s">
        <v>36</v>
      </c>
      <c r="F2037" s="18" t="s">
        <v>36</v>
      </c>
      <c r="J2037" s="19"/>
      <c r="K2037" s="19">
        <v>0.12820000000000001</v>
      </c>
      <c r="L2037" s="19" t="s">
        <v>36</v>
      </c>
      <c r="M2037" s="19" t="s">
        <v>36</v>
      </c>
      <c r="N2037" s="19" t="s">
        <v>36</v>
      </c>
      <c r="O2037" s="19" t="s">
        <v>36</v>
      </c>
      <c r="P2037" s="19" t="s">
        <v>36</v>
      </c>
      <c r="Q2037" s="19">
        <v>7.9872205000000002E-2</v>
      </c>
      <c r="R2037" s="20">
        <v>8295</v>
      </c>
      <c r="S2037" s="21" t="str">
        <f>HYPERLINK("https://www.sipi.edu/apps/pages/index.jsp?uREC_ID=828975&amp;type=d&amp;pREC_ID=1261968", "$4036")</f>
        <v>$4036</v>
      </c>
      <c r="T2037" s="20">
        <v>6493</v>
      </c>
      <c r="U2037" s="20" t="s">
        <v>36</v>
      </c>
      <c r="V2037" s="20">
        <v>6525</v>
      </c>
      <c r="W2037" s="20">
        <v>-2488.272727272727</v>
      </c>
      <c r="Y2037" s="19">
        <v>0.55310000000000004</v>
      </c>
      <c r="Z2037" s="19">
        <v>1</v>
      </c>
      <c r="AB2037" s="18">
        <v>360</v>
      </c>
      <c r="AC2037" s="18">
        <v>6</v>
      </c>
    </row>
    <row r="2038" spans="1:29" ht="15.75" customHeight="1" x14ac:dyDescent="0.2">
      <c r="A2038" s="36" t="str">
        <f>HYPERLINK("https://www.swmich.edu", "Southwestern Michigan College")</f>
        <v>Southwestern Michigan College</v>
      </c>
      <c r="B2038" s="18" t="s">
        <v>49</v>
      </c>
      <c r="C2038" s="18" t="s">
        <v>226</v>
      </c>
      <c r="D2038" s="18" t="s">
        <v>1702</v>
      </c>
      <c r="E2038" s="18" t="s">
        <v>36</v>
      </c>
      <c r="F2038" s="18" t="s">
        <v>36</v>
      </c>
      <c r="J2038" s="19"/>
      <c r="K2038" s="19">
        <v>0.2495</v>
      </c>
      <c r="L2038" s="19">
        <v>0.137355584</v>
      </c>
      <c r="M2038" s="19">
        <v>0.28460000000000002</v>
      </c>
      <c r="N2038" s="19">
        <v>5.0599999999999999E-2</v>
      </c>
      <c r="O2038" s="19">
        <v>0.30299999999999999</v>
      </c>
      <c r="P2038" s="19">
        <v>0.25</v>
      </c>
      <c r="Q2038" s="19">
        <v>4.8013245000000003E-2</v>
      </c>
      <c r="R2038" s="20">
        <v>19986</v>
      </c>
      <c r="S2038" s="21" t="str">
        <f>HYPERLINK("https://www.swmich.edu/smart/tuition-costs", "$13532")</f>
        <v>$13532</v>
      </c>
      <c r="T2038" s="20">
        <v>15933</v>
      </c>
      <c r="U2038" s="20">
        <v>18705</v>
      </c>
      <c r="V2038" s="20">
        <v>3511</v>
      </c>
      <c r="W2038" s="20">
        <v>10021.8679245283</v>
      </c>
      <c r="Y2038" s="19">
        <v>0.40720000000000001</v>
      </c>
      <c r="Z2038" s="19">
        <v>0.29820000000000002</v>
      </c>
      <c r="AB2038" s="18">
        <v>1767</v>
      </c>
      <c r="AC2038" s="18">
        <v>6</v>
      </c>
    </row>
    <row r="2039" spans="1:29" ht="15.75" customHeight="1" x14ac:dyDescent="0.2">
      <c r="A2039" s="36" t="str">
        <f>HYPERLINK("https://www.swosu.edu", "Southwestern Oklahoma State University")</f>
        <v>Southwestern Oklahoma State University</v>
      </c>
      <c r="B2039" s="18" t="s">
        <v>49</v>
      </c>
      <c r="C2039" s="18" t="s">
        <v>290</v>
      </c>
      <c r="D2039" s="18" t="s">
        <v>1186</v>
      </c>
      <c r="E2039" s="18">
        <v>1065</v>
      </c>
      <c r="F2039" s="18" t="s">
        <v>35</v>
      </c>
      <c r="J2039" s="19"/>
      <c r="K2039" s="19">
        <v>0.30769999999999997</v>
      </c>
      <c r="L2039" s="19">
        <v>0.27272727299999999</v>
      </c>
      <c r="M2039" s="19">
        <v>0.35709999999999997</v>
      </c>
      <c r="N2039" s="19">
        <v>0.22</v>
      </c>
      <c r="O2039" s="19">
        <v>0.21110000000000001</v>
      </c>
      <c r="P2039" s="19">
        <v>0.30430000000000001</v>
      </c>
      <c r="Q2039" s="19"/>
      <c r="R2039" s="20">
        <v>26833</v>
      </c>
      <c r="S2039" s="21" t="str">
        <f>HYPERLINK("https://www.swosu.edu/administration/sfs/npcalc/npcalc.asp", "$17213")</f>
        <v>$17213</v>
      </c>
      <c r="T2039" s="20">
        <v>19935</v>
      </c>
      <c r="U2039" s="20">
        <v>23058</v>
      </c>
      <c r="V2039" s="20">
        <v>7428</v>
      </c>
      <c r="W2039" s="20">
        <v>9785.675496688742</v>
      </c>
      <c r="Y2039" s="19">
        <v>0.3427</v>
      </c>
      <c r="Z2039" s="19">
        <v>0.38140000000000002</v>
      </c>
      <c r="AB2039" s="18">
        <v>4358</v>
      </c>
      <c r="AC2039" s="18">
        <v>4</v>
      </c>
    </row>
    <row r="2040" spans="1:29" ht="15.75" customHeight="1" x14ac:dyDescent="0.2">
      <c r="A2040" s="36" t="str">
        <f>HYPERLINK("https://www.socc.edu", "Southwestern Oregon Community College")</f>
        <v>Southwestern Oregon Community College</v>
      </c>
      <c r="B2040" s="18" t="s">
        <v>49</v>
      </c>
      <c r="C2040" s="18" t="s">
        <v>143</v>
      </c>
      <c r="D2040" s="18" t="s">
        <v>1703</v>
      </c>
      <c r="E2040" s="18" t="s">
        <v>36</v>
      </c>
      <c r="F2040" s="18" t="s">
        <v>36</v>
      </c>
      <c r="J2040" s="19"/>
      <c r="K2040" s="19">
        <v>0.40860000000000002</v>
      </c>
      <c r="L2040" s="19">
        <v>0.17266187099999999</v>
      </c>
      <c r="M2040" s="19">
        <v>0.4521</v>
      </c>
      <c r="N2040" s="19">
        <v>0.28570000000000001</v>
      </c>
      <c r="O2040" s="19">
        <v>0.32879999999999998</v>
      </c>
      <c r="P2040" s="19">
        <v>0.55559999999999998</v>
      </c>
      <c r="Q2040" s="19">
        <v>6.1764706000000003E-2</v>
      </c>
      <c r="R2040" s="20">
        <v>16810</v>
      </c>
      <c r="S2040" s="21" t="str">
        <f>HYPERLINK("https://www.socc.edu/financialaid", "$9632")</f>
        <v>$9632</v>
      </c>
      <c r="T2040" s="20">
        <v>12994</v>
      </c>
      <c r="U2040" s="20">
        <v>13904</v>
      </c>
      <c r="V2040" s="20">
        <v>3390</v>
      </c>
      <c r="W2040" s="20">
        <v>6242.7191011235946</v>
      </c>
      <c r="Y2040" s="19">
        <v>0.35189999999999999</v>
      </c>
      <c r="Z2040" s="19">
        <v>0.30270000000000002</v>
      </c>
      <c r="AB2040" s="18">
        <v>1655</v>
      </c>
      <c r="AC2040" s="18">
        <v>6</v>
      </c>
    </row>
    <row r="2041" spans="1:29" ht="15.75" customHeight="1" x14ac:dyDescent="0.2">
      <c r="A2041" s="36" t="str">
        <f>HYPERLINK("https://www.southwestern.edu", "Southwestern University")</f>
        <v>Southwestern University</v>
      </c>
      <c r="B2041" s="18" t="s">
        <v>32</v>
      </c>
      <c r="C2041" s="18" t="s">
        <v>146</v>
      </c>
      <c r="D2041" s="18" t="s">
        <v>481</v>
      </c>
      <c r="E2041" s="18">
        <v>1230</v>
      </c>
      <c r="F2041" s="18" t="s">
        <v>35</v>
      </c>
      <c r="J2041" s="19"/>
      <c r="K2041" s="19">
        <v>0.73839999999999995</v>
      </c>
      <c r="L2041" s="19">
        <v>0.609375</v>
      </c>
      <c r="M2041" s="19">
        <v>0.755</v>
      </c>
      <c r="N2041" s="19">
        <v>0.84619999999999995</v>
      </c>
      <c r="O2041" s="19">
        <v>0.69089999999999996</v>
      </c>
      <c r="P2041" s="19">
        <v>0.58819999999999995</v>
      </c>
      <c r="Q2041" s="19"/>
      <c r="R2041" s="20">
        <v>54330</v>
      </c>
      <c r="S2041" s="21" t="str">
        <f>HYPERLINK("https://www.southwestern.edu/scholarships-financial-aid/grants-loans/net-price-calculator/", "$19323")</f>
        <v>$19323</v>
      </c>
      <c r="T2041" s="20">
        <v>21124</v>
      </c>
      <c r="U2041" s="20">
        <v>25217</v>
      </c>
      <c r="V2041" s="20">
        <v>2600</v>
      </c>
      <c r="W2041" s="20">
        <v>16723</v>
      </c>
      <c r="Y2041" s="19">
        <v>0.25390000000000001</v>
      </c>
      <c r="Z2041" s="19">
        <v>0.39650000000000002</v>
      </c>
      <c r="AB2041" s="18">
        <v>1387</v>
      </c>
      <c r="AC2041" s="18">
        <v>3</v>
      </c>
    </row>
    <row r="2042" spans="1:29" ht="15.75" customHeight="1" x14ac:dyDescent="0.2">
      <c r="A2042" s="36" t="str">
        <f>HYPERLINK("https://danvilleregional.com/for-healthcare-professionals/radiologic-technology-program", "Danville Regional Medical Center School of Health Professions")</f>
        <v>Danville Regional Medical Center School of Health Professions</v>
      </c>
      <c r="B2042" s="18" t="s">
        <v>368</v>
      </c>
      <c r="C2042" s="18" t="s">
        <v>83</v>
      </c>
      <c r="D2042" s="18" t="s">
        <v>206</v>
      </c>
      <c r="E2042" s="18" t="s">
        <v>36</v>
      </c>
      <c r="F2042" s="18" t="s">
        <v>36</v>
      </c>
      <c r="J2042" s="19"/>
      <c r="K2042" s="19" t="s">
        <v>36</v>
      </c>
      <c r="L2042" s="19" t="s">
        <v>36</v>
      </c>
      <c r="M2042" s="19" t="s">
        <v>36</v>
      </c>
      <c r="N2042" s="19" t="s">
        <v>36</v>
      </c>
      <c r="O2042" s="19" t="s">
        <v>36</v>
      </c>
      <c r="P2042" s="19" t="s">
        <v>36</v>
      </c>
      <c r="Q2042" s="19" t="s">
        <v>36</v>
      </c>
      <c r="R2042" s="20" t="s">
        <v>36</v>
      </c>
      <c r="S2042" s="21" t="str">
        <f>HYPERLINK("https://danvilleregional.com", "Not reported")</f>
        <v>Not reported</v>
      </c>
      <c r="T2042" s="20" t="s">
        <v>36</v>
      </c>
      <c r="U2042" s="20" t="s">
        <v>36</v>
      </c>
      <c r="V2042" s="20" t="s">
        <v>36</v>
      </c>
      <c r="W2042" s="20" t="s">
        <v>36</v>
      </c>
      <c r="Y2042" s="19">
        <v>0.22220000000000001</v>
      </c>
      <c r="Z2042" s="19">
        <v>9.9999999999999978E-2</v>
      </c>
      <c r="AB2042" s="18">
        <v>20</v>
      </c>
      <c r="AC2042" s="18">
        <v>6</v>
      </c>
    </row>
    <row r="2043" spans="1:29" ht="15.75" customHeight="1" x14ac:dyDescent="0.2">
      <c r="A2043" s="36" t="str">
        <f>HYPERLINK("https://www.spalding.edu", "Spalding University")</f>
        <v>Spalding University</v>
      </c>
      <c r="B2043" s="18" t="s">
        <v>32</v>
      </c>
      <c r="C2043" s="18" t="s">
        <v>205</v>
      </c>
      <c r="D2043" s="18" t="s">
        <v>306</v>
      </c>
      <c r="E2043" s="18">
        <v>1046</v>
      </c>
      <c r="F2043" s="18" t="s">
        <v>35</v>
      </c>
      <c r="J2043" s="19"/>
      <c r="K2043" s="19">
        <v>0.44679999999999997</v>
      </c>
      <c r="L2043" s="19">
        <v>0.362318841</v>
      </c>
      <c r="M2043" s="19">
        <v>0.53159999999999996</v>
      </c>
      <c r="N2043" s="19">
        <v>0.25</v>
      </c>
      <c r="O2043" s="19">
        <v>0.42859999999999998</v>
      </c>
      <c r="P2043" s="19">
        <v>0.25</v>
      </c>
      <c r="Q2043" s="19"/>
      <c r="R2043" s="20">
        <v>36778</v>
      </c>
      <c r="S2043" s="21" t="str">
        <f>HYPERLINK("https://spalding.studentaidcalculator.com/survey.aspx", "$19901")</f>
        <v>$19901</v>
      </c>
      <c r="T2043" s="20">
        <v>21197</v>
      </c>
      <c r="U2043" s="20">
        <v>23844</v>
      </c>
      <c r="V2043" s="20">
        <v>4878</v>
      </c>
      <c r="W2043" s="20">
        <v>15023</v>
      </c>
      <c r="Y2043" s="19">
        <v>0.39510000000000001</v>
      </c>
      <c r="Z2043" s="19">
        <v>0.32500000000000001</v>
      </c>
      <c r="AB2043" s="18">
        <v>1080</v>
      </c>
      <c r="AC2043" s="18">
        <v>4</v>
      </c>
    </row>
    <row r="2044" spans="1:29" ht="15.75" customHeight="1" x14ac:dyDescent="0.2">
      <c r="A2044" s="36" t="str">
        <f>HYPERLINK("https://www.spartan.edu", "Redstone College")</f>
        <v>Redstone College</v>
      </c>
      <c r="B2044" s="18" t="s">
        <v>368</v>
      </c>
      <c r="C2044" s="18" t="s">
        <v>87</v>
      </c>
      <c r="D2044" s="18" t="s">
        <v>1704</v>
      </c>
      <c r="E2044" s="18" t="s">
        <v>36</v>
      </c>
      <c r="F2044" s="18" t="s">
        <v>36</v>
      </c>
      <c r="J2044" s="19"/>
      <c r="K2044" s="19">
        <v>0.3246</v>
      </c>
      <c r="L2044" s="19">
        <v>0.57492354700000003</v>
      </c>
      <c r="M2044" s="19">
        <v>0.36270000000000002</v>
      </c>
      <c r="N2044" s="19">
        <v>0.2903</v>
      </c>
      <c r="O2044" s="19">
        <v>0.2414</v>
      </c>
      <c r="P2044" s="19">
        <v>0.33329999999999999</v>
      </c>
      <c r="Q2044" s="19" t="s">
        <v>36</v>
      </c>
      <c r="R2044" s="20">
        <v>28378</v>
      </c>
      <c r="S2044" s="21" t="str">
        <f>HYPERLINK("https://www.spartan.edu", "$22581")</f>
        <v>$22581</v>
      </c>
      <c r="T2044" s="20">
        <v>24576</v>
      </c>
      <c r="U2044" s="20">
        <v>26026</v>
      </c>
      <c r="V2044" s="20">
        <v>5579</v>
      </c>
      <c r="W2044" s="20">
        <v>17002</v>
      </c>
      <c r="Y2044" s="19">
        <v>0.11799999999999999</v>
      </c>
      <c r="Z2044" s="19">
        <v>0.32290000000000002</v>
      </c>
      <c r="AB2044" s="18">
        <v>319</v>
      </c>
      <c r="AC2044" s="18">
        <v>6</v>
      </c>
    </row>
    <row r="2045" spans="1:29" ht="15.75" customHeight="1" x14ac:dyDescent="0.2">
      <c r="A2045" s="36" t="str">
        <f>HYPERLINK("https://www.sccsc.edu", "Spartanburg Community College")</f>
        <v>Spartanburg Community College</v>
      </c>
      <c r="B2045" s="18" t="s">
        <v>49</v>
      </c>
      <c r="C2045" s="18" t="s">
        <v>208</v>
      </c>
      <c r="D2045" s="18" t="s">
        <v>542</v>
      </c>
      <c r="E2045" s="18" t="s">
        <v>36</v>
      </c>
      <c r="F2045" s="18" t="s">
        <v>36</v>
      </c>
      <c r="J2045" s="19"/>
      <c r="K2045" s="19">
        <v>0.17530000000000001</v>
      </c>
      <c r="L2045" s="19">
        <v>0.16367018</v>
      </c>
      <c r="M2045" s="19">
        <v>0.21310000000000001</v>
      </c>
      <c r="N2045" s="19">
        <v>7.0199999999999999E-2</v>
      </c>
      <c r="O2045" s="19">
        <v>0.1905</v>
      </c>
      <c r="P2045" s="19">
        <v>0.125</v>
      </c>
      <c r="Q2045" s="19">
        <v>6.9421488000000003E-2</v>
      </c>
      <c r="R2045" s="20">
        <v>24822</v>
      </c>
      <c r="S2045" s="21" t="str">
        <f>HYPERLINK("https://www.sccsc.edu/NPC", "$13607")</f>
        <v>$13607</v>
      </c>
      <c r="T2045" s="20">
        <v>15599</v>
      </c>
      <c r="U2045" s="20">
        <v>17845</v>
      </c>
      <c r="V2045" s="20">
        <v>4639</v>
      </c>
      <c r="W2045" s="20">
        <v>8968.7212643678158</v>
      </c>
      <c r="Y2045" s="19">
        <v>0.48609999999999998</v>
      </c>
      <c r="Z2045" s="19">
        <v>0.39140000000000003</v>
      </c>
      <c r="AB2045" s="18">
        <v>3697</v>
      </c>
      <c r="AC2045" s="18">
        <v>6</v>
      </c>
    </row>
    <row r="2046" spans="1:29" ht="15.75" customHeight="1" x14ac:dyDescent="0.2">
      <c r="A2046" s="36" t="str">
        <f>HYPERLINK("https://www.smcsc.edu/", "Spartanburg Methodist College")</f>
        <v>Spartanburg Methodist College</v>
      </c>
      <c r="B2046" s="18" t="s">
        <v>32</v>
      </c>
      <c r="C2046" s="18" t="s">
        <v>208</v>
      </c>
      <c r="D2046" s="18" t="s">
        <v>542</v>
      </c>
      <c r="E2046" s="18">
        <v>919</v>
      </c>
      <c r="F2046" s="18" t="s">
        <v>35</v>
      </c>
      <c r="J2046" s="19"/>
      <c r="K2046" s="19">
        <v>0.4803</v>
      </c>
      <c r="L2046" s="19">
        <v>0.26993865</v>
      </c>
      <c r="M2046" s="19">
        <v>0.4894</v>
      </c>
      <c r="N2046" s="19">
        <v>0.4662</v>
      </c>
      <c r="O2046" s="19">
        <v>0.53569999999999995</v>
      </c>
      <c r="P2046" s="19">
        <v>0.5</v>
      </c>
      <c r="Q2046" s="19">
        <v>0.120481928</v>
      </c>
      <c r="R2046" s="20">
        <v>29440</v>
      </c>
      <c r="S2046" s="21" t="str">
        <f>HYPERLINK("https://www.smcsc.edu/net-price-calc/", "$12480")</f>
        <v>$12480</v>
      </c>
      <c r="T2046" s="20">
        <v>14031</v>
      </c>
      <c r="U2046" s="20">
        <v>13136</v>
      </c>
      <c r="V2046" s="20">
        <v>3480</v>
      </c>
      <c r="W2046" s="20">
        <v>9000</v>
      </c>
      <c r="Y2046" s="19">
        <v>0.55569999999999997</v>
      </c>
      <c r="Z2046" s="19">
        <v>0.50890000000000002</v>
      </c>
      <c r="AB2046" s="18">
        <v>790</v>
      </c>
      <c r="AC2046" s="18">
        <v>6</v>
      </c>
    </row>
    <row r="2047" spans="1:29" ht="15.75" customHeight="1" x14ac:dyDescent="0.2">
      <c r="A2047" s="36" t="str">
        <f>HYPERLINK("https://www.spelman.edu", "Spelman College")</f>
        <v>Spelman College</v>
      </c>
      <c r="B2047" s="18" t="s">
        <v>32</v>
      </c>
      <c r="C2047" s="18" t="s">
        <v>107</v>
      </c>
      <c r="D2047" s="18" t="s">
        <v>108</v>
      </c>
      <c r="E2047" s="18">
        <v>1163</v>
      </c>
      <c r="F2047" s="18" t="s">
        <v>35</v>
      </c>
      <c r="J2047" s="19"/>
      <c r="K2047" s="19">
        <v>0.7429</v>
      </c>
      <c r="L2047" s="19">
        <v>0.65048543700000006</v>
      </c>
      <c r="M2047" s="19" t="s">
        <v>36</v>
      </c>
      <c r="N2047" s="19">
        <v>0.74270000000000003</v>
      </c>
      <c r="O2047" s="19">
        <v>0</v>
      </c>
      <c r="P2047" s="19">
        <v>1</v>
      </c>
      <c r="Q2047" s="19"/>
      <c r="R2047" s="20">
        <v>51642</v>
      </c>
      <c r="S2047" s="21" t="str">
        <f>HYPERLINK("https://spelman.studentaidcalculator.com/welcome.aspx", "$33062")</f>
        <v>$33062</v>
      </c>
      <c r="T2047" s="20">
        <v>35708</v>
      </c>
      <c r="U2047" s="20">
        <v>41213</v>
      </c>
      <c r="V2047" s="20">
        <v>10000</v>
      </c>
      <c r="W2047" s="20">
        <v>23062</v>
      </c>
      <c r="Y2047" s="19">
        <v>0.48559999999999998</v>
      </c>
      <c r="Z2047" s="19">
        <v>0.99909999999999999</v>
      </c>
      <c r="AB2047" s="18">
        <v>2134</v>
      </c>
      <c r="AC2047" s="18">
        <v>3</v>
      </c>
    </row>
    <row r="2048" spans="1:29" ht="15.75" customHeight="1" x14ac:dyDescent="0.2">
      <c r="A2048" s="36" t="str">
        <f>HYPERLINK("https://scc.spokane.edu", "Spokane Community College")</f>
        <v>Spokane Community College</v>
      </c>
      <c r="B2048" s="18" t="s">
        <v>49</v>
      </c>
      <c r="C2048" s="18" t="s">
        <v>184</v>
      </c>
      <c r="D2048" s="18" t="s">
        <v>222</v>
      </c>
      <c r="E2048" s="18" t="s">
        <v>36</v>
      </c>
      <c r="F2048" s="18" t="s">
        <v>36</v>
      </c>
      <c r="J2048" s="19"/>
      <c r="K2048" s="19">
        <v>0.2616</v>
      </c>
      <c r="L2048" s="19">
        <v>0.19857524500000001</v>
      </c>
      <c r="M2048" s="19">
        <v>0.27679999999999999</v>
      </c>
      <c r="N2048" s="19">
        <v>9.0899999999999995E-2</v>
      </c>
      <c r="O2048" s="19">
        <v>0.24390000000000001</v>
      </c>
      <c r="P2048" s="19">
        <v>0.71430000000000005</v>
      </c>
      <c r="Q2048" s="19">
        <v>4.8836447000000012E-2</v>
      </c>
      <c r="R2048" s="20">
        <v>23132</v>
      </c>
      <c r="S2048" s="21" t="str">
        <f>HYPERLINK("https://scc.spokane.edu/How-to-Pay-for-College/How-Much-Does-it-Cost", "$16116")</f>
        <v>$16116</v>
      </c>
      <c r="T2048" s="20">
        <v>19415</v>
      </c>
      <c r="U2048" s="20">
        <v>22813</v>
      </c>
      <c r="V2048" s="20">
        <v>4539</v>
      </c>
      <c r="W2048" s="20">
        <v>11577.6256684492</v>
      </c>
      <c r="Y2048" s="19">
        <v>0.26</v>
      </c>
      <c r="Z2048" s="19">
        <v>0.32550000000000001</v>
      </c>
      <c r="AB2048" s="18">
        <v>5250</v>
      </c>
      <c r="AC2048" s="18">
        <v>6</v>
      </c>
    </row>
    <row r="2049" spans="1:29" ht="15.75" customHeight="1" x14ac:dyDescent="0.2">
      <c r="A2049" s="36" t="str">
        <f>HYPERLINK("https://sfcc.spokane.edu/", "Spokane Falls Community College")</f>
        <v>Spokane Falls Community College</v>
      </c>
      <c r="B2049" s="18" t="s">
        <v>49</v>
      </c>
      <c r="C2049" s="18" t="s">
        <v>184</v>
      </c>
      <c r="D2049" s="18" t="s">
        <v>222</v>
      </c>
      <c r="E2049" s="18" t="s">
        <v>36</v>
      </c>
      <c r="F2049" s="18" t="s">
        <v>36</v>
      </c>
      <c r="J2049" s="19"/>
      <c r="K2049" s="19">
        <v>0.22170000000000001</v>
      </c>
      <c r="L2049" s="19">
        <v>0.15885111399999999</v>
      </c>
      <c r="M2049" s="19">
        <v>0.2336</v>
      </c>
      <c r="N2049" s="19">
        <v>0.1429</v>
      </c>
      <c r="O2049" s="19">
        <v>0.1094</v>
      </c>
      <c r="P2049" s="19">
        <v>0.1111</v>
      </c>
      <c r="Q2049" s="19">
        <v>0.1</v>
      </c>
      <c r="R2049" s="20">
        <v>23133</v>
      </c>
      <c r="S2049" s="21" t="str">
        <f>HYPERLINK("https://sfcc.spokane.edu/How-to-Pay-for-College/How-Much-Does-it-Cost", "$15795")</f>
        <v>$15795</v>
      </c>
      <c r="T2049" s="20">
        <v>20482</v>
      </c>
      <c r="U2049" s="20">
        <v>22719</v>
      </c>
      <c r="V2049" s="20">
        <v>4540</v>
      </c>
      <c r="W2049" s="20">
        <v>11255.15217391304</v>
      </c>
      <c r="Y2049" s="19">
        <v>0.34920000000000001</v>
      </c>
      <c r="Z2049" s="19">
        <v>0.3679</v>
      </c>
      <c r="AB2049" s="18">
        <v>5444</v>
      </c>
      <c r="AC2049" s="18">
        <v>6</v>
      </c>
    </row>
    <row r="2050" spans="1:29" ht="15.75" customHeight="1" x14ac:dyDescent="0.2">
      <c r="A2050" s="36" t="str">
        <f>HYPERLINK("https://www.arbor.edu", "Spring Arbor University")</f>
        <v>Spring Arbor University</v>
      </c>
      <c r="B2050" s="18" t="s">
        <v>32</v>
      </c>
      <c r="C2050" s="18" t="s">
        <v>226</v>
      </c>
      <c r="D2050" s="18" t="s">
        <v>1188</v>
      </c>
      <c r="E2050" s="18">
        <v>1118</v>
      </c>
      <c r="F2050" s="18" t="s">
        <v>35</v>
      </c>
      <c r="J2050" s="19"/>
      <c r="K2050" s="19">
        <v>0.59350000000000003</v>
      </c>
      <c r="L2050" s="19">
        <v>0.29729729700000002</v>
      </c>
      <c r="M2050" s="19">
        <v>0.62909999999999999</v>
      </c>
      <c r="N2050" s="19">
        <v>0.31030000000000002</v>
      </c>
      <c r="O2050" s="19">
        <v>0.41670000000000001</v>
      </c>
      <c r="P2050" s="19">
        <v>0.33329999999999999</v>
      </c>
      <c r="Q2050" s="19"/>
      <c r="R2050" s="20">
        <v>39970</v>
      </c>
      <c r="S2050" s="21" t="str">
        <f>HYPERLINK("https://www.arbor.edu/admissions/financial-aid/undergrad-finaid/netprice/", "$16840")</f>
        <v>$16840</v>
      </c>
      <c r="T2050" s="20">
        <v>16882</v>
      </c>
      <c r="U2050" s="20">
        <v>18422</v>
      </c>
      <c r="V2050" s="20">
        <v>2580</v>
      </c>
      <c r="W2050" s="20">
        <v>14260</v>
      </c>
      <c r="Y2050" s="19">
        <v>0.40899999999999997</v>
      </c>
      <c r="Z2050" s="19">
        <v>0.24410000000000001</v>
      </c>
      <c r="AB2050" s="18">
        <v>1835</v>
      </c>
      <c r="AC2050" s="18">
        <v>4</v>
      </c>
    </row>
    <row r="2051" spans="1:29" ht="15.75" customHeight="1" x14ac:dyDescent="0.2">
      <c r="A2051" s="36" t="str">
        <f>HYPERLINK("https://www.shc.edu", "Spring Hill College")</f>
        <v>Spring Hill College</v>
      </c>
      <c r="B2051" s="18" t="s">
        <v>32</v>
      </c>
      <c r="C2051" s="18" t="s">
        <v>300</v>
      </c>
      <c r="D2051" s="18" t="s">
        <v>1190</v>
      </c>
      <c r="E2051" s="18">
        <v>1156</v>
      </c>
      <c r="F2051" s="18" t="s">
        <v>35</v>
      </c>
      <c r="J2051" s="19"/>
      <c r="K2051" s="19">
        <v>0.52539999999999998</v>
      </c>
      <c r="L2051" s="19">
        <v>0.30630630599999997</v>
      </c>
      <c r="M2051" s="19">
        <v>0.57269999999999999</v>
      </c>
      <c r="N2051" s="19">
        <v>0.33329999999999999</v>
      </c>
      <c r="O2051" s="19">
        <v>0.4</v>
      </c>
      <c r="P2051" s="19">
        <v>0.25</v>
      </c>
      <c r="Q2051" s="19"/>
      <c r="R2051" s="20">
        <v>55168</v>
      </c>
      <c r="S2051" s="21" t="str">
        <f>HYPERLINK("https://shc.studentaidcalculator.com/survey.aspx", "$17800")</f>
        <v>$17800</v>
      </c>
      <c r="T2051" s="20">
        <v>20486</v>
      </c>
      <c r="U2051" s="20">
        <v>21462</v>
      </c>
      <c r="V2051" s="20">
        <v>4514</v>
      </c>
      <c r="W2051" s="20">
        <v>13286</v>
      </c>
      <c r="Y2051" s="19">
        <v>0.29980000000000001</v>
      </c>
      <c r="Z2051" s="19">
        <v>0.32</v>
      </c>
      <c r="AB2051" s="18">
        <v>1375</v>
      </c>
      <c r="AC2051" s="18">
        <v>4</v>
      </c>
    </row>
    <row r="2052" spans="1:29" ht="15.75" customHeight="1" x14ac:dyDescent="0.2">
      <c r="A2052" s="36" t="str">
        <f>HYPERLINK("https://www.springfield.edu/", "Springfield College-School of Professional and Continuing Studies")</f>
        <v>Springfield College-School of Professional and Continuing Studies</v>
      </c>
      <c r="B2052" s="18" t="s">
        <v>32</v>
      </c>
      <c r="C2052" s="18" t="s">
        <v>33</v>
      </c>
      <c r="D2052" s="18" t="s">
        <v>349</v>
      </c>
      <c r="E2052" s="18">
        <v>1148</v>
      </c>
      <c r="F2052" s="18" t="s">
        <v>35</v>
      </c>
      <c r="J2052" s="19"/>
      <c r="K2052" s="19">
        <v>0.74050000000000005</v>
      </c>
      <c r="L2052" s="19">
        <v>0.50091074700000005</v>
      </c>
      <c r="M2052" s="19">
        <v>0.75460000000000005</v>
      </c>
      <c r="N2052" s="19">
        <v>0.5</v>
      </c>
      <c r="O2052" s="19">
        <v>0.54169999999999996</v>
      </c>
      <c r="P2052" s="19">
        <v>0.85709999999999997</v>
      </c>
      <c r="Q2052" s="19"/>
      <c r="R2052" s="20">
        <v>52775</v>
      </c>
      <c r="S2052" s="21" t="str">
        <f>HYPERLINK("https://springfield.edu/admissions/undergraduate-admissions/net-price-calculator", "$20515")</f>
        <v>$20515</v>
      </c>
      <c r="T2052" s="20">
        <v>22484</v>
      </c>
      <c r="U2052" s="20">
        <v>27330</v>
      </c>
      <c r="V2052" s="20">
        <v>4000</v>
      </c>
      <c r="W2052" s="20">
        <v>16515</v>
      </c>
      <c r="Y2052" s="19">
        <v>0.2326</v>
      </c>
      <c r="Z2052" s="19">
        <v>0.24139999999999989</v>
      </c>
      <c r="AB2052" s="18">
        <v>2204</v>
      </c>
      <c r="AC2052" s="18">
        <v>4</v>
      </c>
    </row>
    <row r="2053" spans="1:29" ht="15.75" customHeight="1" x14ac:dyDescent="0.2">
      <c r="A2053" s="36" t="str">
        <f>HYPERLINK("https://www.stcc.edu", "Springfield Technical Community College")</f>
        <v>Springfield Technical Community College</v>
      </c>
      <c r="B2053" s="18" t="s">
        <v>49</v>
      </c>
      <c r="C2053" s="18" t="s">
        <v>33</v>
      </c>
      <c r="D2053" s="18" t="s">
        <v>349</v>
      </c>
      <c r="E2053" s="18" t="s">
        <v>36</v>
      </c>
      <c r="F2053" s="18" t="s">
        <v>36</v>
      </c>
      <c r="J2053" s="19"/>
      <c r="K2053" s="19">
        <v>0.21049999999999999</v>
      </c>
      <c r="L2053" s="19">
        <v>0.21816930500000001</v>
      </c>
      <c r="M2053" s="19">
        <v>0.29149999999999998</v>
      </c>
      <c r="N2053" s="19">
        <v>0.1852</v>
      </c>
      <c r="O2053" s="19">
        <v>0.1037</v>
      </c>
      <c r="P2053" s="19">
        <v>0.25</v>
      </c>
      <c r="Q2053" s="19">
        <v>4.8678720000000002E-2</v>
      </c>
      <c r="R2053" s="20">
        <v>28590</v>
      </c>
      <c r="S2053" s="21" t="str">
        <f>HYPERLINK("https://www.aidcalc.com/stcc", "$23167")</f>
        <v>$23167</v>
      </c>
      <c r="T2053" s="20">
        <v>25438</v>
      </c>
      <c r="U2053" s="20">
        <v>27510</v>
      </c>
      <c r="V2053" s="20">
        <v>4944</v>
      </c>
      <c r="W2053" s="20">
        <v>18223.79093198993</v>
      </c>
      <c r="Y2053" s="19">
        <v>0.51900000000000002</v>
      </c>
      <c r="Z2053" s="19">
        <v>0.57600000000000007</v>
      </c>
      <c r="AB2053" s="18">
        <v>4837</v>
      </c>
      <c r="AC2053" s="18">
        <v>6</v>
      </c>
    </row>
    <row r="2054" spans="1:29" ht="15.75" customHeight="1" x14ac:dyDescent="0.2">
      <c r="A2054" s="36" t="str">
        <f>HYPERLINK("https://www.sbu.edu", "St Bonaventure University")</f>
        <v>St Bonaventure University</v>
      </c>
      <c r="B2054" s="18" t="s">
        <v>32</v>
      </c>
      <c r="C2054" s="18" t="s">
        <v>38</v>
      </c>
      <c r="D2054" s="18" t="s">
        <v>1194</v>
      </c>
      <c r="E2054" s="18">
        <v>1140</v>
      </c>
      <c r="F2054" s="18" t="s">
        <v>35</v>
      </c>
      <c r="G2054" s="18" t="s">
        <v>40</v>
      </c>
      <c r="H2054" s="18" t="s">
        <v>1195</v>
      </c>
      <c r="I2054" s="18" t="s">
        <v>1196</v>
      </c>
      <c r="J2054" s="19"/>
      <c r="K2054" s="19">
        <v>0.68710000000000004</v>
      </c>
      <c r="L2054" s="19">
        <v>0.48333333299999998</v>
      </c>
      <c r="M2054" s="19">
        <v>0.69279999999999997</v>
      </c>
      <c r="N2054" s="19">
        <v>0.66669999999999996</v>
      </c>
      <c r="O2054" s="19">
        <v>0.70369999999999999</v>
      </c>
      <c r="P2054" s="19">
        <v>0.76470000000000005</v>
      </c>
      <c r="Q2054" s="19"/>
      <c r="R2054" s="20">
        <v>47338</v>
      </c>
      <c r="S2054" s="21" t="str">
        <f>HYPERLINK("https://tcc.noellevitz.com/(S(i1lu3xtv5xcph4gzzc3qf5ro))/St-Bonaventure-University/FreshmanStudents", "$23168")</f>
        <v>$23168</v>
      </c>
      <c r="T2054" s="20">
        <v>25657</v>
      </c>
      <c r="U2054" s="20">
        <v>27428</v>
      </c>
      <c r="V2054" s="20">
        <v>2200</v>
      </c>
      <c r="W2054" s="20">
        <v>20968</v>
      </c>
      <c r="Y2054" s="19">
        <v>0.26450000000000001</v>
      </c>
      <c r="Z2054" s="19">
        <v>0.30149999999999999</v>
      </c>
      <c r="AB2054" s="18">
        <v>1592</v>
      </c>
      <c r="AC2054" s="18">
        <v>4</v>
      </c>
    </row>
    <row r="2055" spans="1:29" ht="15.75" customHeight="1" x14ac:dyDescent="0.2">
      <c r="A2055" s="36" t="str">
        <f>HYPERLINK("https://www.stkate.edu", "St Catherine University")</f>
        <v>St Catherine University</v>
      </c>
      <c r="B2055" s="18" t="s">
        <v>32</v>
      </c>
      <c r="C2055" s="18" t="s">
        <v>72</v>
      </c>
      <c r="D2055" s="18" t="s">
        <v>131</v>
      </c>
      <c r="E2055" s="18">
        <v>1146</v>
      </c>
      <c r="F2055" s="18" t="s">
        <v>35</v>
      </c>
      <c r="J2055" s="19"/>
      <c r="K2055" s="19">
        <v>0.53049999999999997</v>
      </c>
      <c r="L2055" s="19">
        <v>0.47772277200000002</v>
      </c>
      <c r="M2055" s="19">
        <v>0.63600000000000001</v>
      </c>
      <c r="N2055" s="19">
        <v>0.38979999999999998</v>
      </c>
      <c r="O2055" s="19">
        <v>0.31819999999999998</v>
      </c>
      <c r="P2055" s="19">
        <v>0.46970000000000001</v>
      </c>
      <c r="Q2055" s="19"/>
      <c r="R2055" s="20">
        <v>50716</v>
      </c>
      <c r="S2055" s="21" t="str">
        <f>HYPERLINK("https://www.stkate.edu/admissions/financial-aid-and-tuition/net-price-calculator", "$16628")</f>
        <v>$16628</v>
      </c>
      <c r="T2055" s="20">
        <v>19311</v>
      </c>
      <c r="U2055" s="20">
        <v>24079</v>
      </c>
      <c r="V2055" s="20">
        <v>3350</v>
      </c>
      <c r="W2055" s="20">
        <v>13278</v>
      </c>
      <c r="Y2055" s="19">
        <v>0.38700000000000001</v>
      </c>
      <c r="Z2055" s="19">
        <v>0.38450000000000001</v>
      </c>
      <c r="AB2055" s="18">
        <v>3100</v>
      </c>
      <c r="AC2055" s="18">
        <v>4</v>
      </c>
    </row>
    <row r="2056" spans="1:29" ht="15.75" customHeight="1" x14ac:dyDescent="0.2">
      <c r="A2056" s="36" t="str">
        <f>HYPERLINK("https://www.stchas.edu", "St Charles Community College")</f>
        <v>St Charles Community College</v>
      </c>
      <c r="B2056" s="18" t="s">
        <v>49</v>
      </c>
      <c r="C2056" s="18" t="s">
        <v>164</v>
      </c>
      <c r="D2056" s="18" t="s">
        <v>1705</v>
      </c>
      <c r="E2056" s="18" t="s">
        <v>36</v>
      </c>
      <c r="F2056" s="18" t="s">
        <v>36</v>
      </c>
      <c r="J2056" s="19"/>
      <c r="K2056" s="19">
        <v>0.18729999999999999</v>
      </c>
      <c r="L2056" s="19">
        <v>0.114849188</v>
      </c>
      <c r="M2056" s="19">
        <v>0.1953</v>
      </c>
      <c r="N2056" s="19">
        <v>0.127</v>
      </c>
      <c r="O2056" s="19">
        <v>0.20830000000000001</v>
      </c>
      <c r="P2056" s="19">
        <v>0.25</v>
      </c>
      <c r="Q2056" s="19">
        <v>0.16227544899999999</v>
      </c>
      <c r="R2056" s="20">
        <v>18676</v>
      </c>
      <c r="S2056" s="21" t="str">
        <f>HYPERLINK("https://www.stchas.edu/admissions/financial-aid/net-price-calculator", "$13581")</f>
        <v>$13581</v>
      </c>
      <c r="T2056" s="20">
        <v>16047</v>
      </c>
      <c r="U2056" s="20">
        <v>17448</v>
      </c>
      <c r="V2056" s="20">
        <v>4300</v>
      </c>
      <c r="W2056" s="20">
        <v>9281.1428571428569</v>
      </c>
      <c r="Y2056" s="19">
        <v>0.21029999999999999</v>
      </c>
      <c r="Z2056" s="19">
        <v>0.22309999999999999</v>
      </c>
      <c r="AB2056" s="18">
        <v>5983</v>
      </c>
      <c r="AC2056" s="18">
        <v>6</v>
      </c>
    </row>
    <row r="2057" spans="1:29" ht="15.75" customHeight="1" x14ac:dyDescent="0.2">
      <c r="A2057" s="36" t="str">
        <f>HYPERLINK("https://www.sc4.edu", "St Clair County Community College")</f>
        <v>St Clair County Community College</v>
      </c>
      <c r="B2057" s="18" t="s">
        <v>49</v>
      </c>
      <c r="C2057" s="18" t="s">
        <v>226</v>
      </c>
      <c r="D2057" s="18" t="s">
        <v>637</v>
      </c>
      <c r="E2057" s="18" t="s">
        <v>36</v>
      </c>
      <c r="F2057" s="18" t="s">
        <v>36</v>
      </c>
      <c r="J2057" s="19"/>
      <c r="K2057" s="19">
        <v>0.2213</v>
      </c>
      <c r="L2057" s="19">
        <v>0.19852941199999999</v>
      </c>
      <c r="M2057" s="19">
        <v>0.2331</v>
      </c>
      <c r="N2057" s="19">
        <v>0</v>
      </c>
      <c r="O2057" s="19">
        <v>7.6899999999999996E-2</v>
      </c>
      <c r="P2057" s="19" t="s">
        <v>36</v>
      </c>
      <c r="Q2057" s="19">
        <v>8.0452919999999997E-2</v>
      </c>
      <c r="R2057" s="20">
        <v>19876</v>
      </c>
      <c r="S2057" s="21" t="str">
        <f>HYPERLINK("https://www.sc4.edu/Assets/NetPrice/npcalc.htm", "$13191")</f>
        <v>$13191</v>
      </c>
      <c r="T2057" s="20">
        <v>16764</v>
      </c>
      <c r="U2057" s="20">
        <v>19543</v>
      </c>
      <c r="V2057" s="20">
        <v>3235</v>
      </c>
      <c r="W2057" s="20">
        <v>9956.7999999999993</v>
      </c>
      <c r="Y2057" s="19">
        <v>0.28170000000000001</v>
      </c>
      <c r="Z2057" s="19">
        <v>0.28589999999999999</v>
      </c>
      <c r="AB2057" s="18">
        <v>2525</v>
      </c>
      <c r="AC2057" s="18">
        <v>6</v>
      </c>
    </row>
    <row r="2058" spans="1:29" ht="15.75" customHeight="1" x14ac:dyDescent="0.2">
      <c r="A2058" s="36" t="str">
        <f>HYPERLINK("https://www.sctcc.edu", "St Cloud Technical and Community College")</f>
        <v>St Cloud Technical and Community College</v>
      </c>
      <c r="B2058" s="18" t="s">
        <v>49</v>
      </c>
      <c r="C2058" s="18" t="s">
        <v>72</v>
      </c>
      <c r="D2058" s="18" t="s">
        <v>1129</v>
      </c>
      <c r="E2058" s="18" t="s">
        <v>36</v>
      </c>
      <c r="F2058" s="18" t="s">
        <v>36</v>
      </c>
      <c r="J2058" s="19"/>
      <c r="K2058" s="19">
        <v>0.32840000000000003</v>
      </c>
      <c r="L2058" s="19">
        <v>0.277481323</v>
      </c>
      <c r="M2058" s="19">
        <v>0.36020000000000002</v>
      </c>
      <c r="N2058" s="19">
        <v>2.86E-2</v>
      </c>
      <c r="O2058" s="19">
        <v>0.33329999999999999</v>
      </c>
      <c r="P2058" s="19">
        <v>0</v>
      </c>
      <c r="Q2058" s="19">
        <v>6.3492064000000001E-2</v>
      </c>
      <c r="R2058" s="20">
        <v>15971</v>
      </c>
      <c r="S2058" s="21" t="str">
        <f>HYPERLINK("https://www.sctcc.edu/calculator", "$10633")</f>
        <v>$10633</v>
      </c>
      <c r="T2058" s="20">
        <v>12475</v>
      </c>
      <c r="U2058" s="20">
        <v>14228</v>
      </c>
      <c r="V2058" s="20">
        <v>3600</v>
      </c>
      <c r="W2058" s="20">
        <v>7033.7016574585632</v>
      </c>
      <c r="Y2058" s="19">
        <v>0.41020000000000001</v>
      </c>
      <c r="Z2058" s="19">
        <v>0.25840000000000002</v>
      </c>
      <c r="AB2058" s="18">
        <v>3765</v>
      </c>
      <c r="AC2058" s="18">
        <v>6</v>
      </c>
    </row>
    <row r="2059" spans="1:29" ht="15.75" customHeight="1" x14ac:dyDescent="0.2">
      <c r="A2059" s="36" t="str">
        <f>HYPERLINK("https://www.sfc.edu", "St Francis College")</f>
        <v>St Francis College</v>
      </c>
      <c r="B2059" s="18" t="s">
        <v>32</v>
      </c>
      <c r="C2059" s="18" t="s">
        <v>38</v>
      </c>
      <c r="D2059" s="18" t="s">
        <v>847</v>
      </c>
      <c r="E2059" s="18">
        <v>1043</v>
      </c>
      <c r="F2059" s="18" t="s">
        <v>35</v>
      </c>
      <c r="G2059" s="18" t="s">
        <v>40</v>
      </c>
      <c r="H2059" s="18" t="s">
        <v>848</v>
      </c>
      <c r="I2059" s="18" t="s">
        <v>849</v>
      </c>
      <c r="J2059" s="19"/>
      <c r="K2059" s="19">
        <v>0.47139999999999999</v>
      </c>
      <c r="L2059" s="19">
        <v>0.37269372699999997</v>
      </c>
      <c r="M2059" s="19">
        <v>0.47849999999999998</v>
      </c>
      <c r="N2059" s="19">
        <v>0.39240000000000003</v>
      </c>
      <c r="O2059" s="19">
        <v>0.45829999999999999</v>
      </c>
      <c r="P2059" s="19">
        <v>0.6</v>
      </c>
      <c r="Q2059" s="19"/>
      <c r="R2059" s="20">
        <v>44488</v>
      </c>
      <c r="S2059" s="21" t="str">
        <f>HYPERLINK("https://sfc.studentaidcalculator.com", "$8865")</f>
        <v>$8865</v>
      </c>
      <c r="T2059" s="20">
        <v>12029</v>
      </c>
      <c r="U2059" s="20">
        <v>19708</v>
      </c>
      <c r="V2059" s="20">
        <v>3000</v>
      </c>
      <c r="W2059" s="20">
        <v>5865</v>
      </c>
      <c r="Y2059" s="19">
        <v>0.43390000000000001</v>
      </c>
      <c r="Z2059" s="19">
        <v>0.60519999999999996</v>
      </c>
      <c r="AB2059" s="18">
        <v>2267</v>
      </c>
      <c r="AC2059" s="18">
        <v>5</v>
      </c>
    </row>
    <row r="2060" spans="1:29" ht="15.75" customHeight="1" x14ac:dyDescent="0.2">
      <c r="A2060" s="36" t="str">
        <f>HYPERLINK("https://www.stjohns.edu", "St John's University-New York")</f>
        <v>St John's University-New York</v>
      </c>
      <c r="B2060" s="18" t="s">
        <v>32</v>
      </c>
      <c r="C2060" s="18" t="s">
        <v>38</v>
      </c>
      <c r="D2060" s="18" t="s">
        <v>596</v>
      </c>
      <c r="E2060" s="18">
        <v>1171</v>
      </c>
      <c r="F2060" s="18" t="s">
        <v>115</v>
      </c>
      <c r="J2060" s="19"/>
      <c r="K2060" s="19">
        <v>0.57920000000000005</v>
      </c>
      <c r="L2060" s="19">
        <v>0.52385008499999997</v>
      </c>
      <c r="M2060" s="19">
        <v>0.63480000000000003</v>
      </c>
      <c r="N2060" s="19">
        <v>0.5</v>
      </c>
      <c r="O2060" s="19">
        <v>0.50309999999999999</v>
      </c>
      <c r="P2060" s="19">
        <v>0.63239999999999996</v>
      </c>
      <c r="Q2060" s="19"/>
      <c r="R2060" s="20">
        <v>59865</v>
      </c>
      <c r="S2060" s="21" t="str">
        <f>HYPERLINK("https://www.stjohns.edu/form/net-price-calculator", "$22772")</f>
        <v>$22772</v>
      </c>
      <c r="T2060" s="20">
        <v>25795</v>
      </c>
      <c r="U2060" s="20">
        <v>27997</v>
      </c>
      <c r="V2060" s="20">
        <v>2705</v>
      </c>
      <c r="W2060" s="20">
        <v>20067</v>
      </c>
      <c r="Y2060" s="19">
        <v>0.28050000000000003</v>
      </c>
      <c r="Z2060" s="19">
        <v>0.60170000000000001</v>
      </c>
      <c r="AB2060" s="18">
        <v>11756</v>
      </c>
      <c r="AC2060" s="18">
        <v>4</v>
      </c>
    </row>
    <row r="2061" spans="1:29" ht="15.75" customHeight="1" x14ac:dyDescent="0.2">
      <c r="A2061" s="36" t="str">
        <f>HYPERLINK("https://www.sjson.edu", "St Joseph School of Nursing")</f>
        <v>St Joseph School of Nursing</v>
      </c>
      <c r="B2061" s="18" t="s">
        <v>32</v>
      </c>
      <c r="C2061" s="18" t="s">
        <v>101</v>
      </c>
      <c r="D2061" s="18" t="s">
        <v>450</v>
      </c>
      <c r="E2061" s="18" t="s">
        <v>36</v>
      </c>
      <c r="F2061" s="18" t="s">
        <v>45</v>
      </c>
      <c r="J2061" s="19"/>
      <c r="K2061" s="19">
        <v>1</v>
      </c>
      <c r="L2061" s="19">
        <v>0.72727272700000001</v>
      </c>
      <c r="M2061" s="19">
        <v>1</v>
      </c>
      <c r="N2061" s="19" t="s">
        <v>36</v>
      </c>
      <c r="O2061" s="19" t="s">
        <v>36</v>
      </c>
      <c r="P2061" s="19" t="s">
        <v>36</v>
      </c>
      <c r="Q2061" s="19" t="s">
        <v>36</v>
      </c>
      <c r="R2061" s="20">
        <v>31483</v>
      </c>
      <c r="S2061" s="21" t="str">
        <f>HYPERLINK("https://www.sjson.edu/st-joseph-school-of-nursing/net-price-calculator", "Not reported")</f>
        <v>Not reported</v>
      </c>
      <c r="T2061" s="20" t="s">
        <v>36</v>
      </c>
      <c r="U2061" s="20" t="s">
        <v>36</v>
      </c>
      <c r="V2061" s="20">
        <v>2550</v>
      </c>
      <c r="W2061" s="20" t="s">
        <v>36</v>
      </c>
      <c r="Y2061" s="19">
        <v>0.46960000000000002</v>
      </c>
      <c r="Z2061" s="19">
        <v>0.3306</v>
      </c>
      <c r="AB2061" s="18">
        <v>121</v>
      </c>
      <c r="AC2061" s="18">
        <v>6</v>
      </c>
    </row>
    <row r="2062" spans="1:29" ht="15.75" customHeight="1" x14ac:dyDescent="0.2">
      <c r="A2062" s="36" t="str">
        <f>HYPERLINK("https://www.stlawu.edu", "St Lawrence University")</f>
        <v>St Lawrence University</v>
      </c>
      <c r="B2062" s="18" t="s">
        <v>32</v>
      </c>
      <c r="C2062" s="18" t="s">
        <v>38</v>
      </c>
      <c r="D2062" s="18" t="s">
        <v>249</v>
      </c>
      <c r="E2062" s="18">
        <v>1301</v>
      </c>
      <c r="F2062" s="18" t="s">
        <v>115</v>
      </c>
      <c r="G2062" s="18" t="s">
        <v>40</v>
      </c>
      <c r="H2062" s="18" t="s">
        <v>250</v>
      </c>
      <c r="I2062" s="18" t="s">
        <v>251</v>
      </c>
      <c r="J2062" s="19"/>
      <c r="K2062" s="19">
        <v>0.85400000000000009</v>
      </c>
      <c r="L2062" s="19" t="s">
        <v>36</v>
      </c>
      <c r="M2062" s="19">
        <v>0.85560000000000003</v>
      </c>
      <c r="N2062" s="19">
        <v>0.8125</v>
      </c>
      <c r="O2062" s="19">
        <v>0.83330000000000004</v>
      </c>
      <c r="P2062" s="19">
        <v>0.81820000000000004</v>
      </c>
      <c r="Q2062" s="19"/>
      <c r="R2062" s="20">
        <v>68296</v>
      </c>
      <c r="S2062" s="21" t="str">
        <f>HYPERLINK("https://www.stlawu.edu/financialaid/net-price-calculator", "$12172")</f>
        <v>$12172</v>
      </c>
      <c r="T2062" s="20">
        <v>22171</v>
      </c>
      <c r="U2062" s="20">
        <v>25523</v>
      </c>
      <c r="V2062" s="20">
        <v>1650</v>
      </c>
      <c r="W2062" s="20">
        <v>10522</v>
      </c>
      <c r="Y2062" s="19">
        <v>0.18079999999999999</v>
      </c>
      <c r="Z2062" s="19">
        <v>0.21909999999999999</v>
      </c>
      <c r="AB2062" s="18">
        <v>2373</v>
      </c>
      <c r="AC2062" s="18">
        <v>2</v>
      </c>
    </row>
    <row r="2063" spans="1:29" ht="15.75" customHeight="1" x14ac:dyDescent="0.2">
      <c r="A2063" s="36" t="str">
        <f>HYPERLINK("https://www.stlukescollege.edu", "St Luke's College")</f>
        <v>St Luke's College</v>
      </c>
      <c r="B2063" s="18" t="s">
        <v>32</v>
      </c>
      <c r="C2063" s="18" t="s">
        <v>211</v>
      </c>
      <c r="D2063" s="18" t="s">
        <v>588</v>
      </c>
      <c r="E2063" s="18" t="s">
        <v>36</v>
      </c>
      <c r="F2063" s="18" t="s">
        <v>90</v>
      </c>
      <c r="J2063" s="19"/>
      <c r="K2063" s="19">
        <v>1</v>
      </c>
      <c r="L2063" s="19">
        <v>0.62068965499999995</v>
      </c>
      <c r="M2063" s="19">
        <v>1</v>
      </c>
      <c r="N2063" s="19" t="s">
        <v>36</v>
      </c>
      <c r="O2063" s="19" t="s">
        <v>36</v>
      </c>
      <c r="P2063" s="19" t="s">
        <v>36</v>
      </c>
      <c r="Q2063" s="19" t="s">
        <v>36</v>
      </c>
      <c r="R2063" s="20">
        <v>33158</v>
      </c>
      <c r="S2063" s="21" t="str">
        <f>HYPERLINK("https://www.stlukescollege.edu/net-price-calculator.aspx", "Not reported")</f>
        <v>Not reported</v>
      </c>
      <c r="T2063" s="20">
        <v>14663</v>
      </c>
      <c r="U2063" s="20">
        <v>21978</v>
      </c>
      <c r="V2063" s="20">
        <v>4538</v>
      </c>
      <c r="W2063" s="20" t="s">
        <v>36</v>
      </c>
      <c r="Y2063" s="19">
        <v>0.36149999999999999</v>
      </c>
      <c r="Z2063" s="19">
        <v>0.16420000000000001</v>
      </c>
      <c r="AB2063" s="18">
        <v>274</v>
      </c>
      <c r="AC2063" s="18">
        <v>6</v>
      </c>
    </row>
    <row r="2064" spans="1:29" ht="15.75" customHeight="1" x14ac:dyDescent="0.2">
      <c r="A2064" s="36" t="str">
        <f>HYPERLINK("https://wp.stolaf.edu", "St Olaf College")</f>
        <v>St Olaf College</v>
      </c>
      <c r="B2064" s="18" t="s">
        <v>32</v>
      </c>
      <c r="C2064" s="18" t="s">
        <v>72</v>
      </c>
      <c r="D2064" s="18" t="s">
        <v>73</v>
      </c>
      <c r="E2064" s="18">
        <v>1312</v>
      </c>
      <c r="F2064" s="18" t="s">
        <v>35</v>
      </c>
      <c r="J2064" s="19"/>
      <c r="K2064" s="19">
        <v>0.88229999999999997</v>
      </c>
      <c r="L2064" s="19">
        <v>0.83561643799999996</v>
      </c>
      <c r="M2064" s="19">
        <v>0.8891</v>
      </c>
      <c r="N2064" s="19">
        <v>0.76919999999999999</v>
      </c>
      <c r="O2064" s="19">
        <v>0.83330000000000004</v>
      </c>
      <c r="P2064" s="19">
        <v>0.92310000000000003</v>
      </c>
      <c r="Q2064" s="19"/>
      <c r="R2064" s="20">
        <v>58330</v>
      </c>
      <c r="S2064" s="21" t="str">
        <f>HYPERLINK("https://wp.stolaf.edu/financialaid/net-price-calculator/", "$10605")</f>
        <v>$10605</v>
      </c>
      <c r="T2064" s="20">
        <v>16107</v>
      </c>
      <c r="U2064" s="20">
        <v>21130</v>
      </c>
      <c r="V2064" s="20">
        <v>1900</v>
      </c>
      <c r="W2064" s="20">
        <v>8705</v>
      </c>
      <c r="X2064" s="18" t="s">
        <v>37</v>
      </c>
      <c r="Y2064" s="19">
        <v>0.1618</v>
      </c>
      <c r="Z2064" s="19">
        <v>0.29089999999999999</v>
      </c>
      <c r="AB2064" s="18">
        <v>3004</v>
      </c>
      <c r="AC2064" s="18">
        <v>2</v>
      </c>
    </row>
    <row r="2065" spans="1:29" ht="15.75" customHeight="1" x14ac:dyDescent="0.2">
      <c r="A2065" s="36" t="str">
        <f>HYPERLINK("https://www.stpaulsschoolofnursing.edu", "St Paul's School of Nursing-Queens")</f>
        <v>St Paul's School of Nursing-Queens</v>
      </c>
      <c r="B2065" s="18" t="s">
        <v>368</v>
      </c>
      <c r="C2065" s="18" t="s">
        <v>38</v>
      </c>
      <c r="D2065" s="18" t="s">
        <v>1706</v>
      </c>
      <c r="E2065" s="18" t="s">
        <v>36</v>
      </c>
      <c r="F2065" s="18" t="s">
        <v>36</v>
      </c>
      <c r="J2065" s="19"/>
      <c r="K2065" s="19">
        <v>0.54290000000000005</v>
      </c>
      <c r="L2065" s="19" t="s">
        <v>36</v>
      </c>
      <c r="M2065" s="19">
        <v>0.66669999999999996</v>
      </c>
      <c r="N2065" s="19">
        <v>0.42859999999999998</v>
      </c>
      <c r="O2065" s="19">
        <v>0.625</v>
      </c>
      <c r="P2065" s="19">
        <v>0</v>
      </c>
      <c r="Q2065" s="19" t="s">
        <v>36</v>
      </c>
      <c r="R2065" s="20">
        <v>62016</v>
      </c>
      <c r="S2065" s="21" t="str">
        <f>HYPERLINK("https://www.stpaulsnursingedu.info/", "$35720")</f>
        <v>$35720</v>
      </c>
      <c r="T2065" s="20">
        <v>35966</v>
      </c>
      <c r="U2065" s="20" t="s">
        <v>36</v>
      </c>
      <c r="V2065" s="20">
        <v>14004</v>
      </c>
      <c r="W2065" s="20">
        <v>21716</v>
      </c>
      <c r="Y2065" s="19">
        <v>0.54910000000000003</v>
      </c>
      <c r="Z2065" s="19">
        <v>0.90210000000000001</v>
      </c>
      <c r="AB2065" s="18">
        <v>582</v>
      </c>
      <c r="AC2065" s="18">
        <v>6</v>
      </c>
    </row>
    <row r="2066" spans="1:29" ht="15.75" customHeight="1" x14ac:dyDescent="0.2">
      <c r="A2066" s="36" t="str">
        <f>HYPERLINK("https://www.stpaulsschoolofnursing.edu/", "St Paul's School of Nursing-Staten Island")</f>
        <v>St Paul's School of Nursing-Staten Island</v>
      </c>
      <c r="B2066" s="18" t="s">
        <v>368</v>
      </c>
      <c r="C2066" s="18" t="s">
        <v>38</v>
      </c>
      <c r="D2066" s="18" t="s">
        <v>533</v>
      </c>
      <c r="E2066" s="18" t="s">
        <v>36</v>
      </c>
      <c r="F2066" s="18" t="s">
        <v>36</v>
      </c>
      <c r="J2066" s="19"/>
      <c r="K2066" s="19">
        <v>0.47620000000000001</v>
      </c>
      <c r="L2066" s="19" t="s">
        <v>36</v>
      </c>
      <c r="M2066" s="19">
        <v>0.52939999999999998</v>
      </c>
      <c r="N2066" s="19">
        <v>0.33329999999999999</v>
      </c>
      <c r="O2066" s="19">
        <v>0.5</v>
      </c>
      <c r="P2066" s="19">
        <v>0.5</v>
      </c>
      <c r="Q2066" s="19" t="s">
        <v>36</v>
      </c>
      <c r="R2066" s="20">
        <v>34954</v>
      </c>
      <c r="S2066" s="21" t="str">
        <f>HYPERLINK("https://www.stpaulsnursingedu.info/", "$27358")</f>
        <v>$27358</v>
      </c>
      <c r="T2066" s="20" t="s">
        <v>36</v>
      </c>
      <c r="U2066" s="20" t="s">
        <v>36</v>
      </c>
      <c r="V2066" s="20">
        <v>8670</v>
      </c>
      <c r="W2066" s="20">
        <v>18688</v>
      </c>
      <c r="Y2066" s="19">
        <v>0.56620000000000004</v>
      </c>
      <c r="Z2066" s="19">
        <v>0.65229999999999999</v>
      </c>
      <c r="AB2066" s="18">
        <v>532</v>
      </c>
      <c r="AC2066" s="18">
        <v>6</v>
      </c>
    </row>
    <row r="2067" spans="1:29" ht="15.75" customHeight="1" x14ac:dyDescent="0.2">
      <c r="A2067" s="36" t="str">
        <f>HYPERLINK("https://www.spcollege.edu", "St Petersburg College")</f>
        <v>St Petersburg College</v>
      </c>
      <c r="B2067" s="18" t="s">
        <v>49</v>
      </c>
      <c r="C2067" s="18" t="s">
        <v>162</v>
      </c>
      <c r="D2067" s="18" t="s">
        <v>1707</v>
      </c>
      <c r="E2067" s="18" t="s">
        <v>36</v>
      </c>
      <c r="F2067" s="18" t="s">
        <v>36</v>
      </c>
      <c r="J2067" s="19"/>
      <c r="K2067" s="19">
        <v>0.2858</v>
      </c>
      <c r="L2067" s="19">
        <v>0.245791972</v>
      </c>
      <c r="M2067" s="19">
        <v>0.32219999999999999</v>
      </c>
      <c r="N2067" s="19">
        <v>0.125</v>
      </c>
      <c r="O2067" s="19">
        <v>0.249</v>
      </c>
      <c r="P2067" s="19">
        <v>0.38</v>
      </c>
      <c r="Q2067" s="19">
        <v>5.3998066999999997E-2</v>
      </c>
      <c r="R2067" s="20">
        <v>27794</v>
      </c>
      <c r="S2067" s="21" t="str">
        <f>HYPERLINK("https://go.spcollege.edu/getfunds/", "$22136")</f>
        <v>$22136</v>
      </c>
      <c r="T2067" s="20">
        <v>24421</v>
      </c>
      <c r="U2067" s="20">
        <v>26879</v>
      </c>
      <c r="V2067" s="20">
        <v>6278</v>
      </c>
      <c r="W2067" s="20">
        <v>15858.8618504436</v>
      </c>
      <c r="Y2067" s="19">
        <v>0.38650000000000001</v>
      </c>
      <c r="Z2067" s="19">
        <v>0.38279999999999997</v>
      </c>
      <c r="AB2067" s="18">
        <v>24824</v>
      </c>
      <c r="AC2067" s="18">
        <v>6</v>
      </c>
    </row>
    <row r="2068" spans="1:29" ht="15.75" customHeight="1" x14ac:dyDescent="0.2">
      <c r="A2068" s="36" t="str">
        <f>HYPERLINK("https://www.alamo.edu/spc/", "St Philip's College")</f>
        <v>St Philip's College</v>
      </c>
      <c r="B2068" s="18" t="s">
        <v>49</v>
      </c>
      <c r="C2068" s="18" t="s">
        <v>146</v>
      </c>
      <c r="D2068" s="18" t="s">
        <v>268</v>
      </c>
      <c r="E2068" s="18" t="s">
        <v>36</v>
      </c>
      <c r="F2068" s="18" t="s">
        <v>36</v>
      </c>
      <c r="J2068" s="19"/>
      <c r="K2068" s="19">
        <v>0.2329</v>
      </c>
      <c r="L2068" s="19">
        <v>9.5364741999999988E-2</v>
      </c>
      <c r="M2068" s="19">
        <v>0.25929999999999997</v>
      </c>
      <c r="N2068" s="19">
        <v>0.2273</v>
      </c>
      <c r="O2068" s="19">
        <v>0.23369999999999999</v>
      </c>
      <c r="P2068" s="19">
        <v>0.36359999999999998</v>
      </c>
      <c r="Q2068" s="19">
        <v>9.0132548000000007E-2</v>
      </c>
      <c r="R2068" s="20">
        <v>27402</v>
      </c>
      <c r="S2068" s="21" t="str">
        <f>HYPERLINK("https://www.alamo.edu/nvc/experience-nvc/current-students/financial-literacy/", "$21885")</f>
        <v>$21885</v>
      </c>
      <c r="T2068" s="20">
        <v>23393</v>
      </c>
      <c r="U2068" s="20">
        <v>26582</v>
      </c>
      <c r="V2068" s="20">
        <v>5180</v>
      </c>
      <c r="W2068" s="20">
        <v>16705.54966887417</v>
      </c>
      <c r="Y2068" s="19">
        <v>0.2157</v>
      </c>
      <c r="Z2068" s="19">
        <v>0.79330000000000001</v>
      </c>
      <c r="AB2068" s="18">
        <v>8023</v>
      </c>
      <c r="AC2068" s="18">
        <v>6</v>
      </c>
    </row>
    <row r="2069" spans="1:29" ht="15.75" customHeight="1" x14ac:dyDescent="0.2">
      <c r="A2069" s="36" t="str">
        <f>HYPERLINK("https://www.stvincentscollege.edu", "St Vincent's College")</f>
        <v>St Vincent's College</v>
      </c>
      <c r="B2069" s="18" t="s">
        <v>32</v>
      </c>
      <c r="C2069" s="18" t="s">
        <v>94</v>
      </c>
      <c r="D2069" s="18" t="s">
        <v>886</v>
      </c>
      <c r="E2069" s="18">
        <v>960</v>
      </c>
      <c r="F2069" s="18" t="s">
        <v>35</v>
      </c>
      <c r="J2069" s="19"/>
      <c r="K2069" s="19">
        <v>0</v>
      </c>
      <c r="L2069" s="19">
        <v>0.47674418600000001</v>
      </c>
      <c r="M2069" s="19">
        <v>0</v>
      </c>
      <c r="N2069" s="19">
        <v>0</v>
      </c>
      <c r="O2069" s="19">
        <v>0</v>
      </c>
      <c r="P2069" s="19" t="s">
        <v>36</v>
      </c>
      <c r="Q2069" s="19">
        <v>8.2926829000000007E-2</v>
      </c>
      <c r="R2069" s="20">
        <v>36615</v>
      </c>
      <c r="S2069" s="21" t="str">
        <f>HYPERLINK("https://www.stvincentscollege.edu", "$13817")</f>
        <v>$13817</v>
      </c>
      <c r="T2069" s="20">
        <v>20684</v>
      </c>
      <c r="U2069" s="20">
        <v>26456</v>
      </c>
      <c r="V2069" s="20">
        <v>10710</v>
      </c>
      <c r="W2069" s="20">
        <v>3107</v>
      </c>
      <c r="Y2069" s="19">
        <v>0.32769999999999999</v>
      </c>
      <c r="Z2069" s="19">
        <v>0.51910000000000001</v>
      </c>
      <c r="AB2069" s="18">
        <v>472</v>
      </c>
      <c r="AC2069" s="18">
        <v>6</v>
      </c>
    </row>
    <row r="2070" spans="1:29" ht="15.75" customHeight="1" x14ac:dyDescent="0.2">
      <c r="A2070" s="36" t="str">
        <f>HYPERLINK("https://www.sjc.edu", "St John's College")</f>
        <v>St John's College</v>
      </c>
      <c r="B2070" s="18" t="s">
        <v>32</v>
      </c>
      <c r="C2070" s="18" t="s">
        <v>124</v>
      </c>
      <c r="D2070" s="18" t="s">
        <v>252</v>
      </c>
      <c r="E2070" s="18">
        <v>1365</v>
      </c>
      <c r="F2070" s="18" t="s">
        <v>115</v>
      </c>
      <c r="J2070" s="19"/>
      <c r="K2070" s="19">
        <v>0.66669999999999996</v>
      </c>
      <c r="L2070" s="19" t="s">
        <v>36</v>
      </c>
      <c r="M2070" s="19">
        <v>0.71579999999999999</v>
      </c>
      <c r="N2070" s="19">
        <v>0</v>
      </c>
      <c r="O2070" s="19">
        <v>0.6</v>
      </c>
      <c r="P2070" s="19">
        <v>0.42859999999999998</v>
      </c>
      <c r="Q2070" s="19"/>
      <c r="R2070" s="20">
        <v>65409</v>
      </c>
      <c r="S2070" s="21" t="str">
        <f>HYPERLINK("https://www.sjc.edu/admissions-and-aid/financial-aid/net-price-calculator/", "$16745")</f>
        <v>$16745</v>
      </c>
      <c r="T2070" s="20">
        <v>13724</v>
      </c>
      <c r="U2070" s="20">
        <v>26548</v>
      </c>
      <c r="V2070" s="20">
        <v>1380</v>
      </c>
      <c r="W2070" s="20">
        <v>15365</v>
      </c>
      <c r="Y2070" s="19">
        <v>0.1835</v>
      </c>
      <c r="Z2070" s="19">
        <v>0.36240000000000011</v>
      </c>
      <c r="AB2070" s="18">
        <v>458</v>
      </c>
      <c r="AC2070" s="18">
        <v>2</v>
      </c>
    </row>
    <row r="2071" spans="1:29" ht="15.75" customHeight="1" x14ac:dyDescent="0.2">
      <c r="A2071" s="36" t="str">
        <f>HYPERLINK("https://www.sjc.edu", "St. John's College")</f>
        <v>St. John's College</v>
      </c>
      <c r="B2071" s="18" t="s">
        <v>32</v>
      </c>
      <c r="C2071" s="18" t="s">
        <v>234</v>
      </c>
      <c r="D2071" s="18" t="s">
        <v>253</v>
      </c>
      <c r="E2071" s="18">
        <v>1283</v>
      </c>
      <c r="F2071" s="18" t="s">
        <v>115</v>
      </c>
      <c r="J2071" s="19"/>
      <c r="K2071" s="19">
        <v>0.65059999999999996</v>
      </c>
      <c r="L2071" s="19">
        <v>0.48717948700000002</v>
      </c>
      <c r="M2071" s="19">
        <v>0.65310000000000001</v>
      </c>
      <c r="N2071" s="19">
        <v>0</v>
      </c>
      <c r="O2071" s="19">
        <v>0.5</v>
      </c>
      <c r="P2071" s="19">
        <v>0.83330000000000004</v>
      </c>
      <c r="Q2071" s="19"/>
      <c r="R2071" s="20">
        <v>65456</v>
      </c>
      <c r="S2071" s="21" t="str">
        <f>HYPERLINK("https://www.sjc.edu/admissions-and-aid/financial-aid/net-price-calculator/", "$18701")</f>
        <v>$18701</v>
      </c>
      <c r="T2071" s="20">
        <v>15683</v>
      </c>
      <c r="U2071" s="20">
        <v>18228</v>
      </c>
      <c r="V2071" s="20">
        <v>1650</v>
      </c>
      <c r="W2071" s="20">
        <v>17051</v>
      </c>
      <c r="Y2071" s="19">
        <v>0.31900000000000001</v>
      </c>
      <c r="Z2071" s="19">
        <v>0.44719999999999999</v>
      </c>
      <c r="AB2071" s="18">
        <v>322</v>
      </c>
      <c r="AC2071" s="18">
        <v>2</v>
      </c>
    </row>
    <row r="2072" spans="1:29" ht="15.75" customHeight="1" x14ac:dyDescent="0.2">
      <c r="A2072" s="36" t="str">
        <f>HYPERLINK("https://www.sjhcon.edu", "St Joseph's College of Nursing at St Joseph's Hospital Health Center")</f>
        <v>St Joseph's College of Nursing at St Joseph's Hospital Health Center</v>
      </c>
      <c r="B2072" s="18" t="s">
        <v>32</v>
      </c>
      <c r="C2072" s="18" t="s">
        <v>38</v>
      </c>
      <c r="D2072" s="18" t="s">
        <v>242</v>
      </c>
      <c r="E2072" s="18" t="s">
        <v>36</v>
      </c>
      <c r="F2072" s="18" t="s">
        <v>90</v>
      </c>
      <c r="J2072" s="19"/>
      <c r="K2072" s="19">
        <v>0.75</v>
      </c>
      <c r="L2072" s="19">
        <v>0.78260869599999994</v>
      </c>
      <c r="M2072" s="19">
        <v>0.66669999999999996</v>
      </c>
      <c r="N2072" s="19" t="s">
        <v>36</v>
      </c>
      <c r="O2072" s="19" t="s">
        <v>36</v>
      </c>
      <c r="P2072" s="19">
        <v>1</v>
      </c>
      <c r="Q2072" s="19" t="s">
        <v>36</v>
      </c>
      <c r="R2072" s="20">
        <v>36456</v>
      </c>
      <c r="S2072" s="21" t="str">
        <f>HYPERLINK("https://www.sjhsyr.org/sjhhc/sjhcon/npc/", "Not reported")</f>
        <v>Not reported</v>
      </c>
      <c r="T2072" s="20" t="s">
        <v>36</v>
      </c>
      <c r="U2072" s="20">
        <v>34583</v>
      </c>
      <c r="V2072" s="20">
        <v>2850</v>
      </c>
      <c r="W2072" s="20" t="s">
        <v>36</v>
      </c>
      <c r="Y2072" s="19">
        <v>0.3054</v>
      </c>
      <c r="Z2072" s="19">
        <v>0.36909999999999998</v>
      </c>
      <c r="AB2072" s="18">
        <v>298</v>
      </c>
      <c r="AC2072" s="18">
        <v>6</v>
      </c>
    </row>
    <row r="2073" spans="1:29" ht="15.75" customHeight="1" x14ac:dyDescent="0.2">
      <c r="A2073" s="36" t="str">
        <f>HYPERLINK("https://sjcny.edu", "Saint Josephs College-Long Island")</f>
        <v>Saint Josephs College-Long Island</v>
      </c>
      <c r="B2073" s="18" t="s">
        <v>32</v>
      </c>
      <c r="C2073" s="18" t="s">
        <v>38</v>
      </c>
      <c r="D2073" s="18" t="s">
        <v>1199</v>
      </c>
      <c r="E2073" s="18">
        <v>1121</v>
      </c>
      <c r="F2073" s="18" t="s">
        <v>35</v>
      </c>
      <c r="J2073" s="19"/>
      <c r="K2073" s="19">
        <v>0.71850000000000003</v>
      </c>
      <c r="L2073" s="19" t="s">
        <v>36</v>
      </c>
      <c r="M2073" s="19">
        <v>0.73729999999999996</v>
      </c>
      <c r="N2073" s="19">
        <v>0.46150000000000002</v>
      </c>
      <c r="O2073" s="19">
        <v>0.71430000000000005</v>
      </c>
      <c r="P2073" s="19">
        <v>0.5</v>
      </c>
      <c r="Q2073" s="19"/>
      <c r="R2073" s="20">
        <v>39060</v>
      </c>
      <c r="S2073" s="21" t="str">
        <f>HYPERLINK("https://tcc.noellevitz.com/(S(t0fdpagdqf5dxgm5ivd3pwz3))/Saint%20Josephs%20College%20NY/Freshman%20Students", "$14104")</f>
        <v>$14104</v>
      </c>
      <c r="T2073" s="20">
        <v>17156</v>
      </c>
      <c r="U2073" s="20">
        <v>18913</v>
      </c>
      <c r="V2073" s="20">
        <v>5500</v>
      </c>
      <c r="W2073" s="20">
        <v>8604</v>
      </c>
      <c r="Y2073" s="19">
        <v>0.29010000000000002</v>
      </c>
      <c r="Z2073" s="19">
        <v>0.34210000000000002</v>
      </c>
      <c r="AB2073" s="18">
        <v>3037</v>
      </c>
      <c r="AC2073" s="18">
        <v>4</v>
      </c>
    </row>
    <row r="2074" spans="1:29" ht="15.75" customHeight="1" x14ac:dyDescent="0.2">
      <c r="A2074" s="36" t="str">
        <f>HYPERLINK("https://www.sjcny.edu", "Saint Joseph's College-New York")</f>
        <v>Saint Joseph's College-New York</v>
      </c>
      <c r="B2074" s="18" t="s">
        <v>32</v>
      </c>
      <c r="C2074" s="18" t="s">
        <v>38</v>
      </c>
      <c r="D2074" s="18" t="s">
        <v>593</v>
      </c>
      <c r="E2074" s="18">
        <v>974</v>
      </c>
      <c r="F2074" s="18" t="s">
        <v>35</v>
      </c>
      <c r="J2074" s="19"/>
      <c r="K2074" s="19">
        <v>0.71220000000000006</v>
      </c>
      <c r="L2074" s="19">
        <v>0.58567774900000003</v>
      </c>
      <c r="M2074" s="19">
        <v>0.78649999999999998</v>
      </c>
      <c r="N2074" s="19">
        <v>0.6452</v>
      </c>
      <c r="O2074" s="19">
        <v>0.64059999999999995</v>
      </c>
      <c r="P2074" s="19">
        <v>0.66669999999999996</v>
      </c>
      <c r="Q2074" s="19"/>
      <c r="R2074" s="20">
        <v>32050</v>
      </c>
      <c r="S2074" s="21" t="str">
        <f>HYPERLINK("https://tcc.noellevitz.com/(S(3q4z3ogtsbdgcx1dej35l3te))/Saint%20Josephs%20College%20NY/Freshman%20Students", "$12262")</f>
        <v>$12262</v>
      </c>
      <c r="T2074" s="20">
        <v>17011</v>
      </c>
      <c r="U2074" s="20">
        <v>18633</v>
      </c>
      <c r="V2074" s="20">
        <v>5500</v>
      </c>
      <c r="W2074" s="20">
        <v>6762</v>
      </c>
      <c r="Y2074" s="19">
        <v>0.42180000000000001</v>
      </c>
      <c r="Z2074" s="19">
        <v>0.63739999999999997</v>
      </c>
      <c r="AB2074" s="18">
        <v>924</v>
      </c>
      <c r="AC2074" s="18">
        <v>4</v>
      </c>
    </row>
    <row r="2075" spans="1:29" ht="15.75" customHeight="1" x14ac:dyDescent="0.2">
      <c r="A2075" s="36" t="str">
        <f>HYPERLINK("https://www.smcm.edu", "St Mary's College of Maryland")</f>
        <v>St Mary's College of Maryland</v>
      </c>
      <c r="B2075" s="18" t="s">
        <v>49</v>
      </c>
      <c r="C2075" s="18" t="s">
        <v>124</v>
      </c>
      <c r="D2075" s="18" t="s">
        <v>254</v>
      </c>
      <c r="E2075" s="18">
        <v>1190</v>
      </c>
      <c r="F2075" s="18" t="s">
        <v>35</v>
      </c>
      <c r="J2075" s="19"/>
      <c r="K2075" s="19">
        <v>0.78249999999999997</v>
      </c>
      <c r="L2075" s="19">
        <v>0.54347826099999996</v>
      </c>
      <c r="M2075" s="19">
        <v>0.81159999999999999</v>
      </c>
      <c r="N2075" s="19">
        <v>0.54759999999999998</v>
      </c>
      <c r="O2075" s="19">
        <v>0.8125</v>
      </c>
      <c r="P2075" s="19">
        <v>0.81820000000000004</v>
      </c>
      <c r="Q2075" s="19"/>
      <c r="R2075" s="20">
        <v>45130</v>
      </c>
      <c r="S2075" s="21" t="str">
        <f>HYPERLINK("https://www.smcm.edu/financialaid/npcalc.htm", "$26623")</f>
        <v>$26623</v>
      </c>
      <c r="T2075" s="20">
        <v>33045</v>
      </c>
      <c r="U2075" s="20">
        <v>35402</v>
      </c>
      <c r="V2075" s="20">
        <v>2366</v>
      </c>
      <c r="W2075" s="20">
        <v>24257.333333333328</v>
      </c>
      <c r="Y2075" s="19">
        <v>0.19589999999999999</v>
      </c>
      <c r="Z2075" s="19">
        <v>0.29270000000000002</v>
      </c>
      <c r="AB2075" s="18">
        <v>1544</v>
      </c>
      <c r="AC2075" s="18">
        <v>2</v>
      </c>
    </row>
    <row r="2076" spans="1:29" ht="15.75" customHeight="1" x14ac:dyDescent="0.2">
      <c r="A2076" s="36" t="str">
        <f>HYPERLINK("https://www.stmarytx.edu/", "St Mary's University")</f>
        <v>St Mary's University</v>
      </c>
      <c r="B2076" s="18" t="s">
        <v>32</v>
      </c>
      <c r="C2076" s="18" t="s">
        <v>146</v>
      </c>
      <c r="D2076" s="18" t="s">
        <v>268</v>
      </c>
      <c r="E2076" s="18">
        <v>1139</v>
      </c>
      <c r="F2076" s="18" t="s">
        <v>35</v>
      </c>
      <c r="J2076" s="19"/>
      <c r="K2076" s="19">
        <v>0.62790000000000001</v>
      </c>
      <c r="L2076" s="19">
        <v>0.54655870500000003</v>
      </c>
      <c r="M2076" s="19">
        <v>0.66669999999999996</v>
      </c>
      <c r="N2076" s="19">
        <v>0.66669999999999996</v>
      </c>
      <c r="O2076" s="19">
        <v>0.60189999999999999</v>
      </c>
      <c r="P2076" s="19">
        <v>0.83330000000000004</v>
      </c>
      <c r="Q2076" s="19"/>
      <c r="R2076" s="20">
        <v>44490</v>
      </c>
      <c r="S2076" s="21" t="str">
        <f>HYPERLINK("https://www.stmarytx.edu/admission/financial-aid/net-price-calculator/", "$14537")</f>
        <v>$14537</v>
      </c>
      <c r="T2076" s="20">
        <v>18437</v>
      </c>
      <c r="U2076" s="20">
        <v>21518</v>
      </c>
      <c r="V2076" s="20">
        <v>4400</v>
      </c>
      <c r="W2076" s="20">
        <v>10137</v>
      </c>
      <c r="Y2076" s="19">
        <v>0.45390000000000003</v>
      </c>
      <c r="Z2076" s="19">
        <v>0.85450000000000004</v>
      </c>
      <c r="AB2076" s="18">
        <v>2310</v>
      </c>
      <c r="AC2076" s="18">
        <v>4</v>
      </c>
    </row>
    <row r="2077" spans="1:29" ht="15.75" customHeight="1" x14ac:dyDescent="0.2">
      <c r="A2077" s="36" t="str">
        <f>HYPERLINK("https://www.stac.edu", "St. Thomas Aquinas College")</f>
        <v>St. Thomas Aquinas College</v>
      </c>
      <c r="B2077" s="18" t="s">
        <v>32</v>
      </c>
      <c r="C2077" s="18" t="s">
        <v>38</v>
      </c>
      <c r="D2077" s="18" t="s">
        <v>1200</v>
      </c>
      <c r="E2077" s="18">
        <v>1002</v>
      </c>
      <c r="F2077" s="18" t="s">
        <v>35</v>
      </c>
      <c r="G2077" s="18" t="s">
        <v>40</v>
      </c>
      <c r="H2077" s="18" t="s">
        <v>1201</v>
      </c>
      <c r="I2077" s="18" t="s">
        <v>1202</v>
      </c>
      <c r="J2077" s="19"/>
      <c r="K2077" s="19">
        <v>0.54299999999999993</v>
      </c>
      <c r="L2077" s="19">
        <v>0.4</v>
      </c>
      <c r="M2077" s="19">
        <v>0.59899999999999998</v>
      </c>
      <c r="N2077" s="19">
        <v>0.44</v>
      </c>
      <c r="O2077" s="19">
        <v>0.41070000000000001</v>
      </c>
      <c r="P2077" s="19">
        <v>0.4</v>
      </c>
      <c r="Q2077" s="19"/>
      <c r="R2077" s="20">
        <v>47610</v>
      </c>
      <c r="S2077" s="21" t="str">
        <f>HYPERLINK("https://www.stac.edu/cost-aid/net-price-calculator", "$14979")</f>
        <v>$14979</v>
      </c>
      <c r="T2077" s="20">
        <v>21159</v>
      </c>
      <c r="U2077" s="20">
        <v>26820</v>
      </c>
      <c r="V2077" s="20">
        <v>4110</v>
      </c>
      <c r="W2077" s="20">
        <v>10869</v>
      </c>
      <c r="Y2077" s="19">
        <v>0.2445</v>
      </c>
      <c r="Z2077" s="19">
        <v>0.48740000000000011</v>
      </c>
      <c r="AB2077" s="18">
        <v>1114</v>
      </c>
      <c r="AC2077" s="18">
        <v>4</v>
      </c>
    </row>
    <row r="2078" spans="1:29" ht="15.75" customHeight="1" x14ac:dyDescent="0.2">
      <c r="A2078" s="36" t="str">
        <f>HYPERLINK("https://www.stu.edu", "St Thomas University")</f>
        <v>St Thomas University</v>
      </c>
      <c r="B2078" s="18" t="s">
        <v>32</v>
      </c>
      <c r="C2078" s="18" t="s">
        <v>162</v>
      </c>
      <c r="D2078" s="18" t="s">
        <v>737</v>
      </c>
      <c r="E2078" s="18">
        <v>993</v>
      </c>
      <c r="F2078" s="18" t="s">
        <v>35</v>
      </c>
      <c r="J2078" s="19"/>
      <c r="K2078" s="19">
        <v>0.44230000000000003</v>
      </c>
      <c r="L2078" s="19">
        <v>0.41452991500000003</v>
      </c>
      <c r="M2078" s="19">
        <v>0.55559999999999998</v>
      </c>
      <c r="N2078" s="19">
        <v>0.38979999999999998</v>
      </c>
      <c r="O2078" s="19">
        <v>0.35899999999999999</v>
      </c>
      <c r="P2078" s="19">
        <v>0</v>
      </c>
      <c r="Q2078" s="19"/>
      <c r="R2078" s="20">
        <v>47190</v>
      </c>
      <c r="S2078" s="21" t="str">
        <f>HYPERLINK("https://go.stu.edu/Financial/Net-Price-Calculator", "$22546")</f>
        <v>$22546</v>
      </c>
      <c r="T2078" s="20">
        <v>21769</v>
      </c>
      <c r="U2078" s="20">
        <v>24629</v>
      </c>
      <c r="V2078" s="20">
        <v>5760</v>
      </c>
      <c r="W2078" s="20">
        <v>16786</v>
      </c>
      <c r="Y2078" s="19">
        <v>0.1515</v>
      </c>
      <c r="Z2078" s="19">
        <v>0.92169999999999996</v>
      </c>
      <c r="AB2078" s="18">
        <v>958</v>
      </c>
      <c r="AC2078" s="18">
        <v>4</v>
      </c>
    </row>
    <row r="2079" spans="1:29" ht="15.75" customHeight="1" x14ac:dyDescent="0.2">
      <c r="A2079" s="36" t="str">
        <f>HYPERLINK("https://www.stanbridge.edu", "Stanbridge College")</f>
        <v>Stanbridge College</v>
      </c>
      <c r="B2079" s="18" t="s">
        <v>368</v>
      </c>
      <c r="C2079" s="18" t="s">
        <v>68</v>
      </c>
      <c r="D2079" s="18" t="s">
        <v>340</v>
      </c>
      <c r="E2079" s="18" t="s">
        <v>36</v>
      </c>
      <c r="F2079" s="18" t="s">
        <v>45</v>
      </c>
      <c r="J2079" s="19"/>
      <c r="K2079" s="19">
        <v>0.71400000000000008</v>
      </c>
      <c r="L2079" s="19">
        <v>0.65500000000000003</v>
      </c>
      <c r="M2079" s="19">
        <v>0.70369999999999999</v>
      </c>
      <c r="N2079" s="19">
        <v>0.69569999999999999</v>
      </c>
      <c r="O2079" s="19">
        <v>0.64080000000000004</v>
      </c>
      <c r="P2079" s="19">
        <v>0.78759999999999997</v>
      </c>
      <c r="Q2079" s="19" t="s">
        <v>36</v>
      </c>
      <c r="R2079" s="20" t="s">
        <v>36</v>
      </c>
      <c r="S2079" s="21" t="str">
        <f>HYPERLINK("https://www.stanbridge.edu", "$25054")</f>
        <v>$25054</v>
      </c>
      <c r="T2079" s="20">
        <v>28500</v>
      </c>
      <c r="U2079" s="20" t="s">
        <v>36</v>
      </c>
      <c r="V2079" s="20" t="s">
        <v>36</v>
      </c>
      <c r="W2079" s="20" t="s">
        <v>36</v>
      </c>
      <c r="Y2079" s="19">
        <v>0.36530000000000001</v>
      </c>
      <c r="Z2079" s="19">
        <v>0.74249999999999994</v>
      </c>
      <c r="AB2079" s="18">
        <v>1173</v>
      </c>
      <c r="AC2079" s="18">
        <v>6</v>
      </c>
    </row>
    <row r="2080" spans="1:29" ht="15.75" customHeight="1" x14ac:dyDescent="0.2">
      <c r="A2080" s="36" t="str">
        <f>HYPERLINK("https://www.stanford.edu/", "Stanford University")</f>
        <v>Stanford University</v>
      </c>
      <c r="B2080" s="18" t="s">
        <v>32</v>
      </c>
      <c r="C2080" s="18" t="s">
        <v>68</v>
      </c>
      <c r="D2080" s="18" t="s">
        <v>154</v>
      </c>
      <c r="E2080" s="18">
        <v>1489</v>
      </c>
      <c r="F2080" s="18" t="s">
        <v>35</v>
      </c>
      <c r="J2080" s="19"/>
      <c r="K2080" s="19">
        <v>0.9425</v>
      </c>
      <c r="L2080" s="19">
        <v>0.83505154599999998</v>
      </c>
      <c r="M2080" s="19">
        <v>0.96179999999999999</v>
      </c>
      <c r="N2080" s="19">
        <v>0.9224</v>
      </c>
      <c r="O2080" s="19">
        <v>0.93559999999999999</v>
      </c>
      <c r="P2080" s="19">
        <v>0.95220000000000005</v>
      </c>
      <c r="Q2080" s="19"/>
      <c r="R2080" s="20">
        <v>69109</v>
      </c>
      <c r="S2080" s="21" t="str">
        <f>HYPERLINK("https://www.stanford.edu/dept/finaid/undergrad/how/calculator/", "$1299")</f>
        <v>$1299</v>
      </c>
      <c r="T2080" s="20">
        <v>3047</v>
      </c>
      <c r="U2080" s="20">
        <v>11456</v>
      </c>
      <c r="V2080" s="20">
        <v>4380</v>
      </c>
      <c r="W2080" s="20">
        <v>-3081</v>
      </c>
      <c r="X2080" s="18" t="s">
        <v>37</v>
      </c>
      <c r="Y2080" s="19">
        <v>0.1517</v>
      </c>
      <c r="Z2080" s="19">
        <v>0.6431</v>
      </c>
      <c r="AA2080" s="18" t="s">
        <v>37</v>
      </c>
      <c r="AB2080" s="18">
        <v>7056</v>
      </c>
      <c r="AC2080" s="18">
        <v>1</v>
      </c>
    </row>
    <row r="2081" spans="1:29" ht="15.75" customHeight="1" x14ac:dyDescent="0.2">
      <c r="A2081" s="36" t="str">
        <f>HYPERLINK("https://www.stanly.edu", "Stanly Community College")</f>
        <v>Stanly Community College</v>
      </c>
      <c r="B2081" s="18" t="s">
        <v>49</v>
      </c>
      <c r="C2081" s="18" t="s">
        <v>103</v>
      </c>
      <c r="D2081" s="18" t="s">
        <v>1708</v>
      </c>
      <c r="E2081" s="18" t="s">
        <v>36</v>
      </c>
      <c r="F2081" s="18" t="s">
        <v>36</v>
      </c>
      <c r="J2081" s="19"/>
      <c r="K2081" s="19">
        <v>0.35980000000000001</v>
      </c>
      <c r="L2081" s="19">
        <v>0.18313953499999999</v>
      </c>
      <c r="M2081" s="19">
        <v>0.36919999999999997</v>
      </c>
      <c r="N2081" s="19">
        <v>0.36840000000000001</v>
      </c>
      <c r="O2081" s="19">
        <v>0.5</v>
      </c>
      <c r="P2081" s="19">
        <v>0.25</v>
      </c>
      <c r="Q2081" s="19">
        <v>6.4482029999999996E-2</v>
      </c>
      <c r="R2081" s="20">
        <v>21979</v>
      </c>
      <c r="S2081" s="21" t="str">
        <f>HYPERLINK("https://www.stanly.edu/sites/default/files/NPCalc/NPCalc.htm", "$16332")</f>
        <v>$16332</v>
      </c>
      <c r="T2081" s="20">
        <v>16824</v>
      </c>
      <c r="U2081" s="20">
        <v>16984</v>
      </c>
      <c r="V2081" s="20">
        <v>6797</v>
      </c>
      <c r="W2081" s="20">
        <v>9535.3302752293566</v>
      </c>
      <c r="Y2081" s="19">
        <v>0.52780000000000005</v>
      </c>
      <c r="Z2081" s="19">
        <v>0.34329999999999999</v>
      </c>
      <c r="AB2081" s="18">
        <v>1943</v>
      </c>
      <c r="AC2081" s="18">
        <v>6</v>
      </c>
    </row>
    <row r="2082" spans="1:29" ht="15.75" customHeight="1" x14ac:dyDescent="0.2">
      <c r="A2082" s="36" t="str">
        <f>HYPERLINK("https://www.starkstate.edu", "Stark State College")</f>
        <v>Stark State College</v>
      </c>
      <c r="B2082" s="18" t="s">
        <v>49</v>
      </c>
      <c r="C2082" s="18" t="s">
        <v>75</v>
      </c>
      <c r="D2082" s="18" t="s">
        <v>1384</v>
      </c>
      <c r="E2082" s="18" t="s">
        <v>36</v>
      </c>
      <c r="F2082" s="18" t="s">
        <v>36</v>
      </c>
      <c r="J2082" s="19"/>
      <c r="K2082" s="19">
        <v>0.1512</v>
      </c>
      <c r="L2082" s="19">
        <v>0.111168296</v>
      </c>
      <c r="M2082" s="19">
        <v>0.1588</v>
      </c>
      <c r="N2082" s="19">
        <v>5.3499999999999999E-2</v>
      </c>
      <c r="O2082" s="19">
        <v>0.33329999999999999</v>
      </c>
      <c r="P2082" s="19">
        <v>0.4783</v>
      </c>
      <c r="Q2082" s="19">
        <v>4.8763124999999997E-2</v>
      </c>
      <c r="R2082" s="20">
        <v>15826</v>
      </c>
      <c r="S2082" s="21" t="str">
        <f>HYPERLINK("https://www.starkstate.edu/admissions/finaid/npcalculator/", "$11343")</f>
        <v>$11343</v>
      </c>
      <c r="T2082" s="20">
        <v>13089</v>
      </c>
      <c r="U2082" s="20">
        <v>13135</v>
      </c>
      <c r="V2082" s="20">
        <v>3780</v>
      </c>
      <c r="W2082" s="20">
        <v>7563.4624505928841</v>
      </c>
      <c r="Y2082" s="19">
        <v>0.34660000000000002</v>
      </c>
      <c r="Z2082" s="19">
        <v>0.29570000000000002</v>
      </c>
      <c r="AB2082" s="18">
        <v>7778</v>
      </c>
      <c r="AC2082" s="18">
        <v>6</v>
      </c>
    </row>
    <row r="2083" spans="1:29" ht="15.75" customHeight="1" x14ac:dyDescent="0.2">
      <c r="A2083" s="36" t="str">
        <f>HYPERLINK("https://www.scf.edu", "State College of Florida-Manatee-Sarasota")</f>
        <v>State College of Florida-Manatee-Sarasota</v>
      </c>
      <c r="B2083" s="18" t="s">
        <v>49</v>
      </c>
      <c r="C2083" s="18" t="s">
        <v>162</v>
      </c>
      <c r="D2083" s="18" t="s">
        <v>1709</v>
      </c>
      <c r="E2083" s="18" t="s">
        <v>36</v>
      </c>
      <c r="F2083" s="18" t="s">
        <v>36</v>
      </c>
      <c r="J2083" s="19"/>
      <c r="K2083" s="19">
        <v>0.33489999999999998</v>
      </c>
      <c r="L2083" s="19">
        <v>0.170713485</v>
      </c>
      <c r="M2083" s="19">
        <v>0.35639999999999999</v>
      </c>
      <c r="N2083" s="19">
        <v>0.15329999999999999</v>
      </c>
      <c r="O2083" s="19">
        <v>0.33660000000000001</v>
      </c>
      <c r="P2083" s="19">
        <v>0.51849999999999996</v>
      </c>
      <c r="Q2083" s="19">
        <v>8.2140166000000001E-2</v>
      </c>
      <c r="R2083" s="20">
        <v>32009</v>
      </c>
      <c r="S2083" s="21" t="str">
        <f>HYPERLINK("https://www.scf.edu/StudentServices/FinancialAid/default.asp", "$27233")</f>
        <v>$27233</v>
      </c>
      <c r="T2083" s="20">
        <v>32009</v>
      </c>
      <c r="U2083" s="20" t="s">
        <v>36</v>
      </c>
      <c r="V2083" s="20">
        <v>6386</v>
      </c>
      <c r="W2083" s="20">
        <v>20847.678522571819</v>
      </c>
      <c r="Y2083" s="19">
        <v>0.48880000000000001</v>
      </c>
      <c r="Z2083" s="19">
        <v>0.36809999999999998</v>
      </c>
      <c r="AB2083" s="18">
        <v>8493</v>
      </c>
      <c r="AC2083" s="18">
        <v>6</v>
      </c>
    </row>
    <row r="2084" spans="1:29" ht="15.75" customHeight="1" x14ac:dyDescent="0.2">
      <c r="A2084" s="36" t="str">
        <f>HYPERLINK("https://www.sfccmo.edu", "State Fair Community College")</f>
        <v>State Fair Community College</v>
      </c>
      <c r="B2084" s="18" t="s">
        <v>49</v>
      </c>
      <c r="C2084" s="18" t="s">
        <v>164</v>
      </c>
      <c r="D2084" s="18" t="s">
        <v>1710</v>
      </c>
      <c r="E2084" s="18" t="s">
        <v>36</v>
      </c>
      <c r="F2084" s="18" t="s">
        <v>36</v>
      </c>
      <c r="J2084" s="19"/>
      <c r="K2084" s="19">
        <v>0.30659999999999998</v>
      </c>
      <c r="L2084" s="19">
        <v>0.21652892600000001</v>
      </c>
      <c r="M2084" s="19">
        <v>0.31330000000000002</v>
      </c>
      <c r="N2084" s="19">
        <v>0.14710000000000001</v>
      </c>
      <c r="O2084" s="19">
        <v>0.5</v>
      </c>
      <c r="P2084" s="19">
        <v>0.5</v>
      </c>
      <c r="Q2084" s="19">
        <v>6.9717934999999995E-2</v>
      </c>
      <c r="R2084" s="20">
        <v>12714</v>
      </c>
      <c r="S2084" s="21" t="str">
        <f>HYPERLINK("https://www.sfccmo.edu/files/net-price-calculator/net-price-calculator.html", "$7464")</f>
        <v>$7464</v>
      </c>
      <c r="T2084" s="20">
        <v>9159</v>
      </c>
      <c r="U2084" s="20">
        <v>10162</v>
      </c>
      <c r="V2084" s="20">
        <v>1774</v>
      </c>
      <c r="W2084" s="20">
        <v>5690.2722646310431</v>
      </c>
      <c r="Y2084" s="19">
        <v>0.4294</v>
      </c>
      <c r="Z2084" s="19">
        <v>0.16089999999999999</v>
      </c>
      <c r="AB2084" s="18">
        <v>3517</v>
      </c>
      <c r="AC2084" s="18">
        <v>6</v>
      </c>
    </row>
    <row r="2085" spans="1:29" ht="15.75" customHeight="1" x14ac:dyDescent="0.2">
      <c r="A2085" s="36" t="str">
        <f>HYPERLINK("https://www.statetechmo.edu", "State Technical College of Missouri")</f>
        <v>State Technical College of Missouri</v>
      </c>
      <c r="B2085" s="18" t="s">
        <v>49</v>
      </c>
      <c r="C2085" s="18" t="s">
        <v>164</v>
      </c>
      <c r="D2085" s="18" t="s">
        <v>1711</v>
      </c>
      <c r="E2085" s="18" t="s">
        <v>36</v>
      </c>
      <c r="F2085" s="18" t="s">
        <v>36</v>
      </c>
      <c r="J2085" s="19"/>
      <c r="K2085" s="19">
        <v>0.70889999999999997</v>
      </c>
      <c r="L2085" s="19">
        <v>0.50753768799999999</v>
      </c>
      <c r="M2085" s="19">
        <v>0.71460000000000001</v>
      </c>
      <c r="N2085" s="19">
        <v>0.8</v>
      </c>
      <c r="O2085" s="19">
        <v>0.42859999999999998</v>
      </c>
      <c r="P2085" s="19">
        <v>0</v>
      </c>
      <c r="Q2085" s="19" t="s">
        <v>36</v>
      </c>
      <c r="R2085" s="20">
        <v>21961</v>
      </c>
      <c r="S2085" s="21" t="str">
        <f>HYPERLINK("https://resources.statetechmo.edu/academic/NetPriceCalculator/npcalc.htm", "$14368")</f>
        <v>$14368</v>
      </c>
      <c r="T2085" s="20">
        <v>15328</v>
      </c>
      <c r="U2085" s="20">
        <v>15787</v>
      </c>
      <c r="V2085" s="20">
        <v>5621</v>
      </c>
      <c r="W2085" s="20">
        <v>8747.105263157895</v>
      </c>
      <c r="Y2085" s="19">
        <v>0.36670000000000003</v>
      </c>
      <c r="Z2085" s="19">
        <v>5.9000000000000052E-2</v>
      </c>
      <c r="AB2085" s="18">
        <v>1135</v>
      </c>
      <c r="AC2085" s="18">
        <v>6</v>
      </c>
    </row>
    <row r="2086" spans="1:29" ht="15.75" customHeight="1" x14ac:dyDescent="0.2">
      <c r="A2086" s="36" t="str">
        <f>HYPERLINK("https://www.newpaltz.edu", "SUNY at New Paltz")</f>
        <v>SUNY at New Paltz</v>
      </c>
      <c r="B2086" s="18" t="s">
        <v>49</v>
      </c>
      <c r="C2086" s="18" t="s">
        <v>38</v>
      </c>
      <c r="D2086" s="18" t="s">
        <v>1203</v>
      </c>
      <c r="E2086" s="18">
        <v>1191</v>
      </c>
      <c r="F2086" s="18" t="s">
        <v>35</v>
      </c>
      <c r="G2086" s="18" t="s">
        <v>51</v>
      </c>
      <c r="H2086" s="18" t="s">
        <v>1204</v>
      </c>
      <c r="I2086" s="18" t="s">
        <v>1205</v>
      </c>
      <c r="J2086" s="19"/>
      <c r="K2086" s="19">
        <v>0.72289999999999999</v>
      </c>
      <c r="L2086" s="19">
        <v>0.60566448799999995</v>
      </c>
      <c r="M2086" s="19">
        <v>0.73929999999999996</v>
      </c>
      <c r="N2086" s="19">
        <v>0.70130000000000003</v>
      </c>
      <c r="O2086" s="19">
        <v>0.69140000000000001</v>
      </c>
      <c r="P2086" s="19">
        <v>0.80649999999999999</v>
      </c>
      <c r="Q2086" s="19"/>
      <c r="R2086" s="20">
        <v>24230</v>
      </c>
      <c r="S2086" s="21" t="str">
        <f>HYPERLINK("https://www.newpaltz.edu/financialaid/netpricecalc.html", "$10251")</f>
        <v>$10251</v>
      </c>
      <c r="T2086" s="20">
        <v>19299</v>
      </c>
      <c r="U2086" s="20">
        <v>21486</v>
      </c>
      <c r="V2086" s="20">
        <v>3775</v>
      </c>
      <c r="W2086" s="20">
        <v>6476</v>
      </c>
      <c r="Y2086" s="19">
        <v>0.3271</v>
      </c>
      <c r="Z2086" s="19">
        <v>0.38469999999999999</v>
      </c>
      <c r="AB2086" s="18">
        <v>6616</v>
      </c>
      <c r="AC2086" s="18">
        <v>4</v>
      </c>
    </row>
    <row r="2087" spans="1:29" ht="15.75" customHeight="1" x14ac:dyDescent="0.2">
      <c r="A2087" s="36" t="str">
        <f>HYPERLINK("https://www.sctoday.edu/", "Stautzenberger College-Brecksville")</f>
        <v>Stautzenberger College-Brecksville</v>
      </c>
      <c r="B2087" s="18" t="s">
        <v>368</v>
      </c>
      <c r="C2087" s="18" t="s">
        <v>75</v>
      </c>
      <c r="D2087" s="18" t="s">
        <v>1712</v>
      </c>
      <c r="E2087" s="18" t="s">
        <v>36</v>
      </c>
      <c r="F2087" s="18" t="s">
        <v>36</v>
      </c>
      <c r="J2087" s="19"/>
      <c r="K2087" s="19">
        <v>0.1429</v>
      </c>
      <c r="L2087" s="19">
        <v>0.37216828499999999</v>
      </c>
      <c r="M2087" s="19">
        <v>0.25</v>
      </c>
      <c r="N2087" s="19">
        <v>0</v>
      </c>
      <c r="O2087" s="19">
        <v>0</v>
      </c>
      <c r="P2087" s="19" t="s">
        <v>36</v>
      </c>
      <c r="Q2087" s="19">
        <v>2.5000000000000001E-2</v>
      </c>
      <c r="R2087" s="20">
        <v>23417</v>
      </c>
      <c r="S2087" s="21" t="str">
        <f>HYPERLINK("https://stautzenberger.studentaidcalculator.com/survey.aspx", "$14308")</f>
        <v>$14308</v>
      </c>
      <c r="T2087" s="20">
        <v>18662</v>
      </c>
      <c r="U2087" s="20" t="s">
        <v>36</v>
      </c>
      <c r="V2087" s="20">
        <v>3835</v>
      </c>
      <c r="W2087" s="20">
        <v>10473</v>
      </c>
      <c r="Y2087" s="19">
        <v>0.67400000000000004</v>
      </c>
      <c r="Z2087" s="19">
        <v>0.32729999999999998</v>
      </c>
      <c r="AB2087" s="18">
        <v>385</v>
      </c>
      <c r="AC2087" s="18">
        <v>6</v>
      </c>
    </row>
    <row r="2088" spans="1:29" ht="15.75" customHeight="1" x14ac:dyDescent="0.2">
      <c r="A2088" s="36" t="str">
        <f>HYPERLINK("https://www.guttman.cuny.edu/", "CUNY Stella and Charles Guttman Community College")</f>
        <v>CUNY Stella and Charles Guttman Community College</v>
      </c>
      <c r="B2088" s="18" t="s">
        <v>49</v>
      </c>
      <c r="C2088" s="18" t="s">
        <v>38</v>
      </c>
      <c r="D2088" s="18" t="s">
        <v>39</v>
      </c>
      <c r="E2088" s="18" t="s">
        <v>36</v>
      </c>
      <c r="F2088" s="18" t="s">
        <v>36</v>
      </c>
      <c r="G2088" s="18" t="s">
        <v>1713</v>
      </c>
      <c r="J2088" s="19" t="s">
        <v>1714</v>
      </c>
      <c r="K2088" s="19">
        <v>0.46339999999999998</v>
      </c>
      <c r="L2088" s="19" t="s">
        <v>36</v>
      </c>
      <c r="M2088" s="19">
        <v>0.53129999999999999</v>
      </c>
      <c r="N2088" s="19">
        <v>0.4</v>
      </c>
      <c r="O2088" s="19">
        <v>0.46939999999999998</v>
      </c>
      <c r="P2088" s="19">
        <v>0.58819999999999995</v>
      </c>
      <c r="Q2088" s="19" t="s">
        <v>36</v>
      </c>
      <c r="R2088" s="20">
        <v>11427</v>
      </c>
      <c r="S2088" s="21" t="str">
        <f>HYPERLINK("https://portal0.uapc.cuny.edu/uapc/public/fin_aid/financial_aid_estimator/FinAidEstimator.jsp", "$3821")</f>
        <v>$3821</v>
      </c>
      <c r="T2088" s="20">
        <v>8569</v>
      </c>
      <c r="U2088" s="20">
        <v>12567</v>
      </c>
      <c r="V2088" s="20">
        <v>6233</v>
      </c>
      <c r="W2088" s="20">
        <v>-2412</v>
      </c>
      <c r="Y2088" s="19">
        <v>0.70350000000000001</v>
      </c>
      <c r="Z2088" s="19">
        <v>0.93469999999999998</v>
      </c>
      <c r="AB2088" s="18">
        <v>1010</v>
      </c>
      <c r="AC2088" s="18">
        <v>6</v>
      </c>
    </row>
    <row r="2089" spans="1:29" ht="15.75" customHeight="1" x14ac:dyDescent="0.2">
      <c r="A2089" s="36" t="str">
        <f>HYPERLINK("https://www.sfasu.edu", "Stephen F Austin State University")</f>
        <v>Stephen F Austin State University</v>
      </c>
      <c r="B2089" s="18" t="s">
        <v>49</v>
      </c>
      <c r="C2089" s="18" t="s">
        <v>146</v>
      </c>
      <c r="D2089" s="18" t="s">
        <v>1206</v>
      </c>
      <c r="E2089" s="18">
        <v>1077</v>
      </c>
      <c r="F2089" s="18" t="s">
        <v>35</v>
      </c>
      <c r="J2089" s="19"/>
      <c r="K2089" s="19">
        <v>0.43769999999999998</v>
      </c>
      <c r="L2089" s="19">
        <v>0.35266457699999998</v>
      </c>
      <c r="M2089" s="19">
        <v>0.49230000000000002</v>
      </c>
      <c r="N2089" s="19">
        <v>0.36230000000000001</v>
      </c>
      <c r="O2089" s="19">
        <v>0.40400000000000003</v>
      </c>
      <c r="P2089" s="19">
        <v>0.5</v>
      </c>
      <c r="Q2089" s="19"/>
      <c r="R2089" s="20">
        <v>31236</v>
      </c>
      <c r="S2089" s="21" t="str">
        <f>HYPERLINK("https://www.sfasu.edu/faid/npc.asp", "$18906")</f>
        <v>$18906</v>
      </c>
      <c r="T2089" s="20">
        <v>24212</v>
      </c>
      <c r="U2089" s="20">
        <v>28415</v>
      </c>
      <c r="V2089" s="20">
        <v>4692</v>
      </c>
      <c r="W2089" s="20">
        <v>14214.784061696661</v>
      </c>
      <c r="Y2089" s="19">
        <v>0.39939999999999998</v>
      </c>
      <c r="Z2089" s="19">
        <v>0.43109999999999998</v>
      </c>
      <c r="AB2089" s="18">
        <v>10655</v>
      </c>
      <c r="AC2089" s="18">
        <v>4</v>
      </c>
    </row>
    <row r="2090" spans="1:29" ht="15.75" customHeight="1" x14ac:dyDescent="0.2">
      <c r="A2090" s="36" t="str">
        <f>HYPERLINK("https://www.stephens.edu", "Stephens College")</f>
        <v>Stephens College</v>
      </c>
      <c r="B2090" s="18" t="s">
        <v>32</v>
      </c>
      <c r="C2090" s="18" t="s">
        <v>164</v>
      </c>
      <c r="D2090" s="18" t="s">
        <v>165</v>
      </c>
      <c r="E2090" s="18">
        <v>1099</v>
      </c>
      <c r="F2090" s="18" t="s">
        <v>35</v>
      </c>
      <c r="J2090" s="19"/>
      <c r="K2090" s="19">
        <v>0.60870000000000002</v>
      </c>
      <c r="L2090" s="19">
        <v>0.47916666699999999</v>
      </c>
      <c r="M2090" s="19">
        <v>0.6552</v>
      </c>
      <c r="N2090" s="19">
        <v>0.375</v>
      </c>
      <c r="O2090" s="19">
        <v>0.66669999999999996</v>
      </c>
      <c r="P2090" s="19" t="s">
        <v>36</v>
      </c>
      <c r="Q2090" s="19"/>
      <c r="R2090" s="20">
        <v>45148</v>
      </c>
      <c r="S2090" s="21" t="str">
        <f>HYPERLINK("https://www.stephens.edu/admissions-and-aid/financial-aid/net-price-calculator/", "$19804")</f>
        <v>$19804</v>
      </c>
      <c r="T2090" s="20">
        <v>22799</v>
      </c>
      <c r="U2090" s="20">
        <v>27117</v>
      </c>
      <c r="V2090" s="20">
        <v>4380</v>
      </c>
      <c r="W2090" s="20">
        <v>15424</v>
      </c>
      <c r="Y2090" s="19">
        <v>0.46229999999999999</v>
      </c>
      <c r="Z2090" s="19">
        <v>0.34620000000000001</v>
      </c>
      <c r="AB2090" s="18">
        <v>647</v>
      </c>
      <c r="AC2090" s="18">
        <v>3</v>
      </c>
    </row>
    <row r="2091" spans="1:29" ht="15.75" customHeight="1" x14ac:dyDescent="0.2">
      <c r="A2091" s="36" t="str">
        <f>HYPERLINK("https://www.sterling.edu", "Sterling College")</f>
        <v>Sterling College</v>
      </c>
      <c r="B2091" s="18" t="s">
        <v>32</v>
      </c>
      <c r="C2091" s="18" t="s">
        <v>307</v>
      </c>
      <c r="D2091" s="18" t="s">
        <v>1208</v>
      </c>
      <c r="E2091" s="18">
        <v>1018</v>
      </c>
      <c r="F2091" s="18" t="s">
        <v>115</v>
      </c>
      <c r="J2091" s="19"/>
      <c r="K2091" s="19">
        <v>0.38969999999999999</v>
      </c>
      <c r="L2091" s="19">
        <v>0.30681818199999999</v>
      </c>
      <c r="M2091" s="19">
        <v>0.40350000000000003</v>
      </c>
      <c r="N2091" s="19">
        <v>0.54549999999999998</v>
      </c>
      <c r="O2091" s="19">
        <v>0</v>
      </c>
      <c r="P2091" s="19">
        <v>0.5</v>
      </c>
      <c r="Q2091" s="19"/>
      <c r="R2091" s="20">
        <v>36115</v>
      </c>
      <c r="S2091" s="21" t="str">
        <f>HYPERLINK("https://www.sterling.edu/admissions/tuition-expenses", "$16962")</f>
        <v>$16962</v>
      </c>
      <c r="T2091" s="20">
        <v>20103</v>
      </c>
      <c r="U2091" s="20">
        <v>22027</v>
      </c>
      <c r="V2091" s="20">
        <v>2800</v>
      </c>
      <c r="W2091" s="20">
        <v>14162</v>
      </c>
      <c r="Y2091" s="19">
        <v>0.39529999999999998</v>
      </c>
      <c r="Z2091" s="19">
        <v>0.40029999999999999</v>
      </c>
      <c r="AB2091" s="18">
        <v>612</v>
      </c>
      <c r="AC2091" s="18">
        <v>4</v>
      </c>
    </row>
    <row r="2092" spans="1:29" ht="15.75" customHeight="1" x14ac:dyDescent="0.2">
      <c r="A2092" s="36" t="str">
        <f>HYPERLINK("https://www.stetson.edu", "Stetson University")</f>
        <v>Stetson University</v>
      </c>
      <c r="B2092" s="18" t="s">
        <v>32</v>
      </c>
      <c r="C2092" s="18" t="s">
        <v>162</v>
      </c>
      <c r="D2092" s="18" t="s">
        <v>482</v>
      </c>
      <c r="E2092" s="18" t="s">
        <v>36</v>
      </c>
      <c r="F2092" s="18" t="s">
        <v>90</v>
      </c>
      <c r="J2092" s="19"/>
      <c r="K2092" s="19">
        <v>0.62319999999999998</v>
      </c>
      <c r="L2092" s="19">
        <v>0.54444444400000003</v>
      </c>
      <c r="M2092" s="19">
        <v>0.63519999999999999</v>
      </c>
      <c r="N2092" s="19">
        <v>0.55930000000000002</v>
      </c>
      <c r="O2092" s="19">
        <v>0.58330000000000004</v>
      </c>
      <c r="P2092" s="19">
        <v>0.77780000000000005</v>
      </c>
      <c r="Q2092" s="19"/>
      <c r="R2092" s="20">
        <v>61374</v>
      </c>
      <c r="S2092" s="21" t="str">
        <f>HYPERLINK("https://stetson.studentaidcalculator.com/survey.aspx", "$23672")</f>
        <v>$23672</v>
      </c>
      <c r="T2092" s="20">
        <v>27883</v>
      </c>
      <c r="U2092" s="20">
        <v>29145</v>
      </c>
      <c r="V2092" s="20">
        <v>4200</v>
      </c>
      <c r="W2092" s="20">
        <v>19472</v>
      </c>
      <c r="Y2092" s="19">
        <v>0.31919999999999998</v>
      </c>
      <c r="Z2092" s="19">
        <v>0.38469999999999999</v>
      </c>
      <c r="AB2092" s="18">
        <v>3031</v>
      </c>
      <c r="AC2092" s="18">
        <v>3</v>
      </c>
    </row>
    <row r="2093" spans="1:29" ht="15.75" customHeight="1" x14ac:dyDescent="0.2">
      <c r="A2093" s="36" t="str">
        <f>HYPERLINK("https://www.stevens.edu", "Stevens Institute of Technology")</f>
        <v>Stevens Institute of Technology</v>
      </c>
      <c r="B2093" s="18" t="s">
        <v>32</v>
      </c>
      <c r="C2093" s="18" t="s">
        <v>141</v>
      </c>
      <c r="D2093" s="18" t="s">
        <v>255</v>
      </c>
      <c r="E2093" s="18">
        <v>1410</v>
      </c>
      <c r="F2093" s="18" t="s">
        <v>115</v>
      </c>
      <c r="J2093" s="19"/>
      <c r="K2093" s="19">
        <v>0.83009999999999995</v>
      </c>
      <c r="L2093" s="19">
        <v>0.80459770099999994</v>
      </c>
      <c r="M2093" s="19">
        <v>0.83609999999999995</v>
      </c>
      <c r="N2093" s="19">
        <v>1</v>
      </c>
      <c r="O2093" s="19">
        <v>0.78259999999999996</v>
      </c>
      <c r="P2093" s="19">
        <v>0.91839999999999999</v>
      </c>
      <c r="Q2093" s="19"/>
      <c r="R2093" s="20">
        <v>67204</v>
      </c>
      <c r="S2093" s="21" t="str">
        <f>HYPERLINK("https://stevens.studentaidcalculator.com/survey.aspx", "$26145")</f>
        <v>$26145</v>
      </c>
      <c r="T2093" s="20">
        <v>29852</v>
      </c>
      <c r="U2093" s="20">
        <v>34359</v>
      </c>
      <c r="V2093" s="20">
        <v>2250</v>
      </c>
      <c r="W2093" s="20">
        <v>23895</v>
      </c>
      <c r="Y2093" s="19">
        <v>0.15570000000000001</v>
      </c>
      <c r="Z2093" s="19">
        <v>0.32819999999999999</v>
      </c>
      <c r="AB2093" s="18">
        <v>3114</v>
      </c>
      <c r="AC2093" s="18">
        <v>2</v>
      </c>
    </row>
    <row r="2094" spans="1:29" ht="15.75" customHeight="1" x14ac:dyDescent="0.2">
      <c r="A2094" s="36" t="str">
        <f>HYPERLINK("https://www.stevenshenager.edu", "Stevens-Henager College")</f>
        <v>Stevens-Henager College</v>
      </c>
      <c r="B2094" s="18" t="s">
        <v>32</v>
      </c>
      <c r="C2094" s="18" t="s">
        <v>199</v>
      </c>
      <c r="D2094" s="18" t="s">
        <v>1311</v>
      </c>
      <c r="E2094" s="18" t="s">
        <v>36</v>
      </c>
      <c r="F2094" s="18" t="s">
        <v>36</v>
      </c>
      <c r="J2094" s="19"/>
      <c r="K2094" s="19">
        <v>0.29570000000000002</v>
      </c>
      <c r="L2094" s="19">
        <v>0.28829685999999999</v>
      </c>
      <c r="M2094" s="19">
        <v>0.30769999999999997</v>
      </c>
      <c r="N2094" s="19">
        <v>0.33329999999999999</v>
      </c>
      <c r="O2094" s="19">
        <v>0.32</v>
      </c>
      <c r="P2094" s="19" t="s">
        <v>36</v>
      </c>
      <c r="Q2094" s="19">
        <v>2.5635103999999999E-2</v>
      </c>
      <c r="R2094" s="20">
        <v>33960</v>
      </c>
      <c r="S2094" s="21" t="str">
        <f>HYPERLINK("https://stevenshenager.studentaidcalculator.com", "$28724")</f>
        <v>$28724</v>
      </c>
      <c r="T2094" s="20">
        <v>30439</v>
      </c>
      <c r="U2094" s="20">
        <v>31019</v>
      </c>
      <c r="V2094" s="20">
        <v>7816</v>
      </c>
      <c r="W2094" s="20">
        <v>20908</v>
      </c>
      <c r="Y2094" s="19">
        <v>0.71489999999999998</v>
      </c>
      <c r="Z2094" s="19">
        <v>0.33660000000000001</v>
      </c>
      <c r="AB2094" s="18">
        <v>205</v>
      </c>
      <c r="AC2094" s="18">
        <v>6</v>
      </c>
    </row>
    <row r="2095" spans="1:29" ht="15.75" customHeight="1" x14ac:dyDescent="0.2">
      <c r="A2095" s="36" t="str">
        <f>HYPERLINK("https://www.stevenshenager.edu/", "Stevens-Henager College")</f>
        <v>Stevens-Henager College</v>
      </c>
      <c r="B2095" s="18" t="s">
        <v>32</v>
      </c>
      <c r="C2095" s="18" t="s">
        <v>486</v>
      </c>
      <c r="D2095" s="18" t="s">
        <v>583</v>
      </c>
      <c r="E2095" s="18" t="s">
        <v>36</v>
      </c>
      <c r="F2095" s="18" t="s">
        <v>36</v>
      </c>
      <c r="J2095" s="19"/>
      <c r="K2095" s="19">
        <v>0.31869999999999998</v>
      </c>
      <c r="L2095" s="19">
        <v>0.28829685999999999</v>
      </c>
      <c r="M2095" s="19">
        <v>0.34439999999999998</v>
      </c>
      <c r="N2095" s="19">
        <v>0.4</v>
      </c>
      <c r="O2095" s="19">
        <v>0.31580000000000003</v>
      </c>
      <c r="P2095" s="19" t="s">
        <v>36</v>
      </c>
      <c r="Q2095" s="19">
        <v>2.5635103999999999E-2</v>
      </c>
      <c r="R2095" s="20">
        <v>33960</v>
      </c>
      <c r="S2095" s="21" t="str">
        <f>HYPERLINK("https://www.stevenshenager.edu/net-price-calculator", "$26959")</f>
        <v>$26959</v>
      </c>
      <c r="T2095" s="20">
        <v>29729</v>
      </c>
      <c r="U2095" s="20" t="s">
        <v>36</v>
      </c>
      <c r="V2095" s="20">
        <v>7816</v>
      </c>
      <c r="W2095" s="20">
        <v>19143</v>
      </c>
      <c r="Y2095" s="19">
        <v>0.74470000000000003</v>
      </c>
      <c r="Z2095" s="19">
        <v>0.47489999999999999</v>
      </c>
      <c r="AB2095" s="18">
        <v>259</v>
      </c>
      <c r="AC2095" s="18">
        <v>6</v>
      </c>
    </row>
    <row r="2096" spans="1:29" ht="15.75" customHeight="1" x14ac:dyDescent="0.2">
      <c r="A2096" s="36" t="str">
        <f>HYPERLINK("https://www.stevenshenager.edu/locations/st-george", "Stevens-Henager College")</f>
        <v>Stevens-Henager College</v>
      </c>
      <c r="B2096" s="18" t="s">
        <v>32</v>
      </c>
      <c r="C2096" s="18" t="s">
        <v>199</v>
      </c>
      <c r="D2096" s="18" t="s">
        <v>1715</v>
      </c>
      <c r="E2096" s="18" t="s">
        <v>36</v>
      </c>
      <c r="F2096" s="18" t="s">
        <v>36</v>
      </c>
      <c r="J2096" s="19"/>
      <c r="K2096" s="19" t="s">
        <v>36</v>
      </c>
      <c r="L2096" s="19">
        <v>0.28829685999999999</v>
      </c>
      <c r="M2096" s="19" t="s">
        <v>36</v>
      </c>
      <c r="N2096" s="19" t="s">
        <v>36</v>
      </c>
      <c r="O2096" s="19" t="s">
        <v>36</v>
      </c>
      <c r="P2096" s="19" t="s">
        <v>36</v>
      </c>
      <c r="Q2096" s="19">
        <v>2.5635103999999999E-2</v>
      </c>
      <c r="R2096" s="20">
        <v>33960</v>
      </c>
      <c r="S2096" s="21" t="str">
        <f>HYPERLINK("https://www.stevenshenager.edu/net-price-calculator", "$28210")</f>
        <v>$28210</v>
      </c>
      <c r="T2096" s="20">
        <v>30654</v>
      </c>
      <c r="U2096" s="20" t="s">
        <v>36</v>
      </c>
      <c r="V2096" s="20">
        <v>7816</v>
      </c>
      <c r="W2096" s="20">
        <v>20394</v>
      </c>
      <c r="Y2096" s="19">
        <v>0.67190000000000005</v>
      </c>
      <c r="Z2096" s="19">
        <v>0.32429999999999998</v>
      </c>
      <c r="AB2096" s="18">
        <v>111</v>
      </c>
      <c r="AC2096" s="18">
        <v>6</v>
      </c>
    </row>
    <row r="2097" spans="1:29" ht="15.75" customHeight="1" x14ac:dyDescent="0.2">
      <c r="A2097" s="36" t="str">
        <f>HYPERLINK("https://www.stevenshenager.edu/", "Stevens-Henager College")</f>
        <v>Stevens-Henager College</v>
      </c>
      <c r="B2097" s="18" t="s">
        <v>32</v>
      </c>
      <c r="C2097" s="18" t="s">
        <v>199</v>
      </c>
      <c r="D2097" s="18" t="s">
        <v>1367</v>
      </c>
      <c r="E2097" s="18" t="s">
        <v>36</v>
      </c>
      <c r="F2097" s="18" t="s">
        <v>36</v>
      </c>
      <c r="J2097" s="19"/>
      <c r="K2097" s="19">
        <v>0.28100000000000003</v>
      </c>
      <c r="L2097" s="19">
        <v>0.28829685999999999</v>
      </c>
      <c r="M2097" s="19">
        <v>0.31169999999999998</v>
      </c>
      <c r="N2097" s="19" t="s">
        <v>36</v>
      </c>
      <c r="O2097" s="19">
        <v>0.17649999999999999</v>
      </c>
      <c r="P2097" s="19">
        <v>0.5</v>
      </c>
      <c r="Q2097" s="19">
        <v>2.5635103999999999E-2</v>
      </c>
      <c r="R2097" s="20">
        <v>33960</v>
      </c>
      <c r="S2097" s="21" t="str">
        <f>HYPERLINK("https://www.stevenshenager.edu/net-price-calculator", "$28010")</f>
        <v>$28010</v>
      </c>
      <c r="T2097" s="20">
        <v>31535</v>
      </c>
      <c r="U2097" s="20" t="s">
        <v>36</v>
      </c>
      <c r="V2097" s="20">
        <v>7816</v>
      </c>
      <c r="W2097" s="20">
        <v>20194</v>
      </c>
      <c r="Y2097" s="19">
        <v>0.65849999999999997</v>
      </c>
      <c r="Z2097" s="19">
        <v>0.30559999999999998</v>
      </c>
      <c r="AB2097" s="18">
        <v>72</v>
      </c>
      <c r="AC2097" s="18">
        <v>6</v>
      </c>
    </row>
    <row r="2098" spans="1:29" ht="15.75" customHeight="1" x14ac:dyDescent="0.2">
      <c r="A2098" s="36" t="str">
        <f>HYPERLINK("https://www.stevenshenager.edu", "Stevens-Henager College")</f>
        <v>Stevens-Henager College</v>
      </c>
      <c r="B2098" s="18" t="s">
        <v>32</v>
      </c>
      <c r="C2098" s="18" t="s">
        <v>199</v>
      </c>
      <c r="D2098" s="18" t="s">
        <v>1000</v>
      </c>
      <c r="E2098" s="18" t="s">
        <v>36</v>
      </c>
      <c r="F2098" s="18" t="s">
        <v>36</v>
      </c>
      <c r="J2098" s="19"/>
      <c r="K2098" s="19">
        <v>0.10249999999999999</v>
      </c>
      <c r="L2098" s="19">
        <v>0.28829685999999999</v>
      </c>
      <c r="M2098" s="19">
        <v>8.8700000000000001E-2</v>
      </c>
      <c r="N2098" s="19">
        <v>0.16669999999999999</v>
      </c>
      <c r="O2098" s="19">
        <v>0.1923</v>
      </c>
      <c r="P2098" s="19">
        <v>0.33329999999999999</v>
      </c>
      <c r="Q2098" s="19">
        <v>2.5635103999999999E-2</v>
      </c>
      <c r="R2098" s="20">
        <v>33960</v>
      </c>
      <c r="S2098" s="21" t="str">
        <f>HYPERLINK("https://www.stevenshenager.edu/net-price-calculator", "$29078")</f>
        <v>$29078</v>
      </c>
      <c r="T2098" s="20">
        <v>30606</v>
      </c>
      <c r="U2098" s="20">
        <v>33102</v>
      </c>
      <c r="V2098" s="20">
        <v>7816</v>
      </c>
      <c r="W2098" s="20">
        <v>21262</v>
      </c>
      <c r="Y2098" s="19">
        <v>0.70250000000000001</v>
      </c>
      <c r="Z2098" s="19">
        <v>0.55420000000000003</v>
      </c>
      <c r="AB2098" s="18">
        <v>563</v>
      </c>
      <c r="AC2098" s="18">
        <v>6</v>
      </c>
    </row>
    <row r="2099" spans="1:29" ht="15.75" customHeight="1" x14ac:dyDescent="0.2">
      <c r="A2099" s="36" t="str">
        <f>HYPERLINK("https://www.stevenshenager.edu/", "Stevens-Henager College")</f>
        <v>Stevens-Henager College</v>
      </c>
      <c r="B2099" s="18" t="s">
        <v>32</v>
      </c>
      <c r="C2099" s="18" t="s">
        <v>486</v>
      </c>
      <c r="D2099" s="18" t="s">
        <v>1172</v>
      </c>
      <c r="E2099" s="18" t="s">
        <v>36</v>
      </c>
      <c r="F2099" s="18" t="s">
        <v>36</v>
      </c>
      <c r="J2099" s="19"/>
      <c r="K2099" s="19">
        <v>0.1837</v>
      </c>
      <c r="L2099" s="19">
        <v>0.46112600500000001</v>
      </c>
      <c r="M2099" s="19">
        <v>0.1613</v>
      </c>
      <c r="N2099" s="19" t="s">
        <v>36</v>
      </c>
      <c r="O2099" s="19">
        <v>0.33329999999999999</v>
      </c>
      <c r="P2099" s="19" t="s">
        <v>36</v>
      </c>
      <c r="Q2099" s="19">
        <v>2.8634361000000001E-2</v>
      </c>
      <c r="R2099" s="20">
        <v>33104</v>
      </c>
      <c r="S2099" s="21" t="str">
        <f>HYPERLINK("https://www.stevenshenager.edu/net-price-calculator", "$26479")</f>
        <v>$26479</v>
      </c>
      <c r="T2099" s="20">
        <v>30262</v>
      </c>
      <c r="U2099" s="20" t="s">
        <v>36</v>
      </c>
      <c r="V2099" s="20">
        <v>7424</v>
      </c>
      <c r="W2099" s="20">
        <v>19055</v>
      </c>
      <c r="Y2099" s="19">
        <v>0.78859999999999997</v>
      </c>
      <c r="Z2099" s="19">
        <v>0.36040000000000011</v>
      </c>
      <c r="AB2099" s="18">
        <v>111</v>
      </c>
      <c r="AC2099" s="18">
        <v>6</v>
      </c>
    </row>
    <row r="2100" spans="1:29" ht="15.75" customHeight="1" x14ac:dyDescent="0.2">
      <c r="A2100" s="36" t="str">
        <f>HYPERLINK("https://www.stevenson.edu", "Stevenson University")</f>
        <v>Stevenson University</v>
      </c>
      <c r="B2100" s="18" t="s">
        <v>32</v>
      </c>
      <c r="C2100" s="18" t="s">
        <v>124</v>
      </c>
      <c r="D2100" s="18" t="s">
        <v>1209</v>
      </c>
      <c r="E2100" s="18">
        <v>1097</v>
      </c>
      <c r="F2100" s="18" t="s">
        <v>35</v>
      </c>
      <c r="J2100" s="19"/>
      <c r="K2100" s="19">
        <v>0.54039999999999999</v>
      </c>
      <c r="L2100" s="19">
        <v>0.52173913000000005</v>
      </c>
      <c r="M2100" s="19">
        <v>0.59030000000000005</v>
      </c>
      <c r="N2100" s="19">
        <v>0.47099999999999997</v>
      </c>
      <c r="O2100" s="19">
        <v>0.58330000000000004</v>
      </c>
      <c r="P2100" s="19">
        <v>0.40739999999999998</v>
      </c>
      <c r="Q2100" s="19"/>
      <c r="R2100" s="20">
        <v>52073</v>
      </c>
      <c r="S2100" s="21" t="str">
        <f>HYPERLINK("https://www.stevenson.edu/admissions-aid/financial-aid-scholarships/net-price-calculator/", "$21875")</f>
        <v>$21875</v>
      </c>
      <c r="T2100" s="20">
        <v>26156</v>
      </c>
      <c r="U2100" s="20">
        <v>28961</v>
      </c>
      <c r="V2100" s="20">
        <v>3661</v>
      </c>
      <c r="W2100" s="20">
        <v>18214</v>
      </c>
      <c r="Y2100" s="19">
        <v>0.30070000000000002</v>
      </c>
      <c r="Z2100" s="19">
        <v>0.44679999999999997</v>
      </c>
      <c r="AB2100" s="18">
        <v>3375</v>
      </c>
      <c r="AC2100" s="18">
        <v>4</v>
      </c>
    </row>
    <row r="2101" spans="1:29" ht="15.75" customHeight="1" x14ac:dyDescent="0.2">
      <c r="A2101" s="36" t="str">
        <f>HYPERLINK("https://stillman.edu", "Stillman College")</f>
        <v>Stillman College</v>
      </c>
      <c r="B2101" s="18" t="s">
        <v>32</v>
      </c>
      <c r="C2101" s="18" t="s">
        <v>300</v>
      </c>
      <c r="D2101" s="18" t="s">
        <v>1211</v>
      </c>
      <c r="E2101" s="18" t="s">
        <v>36</v>
      </c>
      <c r="F2101" s="18" t="s">
        <v>90</v>
      </c>
      <c r="J2101" s="19"/>
      <c r="K2101" s="19">
        <v>0.28220000000000001</v>
      </c>
      <c r="L2101" s="19">
        <v>0.207017544</v>
      </c>
      <c r="M2101" s="19">
        <v>0.33329999999999999</v>
      </c>
      <c r="N2101" s="19">
        <v>0.27429999999999999</v>
      </c>
      <c r="O2101" s="19">
        <v>0.5</v>
      </c>
      <c r="P2101" s="19" t="s">
        <v>36</v>
      </c>
      <c r="Q2101" s="19"/>
      <c r="R2101" s="20">
        <v>21986</v>
      </c>
      <c r="S2101" s="21" t="str">
        <f>HYPERLINK("https://stillman.edu/admissions/cost-of-attendance/", "$18186")</f>
        <v>$18186</v>
      </c>
      <c r="T2101" s="20">
        <v>19093</v>
      </c>
      <c r="U2101" s="20">
        <v>19784</v>
      </c>
      <c r="V2101" s="20">
        <v>3800</v>
      </c>
      <c r="W2101" s="20">
        <v>14386</v>
      </c>
      <c r="Y2101" s="19">
        <v>0.76429999999999998</v>
      </c>
      <c r="Z2101" s="19">
        <v>0.93049999999999999</v>
      </c>
      <c r="AB2101" s="18">
        <v>633</v>
      </c>
      <c r="AC2101" s="18">
        <v>4</v>
      </c>
    </row>
    <row r="2102" spans="1:29" ht="15.75" customHeight="1" x14ac:dyDescent="0.2">
      <c r="A2102" s="36" t="str">
        <f>HYPERLINK("https://www.stockton.edu", "Stockton University")</f>
        <v>Stockton University</v>
      </c>
      <c r="B2102" s="18" t="s">
        <v>49</v>
      </c>
      <c r="C2102" s="18" t="s">
        <v>141</v>
      </c>
      <c r="D2102" s="18" t="s">
        <v>483</v>
      </c>
      <c r="E2102" s="18">
        <v>1105</v>
      </c>
      <c r="F2102" s="18" t="s">
        <v>35</v>
      </c>
      <c r="J2102" s="19"/>
      <c r="K2102" s="19">
        <v>0.72840000000000005</v>
      </c>
      <c r="L2102" s="19">
        <v>0.63204225400000003</v>
      </c>
      <c r="M2102" s="19">
        <v>0.75309999999999999</v>
      </c>
      <c r="N2102" s="19">
        <v>0.61219999999999997</v>
      </c>
      <c r="O2102" s="19">
        <v>0.56000000000000005</v>
      </c>
      <c r="P2102" s="19">
        <v>0.71879999999999999</v>
      </c>
      <c r="Q2102" s="19"/>
      <c r="R2102" s="20">
        <v>37234</v>
      </c>
      <c r="S2102" s="21" t="str">
        <f>HYPERLINK("https://intraweb.stockton.edu/eyos/page.cfm?siteID=91&amp;pageID=76", "$24317")</f>
        <v>$24317</v>
      </c>
      <c r="T2102" s="20">
        <v>28557</v>
      </c>
      <c r="U2102" s="20">
        <v>32651</v>
      </c>
      <c r="V2102" s="20">
        <v>4757</v>
      </c>
      <c r="W2102" s="20">
        <v>19560.352941176468</v>
      </c>
      <c r="Y2102" s="19">
        <v>0.3997</v>
      </c>
      <c r="Z2102" s="19">
        <v>0.31559999999999999</v>
      </c>
      <c r="AB2102" s="18">
        <v>8242</v>
      </c>
      <c r="AC2102" s="18">
        <v>3</v>
      </c>
    </row>
    <row r="2103" spans="1:29" ht="15.75" customHeight="1" x14ac:dyDescent="0.2">
      <c r="A2103" s="36" t="str">
        <f>HYPERLINK("https://www.stonechild.edu", "Stone Child College")</f>
        <v>Stone Child College</v>
      </c>
      <c r="B2103" s="18" t="s">
        <v>49</v>
      </c>
      <c r="C2103" s="18" t="s">
        <v>421</v>
      </c>
      <c r="D2103" s="18" t="s">
        <v>1716</v>
      </c>
      <c r="E2103" s="18" t="s">
        <v>36</v>
      </c>
      <c r="F2103" s="18" t="s">
        <v>36</v>
      </c>
      <c r="J2103" s="19"/>
      <c r="K2103" s="19">
        <v>0.29409999999999997</v>
      </c>
      <c r="L2103" s="19" t="s">
        <v>36</v>
      </c>
      <c r="M2103" s="19">
        <v>0.6</v>
      </c>
      <c r="N2103" s="19" t="s">
        <v>36</v>
      </c>
      <c r="O2103" s="19" t="s">
        <v>36</v>
      </c>
      <c r="P2103" s="19" t="s">
        <v>36</v>
      </c>
      <c r="Q2103" s="19" t="s">
        <v>36</v>
      </c>
      <c r="R2103" s="20">
        <v>16795</v>
      </c>
      <c r="S2103" s="21" t="str">
        <f>HYPERLINK("https://www.stonechild.edu", "$12828")</f>
        <v>$12828</v>
      </c>
      <c r="T2103" s="20" t="s">
        <v>36</v>
      </c>
      <c r="U2103" s="20" t="s">
        <v>36</v>
      </c>
      <c r="V2103" s="20">
        <v>7270</v>
      </c>
      <c r="W2103" s="20">
        <v>5558.5862068965507</v>
      </c>
      <c r="Y2103" s="19">
        <v>0.26100000000000001</v>
      </c>
      <c r="Z2103" s="19">
        <v>0.9637</v>
      </c>
      <c r="AB2103" s="18">
        <v>193</v>
      </c>
      <c r="AC2103" s="18">
        <v>6</v>
      </c>
    </row>
    <row r="2104" spans="1:29" ht="15.75" customHeight="1" x14ac:dyDescent="0.2">
      <c r="A2104" s="36" t="str">
        <f>HYPERLINK("https://www.stonehill.edu", "Stonehill College")</f>
        <v>Stonehill College</v>
      </c>
      <c r="B2104" s="18" t="s">
        <v>32</v>
      </c>
      <c r="C2104" s="18" t="s">
        <v>33</v>
      </c>
      <c r="D2104" s="18" t="s">
        <v>128</v>
      </c>
      <c r="E2104" s="18" t="s">
        <v>36</v>
      </c>
      <c r="F2104" s="18" t="s">
        <v>45</v>
      </c>
      <c r="J2104" s="19"/>
      <c r="K2104" s="19">
        <v>0.80069999999999997</v>
      </c>
      <c r="L2104" s="19">
        <v>0.74137931000000001</v>
      </c>
      <c r="M2104" s="19">
        <v>0.81689999999999996</v>
      </c>
      <c r="N2104" s="19">
        <v>0.55559999999999998</v>
      </c>
      <c r="O2104" s="19">
        <v>0.66669999999999996</v>
      </c>
      <c r="P2104" s="19">
        <v>0.91669999999999996</v>
      </c>
      <c r="Q2104" s="19"/>
      <c r="R2104" s="20">
        <v>59560</v>
      </c>
      <c r="S2104" s="21" t="str">
        <f>HYPERLINK("https://www.stonehill.edu/financial-aid/cost-of-attendance/net-price-calculator/", "$21088")</f>
        <v>$21088</v>
      </c>
      <c r="T2104" s="20">
        <v>27061</v>
      </c>
      <c r="U2104" s="20">
        <v>32005</v>
      </c>
      <c r="V2104" s="20">
        <v>2500</v>
      </c>
      <c r="W2104" s="20">
        <v>18588</v>
      </c>
      <c r="Y2104" s="19">
        <v>0.1673</v>
      </c>
      <c r="Z2104" s="19">
        <v>0.15240000000000001</v>
      </c>
      <c r="AB2104" s="18">
        <v>2494</v>
      </c>
      <c r="AC2104" s="18">
        <v>3</v>
      </c>
    </row>
    <row r="2105" spans="1:29" ht="15.75" customHeight="1" x14ac:dyDescent="0.2">
      <c r="A2105" s="36" t="str">
        <f>HYPERLINK("https://www.stonybrook.edu", "SUNY Stony Brook University")</f>
        <v>SUNY Stony Brook University</v>
      </c>
      <c r="B2105" s="18" t="s">
        <v>49</v>
      </c>
      <c r="C2105" s="18" t="s">
        <v>38</v>
      </c>
      <c r="D2105" s="18" t="s">
        <v>256</v>
      </c>
      <c r="E2105" s="18">
        <v>1322</v>
      </c>
      <c r="F2105" s="18" t="s">
        <v>35</v>
      </c>
      <c r="G2105" s="18" t="s">
        <v>51</v>
      </c>
      <c r="H2105" s="18" t="s">
        <v>257</v>
      </c>
      <c r="I2105" s="18" t="s">
        <v>258</v>
      </c>
      <c r="J2105" s="19"/>
      <c r="K2105" s="19">
        <v>0.71809999999999996</v>
      </c>
      <c r="L2105" s="19">
        <v>0.64362519200000001</v>
      </c>
      <c r="M2105" s="19">
        <v>0.68610000000000004</v>
      </c>
      <c r="N2105" s="19">
        <v>0.68659999999999999</v>
      </c>
      <c r="O2105" s="19">
        <v>0.62929999999999997</v>
      </c>
      <c r="P2105" s="19">
        <v>0.78259999999999996</v>
      </c>
      <c r="Q2105" s="19"/>
      <c r="R2105" s="20">
        <v>25471</v>
      </c>
      <c r="S2105" s="21" t="str">
        <f>HYPERLINK("https://www.stonybrook.edu/commcms/finaid/finaidbasics/net_price_calc.html", "$9919")</f>
        <v>$9919</v>
      </c>
      <c r="T2105" s="20">
        <v>16916</v>
      </c>
      <c r="U2105" s="20">
        <v>20369</v>
      </c>
      <c r="V2105" s="20">
        <v>2768</v>
      </c>
      <c r="W2105" s="20">
        <v>7151</v>
      </c>
      <c r="Y2105" s="19">
        <v>0.32029999999999997</v>
      </c>
      <c r="Z2105" s="19">
        <v>0.66539999999999999</v>
      </c>
      <c r="AB2105" s="18">
        <v>17215</v>
      </c>
      <c r="AC2105" s="18">
        <v>2</v>
      </c>
    </row>
    <row r="2106" spans="1:29" ht="15.75" customHeight="1" x14ac:dyDescent="0.2">
      <c r="A2106" s="36" t="str">
        <f>HYPERLINK("https://www.stratford.edu", "Stratford University")</f>
        <v>Stratford University</v>
      </c>
      <c r="B2106" s="18" t="s">
        <v>368</v>
      </c>
      <c r="C2106" s="18" t="s">
        <v>83</v>
      </c>
      <c r="D2106" s="18" t="s">
        <v>364</v>
      </c>
      <c r="E2106" s="18" t="s">
        <v>36</v>
      </c>
      <c r="F2106" s="18" t="s">
        <v>36</v>
      </c>
      <c r="J2106" s="19"/>
      <c r="K2106" s="19">
        <v>6.25E-2</v>
      </c>
      <c r="L2106" s="19">
        <v>0.25212464600000001</v>
      </c>
      <c r="M2106" s="19">
        <v>0.25</v>
      </c>
      <c r="N2106" s="19">
        <v>0</v>
      </c>
      <c r="O2106" s="19">
        <v>0</v>
      </c>
      <c r="P2106" s="19">
        <v>0</v>
      </c>
      <c r="Q2106" s="19">
        <v>3.9316239000000003E-2</v>
      </c>
      <c r="R2106" s="20">
        <v>28190</v>
      </c>
      <c r="S2106" s="21" t="str">
        <f>HYPERLINK("https://www.stratford.edu/services/financial/net-price-calculator", "$16940")</f>
        <v>$16940</v>
      </c>
      <c r="T2106" s="20" t="s">
        <v>36</v>
      </c>
      <c r="U2106" s="20" t="s">
        <v>36</v>
      </c>
      <c r="V2106" s="20" t="s">
        <v>36</v>
      </c>
      <c r="W2106" s="20" t="s">
        <v>36</v>
      </c>
      <c r="Y2106" s="19">
        <v>0.63200000000000001</v>
      </c>
      <c r="Z2106" s="19">
        <v>0.8175</v>
      </c>
      <c r="AB2106" s="18">
        <v>1890</v>
      </c>
      <c r="AC2106" s="18">
        <v>6</v>
      </c>
    </row>
    <row r="2107" spans="1:29" ht="15.75" customHeight="1" x14ac:dyDescent="0.2">
      <c r="A2107" s="36" t="str">
        <f>HYPERLINK("https://www3.sunysuffolk.edu", "SUNY Suffolk County Community College")</f>
        <v>SUNY Suffolk County Community College</v>
      </c>
      <c r="B2107" s="18" t="s">
        <v>49</v>
      </c>
      <c r="C2107" s="18" t="s">
        <v>38</v>
      </c>
      <c r="D2107" s="18" t="s">
        <v>1717</v>
      </c>
      <c r="E2107" s="18" t="s">
        <v>36</v>
      </c>
      <c r="F2107" s="18" t="s">
        <v>36</v>
      </c>
      <c r="G2107" s="18" t="s">
        <v>51</v>
      </c>
      <c r="I2107" s="18" t="s">
        <v>1312</v>
      </c>
      <c r="J2107" s="19"/>
      <c r="K2107" s="19">
        <v>0.25969999999999999</v>
      </c>
      <c r="L2107" s="19">
        <v>0.22166149099999999</v>
      </c>
      <c r="M2107" s="19">
        <v>0.30099999999999999</v>
      </c>
      <c r="N2107" s="19">
        <v>0.14249999999999999</v>
      </c>
      <c r="O2107" s="19">
        <v>0.20860000000000001</v>
      </c>
      <c r="P2107" s="19">
        <v>0.26669999999999999</v>
      </c>
      <c r="Q2107" s="19">
        <v>0.109155556</v>
      </c>
      <c r="R2107" s="20">
        <v>16780</v>
      </c>
      <c r="S2107" s="21" t="str">
        <f>HYPERLINK("https://www.sunysuffolk.edu/Prospects/NetPriceCalculator.asp", "$3240")</f>
        <v>$3240</v>
      </c>
      <c r="T2107" s="20">
        <v>7894</v>
      </c>
      <c r="U2107" s="20">
        <v>10332</v>
      </c>
      <c r="V2107" s="20">
        <v>5200</v>
      </c>
      <c r="W2107" s="20">
        <v>-1960</v>
      </c>
      <c r="Y2107" s="19">
        <v>0.26040000000000002</v>
      </c>
      <c r="Z2107" s="19">
        <v>0.47920000000000001</v>
      </c>
      <c r="AB2107" s="18">
        <v>20566</v>
      </c>
      <c r="AC2107" s="18">
        <v>6</v>
      </c>
    </row>
    <row r="2108" spans="1:29" ht="15.75" customHeight="1" x14ac:dyDescent="0.2">
      <c r="A2108" s="36" t="str">
        <f>HYPERLINK("https://www.suffolk.edu", "Suffolk University")</f>
        <v>Suffolk University</v>
      </c>
      <c r="B2108" s="18" t="s">
        <v>32</v>
      </c>
      <c r="C2108" s="18" t="s">
        <v>33</v>
      </c>
      <c r="D2108" s="18" t="s">
        <v>136</v>
      </c>
      <c r="E2108" s="18">
        <v>1102</v>
      </c>
      <c r="F2108" s="18" t="s">
        <v>35</v>
      </c>
      <c r="J2108" s="19"/>
      <c r="K2108" s="19">
        <v>0.60240000000000005</v>
      </c>
      <c r="L2108" s="19">
        <v>0.57462686600000001</v>
      </c>
      <c r="M2108" s="19">
        <v>0.62290000000000001</v>
      </c>
      <c r="N2108" s="19">
        <v>0.52939999999999998</v>
      </c>
      <c r="O2108" s="19">
        <v>0.58040000000000003</v>
      </c>
      <c r="P2108" s="19">
        <v>0.66279999999999994</v>
      </c>
      <c r="Q2108" s="19"/>
      <c r="R2108" s="20">
        <v>56040</v>
      </c>
      <c r="S2108" s="21" t="str">
        <f>HYPERLINK("https://suffolk.studentaidcalculator.com/survey.aspx", "$25988")</f>
        <v>$25988</v>
      </c>
      <c r="T2108" s="20">
        <v>28106</v>
      </c>
      <c r="U2108" s="20">
        <v>31519</v>
      </c>
      <c r="V2108" s="20">
        <v>3724</v>
      </c>
      <c r="W2108" s="20">
        <v>22264</v>
      </c>
      <c r="Y2108" s="19">
        <v>0.26179999999999998</v>
      </c>
      <c r="Z2108" s="19">
        <v>0.53469999999999995</v>
      </c>
      <c r="AB2108" s="18">
        <v>4952</v>
      </c>
      <c r="AC2108" s="18">
        <v>4</v>
      </c>
    </row>
    <row r="2109" spans="1:29" ht="15.75" customHeight="1" x14ac:dyDescent="0.2">
      <c r="A2109" s="36" t="str">
        <f>HYPERLINK("https://www.sulross.edu", "Sul Ross State University")</f>
        <v>Sul Ross State University</v>
      </c>
      <c r="B2109" s="18" t="s">
        <v>49</v>
      </c>
      <c r="C2109" s="18" t="s">
        <v>146</v>
      </c>
      <c r="D2109" s="18" t="s">
        <v>851</v>
      </c>
      <c r="E2109" s="18">
        <v>946</v>
      </c>
      <c r="F2109" s="18" t="s">
        <v>115</v>
      </c>
      <c r="J2109" s="19"/>
      <c r="K2109" s="19">
        <v>0.22220000000000001</v>
      </c>
      <c r="L2109" s="19">
        <v>0.20204081600000001</v>
      </c>
      <c r="M2109" s="19">
        <v>0.23419999999999999</v>
      </c>
      <c r="N2109" s="19">
        <v>0.122</v>
      </c>
      <c r="O2109" s="19">
        <v>0.23910000000000001</v>
      </c>
      <c r="P2109" s="19">
        <v>0</v>
      </c>
      <c r="Q2109" s="19"/>
      <c r="R2109" s="20">
        <v>34732</v>
      </c>
      <c r="S2109" s="21" t="str">
        <f>HYPERLINK("https://www.collegeforalltexans.com/apps/CollegeMoney/", "$26669")</f>
        <v>$26669</v>
      </c>
      <c r="T2109" s="20">
        <v>28445</v>
      </c>
      <c r="U2109" s="20">
        <v>31633</v>
      </c>
      <c r="V2109" s="20">
        <v>5408</v>
      </c>
      <c r="W2109" s="20">
        <v>21261.70520231214</v>
      </c>
      <c r="Y2109" s="19">
        <v>0.54790000000000005</v>
      </c>
      <c r="Z2109" s="19">
        <v>0.77900000000000003</v>
      </c>
      <c r="AB2109" s="18">
        <v>2208</v>
      </c>
      <c r="AC2109" s="18">
        <v>5</v>
      </c>
    </row>
    <row r="2110" spans="1:29" ht="15.75" customHeight="1" x14ac:dyDescent="0.2">
      <c r="A2110" s="36" t="str">
        <f>HYPERLINK("https://www.sctd.edu", "Sullivan College of Technology and Design")</f>
        <v>Sullivan College of Technology and Design</v>
      </c>
      <c r="B2110" s="18" t="s">
        <v>368</v>
      </c>
      <c r="C2110" s="18" t="s">
        <v>205</v>
      </c>
      <c r="D2110" s="18" t="s">
        <v>306</v>
      </c>
      <c r="E2110" s="18" t="s">
        <v>36</v>
      </c>
      <c r="F2110" s="18" t="s">
        <v>45</v>
      </c>
      <c r="J2110" s="19"/>
      <c r="K2110" s="19">
        <v>0.37190000000000001</v>
      </c>
      <c r="L2110" s="19">
        <v>0.18702290099999999</v>
      </c>
      <c r="M2110" s="19">
        <v>0.42349999999999999</v>
      </c>
      <c r="N2110" s="19">
        <v>0.23530000000000001</v>
      </c>
      <c r="O2110" s="19">
        <v>0.375</v>
      </c>
      <c r="P2110" s="19" t="s">
        <v>36</v>
      </c>
      <c r="Q2110" s="19" t="s">
        <v>36</v>
      </c>
      <c r="R2110" s="20">
        <v>39153</v>
      </c>
      <c r="S2110" s="21" t="str">
        <f>HYPERLINK("https://www.sctd.edu", "$29376")</f>
        <v>$29376</v>
      </c>
      <c r="T2110" s="20" t="s">
        <v>36</v>
      </c>
      <c r="U2110" s="20" t="s">
        <v>36</v>
      </c>
      <c r="V2110" s="20">
        <v>5749</v>
      </c>
      <c r="W2110" s="20">
        <v>23627</v>
      </c>
      <c r="Y2110" s="19">
        <v>0.57450000000000001</v>
      </c>
      <c r="Z2110" s="19">
        <v>0.35589999999999999</v>
      </c>
      <c r="AB2110" s="18">
        <v>295</v>
      </c>
      <c r="AC2110" s="18">
        <v>6</v>
      </c>
    </row>
    <row r="2111" spans="1:29" ht="15.75" customHeight="1" x14ac:dyDescent="0.2">
      <c r="A2111" s="36" t="str">
        <f>HYPERLINK("https://www.sunysullivan.edu/", "SUNY Sullivan County Community College")</f>
        <v>SUNY Sullivan County Community College</v>
      </c>
      <c r="B2111" s="18" t="s">
        <v>49</v>
      </c>
      <c r="C2111" s="18" t="s">
        <v>38</v>
      </c>
      <c r="D2111" s="18" t="s">
        <v>1718</v>
      </c>
      <c r="E2111" s="18" t="s">
        <v>36</v>
      </c>
      <c r="F2111" s="18" t="s">
        <v>36</v>
      </c>
      <c r="J2111" s="19"/>
      <c r="K2111" s="19">
        <v>0.33739999999999998</v>
      </c>
      <c r="L2111" s="19">
        <v>0.17528089899999999</v>
      </c>
      <c r="M2111" s="19">
        <v>0.40799999999999997</v>
      </c>
      <c r="N2111" s="19">
        <v>0.29089999999999999</v>
      </c>
      <c r="O2111" s="19">
        <v>0.3014</v>
      </c>
      <c r="P2111" s="19">
        <v>1</v>
      </c>
      <c r="Q2111" s="19">
        <v>6.8783069000000002E-2</v>
      </c>
      <c r="R2111" s="20">
        <v>18788</v>
      </c>
      <c r="S2111" s="21" t="str">
        <f>HYPERLINK("https://sunysullivan.edu/category/home/admissions-aid/cost-financial-aid/price-calculator/", "$7066")</f>
        <v>$7066</v>
      </c>
      <c r="T2111" s="20">
        <v>10751</v>
      </c>
      <c r="U2111" s="20">
        <v>14011</v>
      </c>
      <c r="V2111" s="20">
        <v>3470</v>
      </c>
      <c r="W2111" s="20">
        <v>3596</v>
      </c>
      <c r="Y2111" s="19">
        <v>0.41370000000000001</v>
      </c>
      <c r="Z2111" s="19">
        <v>0.59309999999999996</v>
      </c>
      <c r="AB2111" s="18">
        <v>1010</v>
      </c>
      <c r="AC2111" s="18">
        <v>6</v>
      </c>
    </row>
    <row r="2112" spans="1:29" ht="15.75" customHeight="1" x14ac:dyDescent="0.2">
      <c r="A2112" s="36" t="str">
        <f>HYPERLINK("https://www.sullivan.edu", "Sullivan University")</f>
        <v>Sullivan University</v>
      </c>
      <c r="B2112" s="18" t="s">
        <v>368</v>
      </c>
      <c r="C2112" s="18" t="s">
        <v>205</v>
      </c>
      <c r="D2112" s="18" t="s">
        <v>306</v>
      </c>
      <c r="E2112" s="18" t="s">
        <v>36</v>
      </c>
      <c r="F2112" s="18" t="s">
        <v>36</v>
      </c>
      <c r="J2112" s="19"/>
      <c r="K2112" s="19">
        <v>0.31719999999999998</v>
      </c>
      <c r="L2112" s="19">
        <v>0.122253521</v>
      </c>
      <c r="M2112" s="19">
        <v>0.4148</v>
      </c>
      <c r="N2112" s="19">
        <v>0.18920000000000001</v>
      </c>
      <c r="O2112" s="19" t="s">
        <v>36</v>
      </c>
      <c r="P2112" s="19">
        <v>0</v>
      </c>
      <c r="Q2112" s="19">
        <v>3.6733238000000001E-2</v>
      </c>
      <c r="R2112" s="20">
        <v>42120</v>
      </c>
      <c r="S2112" s="21" t="str">
        <f>HYPERLINK("https://www.sullivan.edu/net-price-calculator/", "$28687")</f>
        <v>$28687</v>
      </c>
      <c r="T2112" s="20">
        <v>31856</v>
      </c>
      <c r="U2112" s="20" t="s">
        <v>36</v>
      </c>
      <c r="V2112" s="20">
        <v>5685</v>
      </c>
      <c r="W2112" s="20">
        <v>23002</v>
      </c>
      <c r="Y2112" s="19">
        <v>0.59740000000000004</v>
      </c>
      <c r="Z2112" s="19">
        <v>0.49619999999999997</v>
      </c>
      <c r="AB2112" s="18">
        <v>2471</v>
      </c>
      <c r="AC2112" s="18">
        <v>6</v>
      </c>
    </row>
    <row r="2113" spans="1:29" ht="15.75" customHeight="1" x14ac:dyDescent="0.2">
      <c r="A2113" s="36" t="str">
        <f>HYPERLINK("https://www.surry.edu", "Surry Community College")</f>
        <v>Surry Community College</v>
      </c>
      <c r="B2113" s="18" t="s">
        <v>49</v>
      </c>
      <c r="C2113" s="18" t="s">
        <v>103</v>
      </c>
      <c r="D2113" s="18" t="s">
        <v>1719</v>
      </c>
      <c r="E2113" s="18" t="s">
        <v>36</v>
      </c>
      <c r="F2113" s="18" t="s">
        <v>36</v>
      </c>
      <c r="J2113" s="19"/>
      <c r="K2113" s="19">
        <v>0.31269999999999998</v>
      </c>
      <c r="L2113" s="19">
        <v>0.107942974</v>
      </c>
      <c r="M2113" s="19">
        <v>0.32350000000000001</v>
      </c>
      <c r="N2113" s="19">
        <v>0</v>
      </c>
      <c r="O2113" s="19">
        <v>0.27029999999999998</v>
      </c>
      <c r="P2113" s="19">
        <v>0</v>
      </c>
      <c r="Q2113" s="19">
        <v>9.0078328999999999E-2</v>
      </c>
      <c r="R2113" s="20">
        <v>22839</v>
      </c>
      <c r="S2113" s="21" t="str">
        <f>HYPERLINK("https://surry.edu/net-price-calculator/", "$17276")</f>
        <v>$17276</v>
      </c>
      <c r="T2113" s="20">
        <v>17380</v>
      </c>
      <c r="U2113" s="20">
        <v>17950</v>
      </c>
      <c r="V2113" s="20">
        <v>5825</v>
      </c>
      <c r="W2113" s="20">
        <v>11451.813793103451</v>
      </c>
      <c r="Y2113" s="19">
        <v>0.30399999999999999</v>
      </c>
      <c r="Z2113" s="19">
        <v>0.2069</v>
      </c>
      <c r="AB2113" s="18">
        <v>1967</v>
      </c>
      <c r="AC2113" s="18">
        <v>6</v>
      </c>
    </row>
    <row r="2114" spans="1:29" ht="15.75" customHeight="1" x14ac:dyDescent="0.2">
      <c r="A2114" s="36" t="str">
        <f>HYPERLINK("https://www.susqu.edu", "Susquehanna University")</f>
        <v>Susquehanna University</v>
      </c>
      <c r="B2114" s="18" t="s">
        <v>32</v>
      </c>
      <c r="C2114" s="18" t="s">
        <v>65</v>
      </c>
      <c r="D2114" s="18" t="s">
        <v>484</v>
      </c>
      <c r="E2114" s="18" t="s">
        <v>36</v>
      </c>
      <c r="F2114" s="18" t="s">
        <v>90</v>
      </c>
      <c r="J2114" s="19"/>
      <c r="K2114" s="19">
        <v>0.70620000000000005</v>
      </c>
      <c r="L2114" s="19">
        <v>0.61038961000000003</v>
      </c>
      <c r="M2114" s="19">
        <v>0.72270000000000001</v>
      </c>
      <c r="N2114" s="19">
        <v>0.55169999999999997</v>
      </c>
      <c r="O2114" s="19">
        <v>0.6552</v>
      </c>
      <c r="P2114" s="19">
        <v>0.33329999999999999</v>
      </c>
      <c r="Q2114" s="19"/>
      <c r="R2114" s="20">
        <v>59780</v>
      </c>
      <c r="S2114" s="21" t="str">
        <f>HYPERLINK("https://www.susqu.edu/admission-and-aid/tuition-and-financial-aid/net-price-calculator", "$17860")</f>
        <v>$17860</v>
      </c>
      <c r="T2114" s="20">
        <v>22917</v>
      </c>
      <c r="U2114" s="20">
        <v>25964</v>
      </c>
      <c r="V2114" s="20">
        <v>2220</v>
      </c>
      <c r="W2114" s="20">
        <v>15640</v>
      </c>
      <c r="Y2114" s="19">
        <v>0.25690000000000002</v>
      </c>
      <c r="Z2114" s="19">
        <v>0.2006</v>
      </c>
      <c r="AB2114" s="18">
        <v>2283</v>
      </c>
      <c r="AC2114" s="18">
        <v>3</v>
      </c>
    </row>
    <row r="2115" spans="1:29" ht="15.75" customHeight="1" x14ac:dyDescent="0.2">
      <c r="A2115" s="36" t="str">
        <f>HYPERLINK("https://www.sussex.edu", "Sussex County Community College")</f>
        <v>Sussex County Community College</v>
      </c>
      <c r="B2115" s="18" t="s">
        <v>49</v>
      </c>
      <c r="C2115" s="18" t="s">
        <v>141</v>
      </c>
      <c r="D2115" s="18" t="s">
        <v>791</v>
      </c>
      <c r="E2115" s="18" t="s">
        <v>36</v>
      </c>
      <c r="F2115" s="18" t="s">
        <v>36</v>
      </c>
      <c r="J2115" s="19"/>
      <c r="K2115" s="19">
        <v>0.33069999999999999</v>
      </c>
      <c r="L2115" s="19">
        <v>0.183529412</v>
      </c>
      <c r="M2115" s="19">
        <v>0.35980000000000001</v>
      </c>
      <c r="N2115" s="19">
        <v>0.16669999999999999</v>
      </c>
      <c r="O2115" s="19">
        <v>0.1618</v>
      </c>
      <c r="P2115" s="19">
        <v>0.25</v>
      </c>
      <c r="Q2115" s="19">
        <v>0.107574094</v>
      </c>
      <c r="R2115" s="20">
        <v>23693</v>
      </c>
      <c r="S2115" s="21" t="str">
        <f>HYPERLINK("https://sussex.edu/admissions/compare/", "$19481")</f>
        <v>$19481</v>
      </c>
      <c r="T2115" s="20">
        <v>22679</v>
      </c>
      <c r="U2115" s="20">
        <v>23288</v>
      </c>
      <c r="V2115" s="20">
        <v>7401</v>
      </c>
      <c r="W2115" s="20">
        <v>12080.361111111109</v>
      </c>
      <c r="Y2115" s="19">
        <v>0.35920000000000002</v>
      </c>
      <c r="Z2115" s="19">
        <v>0.19710000000000011</v>
      </c>
      <c r="AB2115" s="18">
        <v>2172</v>
      </c>
      <c r="AC2115" s="18">
        <v>6</v>
      </c>
    </row>
    <row r="2116" spans="1:29" ht="15.75" customHeight="1" x14ac:dyDescent="0.2">
      <c r="A2116" s="36" t="str">
        <f>HYPERLINK("https://www.swarthmore.edu", "Swarthmore College")</f>
        <v>Swarthmore College</v>
      </c>
      <c r="B2116" s="18" t="s">
        <v>32</v>
      </c>
      <c r="C2116" s="18" t="s">
        <v>65</v>
      </c>
      <c r="D2116" s="18" t="s">
        <v>155</v>
      </c>
      <c r="E2116" s="18">
        <v>1473</v>
      </c>
      <c r="F2116" s="18" t="s">
        <v>35</v>
      </c>
      <c r="J2116" s="19"/>
      <c r="K2116" s="19">
        <v>0.94040000000000001</v>
      </c>
      <c r="L2116" s="19" t="s">
        <v>36</v>
      </c>
      <c r="M2116" s="19">
        <v>0.96789999999999998</v>
      </c>
      <c r="N2116" s="19">
        <v>0.84</v>
      </c>
      <c r="O2116" s="19">
        <v>0.9355</v>
      </c>
      <c r="P2116" s="19">
        <v>0.98080000000000001</v>
      </c>
      <c r="Q2116" s="19"/>
      <c r="R2116" s="20">
        <v>68846</v>
      </c>
      <c r="S2116" s="21" t="str">
        <f>HYPERLINK("https://www.swarthmore.edu/admissions-and-aid/financial-aid-and-cost-information/prospective-students/net-price-calculator.xml", "$5489")</f>
        <v>$5489</v>
      </c>
      <c r="T2116" s="20">
        <v>16603</v>
      </c>
      <c r="U2116" s="20">
        <v>29865</v>
      </c>
      <c r="V2116" s="20">
        <v>3072</v>
      </c>
      <c r="W2116" s="20">
        <v>2417</v>
      </c>
      <c r="X2116" s="18" t="s">
        <v>37</v>
      </c>
      <c r="Y2116" s="19">
        <v>0.16270000000000001</v>
      </c>
      <c r="Z2116" s="19">
        <v>0.59739999999999993</v>
      </c>
      <c r="AA2116" s="18" t="s">
        <v>37</v>
      </c>
      <c r="AB2116" s="18">
        <v>1565</v>
      </c>
      <c r="AC2116" s="18">
        <v>1</v>
      </c>
    </row>
    <row r="2117" spans="1:29" ht="15.75" customHeight="1" x14ac:dyDescent="0.2">
      <c r="A2117" s="36" t="str">
        <f>HYPERLINK("https://www.swedishinstitute.edu", "Swedish Institute a College of Health Sciences")</f>
        <v>Swedish Institute a College of Health Sciences</v>
      </c>
      <c r="B2117" s="18" t="s">
        <v>368</v>
      </c>
      <c r="C2117" s="18" t="s">
        <v>38</v>
      </c>
      <c r="D2117" s="18" t="s">
        <v>39</v>
      </c>
      <c r="E2117" s="18" t="s">
        <v>36</v>
      </c>
      <c r="F2117" s="18" t="s">
        <v>36</v>
      </c>
      <c r="J2117" s="19"/>
      <c r="K2117" s="19">
        <v>0.49380000000000002</v>
      </c>
      <c r="L2117" s="19">
        <v>0.48356807499999999</v>
      </c>
      <c r="M2117" s="19">
        <v>0.57140000000000002</v>
      </c>
      <c r="N2117" s="19">
        <v>0.52780000000000005</v>
      </c>
      <c r="O2117" s="19">
        <v>0.4118</v>
      </c>
      <c r="P2117" s="19">
        <v>0.66669999999999996</v>
      </c>
      <c r="Q2117" s="19">
        <v>4.5977011999999998E-2</v>
      </c>
      <c r="R2117" s="20">
        <v>26452</v>
      </c>
      <c r="S2117" s="21" t="str">
        <f>HYPERLINK("https://www.swedishinstitute.edu", "$20721")</f>
        <v>$20721</v>
      </c>
      <c r="T2117" s="20">
        <v>15784</v>
      </c>
      <c r="U2117" s="20">
        <v>22393</v>
      </c>
      <c r="V2117" s="20">
        <v>5252</v>
      </c>
      <c r="W2117" s="20">
        <v>15469</v>
      </c>
      <c r="Y2117" s="19">
        <v>0.69689999999999996</v>
      </c>
      <c r="Z2117" s="19">
        <v>0.8841</v>
      </c>
      <c r="AB2117" s="18">
        <v>716</v>
      </c>
      <c r="AC2117" s="18">
        <v>6</v>
      </c>
    </row>
    <row r="2118" spans="1:29" ht="15.75" customHeight="1" x14ac:dyDescent="0.2">
      <c r="A2118" s="36" t="str">
        <f>HYPERLINK("https://www.sbc.edu", "Sweet Briar College")</f>
        <v>Sweet Briar College</v>
      </c>
      <c r="B2118" s="18" t="s">
        <v>32</v>
      </c>
      <c r="C2118" s="18" t="s">
        <v>83</v>
      </c>
      <c r="D2118" s="18" t="s">
        <v>1213</v>
      </c>
      <c r="E2118" s="18">
        <v>1117</v>
      </c>
      <c r="F2118" s="18" t="s">
        <v>35</v>
      </c>
      <c r="J2118" s="19"/>
      <c r="K2118" s="19">
        <v>0.54120000000000001</v>
      </c>
      <c r="L2118" s="19">
        <v>0.5</v>
      </c>
      <c r="M2118" s="19">
        <v>0.59179999999999999</v>
      </c>
      <c r="N2118" s="19">
        <v>0.28570000000000001</v>
      </c>
      <c r="O2118" s="19">
        <v>0.36359999999999998</v>
      </c>
      <c r="P2118" s="19">
        <v>0.2</v>
      </c>
      <c r="Q2118" s="19"/>
      <c r="R2118" s="20">
        <v>54155</v>
      </c>
      <c r="S2118" s="21" t="str">
        <f>HYPERLINK("https://npc.collegeboard.org/student/app/sbc", "$19983")</f>
        <v>$19983</v>
      </c>
      <c r="T2118" s="20">
        <v>18932</v>
      </c>
      <c r="U2118" s="20">
        <v>22691</v>
      </c>
      <c r="V2118" s="20">
        <v>4100</v>
      </c>
      <c r="W2118" s="20">
        <v>15883</v>
      </c>
      <c r="Y2118" s="19">
        <v>0.3342</v>
      </c>
      <c r="Z2118" s="19">
        <v>0.27050000000000002</v>
      </c>
      <c r="AB2118" s="18">
        <v>281</v>
      </c>
      <c r="AC2118" s="18">
        <v>4</v>
      </c>
    </row>
    <row r="2119" spans="1:29" ht="15.75" customHeight="1" x14ac:dyDescent="0.2">
      <c r="A2119" s="36" t="str">
        <f>HYPERLINK("https://www.syracuse.edu", "Syracuse University")</f>
        <v>Syracuse University</v>
      </c>
      <c r="B2119" s="18" t="s">
        <v>32</v>
      </c>
      <c r="C2119" s="18" t="s">
        <v>38</v>
      </c>
      <c r="D2119" s="18" t="s">
        <v>242</v>
      </c>
      <c r="E2119" s="18">
        <v>1277</v>
      </c>
      <c r="F2119" s="18" t="s">
        <v>35</v>
      </c>
      <c r="G2119" s="18" t="s">
        <v>40</v>
      </c>
      <c r="H2119" s="18" t="s">
        <v>259</v>
      </c>
      <c r="I2119" s="18" t="s">
        <v>260</v>
      </c>
      <c r="J2119" s="19"/>
      <c r="K2119" s="19">
        <v>0.82720000000000005</v>
      </c>
      <c r="L2119" s="19">
        <v>0.68310911799999996</v>
      </c>
      <c r="M2119" s="19">
        <v>0.85389999999999999</v>
      </c>
      <c r="N2119" s="19">
        <v>0.81969999999999998</v>
      </c>
      <c r="O2119" s="19">
        <v>0.78890000000000005</v>
      </c>
      <c r="P2119" s="19">
        <v>0.81820000000000004</v>
      </c>
      <c r="Q2119" s="19"/>
      <c r="R2119" s="20">
        <v>65480</v>
      </c>
      <c r="S2119" s="21" t="str">
        <f>HYPERLINK("https://www.syracuse.edu/admissions/cost-and-aid/cost-of-attendance/undergraduate/net-price-calculator/", "$20916")</f>
        <v>$20916</v>
      </c>
      <c r="T2119" s="20">
        <v>26730</v>
      </c>
      <c r="U2119" s="20">
        <v>30860</v>
      </c>
      <c r="V2119" s="20">
        <v>3167</v>
      </c>
      <c r="W2119" s="20">
        <v>17749</v>
      </c>
      <c r="Y2119" s="19">
        <v>0.2137</v>
      </c>
      <c r="Z2119" s="19">
        <v>0.43080000000000002</v>
      </c>
      <c r="AA2119" s="18" t="s">
        <v>37</v>
      </c>
      <c r="AB2119" s="18">
        <v>14788</v>
      </c>
      <c r="AC2119" s="18">
        <v>2</v>
      </c>
    </row>
    <row r="2120" spans="1:29" ht="15.75" customHeight="1" x14ac:dyDescent="0.2">
      <c r="A2120" s="36" t="str">
        <f>HYPERLINK("https://tabor.edu/", "Tabor College")</f>
        <v>Tabor College</v>
      </c>
      <c r="B2120" s="18" t="s">
        <v>32</v>
      </c>
      <c r="C2120" s="18" t="s">
        <v>307</v>
      </c>
      <c r="D2120" s="18" t="s">
        <v>854</v>
      </c>
      <c r="E2120" s="18">
        <v>1048</v>
      </c>
      <c r="F2120" s="18" t="s">
        <v>35</v>
      </c>
      <c r="J2120" s="19"/>
      <c r="K2120" s="19">
        <v>0.3841</v>
      </c>
      <c r="L2120" s="19">
        <v>0.28571428599999998</v>
      </c>
      <c r="M2120" s="19">
        <v>0.45219999999999999</v>
      </c>
      <c r="N2120" s="19">
        <v>0.3</v>
      </c>
      <c r="O2120" s="19">
        <v>0.1111</v>
      </c>
      <c r="P2120" s="19" t="s">
        <v>36</v>
      </c>
      <c r="Q2120" s="19"/>
      <c r="R2120" s="20">
        <v>42451</v>
      </c>
      <c r="S2120" s="21" t="str">
        <f>HYPERLINK("https://tabor.edu/wp-content/npcalc/npcalc.htm", "$21291")</f>
        <v>$21291</v>
      </c>
      <c r="T2120" s="20">
        <v>22208</v>
      </c>
      <c r="U2120" s="20">
        <v>24149</v>
      </c>
      <c r="V2120" s="20">
        <v>5650</v>
      </c>
      <c r="W2120" s="20">
        <v>15641</v>
      </c>
      <c r="Y2120" s="19">
        <v>0.43130000000000002</v>
      </c>
      <c r="Z2120" s="19">
        <v>0.40029999999999999</v>
      </c>
      <c r="AB2120" s="18">
        <v>632</v>
      </c>
      <c r="AC2120" s="18">
        <v>5</v>
      </c>
    </row>
    <row r="2121" spans="1:29" ht="15.75" customHeight="1" x14ac:dyDescent="0.2">
      <c r="A2121" s="36" t="str">
        <f>HYPERLINK("https://www.tacomacc.edu", "Tacoma Community College")</f>
        <v>Tacoma Community College</v>
      </c>
      <c r="B2121" s="18" t="s">
        <v>49</v>
      </c>
      <c r="C2121" s="18" t="s">
        <v>184</v>
      </c>
      <c r="D2121" s="18" t="s">
        <v>286</v>
      </c>
      <c r="E2121" s="18" t="s">
        <v>36</v>
      </c>
      <c r="F2121" s="18" t="s">
        <v>36</v>
      </c>
      <c r="J2121" s="19"/>
      <c r="K2121" s="19">
        <v>0.25359999999999999</v>
      </c>
      <c r="L2121" s="19">
        <v>0.18137254899999999</v>
      </c>
      <c r="M2121" s="19">
        <v>0.28699999999999998</v>
      </c>
      <c r="N2121" s="19">
        <v>3.1300000000000001E-2</v>
      </c>
      <c r="O2121" s="19">
        <v>0.1429</v>
      </c>
      <c r="P2121" s="19">
        <v>0.34620000000000001</v>
      </c>
      <c r="Q2121" s="19">
        <v>0.12780898900000001</v>
      </c>
      <c r="R2121" s="20">
        <v>23304</v>
      </c>
      <c r="S2121" s="21" t="str">
        <f>HYPERLINK("https://www.tacomacc.edu/files/abouttcc/studentconsumerinfomation/npcalc.htm", "$16721")</f>
        <v>$16721</v>
      </c>
      <c r="T2121" s="20">
        <v>19509</v>
      </c>
      <c r="U2121" s="20">
        <v>22006</v>
      </c>
      <c r="V2121" s="20">
        <v>4050</v>
      </c>
      <c r="W2121" s="20">
        <v>12671.87037037037</v>
      </c>
      <c r="Y2121" s="19">
        <v>0.27960000000000002</v>
      </c>
      <c r="Z2121" s="19">
        <v>0.55400000000000005</v>
      </c>
      <c r="AB2121" s="18">
        <v>5966</v>
      </c>
      <c r="AC2121" s="18">
        <v>6</v>
      </c>
    </row>
    <row r="2122" spans="1:29" ht="15.75" customHeight="1" x14ac:dyDescent="0.2">
      <c r="A2122" s="36" t="str">
        <f>HYPERLINK("https://www.taftcollege.edu", "Taft College")</f>
        <v>Taft College</v>
      </c>
      <c r="B2122" s="18" t="s">
        <v>49</v>
      </c>
      <c r="C2122" s="18" t="s">
        <v>68</v>
      </c>
      <c r="D2122" s="18" t="s">
        <v>1720</v>
      </c>
      <c r="E2122" s="18" t="s">
        <v>36</v>
      </c>
      <c r="F2122" s="18" t="s">
        <v>36</v>
      </c>
      <c r="J2122" s="19"/>
      <c r="K2122" s="19">
        <v>0.38619999999999999</v>
      </c>
      <c r="L2122" s="19">
        <v>6.1224489999999999E-2</v>
      </c>
      <c r="M2122" s="19">
        <v>0.40200000000000002</v>
      </c>
      <c r="N2122" s="19">
        <v>1</v>
      </c>
      <c r="O2122" s="19">
        <v>0.33850000000000002</v>
      </c>
      <c r="P2122" s="19">
        <v>0.5</v>
      </c>
      <c r="Q2122" s="19">
        <v>0.10736842100000001</v>
      </c>
      <c r="R2122" s="20">
        <v>18939</v>
      </c>
      <c r="S2122" s="21" t="str">
        <f>HYPERLINK("https://misweb.cccco.edu/npc/691/npcalc.htm", "$12011")</f>
        <v>$12011</v>
      </c>
      <c r="T2122" s="20">
        <v>15375</v>
      </c>
      <c r="U2122" s="20">
        <v>15795</v>
      </c>
      <c r="V2122" s="20">
        <v>5094</v>
      </c>
      <c r="W2122" s="20">
        <v>6917.7428571428572</v>
      </c>
      <c r="Y2122" s="19">
        <v>0.18490000000000001</v>
      </c>
      <c r="Z2122" s="19">
        <v>0.69850000000000001</v>
      </c>
      <c r="AB2122" s="18">
        <v>5704</v>
      </c>
      <c r="AC2122" s="18">
        <v>6</v>
      </c>
    </row>
    <row r="2123" spans="1:29" ht="15.75" customHeight="1" x14ac:dyDescent="0.2">
      <c r="A2123" s="36" t="str">
        <f>HYPERLINK("https://www.talladega.edu", "Talladega College")</f>
        <v>Talladega College</v>
      </c>
      <c r="B2123" s="18" t="s">
        <v>32</v>
      </c>
      <c r="C2123" s="18" t="s">
        <v>300</v>
      </c>
      <c r="D2123" s="18" t="s">
        <v>1215</v>
      </c>
      <c r="E2123" s="18" t="s">
        <v>36</v>
      </c>
      <c r="F2123" s="18" t="s">
        <v>36</v>
      </c>
      <c r="J2123" s="19"/>
      <c r="K2123" s="19">
        <v>0.498</v>
      </c>
      <c r="L2123" s="19">
        <v>0.24074074100000001</v>
      </c>
      <c r="M2123" s="19">
        <v>0.64710000000000001</v>
      </c>
      <c r="N2123" s="19">
        <v>0.48649999999999999</v>
      </c>
      <c r="O2123" s="19">
        <v>0.55559999999999998</v>
      </c>
      <c r="P2123" s="19">
        <v>0</v>
      </c>
      <c r="Q2123" s="19"/>
      <c r="R2123" s="20">
        <v>22514</v>
      </c>
      <c r="S2123" s="21" t="str">
        <f>HYPERLINK("https://www.talladega.edu/netcalc/npcalc.htm", "$15381")</f>
        <v>$15381</v>
      </c>
      <c r="T2123" s="20">
        <v>12865</v>
      </c>
      <c r="U2123" s="20" t="s">
        <v>36</v>
      </c>
      <c r="V2123" s="20">
        <v>3470</v>
      </c>
      <c r="W2123" s="20">
        <v>11911</v>
      </c>
      <c r="Y2123" s="19">
        <v>0.92589999999999995</v>
      </c>
      <c r="Z2123" s="19">
        <v>0.98080000000000001</v>
      </c>
      <c r="AB2123" s="18">
        <v>782</v>
      </c>
      <c r="AC2123" s="18">
        <v>4</v>
      </c>
    </row>
    <row r="2124" spans="1:29" ht="15.75" customHeight="1" x14ac:dyDescent="0.2">
      <c r="A2124" s="36" t="str">
        <f>HYPERLINK("https://www.tcc.fl.edu", "Tallahassee Community College")</f>
        <v>Tallahassee Community College</v>
      </c>
      <c r="B2124" s="18" t="s">
        <v>49</v>
      </c>
      <c r="C2124" s="18" t="s">
        <v>162</v>
      </c>
      <c r="D2124" s="18" t="s">
        <v>216</v>
      </c>
      <c r="E2124" s="18" t="s">
        <v>36</v>
      </c>
      <c r="F2124" s="18" t="s">
        <v>36</v>
      </c>
      <c r="J2124" s="19"/>
      <c r="K2124" s="19">
        <v>0.31859999999999999</v>
      </c>
      <c r="L2124" s="19">
        <v>0.196428571</v>
      </c>
      <c r="M2124" s="19">
        <v>0.46110000000000001</v>
      </c>
      <c r="N2124" s="19">
        <v>0.15670000000000001</v>
      </c>
      <c r="O2124" s="19">
        <v>0.35320000000000001</v>
      </c>
      <c r="P2124" s="19">
        <v>0.28570000000000001</v>
      </c>
      <c r="Q2124" s="19">
        <v>9.7296098999999997E-2</v>
      </c>
      <c r="R2124" s="20">
        <v>16662</v>
      </c>
      <c r="S2124" s="21" t="str">
        <f>HYPERLINK("https://www.tcc.fl.edu/admissions/financial-aid/cashiers-office/how-much-does-tcc-cost/", "$11811")</f>
        <v>$11811</v>
      </c>
      <c r="T2124" s="20">
        <v>14366</v>
      </c>
      <c r="U2124" s="20">
        <v>16516</v>
      </c>
      <c r="V2124" s="20">
        <v>2600</v>
      </c>
      <c r="W2124" s="20">
        <v>9211.1312272174982</v>
      </c>
      <c r="Y2124" s="19">
        <v>0.39939999999999998</v>
      </c>
      <c r="Z2124" s="19">
        <v>0.52299999999999991</v>
      </c>
      <c r="AB2124" s="18">
        <v>10717</v>
      </c>
      <c r="AC2124" s="18">
        <v>6</v>
      </c>
    </row>
    <row r="2125" spans="1:29" ht="15.75" customHeight="1" x14ac:dyDescent="0.2">
      <c r="A2125" s="36" t="str">
        <f>HYPERLINK("https://www.tiuny.org", "Talmudical Institute of Upstate New York")</f>
        <v>Talmudical Institute of Upstate New York</v>
      </c>
      <c r="B2125" s="18" t="s">
        <v>32</v>
      </c>
      <c r="C2125" s="18" t="s">
        <v>38</v>
      </c>
      <c r="D2125" s="18" t="s">
        <v>170</v>
      </c>
      <c r="E2125" s="18" t="s">
        <v>36</v>
      </c>
      <c r="F2125" s="18" t="s">
        <v>45</v>
      </c>
      <c r="J2125" s="19"/>
      <c r="K2125" s="19">
        <v>0.33329999999999999</v>
      </c>
      <c r="L2125" s="19" t="s">
        <v>36</v>
      </c>
      <c r="M2125" s="19">
        <v>0.33329999999999999</v>
      </c>
      <c r="N2125" s="19" t="s">
        <v>36</v>
      </c>
      <c r="O2125" s="19" t="s">
        <v>36</v>
      </c>
      <c r="P2125" s="19" t="s">
        <v>36</v>
      </c>
      <c r="Q2125" s="19" t="s">
        <v>36</v>
      </c>
      <c r="R2125" s="20">
        <v>13800</v>
      </c>
      <c r="S2125" s="21" t="str">
        <f>HYPERLINK("https://sites.google.com/site/talmudicalinstituteofupstateny/", "Not reported")</f>
        <v>Not reported</v>
      </c>
      <c r="T2125" s="20" t="s">
        <v>36</v>
      </c>
      <c r="U2125" s="20">
        <v>5435</v>
      </c>
      <c r="V2125" s="20">
        <v>4000</v>
      </c>
      <c r="W2125" s="20" t="s">
        <v>36</v>
      </c>
      <c r="Y2125" s="19">
        <v>0.5</v>
      </c>
      <c r="Z2125" s="19">
        <v>0.22220000000000001</v>
      </c>
      <c r="AB2125" s="18">
        <v>9</v>
      </c>
      <c r="AC2125" s="18">
        <v>6</v>
      </c>
    </row>
    <row r="2126" spans="1:29" ht="15.75" customHeight="1" x14ac:dyDescent="0.2">
      <c r="A2126" s="36" t="str">
        <f>HYPERLINK("https://www.tsot.edu/", "Talmudical Seminary Oholei Torah")</f>
        <v>Talmudical Seminary Oholei Torah</v>
      </c>
      <c r="B2126" s="18" t="s">
        <v>32</v>
      </c>
      <c r="C2126" s="18" t="s">
        <v>38</v>
      </c>
      <c r="D2126" s="18" t="s">
        <v>593</v>
      </c>
      <c r="E2126" s="18" t="s">
        <v>36</v>
      </c>
      <c r="F2126" s="18" t="s">
        <v>45</v>
      </c>
      <c r="J2126" s="19"/>
      <c r="K2126" s="19">
        <v>0.1067</v>
      </c>
      <c r="L2126" s="19" t="s">
        <v>36</v>
      </c>
      <c r="M2126" s="19">
        <v>0.1067</v>
      </c>
      <c r="N2126" s="19" t="s">
        <v>36</v>
      </c>
      <c r="O2126" s="19" t="s">
        <v>36</v>
      </c>
      <c r="P2126" s="19" t="s">
        <v>36</v>
      </c>
      <c r="Q2126" s="19" t="s">
        <v>36</v>
      </c>
      <c r="R2126" s="20">
        <v>20500</v>
      </c>
      <c r="S2126" s="21" t="str">
        <f>HYPERLINK("https://tsot.edu/NetPriceCalculator.html", "$5015")</f>
        <v>$5015</v>
      </c>
      <c r="T2126" s="20">
        <v>7563</v>
      </c>
      <c r="U2126" s="20">
        <v>10746</v>
      </c>
      <c r="V2126" s="20">
        <v>4000</v>
      </c>
      <c r="W2126" s="20">
        <v>1015</v>
      </c>
      <c r="Y2126" s="19">
        <v>0.58909999999999996</v>
      </c>
      <c r="Z2126" s="19">
        <v>0</v>
      </c>
      <c r="AB2126" s="18">
        <v>300</v>
      </c>
      <c r="AC2126" s="18">
        <v>6</v>
      </c>
    </row>
    <row r="2127" spans="1:29" ht="15.75" customHeight="1" x14ac:dyDescent="0.2">
      <c r="A2127" s="36" t="str">
        <f>HYPERLINK("https://www.tarleton.edu", "Tarleton State University")</f>
        <v>Tarleton State University</v>
      </c>
      <c r="B2127" s="18" t="s">
        <v>49</v>
      </c>
      <c r="C2127" s="18" t="s">
        <v>146</v>
      </c>
      <c r="D2127" s="18" t="s">
        <v>858</v>
      </c>
      <c r="E2127" s="18">
        <v>1042</v>
      </c>
      <c r="F2127" s="18" t="s">
        <v>35</v>
      </c>
      <c r="J2127" s="19"/>
      <c r="K2127" s="19">
        <v>0.46350000000000002</v>
      </c>
      <c r="L2127" s="19">
        <v>0.43330179800000002</v>
      </c>
      <c r="M2127" s="19">
        <v>0.47989999999999999</v>
      </c>
      <c r="N2127" s="19">
        <v>0.38030000000000003</v>
      </c>
      <c r="O2127" s="19">
        <v>0.41260000000000002</v>
      </c>
      <c r="P2127" s="19">
        <v>0.1429</v>
      </c>
      <c r="Q2127" s="19"/>
      <c r="R2127" s="20">
        <v>30131</v>
      </c>
      <c r="S2127" s="21" t="str">
        <f>HYPERLINK("https://www.collegeforalltexans.com/apps/CollegeMoney/index.php", "$25176")</f>
        <v>$25176</v>
      </c>
      <c r="T2127" s="20">
        <v>28484</v>
      </c>
      <c r="U2127" s="20">
        <v>29993</v>
      </c>
      <c r="V2127" s="20">
        <v>5400</v>
      </c>
      <c r="W2127" s="20">
        <v>19776.05954198473</v>
      </c>
      <c r="Y2127" s="19">
        <v>0.39560000000000001</v>
      </c>
      <c r="Z2127" s="19">
        <v>0.34139999999999998</v>
      </c>
      <c r="AB2127" s="18">
        <v>11283</v>
      </c>
      <c r="AC2127" s="18">
        <v>5</v>
      </c>
    </row>
    <row r="2128" spans="1:29" ht="15.75" customHeight="1" x14ac:dyDescent="0.2">
      <c r="A2128" s="36" t="str">
        <f>HYPERLINK("https://www.tccd.edu", "Tarrant County College District")</f>
        <v>Tarrant County College District</v>
      </c>
      <c r="B2128" s="18" t="s">
        <v>49</v>
      </c>
      <c r="C2128" s="18" t="s">
        <v>146</v>
      </c>
      <c r="D2128" s="18" t="s">
        <v>262</v>
      </c>
      <c r="E2128" s="18" t="s">
        <v>36</v>
      </c>
      <c r="F2128" s="18" t="s">
        <v>36</v>
      </c>
      <c r="J2128" s="19"/>
      <c r="K2128" s="19">
        <v>0.1951</v>
      </c>
      <c r="L2128" s="19">
        <v>0.12118152</v>
      </c>
      <c r="M2128" s="19">
        <v>0.21479999999999999</v>
      </c>
      <c r="N2128" s="19">
        <v>0.10390000000000001</v>
      </c>
      <c r="O2128" s="19">
        <v>0.22389999999999999</v>
      </c>
      <c r="P2128" s="19">
        <v>0.25319999999999998</v>
      </c>
      <c r="Q2128" s="19">
        <v>0.10391198</v>
      </c>
      <c r="R2128" s="20">
        <v>22035</v>
      </c>
      <c r="S2128" s="21" t="str">
        <f>HYPERLINK("https://www.tccd.edu/services/paying-for-college/tuition-and-fees/cost-of-attendance/", "$17408")</f>
        <v>$17408</v>
      </c>
      <c r="T2128" s="20">
        <v>19120</v>
      </c>
      <c r="U2128" s="20">
        <v>21096</v>
      </c>
      <c r="V2128" s="20">
        <v>6136</v>
      </c>
      <c r="W2128" s="20">
        <v>11272.28802588997</v>
      </c>
      <c r="Y2128" s="19">
        <v>0.31950000000000001</v>
      </c>
      <c r="Z2128" s="19">
        <v>0.64060000000000006</v>
      </c>
      <c r="AB2128" s="18">
        <v>41182</v>
      </c>
      <c r="AC2128" s="18">
        <v>6</v>
      </c>
    </row>
    <row r="2129" spans="1:29" ht="15.75" customHeight="1" x14ac:dyDescent="0.2">
      <c r="A2129" s="36" t="str">
        <f>HYPERLINK("https://www.tbiil.edu", "Taylor Business Institute")</f>
        <v>Taylor Business Institute</v>
      </c>
      <c r="B2129" s="18" t="s">
        <v>368</v>
      </c>
      <c r="C2129" s="18" t="s">
        <v>137</v>
      </c>
      <c r="D2129" s="18" t="s">
        <v>161</v>
      </c>
      <c r="E2129" s="18" t="s">
        <v>36</v>
      </c>
      <c r="F2129" s="18" t="s">
        <v>45</v>
      </c>
      <c r="J2129" s="19"/>
      <c r="K2129" s="19">
        <v>0.66599999999999993</v>
      </c>
      <c r="L2129" s="19" t="s">
        <v>36</v>
      </c>
      <c r="M2129" s="19">
        <v>1</v>
      </c>
      <c r="N2129" s="19">
        <v>0.18559999999999999</v>
      </c>
      <c r="O2129" s="19">
        <v>0.28570000000000001</v>
      </c>
      <c r="P2129" s="19" t="s">
        <v>36</v>
      </c>
      <c r="Q2129" s="19" t="s">
        <v>36</v>
      </c>
      <c r="R2129" s="20">
        <v>22050</v>
      </c>
      <c r="S2129" s="21" t="str">
        <f>HYPERLINK("https://www.tbiil.edu", "$16485")</f>
        <v>$16485</v>
      </c>
      <c r="T2129" s="20" t="s">
        <v>36</v>
      </c>
      <c r="U2129" s="20" t="s">
        <v>36</v>
      </c>
      <c r="V2129" s="20">
        <v>3375</v>
      </c>
      <c r="W2129" s="20">
        <v>13110</v>
      </c>
      <c r="Y2129" s="19">
        <v>0.15409999999999999</v>
      </c>
      <c r="Z2129" s="19">
        <v>0.99209999999999998</v>
      </c>
      <c r="AB2129" s="18">
        <v>127</v>
      </c>
      <c r="AC2129" s="18">
        <v>6</v>
      </c>
    </row>
    <row r="2130" spans="1:29" ht="15.75" customHeight="1" x14ac:dyDescent="0.2">
      <c r="A2130" s="36" t="str">
        <f>HYPERLINK("https://www.taylorcollege.edu", "Taylor College")</f>
        <v>Taylor College</v>
      </c>
      <c r="B2130" s="18" t="s">
        <v>368</v>
      </c>
      <c r="C2130" s="18" t="s">
        <v>162</v>
      </c>
      <c r="D2130" s="18" t="s">
        <v>1721</v>
      </c>
      <c r="E2130" s="18" t="s">
        <v>36</v>
      </c>
      <c r="F2130" s="18" t="s">
        <v>36</v>
      </c>
      <c r="J2130" s="19"/>
      <c r="K2130" s="19">
        <v>0.88890000000000002</v>
      </c>
      <c r="L2130" s="19">
        <v>0.6</v>
      </c>
      <c r="M2130" s="19">
        <v>1</v>
      </c>
      <c r="N2130" s="19">
        <v>0.66669999999999996</v>
      </c>
      <c r="O2130" s="19">
        <v>0.66669999999999996</v>
      </c>
      <c r="P2130" s="19" t="s">
        <v>36</v>
      </c>
      <c r="Q2130" s="19" t="s">
        <v>36</v>
      </c>
      <c r="R2130" s="20">
        <v>26296</v>
      </c>
      <c r="S2130" s="21" t="str">
        <f>HYPERLINK("https://www.taylorcollege.edu/NetPriceCalculator/2015-2016/npcalc.htm", "$22785")</f>
        <v>$22785</v>
      </c>
      <c r="T2130" s="20">
        <v>25942</v>
      </c>
      <c r="U2130" s="20">
        <v>25942</v>
      </c>
      <c r="V2130" s="20">
        <v>8654</v>
      </c>
      <c r="W2130" s="20">
        <v>14131</v>
      </c>
      <c r="Y2130" s="19">
        <v>0.65500000000000003</v>
      </c>
      <c r="Z2130" s="19">
        <v>0.33729999999999999</v>
      </c>
      <c r="AB2130" s="18">
        <v>166</v>
      </c>
      <c r="AC2130" s="18">
        <v>6</v>
      </c>
    </row>
    <row r="2131" spans="1:29" ht="15.75" customHeight="1" x14ac:dyDescent="0.2">
      <c r="A2131" s="36" t="str">
        <f>HYPERLINK("https://www.taylor.edu", "Taylor University")</f>
        <v>Taylor University</v>
      </c>
      <c r="B2131" s="18" t="s">
        <v>32</v>
      </c>
      <c r="C2131" s="18" t="s">
        <v>148</v>
      </c>
      <c r="D2131" s="18" t="s">
        <v>485</v>
      </c>
      <c r="E2131" s="18">
        <v>1204</v>
      </c>
      <c r="F2131" s="18" t="s">
        <v>35</v>
      </c>
      <c r="J2131" s="19"/>
      <c r="K2131" s="19">
        <v>0.78520000000000001</v>
      </c>
      <c r="L2131" s="19">
        <v>0.59420289900000001</v>
      </c>
      <c r="M2131" s="19">
        <v>0.8034</v>
      </c>
      <c r="N2131" s="19">
        <v>0.6</v>
      </c>
      <c r="O2131" s="19">
        <v>0.75</v>
      </c>
      <c r="P2131" s="19">
        <v>0.57140000000000002</v>
      </c>
      <c r="Q2131" s="19"/>
      <c r="R2131" s="20">
        <v>45330</v>
      </c>
      <c r="S2131" s="21" t="str">
        <f>HYPERLINK("https://www.taylor.edu/tuition-and-funding/net-price-calculator", "$18045")</f>
        <v>$18045</v>
      </c>
      <c r="T2131" s="20">
        <v>22446</v>
      </c>
      <c r="U2131" s="20">
        <v>25098</v>
      </c>
      <c r="V2131" s="20">
        <v>3200</v>
      </c>
      <c r="W2131" s="20">
        <v>14845</v>
      </c>
      <c r="Y2131" s="19">
        <v>0.1661</v>
      </c>
      <c r="Z2131" s="19">
        <v>0.16850000000000001</v>
      </c>
      <c r="AB2131" s="18">
        <v>1858</v>
      </c>
      <c r="AC2131" s="18">
        <v>3</v>
      </c>
    </row>
    <row r="2132" spans="1:29" ht="15.75" customHeight="1" x14ac:dyDescent="0.2">
      <c r="A2132" s="36" t="str">
        <f>HYPERLINK("https://www.tcl.edu", "Technical College of the Lowcountry")</f>
        <v>Technical College of the Lowcountry</v>
      </c>
      <c r="B2132" s="18" t="s">
        <v>49</v>
      </c>
      <c r="C2132" s="18" t="s">
        <v>208</v>
      </c>
      <c r="D2132" s="18" t="s">
        <v>1722</v>
      </c>
      <c r="E2132" s="18" t="s">
        <v>36</v>
      </c>
      <c r="F2132" s="18" t="s">
        <v>36</v>
      </c>
      <c r="J2132" s="19"/>
      <c r="K2132" s="19">
        <v>0.127</v>
      </c>
      <c r="L2132" s="19">
        <v>0.13318777300000001</v>
      </c>
      <c r="M2132" s="19">
        <v>0.1845</v>
      </c>
      <c r="N2132" s="19">
        <v>7.1400000000000005E-2</v>
      </c>
      <c r="O2132" s="19">
        <v>6.25E-2</v>
      </c>
      <c r="P2132" s="19" t="s">
        <v>36</v>
      </c>
      <c r="Q2132" s="19">
        <v>7.4539363999999997E-2</v>
      </c>
      <c r="R2132" s="20">
        <v>22373</v>
      </c>
      <c r="S2132" s="21" t="str">
        <f>HYPERLINK("https://uploads.tcl.edu/npcalc/npcalc.htm", "$15044")</f>
        <v>$15044</v>
      </c>
      <c r="T2132" s="20">
        <v>20227</v>
      </c>
      <c r="U2132" s="20" t="s">
        <v>36</v>
      </c>
      <c r="V2132" s="20">
        <v>6193</v>
      </c>
      <c r="W2132" s="20">
        <v>8851.9607843137255</v>
      </c>
      <c r="Y2132" s="19">
        <v>0.50780000000000003</v>
      </c>
      <c r="Z2132" s="19">
        <v>0.54400000000000004</v>
      </c>
      <c r="AB2132" s="18">
        <v>1976</v>
      </c>
      <c r="AC2132" s="18">
        <v>6</v>
      </c>
    </row>
    <row r="2133" spans="1:29" ht="15.75" customHeight="1" x14ac:dyDescent="0.2">
      <c r="A2133" s="36" t="str">
        <f>HYPERLINK("https://www.templejc.edu", "Temple College")</f>
        <v>Temple College</v>
      </c>
      <c r="B2133" s="18" t="s">
        <v>49</v>
      </c>
      <c r="C2133" s="18" t="s">
        <v>146</v>
      </c>
      <c r="D2133" s="18" t="s">
        <v>1723</v>
      </c>
      <c r="E2133" s="18" t="s">
        <v>36</v>
      </c>
      <c r="F2133" s="18" t="s">
        <v>36</v>
      </c>
      <c r="J2133" s="19"/>
      <c r="K2133" s="19">
        <v>0.15379999999999999</v>
      </c>
      <c r="L2133" s="19">
        <v>0.16109422500000001</v>
      </c>
      <c r="M2133" s="19">
        <v>0.1716</v>
      </c>
      <c r="N2133" s="19">
        <v>0.12820000000000001</v>
      </c>
      <c r="O2133" s="19">
        <v>0.1613</v>
      </c>
      <c r="P2133" s="19">
        <v>0</v>
      </c>
      <c r="Q2133" s="19">
        <v>6.8329177000000005E-2</v>
      </c>
      <c r="R2133" s="20">
        <v>17997</v>
      </c>
      <c r="S2133" s="21" t="str">
        <f>HYPERLINK("https://www.collegeforalltexans.com/apps/CollegeMoney/", "$11581")</f>
        <v>$11581</v>
      </c>
      <c r="T2133" s="20">
        <v>15251</v>
      </c>
      <c r="U2133" s="20">
        <v>16582</v>
      </c>
      <c r="V2133" s="20">
        <v>3919</v>
      </c>
      <c r="W2133" s="20">
        <v>7662.6153846153848</v>
      </c>
      <c r="Y2133" s="19">
        <v>0.41489999999999999</v>
      </c>
      <c r="Z2133" s="19">
        <v>0.48130000000000001</v>
      </c>
      <c r="AB2133" s="18">
        <v>4787</v>
      </c>
      <c r="AC2133" s="18">
        <v>6</v>
      </c>
    </row>
    <row r="2134" spans="1:29" ht="15.75" customHeight="1" x14ac:dyDescent="0.2">
      <c r="A2134" s="36" t="str">
        <f>HYPERLINK("https://www.temple.edu", "Temple University")</f>
        <v>Temple University</v>
      </c>
      <c r="B2134" s="18" t="s">
        <v>49</v>
      </c>
      <c r="C2134" s="18" t="s">
        <v>65</v>
      </c>
      <c r="D2134" s="18" t="s">
        <v>168</v>
      </c>
      <c r="E2134" s="18" t="s">
        <v>36</v>
      </c>
      <c r="F2134" s="18" t="s">
        <v>45</v>
      </c>
      <c r="J2134" s="19"/>
      <c r="K2134" s="19">
        <v>0.71020000000000005</v>
      </c>
      <c r="L2134" s="19">
        <v>0.68181818199999999</v>
      </c>
      <c r="M2134" s="19">
        <v>0.73780000000000001</v>
      </c>
      <c r="N2134" s="19">
        <v>0.66210000000000002</v>
      </c>
      <c r="O2134" s="19">
        <v>0.64019999999999999</v>
      </c>
      <c r="P2134" s="19">
        <v>0.66749999999999998</v>
      </c>
      <c r="Q2134" s="19"/>
      <c r="R2134" s="20">
        <v>44190</v>
      </c>
      <c r="S2134" s="21" t="str">
        <f>HYPERLINK("https://npc.collegeboard.org/student/app/temple", "$31479")</f>
        <v>$31479</v>
      </c>
      <c r="T2134" s="20">
        <v>34828</v>
      </c>
      <c r="U2134" s="20">
        <v>37175</v>
      </c>
      <c r="V2134" s="20">
        <v>4076</v>
      </c>
      <c r="W2134" s="20">
        <v>27403.389743589749</v>
      </c>
      <c r="Y2134" s="19">
        <v>0.31630000000000003</v>
      </c>
      <c r="Z2134" s="19">
        <v>0.44030000000000002</v>
      </c>
      <c r="AB2134" s="18">
        <v>29037</v>
      </c>
      <c r="AC2134" s="18">
        <v>3</v>
      </c>
    </row>
    <row r="2135" spans="1:29" ht="15.75" customHeight="1" x14ac:dyDescent="0.2">
      <c r="A2135" s="36" t="str">
        <f>HYPERLINK("https://www.tnstate.edu", "Tennessee State University")</f>
        <v>Tennessee State University</v>
      </c>
      <c r="B2135" s="18" t="s">
        <v>49</v>
      </c>
      <c r="C2135" s="18" t="s">
        <v>174</v>
      </c>
      <c r="D2135" s="18" t="s">
        <v>175</v>
      </c>
      <c r="E2135" s="18" t="s">
        <v>36</v>
      </c>
      <c r="F2135" s="18" t="s">
        <v>36</v>
      </c>
      <c r="J2135" s="19"/>
      <c r="K2135" s="19">
        <v>0.28789999999999999</v>
      </c>
      <c r="L2135" s="19">
        <v>0.28638132300000002</v>
      </c>
      <c r="M2135" s="19">
        <v>0.28360000000000002</v>
      </c>
      <c r="N2135" s="19">
        <v>0.29409999999999997</v>
      </c>
      <c r="O2135" s="19">
        <v>0.28570000000000001</v>
      </c>
      <c r="P2135" s="19">
        <v>0.25</v>
      </c>
      <c r="Q2135" s="19"/>
      <c r="R2135" s="20">
        <v>34632</v>
      </c>
      <c r="S2135" s="21" t="str">
        <f>HYPERLINK("https://www.tnstate.edu/financial_aid/tuition_calculator.aspx", "$26155")</f>
        <v>$26155</v>
      </c>
      <c r="T2135" s="20">
        <v>27271</v>
      </c>
      <c r="U2135" s="20">
        <v>30749</v>
      </c>
      <c r="V2135" s="20">
        <v>6000</v>
      </c>
      <c r="W2135" s="20">
        <v>20155.821428571431</v>
      </c>
      <c r="Y2135" s="19">
        <v>0.56369999999999998</v>
      </c>
      <c r="Z2135" s="19">
        <v>0.88819999999999999</v>
      </c>
      <c r="AB2135" s="18">
        <v>6380</v>
      </c>
      <c r="AC2135" s="18">
        <v>4</v>
      </c>
    </row>
    <row r="2136" spans="1:29" ht="15.75" customHeight="1" x14ac:dyDescent="0.2">
      <c r="A2136" s="36" t="str">
        <f>HYPERLINK("https://www.tntech.edu", "Tennessee Technological University")</f>
        <v>Tennessee Technological University</v>
      </c>
      <c r="B2136" s="18" t="s">
        <v>49</v>
      </c>
      <c r="C2136" s="18" t="s">
        <v>174</v>
      </c>
      <c r="D2136" s="18" t="s">
        <v>1218</v>
      </c>
      <c r="E2136" s="18">
        <v>1192</v>
      </c>
      <c r="F2136" s="18" t="s">
        <v>35</v>
      </c>
      <c r="J2136" s="19"/>
      <c r="K2136" s="19">
        <v>0.49409999999999998</v>
      </c>
      <c r="L2136" s="19">
        <v>0.456353591</v>
      </c>
      <c r="M2136" s="19">
        <v>0.50770000000000004</v>
      </c>
      <c r="N2136" s="19">
        <v>0.3407</v>
      </c>
      <c r="O2136" s="19">
        <v>0.31369999999999998</v>
      </c>
      <c r="P2136" s="19">
        <v>0.58330000000000004</v>
      </c>
      <c r="Q2136" s="19"/>
      <c r="R2136" s="20">
        <v>42377</v>
      </c>
      <c r="S2136" s="21" t="str">
        <f>HYPERLINK("https://www.tntech.edu/financialaid/cost/netprice/", "$30216")</f>
        <v>$30216</v>
      </c>
      <c r="T2136" s="20">
        <v>34809</v>
      </c>
      <c r="U2136" s="20">
        <v>36854</v>
      </c>
      <c r="V2136" s="20">
        <v>8600</v>
      </c>
      <c r="W2136" s="20">
        <v>21616.477801268498</v>
      </c>
      <c r="Y2136" s="19">
        <v>0.34549999999999997</v>
      </c>
      <c r="Z2136" s="19">
        <v>0.16639999999999999</v>
      </c>
      <c r="AB2136" s="18">
        <v>9084</v>
      </c>
      <c r="AC2136" s="18">
        <v>4</v>
      </c>
    </row>
    <row r="2137" spans="1:29" ht="15.75" customHeight="1" x14ac:dyDescent="0.2">
      <c r="A2137" s="36" t="str">
        <f>HYPERLINK("https://www.tnwesleyan.edu", "Tennessee Wesleyan College")</f>
        <v>Tennessee Wesleyan College</v>
      </c>
      <c r="B2137" s="18" t="s">
        <v>32</v>
      </c>
      <c r="C2137" s="18" t="s">
        <v>174</v>
      </c>
      <c r="D2137" s="18" t="s">
        <v>278</v>
      </c>
      <c r="E2137" s="18">
        <v>1059</v>
      </c>
      <c r="F2137" s="18" t="s">
        <v>35</v>
      </c>
      <c r="J2137" s="19"/>
      <c r="K2137" s="19">
        <v>0.39810000000000001</v>
      </c>
      <c r="L2137" s="19">
        <v>0.438848921</v>
      </c>
      <c r="M2137" s="19">
        <v>0.4012</v>
      </c>
      <c r="N2137" s="19">
        <v>0.41670000000000001</v>
      </c>
      <c r="O2137" s="19">
        <v>0.5</v>
      </c>
      <c r="P2137" s="19">
        <v>0</v>
      </c>
      <c r="Q2137" s="19"/>
      <c r="R2137" s="20">
        <v>35650</v>
      </c>
      <c r="S2137" s="21" t="str">
        <f>HYPERLINK("https://www.tnwesleyan.edu/admissions/tuition-aid-scholarships/truecostcalculator/", "$4950")</f>
        <v>$4950</v>
      </c>
      <c r="T2137" s="20">
        <v>5166</v>
      </c>
      <c r="U2137" s="20">
        <v>6717</v>
      </c>
      <c r="V2137" s="20">
        <v>4100</v>
      </c>
      <c r="W2137" s="20">
        <v>850</v>
      </c>
      <c r="Y2137" s="19">
        <v>0.46899999999999997</v>
      </c>
      <c r="Z2137" s="19">
        <v>0.24349999999999999</v>
      </c>
      <c r="AB2137" s="18">
        <v>928</v>
      </c>
      <c r="AC2137" s="18">
        <v>4</v>
      </c>
    </row>
    <row r="2138" spans="1:29" ht="15.75" customHeight="1" x14ac:dyDescent="0.2">
      <c r="A2138" s="36" t="str">
        <f>HYPERLINK("https://www.terra.edu", "Terra State Community College")</f>
        <v>Terra State Community College</v>
      </c>
      <c r="B2138" s="18" t="s">
        <v>49</v>
      </c>
      <c r="C2138" s="18" t="s">
        <v>75</v>
      </c>
      <c r="D2138" s="18" t="s">
        <v>966</v>
      </c>
      <c r="E2138" s="18" t="s">
        <v>36</v>
      </c>
      <c r="F2138" s="18" t="s">
        <v>36</v>
      </c>
      <c r="J2138" s="19"/>
      <c r="K2138" s="19">
        <v>0.24049999999999999</v>
      </c>
      <c r="L2138" s="19">
        <v>0.103785104</v>
      </c>
      <c r="M2138" s="19">
        <v>0.28349999999999997</v>
      </c>
      <c r="N2138" s="19">
        <v>0</v>
      </c>
      <c r="O2138" s="19">
        <v>9.5200000000000007E-2</v>
      </c>
      <c r="P2138" s="19">
        <v>0</v>
      </c>
      <c r="Q2138" s="19">
        <v>4.7732696999999998E-2</v>
      </c>
      <c r="R2138" s="20">
        <v>22238</v>
      </c>
      <c r="S2138" s="21" t="str">
        <f>HYPERLINK("https://www.terra.edu/calculator/index.htm", "$20086")</f>
        <v>$20086</v>
      </c>
      <c r="T2138" s="20">
        <v>21216</v>
      </c>
      <c r="U2138" s="20">
        <v>21905</v>
      </c>
      <c r="V2138" s="20">
        <v>6896</v>
      </c>
      <c r="W2138" s="20">
        <v>13190.591836734689</v>
      </c>
      <c r="Y2138" s="19">
        <v>0.26740000000000003</v>
      </c>
      <c r="Z2138" s="19">
        <v>0.1797</v>
      </c>
      <c r="AB2138" s="18">
        <v>1341</v>
      </c>
      <c r="AC2138" s="18">
        <v>6</v>
      </c>
    </row>
    <row r="2139" spans="1:29" ht="15.75" customHeight="1" x14ac:dyDescent="0.2">
      <c r="A2139" s="36" t="str">
        <f>HYPERLINK("https://www.texarkanacollege.edu", "Texarkana College")</f>
        <v>Texarkana College</v>
      </c>
      <c r="B2139" s="18" t="s">
        <v>49</v>
      </c>
      <c r="C2139" s="18" t="s">
        <v>146</v>
      </c>
      <c r="D2139" s="18" t="s">
        <v>1724</v>
      </c>
      <c r="E2139" s="18" t="s">
        <v>36</v>
      </c>
      <c r="F2139" s="18" t="s">
        <v>36</v>
      </c>
      <c r="J2139" s="19"/>
      <c r="K2139" s="19">
        <v>0.32800000000000001</v>
      </c>
      <c r="L2139" s="19">
        <v>4.8000000000000001E-2</v>
      </c>
      <c r="M2139" s="19">
        <v>0.36359999999999998</v>
      </c>
      <c r="N2139" s="19">
        <v>0.27079999999999999</v>
      </c>
      <c r="O2139" s="19">
        <v>0.28570000000000001</v>
      </c>
      <c r="P2139" s="19">
        <v>0.5</v>
      </c>
      <c r="Q2139" s="19">
        <v>8.0508474999999996E-2</v>
      </c>
      <c r="R2139" s="20">
        <v>11426</v>
      </c>
      <c r="S2139" s="21" t="str">
        <f>HYPERLINK("https://www.texarkanacollege.edu/financial-aid/", "$5969")</f>
        <v>$5969</v>
      </c>
      <c r="T2139" s="20">
        <v>8080</v>
      </c>
      <c r="U2139" s="20">
        <v>11080</v>
      </c>
      <c r="V2139" s="20">
        <v>2912</v>
      </c>
      <c r="W2139" s="20">
        <v>3057.872950819672</v>
      </c>
      <c r="Y2139" s="19">
        <v>0.37590000000000001</v>
      </c>
      <c r="Z2139" s="19">
        <v>0.42480000000000001</v>
      </c>
      <c r="AB2139" s="18">
        <v>2434</v>
      </c>
      <c r="AC2139" s="18">
        <v>6</v>
      </c>
    </row>
    <row r="2140" spans="1:29" ht="15.75" customHeight="1" x14ac:dyDescent="0.2">
      <c r="A2140" s="36" t="str">
        <f>HYPERLINK("https://www.tamu.edu", "Texas A &amp; M University-College Station")</f>
        <v>Texas A &amp; M University-College Station</v>
      </c>
      <c r="B2140" s="18" t="s">
        <v>49</v>
      </c>
      <c r="C2140" s="18" t="s">
        <v>146</v>
      </c>
      <c r="D2140" s="18" t="s">
        <v>261</v>
      </c>
      <c r="E2140" s="18">
        <v>1277</v>
      </c>
      <c r="F2140" s="18" t="s">
        <v>35</v>
      </c>
      <c r="J2140" s="19"/>
      <c r="K2140" s="19">
        <v>0.82099999999999995</v>
      </c>
      <c r="L2140" s="19">
        <v>0.68216630200000006</v>
      </c>
      <c r="M2140" s="19">
        <v>0.84309999999999996</v>
      </c>
      <c r="N2140" s="19">
        <v>0.68069999999999997</v>
      </c>
      <c r="O2140" s="19">
        <v>0.77139999999999997</v>
      </c>
      <c r="P2140" s="19">
        <v>0.83330000000000004</v>
      </c>
      <c r="Q2140" s="19"/>
      <c r="R2140" s="20">
        <v>53848</v>
      </c>
      <c r="S2140" s="21" t="str">
        <f>HYPERLINK("https://www.collegeforalltexans.com/apps/CollegeMoney/", "$38942")</f>
        <v>$38942</v>
      </c>
      <c r="T2140" s="20">
        <v>46119</v>
      </c>
      <c r="U2140" s="20">
        <v>51661</v>
      </c>
      <c r="V2140" s="20">
        <v>6874</v>
      </c>
      <c r="W2140" s="20">
        <v>32068.415236787921</v>
      </c>
      <c r="Y2140" s="19">
        <v>0.20730000000000001</v>
      </c>
      <c r="Z2140" s="19">
        <v>0.38030000000000003</v>
      </c>
      <c r="AB2140" s="18">
        <v>52568</v>
      </c>
      <c r="AC2140" s="18">
        <v>2</v>
      </c>
    </row>
    <row r="2141" spans="1:29" ht="15.75" customHeight="1" x14ac:dyDescent="0.2">
      <c r="A2141" s="36" t="str">
        <f>HYPERLINK("https://www.tamuc.edu/", "Texas A &amp; M University-Commerce")</f>
        <v>Texas A &amp; M University-Commerce</v>
      </c>
      <c r="B2141" s="18" t="s">
        <v>49</v>
      </c>
      <c r="C2141" s="18" t="s">
        <v>146</v>
      </c>
      <c r="D2141" s="18" t="s">
        <v>1220</v>
      </c>
      <c r="E2141" s="18">
        <v>1050</v>
      </c>
      <c r="F2141" s="18" t="s">
        <v>35</v>
      </c>
      <c r="J2141" s="19"/>
      <c r="K2141" s="19">
        <v>0.4168</v>
      </c>
      <c r="L2141" s="19">
        <v>0.428429424</v>
      </c>
      <c r="M2141" s="19">
        <v>0.46929999999999999</v>
      </c>
      <c r="N2141" s="19">
        <v>0.32429999999999998</v>
      </c>
      <c r="O2141" s="19">
        <v>0.43640000000000001</v>
      </c>
      <c r="P2141" s="19">
        <v>0.375</v>
      </c>
      <c r="Q2141" s="19"/>
      <c r="R2141" s="20">
        <v>34101</v>
      </c>
      <c r="S2141" s="21" t="str">
        <f>HYPERLINK("https://www.collegeforalltexans.com/apps/CollegeMoney/", "$23400")</f>
        <v>$23400</v>
      </c>
      <c r="T2141" s="20">
        <v>25180</v>
      </c>
      <c r="U2141" s="20">
        <v>29378</v>
      </c>
      <c r="V2141" s="20">
        <v>4813</v>
      </c>
      <c r="W2141" s="20">
        <v>18587.424942263278</v>
      </c>
      <c r="Y2141" s="19">
        <v>0.46660000000000001</v>
      </c>
      <c r="Z2141" s="19">
        <v>0.54120000000000001</v>
      </c>
      <c r="AB2141" s="18">
        <v>8473</v>
      </c>
      <c r="AC2141" s="18">
        <v>4</v>
      </c>
    </row>
    <row r="2142" spans="1:29" ht="15.75" customHeight="1" x14ac:dyDescent="0.2">
      <c r="A2142" s="36" t="str">
        <f>HYPERLINK("https://www.tamucc.edu", "Texas A &amp; M University-Corpus Christi")</f>
        <v>Texas A &amp; M University-Corpus Christi</v>
      </c>
      <c r="B2142" s="18" t="s">
        <v>49</v>
      </c>
      <c r="C2142" s="18" t="s">
        <v>146</v>
      </c>
      <c r="D2142" s="18" t="s">
        <v>860</v>
      </c>
      <c r="E2142" s="18">
        <v>983</v>
      </c>
      <c r="F2142" s="18" t="s">
        <v>35</v>
      </c>
      <c r="J2142" s="19"/>
      <c r="K2142" s="19">
        <v>0.36249999999999999</v>
      </c>
      <c r="L2142" s="19">
        <v>0.41136140999999998</v>
      </c>
      <c r="M2142" s="19">
        <v>0.60319999999999996</v>
      </c>
      <c r="N2142" s="19">
        <v>0.4143</v>
      </c>
      <c r="O2142" s="19">
        <v>0.33960000000000001</v>
      </c>
      <c r="P2142" s="19">
        <v>7.6899999999999996E-2</v>
      </c>
      <c r="Q2142" s="19"/>
      <c r="R2142" s="20">
        <v>31502</v>
      </c>
      <c r="S2142" s="21" t="str">
        <f>HYPERLINK("https://prospect.tamucc.edu/cost.html", "$26362")</f>
        <v>$26362</v>
      </c>
      <c r="T2142" s="20">
        <v>28890</v>
      </c>
      <c r="U2142" s="20">
        <v>29102</v>
      </c>
      <c r="V2142" s="20">
        <v>3382</v>
      </c>
      <c r="W2142" s="20">
        <v>22980.396825396831</v>
      </c>
      <c r="Y2142" s="19">
        <v>0.39929999999999999</v>
      </c>
      <c r="Z2142" s="19">
        <v>0.65860000000000007</v>
      </c>
      <c r="AB2142" s="18">
        <v>10170</v>
      </c>
      <c r="AC2142" s="18">
        <v>5</v>
      </c>
    </row>
    <row r="2143" spans="1:29" ht="15.75" customHeight="1" x14ac:dyDescent="0.2">
      <c r="A2143" s="36" t="str">
        <f>HYPERLINK("https://WWW.TAMUK.EDU", "Texas A &amp; M University-Kingsville")</f>
        <v>Texas A &amp; M University-Kingsville</v>
      </c>
      <c r="B2143" s="18" t="s">
        <v>49</v>
      </c>
      <c r="C2143" s="18" t="s">
        <v>146</v>
      </c>
      <c r="D2143" s="18" t="s">
        <v>862</v>
      </c>
      <c r="E2143" s="18">
        <v>1021</v>
      </c>
      <c r="F2143" s="18" t="s">
        <v>35</v>
      </c>
      <c r="J2143" s="19"/>
      <c r="K2143" s="19">
        <v>0.34739999999999999</v>
      </c>
      <c r="L2143" s="19">
        <v>0.36156583599999997</v>
      </c>
      <c r="M2143" s="19">
        <v>0.39090000000000003</v>
      </c>
      <c r="N2143" s="19">
        <v>0.29520000000000002</v>
      </c>
      <c r="O2143" s="19">
        <v>0.3508</v>
      </c>
      <c r="P2143" s="19">
        <v>0.33329999999999999</v>
      </c>
      <c r="Q2143" s="19"/>
      <c r="R2143" s="20">
        <v>36465</v>
      </c>
      <c r="S2143" s="21" t="str">
        <f>HYPERLINK("https://www.collegeforalltexans.com/apps/CollegeMoney/", "$26552")</f>
        <v>$26552</v>
      </c>
      <c r="T2143" s="20">
        <v>30132</v>
      </c>
      <c r="U2143" s="20">
        <v>32322</v>
      </c>
      <c r="V2143" s="20">
        <v>5603</v>
      </c>
      <c r="W2143" s="20">
        <v>20949.208480565369</v>
      </c>
      <c r="Y2143" s="19">
        <v>0.44719999999999999</v>
      </c>
      <c r="Z2143" s="19">
        <v>0.83319999999999994</v>
      </c>
      <c r="AB2143" s="18">
        <v>5694</v>
      </c>
      <c r="AC2143" s="18">
        <v>5</v>
      </c>
    </row>
    <row r="2144" spans="1:29" ht="15.75" customHeight="1" x14ac:dyDescent="0.2">
      <c r="A2144" s="36" t="str">
        <f>HYPERLINK("https://www.tcu.edu/", "Texas Christian University")</f>
        <v>Texas Christian University</v>
      </c>
      <c r="B2144" s="18" t="s">
        <v>32</v>
      </c>
      <c r="C2144" s="18" t="s">
        <v>146</v>
      </c>
      <c r="D2144" s="18" t="s">
        <v>262</v>
      </c>
      <c r="E2144" s="18">
        <v>1285</v>
      </c>
      <c r="F2144" s="18" t="s">
        <v>35</v>
      </c>
      <c r="J2144" s="19"/>
      <c r="K2144" s="19">
        <v>0.82620000000000005</v>
      </c>
      <c r="L2144" s="19">
        <v>0.58610271899999999</v>
      </c>
      <c r="M2144" s="19">
        <v>0.83689999999999998</v>
      </c>
      <c r="N2144" s="19">
        <v>0.65629999999999999</v>
      </c>
      <c r="O2144" s="19">
        <v>0.8155</v>
      </c>
      <c r="P2144" s="19">
        <v>0.88680000000000003</v>
      </c>
      <c r="Q2144" s="19"/>
      <c r="R2144" s="20">
        <v>62970</v>
      </c>
      <c r="S2144" s="21" t="str">
        <f>HYPERLINK("https://www.financialaid.tcu.edu/npc.asp", "$24383")</f>
        <v>$24383</v>
      </c>
      <c r="T2144" s="20">
        <v>29552</v>
      </c>
      <c r="U2144" s="20">
        <v>34455</v>
      </c>
      <c r="V2144" s="20">
        <v>5850</v>
      </c>
      <c r="W2144" s="20">
        <v>18533</v>
      </c>
      <c r="Y2144" s="19">
        <v>0.1263</v>
      </c>
      <c r="Z2144" s="19">
        <v>0.29320000000000002</v>
      </c>
      <c r="AB2144" s="18">
        <v>8983</v>
      </c>
      <c r="AC2144" s="18">
        <v>2</v>
      </c>
    </row>
    <row r="2145" spans="1:29" ht="15.75" customHeight="1" x14ac:dyDescent="0.2">
      <c r="A2145" s="36" t="str">
        <f>HYPERLINK("https://www.texascountytech.edu", "Texas County Technical College")</f>
        <v>Texas County Technical College</v>
      </c>
      <c r="B2145" s="18" t="s">
        <v>32</v>
      </c>
      <c r="C2145" s="18" t="s">
        <v>164</v>
      </c>
      <c r="D2145" s="18" t="s">
        <v>147</v>
      </c>
      <c r="E2145" s="18" t="s">
        <v>36</v>
      </c>
      <c r="F2145" s="18" t="s">
        <v>45</v>
      </c>
      <c r="J2145" s="19"/>
      <c r="K2145" s="19">
        <v>0.78949999999999998</v>
      </c>
      <c r="L2145" s="19">
        <v>0.554621849</v>
      </c>
      <c r="M2145" s="19">
        <v>0.78949999999999998</v>
      </c>
      <c r="N2145" s="19" t="s">
        <v>36</v>
      </c>
      <c r="O2145" s="19" t="s">
        <v>36</v>
      </c>
      <c r="P2145" s="19" t="s">
        <v>36</v>
      </c>
      <c r="Q2145" s="19" t="s">
        <v>36</v>
      </c>
      <c r="R2145" s="20">
        <v>28841</v>
      </c>
      <c r="S2145" s="21" t="str">
        <f>HYPERLINK("https://www.texascountytech.edu", "$17321")</f>
        <v>$17321</v>
      </c>
      <c r="T2145" s="20">
        <v>23834</v>
      </c>
      <c r="U2145" s="20">
        <v>25281</v>
      </c>
      <c r="V2145" s="20">
        <v>6188</v>
      </c>
      <c r="W2145" s="20">
        <v>11133</v>
      </c>
      <c r="Y2145" s="19">
        <v>0.76359999999999995</v>
      </c>
      <c r="Z2145" s="19">
        <v>9.2600000000000016E-2</v>
      </c>
      <c r="AB2145" s="18">
        <v>54</v>
      </c>
      <c r="AC2145" s="18">
        <v>6</v>
      </c>
    </row>
    <row r="2146" spans="1:29" ht="15.75" customHeight="1" x14ac:dyDescent="0.2">
      <c r="A2146" s="36" t="str">
        <f>HYPERLINK("https://www.tlu.edu", "Texas Lutheran University")</f>
        <v>Texas Lutheran University</v>
      </c>
      <c r="B2146" s="18" t="s">
        <v>32</v>
      </c>
      <c r="C2146" s="18" t="s">
        <v>146</v>
      </c>
      <c r="D2146" s="18" t="s">
        <v>1221</v>
      </c>
      <c r="E2146" s="18">
        <v>1068</v>
      </c>
      <c r="F2146" s="18" t="s">
        <v>35</v>
      </c>
      <c r="J2146" s="19"/>
      <c r="K2146" s="19">
        <v>0.5151</v>
      </c>
      <c r="L2146" s="19">
        <v>0.36220472399999998</v>
      </c>
      <c r="M2146" s="19">
        <v>0.6048</v>
      </c>
      <c r="N2146" s="19">
        <v>0.29549999999999998</v>
      </c>
      <c r="O2146" s="19">
        <v>0.44640000000000002</v>
      </c>
      <c r="P2146" s="19">
        <v>1</v>
      </c>
      <c r="Q2146" s="19"/>
      <c r="R2146" s="20">
        <v>42700</v>
      </c>
      <c r="S2146" s="21" t="str">
        <f>HYPERLINK("https://www.tlu.edu/costs?rc=0", "$16060")</f>
        <v>$16060</v>
      </c>
      <c r="T2146" s="20">
        <v>18411</v>
      </c>
      <c r="U2146" s="20">
        <v>19883</v>
      </c>
      <c r="V2146" s="20">
        <v>3150</v>
      </c>
      <c r="W2146" s="20">
        <v>12910</v>
      </c>
      <c r="Y2146" s="19">
        <v>0.32640000000000002</v>
      </c>
      <c r="Z2146" s="19">
        <v>0.49370000000000003</v>
      </c>
      <c r="AB2146" s="18">
        <v>1341</v>
      </c>
      <c r="AC2146" s="18">
        <v>4</v>
      </c>
    </row>
    <row r="2147" spans="1:29" ht="15.75" customHeight="1" x14ac:dyDescent="0.2">
      <c r="A2147" s="36" t="str">
        <f>HYPERLINK("https://www.tsu.edu", "Texas Southern University")</f>
        <v>Texas Southern University</v>
      </c>
      <c r="B2147" s="18" t="s">
        <v>49</v>
      </c>
      <c r="C2147" s="18" t="s">
        <v>146</v>
      </c>
      <c r="D2147" s="18" t="s">
        <v>147</v>
      </c>
      <c r="E2147" s="18">
        <v>846</v>
      </c>
      <c r="F2147" s="18" t="s">
        <v>35</v>
      </c>
      <c r="J2147" s="19"/>
      <c r="K2147" s="19">
        <v>0.23369999999999999</v>
      </c>
      <c r="L2147" s="19">
        <v>0.23352527200000001</v>
      </c>
      <c r="M2147" s="19">
        <v>0.16669999999999999</v>
      </c>
      <c r="N2147" s="19">
        <v>0.21299999999999999</v>
      </c>
      <c r="O2147" s="19">
        <v>0.3478</v>
      </c>
      <c r="P2147" s="19">
        <v>0.54549999999999998</v>
      </c>
      <c r="Q2147" s="19"/>
      <c r="R2147" s="20">
        <v>37721</v>
      </c>
      <c r="S2147" s="21" t="str">
        <f>HYPERLINK("https://em.tsu.edu/comptroller/tuition.php", "$33289")</f>
        <v>$33289</v>
      </c>
      <c r="T2147" s="20">
        <v>37721</v>
      </c>
      <c r="U2147" s="20" t="s">
        <v>36</v>
      </c>
      <c r="V2147" s="20">
        <v>6434</v>
      </c>
      <c r="W2147" s="20">
        <v>26855.031111111111</v>
      </c>
      <c r="Y2147" s="19">
        <v>0.62680000000000002</v>
      </c>
      <c r="Z2147" s="19">
        <v>0.9869</v>
      </c>
      <c r="AB2147" s="18">
        <v>7967</v>
      </c>
      <c r="AC2147" s="18">
        <v>4</v>
      </c>
    </row>
    <row r="2148" spans="1:29" ht="15.75" customHeight="1" x14ac:dyDescent="0.2">
      <c r="A2148" s="36" t="str">
        <f>HYPERLINK("https://www.tsc.edu", "The University of Texas at Brownsville")</f>
        <v>The University of Texas at Brownsville</v>
      </c>
      <c r="B2148" s="18" t="s">
        <v>49</v>
      </c>
      <c r="C2148" s="18" t="s">
        <v>146</v>
      </c>
      <c r="D2148" s="18" t="s">
        <v>1725</v>
      </c>
      <c r="E2148" s="18" t="s">
        <v>36</v>
      </c>
      <c r="F2148" s="18" t="s">
        <v>36</v>
      </c>
      <c r="J2148" s="19"/>
      <c r="K2148" s="19">
        <v>0.18859999999999999</v>
      </c>
      <c r="L2148" s="19">
        <v>0.22217642200000001</v>
      </c>
      <c r="M2148" s="19">
        <v>0.2727</v>
      </c>
      <c r="N2148" s="19">
        <v>0</v>
      </c>
      <c r="O2148" s="19">
        <v>0.19089999999999999</v>
      </c>
      <c r="P2148" s="19">
        <v>0</v>
      </c>
      <c r="Q2148" s="19">
        <v>6.5124771999999997E-2</v>
      </c>
      <c r="R2148" s="20">
        <v>17644</v>
      </c>
      <c r="S2148" s="21" t="str">
        <f>HYPERLINK("https://www.tsc.edu/index.php/financial-aid-office/net-price-calculator-.html", "$11998")</f>
        <v>$11998</v>
      </c>
      <c r="T2148" s="20">
        <v>14920</v>
      </c>
      <c r="U2148" s="20">
        <v>16708</v>
      </c>
      <c r="V2148" s="20">
        <v>5152</v>
      </c>
      <c r="W2148" s="20">
        <v>6846.74</v>
      </c>
      <c r="Y2148" s="19">
        <v>0.50509999999999999</v>
      </c>
      <c r="Z2148" s="19">
        <v>0.97429999999999994</v>
      </c>
      <c r="AB2148" s="18">
        <v>3816</v>
      </c>
      <c r="AC2148" s="18">
        <v>6</v>
      </c>
    </row>
    <row r="2149" spans="1:29" ht="15.75" customHeight="1" x14ac:dyDescent="0.2">
      <c r="A2149" s="36" t="str">
        <f>HYPERLINK("https://www.tstc.edu", "Texas State Technical College-Waco")</f>
        <v>Texas State Technical College-Waco</v>
      </c>
      <c r="B2149" s="18" t="s">
        <v>49</v>
      </c>
      <c r="C2149" s="18" t="s">
        <v>146</v>
      </c>
      <c r="D2149" s="18" t="s">
        <v>195</v>
      </c>
      <c r="E2149" s="18" t="s">
        <v>36</v>
      </c>
      <c r="F2149" s="18" t="s">
        <v>36</v>
      </c>
      <c r="J2149" s="19"/>
      <c r="K2149" s="19">
        <v>0.32469999999999999</v>
      </c>
      <c r="L2149" s="19">
        <v>0.14318813699999999</v>
      </c>
      <c r="M2149" s="19">
        <v>0.41260000000000002</v>
      </c>
      <c r="N2149" s="19">
        <v>0.20569999999999999</v>
      </c>
      <c r="O2149" s="19">
        <v>0.2974</v>
      </c>
      <c r="P2149" s="19">
        <v>0.16669999999999999</v>
      </c>
      <c r="Q2149" s="19">
        <v>2.1598968E-2</v>
      </c>
      <c r="R2149" s="20">
        <v>23050</v>
      </c>
      <c r="S2149" s="21" t="str">
        <f>HYPERLINK("https://www.collegeforalltexans.com/apps/CollegeMoney/index.php", "$17229")</f>
        <v>$17229</v>
      </c>
      <c r="T2149" s="20">
        <v>19531</v>
      </c>
      <c r="U2149" s="20">
        <v>21743</v>
      </c>
      <c r="V2149" s="20">
        <v>6228</v>
      </c>
      <c r="W2149" s="20">
        <v>11001.73988439306</v>
      </c>
      <c r="Y2149" s="19">
        <v>0.45960000000000001</v>
      </c>
      <c r="Z2149" s="19">
        <v>0.63990000000000002</v>
      </c>
      <c r="AB2149" s="18">
        <v>9525</v>
      </c>
      <c r="AC2149" s="18">
        <v>6</v>
      </c>
    </row>
    <row r="2150" spans="1:29" ht="15.75" customHeight="1" x14ac:dyDescent="0.2">
      <c r="A2150" s="36" t="str">
        <f>HYPERLINK("https://www.txstate.edu", "Texas State University")</f>
        <v>Texas State University</v>
      </c>
      <c r="B2150" s="18" t="s">
        <v>49</v>
      </c>
      <c r="C2150" s="18" t="s">
        <v>146</v>
      </c>
      <c r="D2150" s="18" t="s">
        <v>612</v>
      </c>
      <c r="E2150" s="18">
        <v>1121</v>
      </c>
      <c r="F2150" s="18" t="s">
        <v>35</v>
      </c>
      <c r="J2150" s="19"/>
      <c r="K2150" s="19">
        <v>0.53939999999999999</v>
      </c>
      <c r="L2150" s="19">
        <v>0.53287616000000004</v>
      </c>
      <c r="M2150" s="19">
        <v>0.5655</v>
      </c>
      <c r="N2150" s="19">
        <v>0.44929999999999998</v>
      </c>
      <c r="O2150" s="19">
        <v>0.51600000000000001</v>
      </c>
      <c r="P2150" s="19">
        <v>0.55740000000000001</v>
      </c>
      <c r="Q2150" s="19"/>
      <c r="R2150" s="20">
        <v>34245</v>
      </c>
      <c r="S2150" s="21" t="str">
        <f>HYPERLINK("https://www.finaid.txstate.edu/more-info/npc.html", "$24226")</f>
        <v>$24226</v>
      </c>
      <c r="T2150" s="20">
        <v>28023</v>
      </c>
      <c r="U2150" s="20">
        <v>32479</v>
      </c>
      <c r="V2150" s="20">
        <v>3150</v>
      </c>
      <c r="W2150" s="20">
        <v>21076.715692307691</v>
      </c>
      <c r="Y2150" s="19">
        <v>0.3518</v>
      </c>
      <c r="Z2150" s="19">
        <v>0.54020000000000001</v>
      </c>
      <c r="AB2150" s="18">
        <v>34180</v>
      </c>
      <c r="AC2150" s="18">
        <v>4</v>
      </c>
    </row>
    <row r="2151" spans="1:29" ht="15.75" customHeight="1" x14ac:dyDescent="0.2">
      <c r="A2151" s="36" t="str">
        <f>HYPERLINK("https://www.ttu.edu", "Texas Tech University")</f>
        <v>Texas Tech University</v>
      </c>
      <c r="B2151" s="18" t="s">
        <v>49</v>
      </c>
      <c r="C2151" s="18" t="s">
        <v>146</v>
      </c>
      <c r="D2151" s="18" t="s">
        <v>935</v>
      </c>
      <c r="E2151" s="18">
        <v>1176</v>
      </c>
      <c r="F2151" s="18" t="s">
        <v>35</v>
      </c>
      <c r="J2151" s="19"/>
      <c r="K2151" s="19">
        <v>0.59279999999999999</v>
      </c>
      <c r="L2151" s="19">
        <v>0.49739130399999998</v>
      </c>
      <c r="M2151" s="19">
        <v>0.62960000000000005</v>
      </c>
      <c r="N2151" s="19">
        <v>0.57630000000000003</v>
      </c>
      <c r="O2151" s="19">
        <v>0.51029999999999998</v>
      </c>
      <c r="P2151" s="19">
        <v>0.55379999999999996</v>
      </c>
      <c r="Q2151" s="19"/>
      <c r="R2151" s="20">
        <v>33425</v>
      </c>
      <c r="S2151" s="21" t="str">
        <f>HYPERLINK("https://www.depts.ttu.edu/financialaid/netCostCalcHome.php", "$23414")</f>
        <v>$23414</v>
      </c>
      <c r="T2151" s="20">
        <v>27726</v>
      </c>
      <c r="U2151" s="20">
        <v>31343</v>
      </c>
      <c r="V2151" s="20">
        <v>5620</v>
      </c>
      <c r="W2151" s="20">
        <v>17794.243458475539</v>
      </c>
      <c r="Y2151" s="19">
        <v>0.2737</v>
      </c>
      <c r="Z2151" s="19">
        <v>0.44200000000000012</v>
      </c>
      <c r="AB2151" s="18">
        <v>30330</v>
      </c>
      <c r="AC2151" s="18">
        <v>4</v>
      </c>
    </row>
    <row r="2152" spans="1:29" ht="15.75" customHeight="1" x14ac:dyDescent="0.2">
      <c r="A2152" s="36" t="str">
        <f>HYPERLINK("https://www.txwes.edu", "Texas Wesleyan University")</f>
        <v>Texas Wesleyan University</v>
      </c>
      <c r="B2152" s="18" t="s">
        <v>32</v>
      </c>
      <c r="C2152" s="18" t="s">
        <v>146</v>
      </c>
      <c r="D2152" s="18" t="s">
        <v>262</v>
      </c>
      <c r="E2152" s="18">
        <v>1049</v>
      </c>
      <c r="F2152" s="18" t="s">
        <v>35</v>
      </c>
      <c r="J2152" s="19"/>
      <c r="K2152" s="19">
        <v>0.34570000000000001</v>
      </c>
      <c r="L2152" s="19">
        <v>0.32876712299999999</v>
      </c>
      <c r="M2152" s="19">
        <v>0.40300000000000002</v>
      </c>
      <c r="N2152" s="19">
        <v>7.6899999999999996E-2</v>
      </c>
      <c r="O2152" s="19">
        <v>0.39290000000000003</v>
      </c>
      <c r="P2152" s="19">
        <v>0</v>
      </c>
      <c r="Q2152" s="19"/>
      <c r="R2152" s="20">
        <v>43644</v>
      </c>
      <c r="S2152" s="21" t="str">
        <f>HYPERLINK("https://txwes.edu/admissions/what-will-it-cost/net-price-calculator/", "$22732")</f>
        <v>$22732</v>
      </c>
      <c r="T2152" s="20">
        <v>30870</v>
      </c>
      <c r="U2152" s="20">
        <v>31120</v>
      </c>
      <c r="V2152" s="20">
        <v>5884</v>
      </c>
      <c r="W2152" s="20">
        <v>16848</v>
      </c>
      <c r="Y2152" s="19">
        <v>0.29630000000000001</v>
      </c>
      <c r="Z2152" s="19">
        <v>0.70290000000000008</v>
      </c>
      <c r="AB2152" s="18">
        <v>1656</v>
      </c>
      <c r="AC2152" s="18">
        <v>4</v>
      </c>
    </row>
    <row r="2153" spans="1:29" ht="15.75" customHeight="1" x14ac:dyDescent="0.2">
      <c r="A2153" s="36" t="str">
        <f>HYPERLINK("https://www.twu.edu", "Texas Woman's University")</f>
        <v>Texas Woman's University</v>
      </c>
      <c r="B2153" s="18" t="s">
        <v>49</v>
      </c>
      <c r="C2153" s="18" t="s">
        <v>146</v>
      </c>
      <c r="D2153" s="18" t="s">
        <v>865</v>
      </c>
      <c r="E2153" s="18">
        <v>1002</v>
      </c>
      <c r="F2153" s="18" t="s">
        <v>35</v>
      </c>
      <c r="J2153" s="19"/>
      <c r="K2153" s="19">
        <v>0.35510000000000003</v>
      </c>
      <c r="L2153" s="19">
        <v>0.48592870500000002</v>
      </c>
      <c r="M2153" s="19">
        <v>0.41539999999999999</v>
      </c>
      <c r="N2153" s="19">
        <v>0.28710000000000002</v>
      </c>
      <c r="O2153" s="19">
        <v>0.34639999999999999</v>
      </c>
      <c r="P2153" s="19">
        <v>0.42699999999999999</v>
      </c>
      <c r="Q2153" s="19"/>
      <c r="R2153" s="20">
        <v>29683</v>
      </c>
      <c r="S2153" s="21" t="str">
        <f>HYPERLINK("https://www.collegeforalltexans.com/apps/CollegeMoney/", "$19047")</f>
        <v>$19047</v>
      </c>
      <c r="T2153" s="20">
        <v>22526</v>
      </c>
      <c r="U2153" s="20">
        <v>26953</v>
      </c>
      <c r="V2153" s="20">
        <v>4056</v>
      </c>
      <c r="W2153" s="20">
        <v>14991.538775510209</v>
      </c>
      <c r="Y2153" s="19">
        <v>0.4143</v>
      </c>
      <c r="Z2153" s="19">
        <v>0.63929999999999998</v>
      </c>
      <c r="AB2153" s="18">
        <v>9417</v>
      </c>
      <c r="AC2153" s="18">
        <v>5</v>
      </c>
    </row>
    <row r="2154" spans="1:29" ht="15.75" customHeight="1" x14ac:dyDescent="0.2">
      <c r="A2154" s="36" t="str">
        <f>HYPERLINK("https://www.stevenscollege.edu", "Thaddeus Stevens College of Technology")</f>
        <v>Thaddeus Stevens College of Technology</v>
      </c>
      <c r="B2154" s="18" t="s">
        <v>49</v>
      </c>
      <c r="C2154" s="18" t="s">
        <v>65</v>
      </c>
      <c r="D2154" s="18" t="s">
        <v>112</v>
      </c>
      <c r="E2154" s="18" t="s">
        <v>36</v>
      </c>
      <c r="F2154" s="18" t="s">
        <v>90</v>
      </c>
      <c r="J2154" s="19"/>
      <c r="K2154" s="19">
        <v>0.67379999999999995</v>
      </c>
      <c r="L2154" s="19">
        <v>0.38659793799999997</v>
      </c>
      <c r="M2154" s="19">
        <v>0.76359999999999995</v>
      </c>
      <c r="N2154" s="19">
        <v>0.44440000000000002</v>
      </c>
      <c r="O2154" s="19">
        <v>0.5111</v>
      </c>
      <c r="P2154" s="19">
        <v>0.6</v>
      </c>
      <c r="Q2154" s="19" t="s">
        <v>36</v>
      </c>
      <c r="R2154" s="20">
        <v>18270</v>
      </c>
      <c r="S2154" s="21" t="str">
        <f>HYPERLINK("https://www.stevenscollege.edu/widgets/download.aspx?file=%2ffiles%2fRegistar%2fnpcalc.htm", "$6833")</f>
        <v>$6833</v>
      </c>
      <c r="T2154" s="20">
        <v>11816</v>
      </c>
      <c r="U2154" s="20">
        <v>17107</v>
      </c>
      <c r="V2154" s="20">
        <v>1400</v>
      </c>
      <c r="W2154" s="20">
        <v>5433.636363636364</v>
      </c>
      <c r="Y2154" s="19">
        <v>0.51959999999999995</v>
      </c>
      <c r="Z2154" s="19">
        <v>0.30109999999999998</v>
      </c>
      <c r="AB2154" s="18">
        <v>1139</v>
      </c>
      <c r="AC2154" s="18">
        <v>6</v>
      </c>
    </row>
    <row r="2155" spans="1:29" ht="15.75" customHeight="1" x14ac:dyDescent="0.2">
      <c r="A2155" s="36" t="str">
        <f>HYPERLINK("https://www.artinstitutes.edu/charlotte", "The Art Institute of Charlotte")</f>
        <v>The Art Institute of Charlotte</v>
      </c>
      <c r="B2155" s="18" t="s">
        <v>368</v>
      </c>
      <c r="C2155" s="18" t="s">
        <v>103</v>
      </c>
      <c r="D2155" s="18" t="s">
        <v>447</v>
      </c>
      <c r="E2155" s="18" t="s">
        <v>36</v>
      </c>
      <c r="F2155" s="18" t="s">
        <v>36</v>
      </c>
      <c r="J2155" s="19"/>
      <c r="K2155" s="19">
        <v>0.30830000000000002</v>
      </c>
      <c r="L2155" s="19">
        <v>9.4282328999999998E-2</v>
      </c>
      <c r="M2155" s="19">
        <v>0.57689999999999997</v>
      </c>
      <c r="N2155" s="19">
        <v>0.3659</v>
      </c>
      <c r="O2155" s="19">
        <v>0.55559999999999998</v>
      </c>
      <c r="P2155" s="19" t="s">
        <v>36</v>
      </c>
      <c r="Q2155" s="19">
        <v>6.7599808999999997E-2</v>
      </c>
      <c r="R2155" s="20">
        <v>32043</v>
      </c>
      <c r="S2155" s="21" t="str">
        <f>HYPERLINK("https://www.artinstitutes.edu/charlotte/tuition-aid/net-price-calculator", "$19869")</f>
        <v>$19869</v>
      </c>
      <c r="T2155" s="20">
        <v>24055</v>
      </c>
      <c r="U2155" s="20">
        <v>26983</v>
      </c>
      <c r="V2155" s="20">
        <v>7112</v>
      </c>
      <c r="W2155" s="20">
        <v>12757</v>
      </c>
      <c r="Y2155" s="19">
        <v>0.6835</v>
      </c>
      <c r="Z2155" s="19">
        <v>0.72950000000000004</v>
      </c>
      <c r="AB2155" s="18">
        <v>451</v>
      </c>
      <c r="AC2155" s="18">
        <v>6</v>
      </c>
    </row>
    <row r="2156" spans="1:29" ht="15.75" customHeight="1" x14ac:dyDescent="0.2">
      <c r="A2156" s="36" t="str">
        <f>HYPERLINK("https://www.artinstitutes.edu/fort-lauderdale", "The Art Institute of Fort Lauderdale")</f>
        <v>The Art Institute of Fort Lauderdale</v>
      </c>
      <c r="B2156" s="18" t="s">
        <v>368</v>
      </c>
      <c r="C2156" s="18" t="s">
        <v>162</v>
      </c>
      <c r="D2156" s="18" t="s">
        <v>433</v>
      </c>
      <c r="E2156" s="18" t="s">
        <v>36</v>
      </c>
      <c r="F2156" s="18" t="s">
        <v>36</v>
      </c>
      <c r="J2156" s="19"/>
      <c r="K2156" s="19">
        <v>0.42549999999999999</v>
      </c>
      <c r="L2156" s="19">
        <v>0.33770883099999999</v>
      </c>
      <c r="M2156" s="19">
        <v>0.49320000000000003</v>
      </c>
      <c r="N2156" s="19">
        <v>0.34849999999999998</v>
      </c>
      <c r="O2156" s="19">
        <v>0.39019999999999999</v>
      </c>
      <c r="P2156" s="19">
        <v>0.75</v>
      </c>
      <c r="Q2156" s="19">
        <v>4.9180328000000002E-2</v>
      </c>
      <c r="R2156" s="20">
        <v>34635</v>
      </c>
      <c r="S2156" s="21" t="str">
        <f>HYPERLINK("https://www.artinstitutes.edu/fort-lauderdale/tuition-aid/net-price-calculator", "$19724")</f>
        <v>$19724</v>
      </c>
      <c r="T2156" s="20">
        <v>23460</v>
      </c>
      <c r="U2156" s="20">
        <v>24860</v>
      </c>
      <c r="V2156" s="20">
        <v>7112</v>
      </c>
      <c r="W2156" s="20">
        <v>12612</v>
      </c>
      <c r="Y2156" s="19">
        <v>0.59309999999999996</v>
      </c>
      <c r="Z2156" s="19">
        <v>0.91710000000000003</v>
      </c>
      <c r="AB2156" s="18">
        <v>651</v>
      </c>
      <c r="AC2156" s="18">
        <v>6</v>
      </c>
    </row>
    <row r="2157" spans="1:29" ht="15.75" customHeight="1" x14ac:dyDescent="0.2">
      <c r="A2157" s="36" t="str">
        <f>HYPERLINK("https://www.artinstitutes.edu/indianapolis", "The Art Institute of Indianapolis")</f>
        <v>The Art Institute of Indianapolis</v>
      </c>
      <c r="B2157" s="18" t="s">
        <v>368</v>
      </c>
      <c r="C2157" s="18" t="s">
        <v>148</v>
      </c>
      <c r="D2157" s="18" t="s">
        <v>316</v>
      </c>
      <c r="E2157" s="18" t="s">
        <v>36</v>
      </c>
      <c r="F2157" s="18" t="s">
        <v>36</v>
      </c>
      <c r="J2157" s="19"/>
      <c r="K2157" s="19">
        <v>0.33329999999999999</v>
      </c>
      <c r="L2157" s="19">
        <v>0.35625661299999989</v>
      </c>
      <c r="M2157" s="19">
        <v>0.33779999999999999</v>
      </c>
      <c r="N2157" s="19">
        <v>0.2727</v>
      </c>
      <c r="O2157" s="19">
        <v>0.4</v>
      </c>
      <c r="P2157" s="19" t="s">
        <v>36</v>
      </c>
      <c r="Q2157" s="19">
        <v>4.6711292000000001E-2</v>
      </c>
      <c r="R2157" s="20">
        <v>30030</v>
      </c>
      <c r="S2157" s="21" t="str">
        <f>HYPERLINK("https://www.artinstitutes.edu/indianapolis/tuition-aid/net-price-calculator", "$18071")</f>
        <v>$18071</v>
      </c>
      <c r="T2157" s="20">
        <v>22409</v>
      </c>
      <c r="U2157" s="20">
        <v>25641</v>
      </c>
      <c r="V2157" s="20">
        <v>7112</v>
      </c>
      <c r="W2157" s="20">
        <v>10959</v>
      </c>
      <c r="Y2157" s="19">
        <v>0.61929999999999996</v>
      </c>
      <c r="Z2157" s="19">
        <v>0.47389999999999999</v>
      </c>
      <c r="AB2157" s="18">
        <v>536</v>
      </c>
      <c r="AC2157" s="18">
        <v>6</v>
      </c>
    </row>
    <row r="2158" spans="1:29" ht="15.75" customHeight="1" x14ac:dyDescent="0.2">
      <c r="A2158" s="36" t="str">
        <f>HYPERLINK("https://www.thechristcollege.edu", "The Christ College of Nursing and Health Sciences")</f>
        <v>The Christ College of Nursing and Health Sciences</v>
      </c>
      <c r="B2158" s="18" t="s">
        <v>32</v>
      </c>
      <c r="C2158" s="18" t="s">
        <v>75</v>
      </c>
      <c r="D2158" s="18" t="s">
        <v>502</v>
      </c>
      <c r="E2158" s="18">
        <v>1105</v>
      </c>
      <c r="F2158" s="18" t="s">
        <v>35</v>
      </c>
      <c r="J2158" s="19"/>
      <c r="K2158" s="19">
        <v>0.45829999999999999</v>
      </c>
      <c r="L2158" s="19">
        <v>0.78723404299999999</v>
      </c>
      <c r="M2158" s="19">
        <v>0.45829999999999999</v>
      </c>
      <c r="N2158" s="19" t="s">
        <v>36</v>
      </c>
      <c r="O2158" s="19" t="s">
        <v>36</v>
      </c>
      <c r="P2158" s="19" t="s">
        <v>36</v>
      </c>
      <c r="Q2158" s="19" t="s">
        <v>36</v>
      </c>
      <c r="R2158" s="20">
        <v>33377</v>
      </c>
      <c r="S2158" s="21" t="str">
        <f>HYPERLINK("https://npc.collegeboard.org/student/app/thechristcollege", "$14493")</f>
        <v>$14493</v>
      </c>
      <c r="T2158" s="20">
        <v>20503</v>
      </c>
      <c r="U2158" s="20">
        <v>22910</v>
      </c>
      <c r="V2158" s="20">
        <v>7800</v>
      </c>
      <c r="W2158" s="20">
        <v>6693</v>
      </c>
      <c r="Y2158" s="19">
        <v>0.4214</v>
      </c>
      <c r="Z2158" s="19">
        <v>0.21049999999999999</v>
      </c>
      <c r="AB2158" s="18">
        <v>912</v>
      </c>
      <c r="AC2158" s="18">
        <v>6</v>
      </c>
    </row>
    <row r="2159" spans="1:29" ht="15.75" customHeight="1" x14ac:dyDescent="0.2">
      <c r="A2159" s="36" t="str">
        <f>HYPERLINK("https://www.chcp.edu", "College of Health Care Professions-Northwest")</f>
        <v>College of Health Care Professions-Northwest</v>
      </c>
      <c r="B2159" s="18" t="s">
        <v>368</v>
      </c>
      <c r="C2159" s="18" t="s">
        <v>146</v>
      </c>
      <c r="D2159" s="18" t="s">
        <v>147</v>
      </c>
      <c r="E2159" s="18" t="s">
        <v>36</v>
      </c>
      <c r="F2159" s="18" t="s">
        <v>36</v>
      </c>
      <c r="J2159" s="19"/>
      <c r="K2159" s="19">
        <v>0.57299999999999995</v>
      </c>
      <c r="L2159" s="19">
        <v>0.72439759000000004</v>
      </c>
      <c r="M2159" s="19">
        <v>0.52880000000000005</v>
      </c>
      <c r="N2159" s="19">
        <v>0.45579999999999998</v>
      </c>
      <c r="O2159" s="19">
        <v>0.63939999999999997</v>
      </c>
      <c r="P2159" s="19">
        <v>0.71430000000000005</v>
      </c>
      <c r="Q2159" s="19" t="s">
        <v>36</v>
      </c>
      <c r="R2159" s="20" t="s">
        <v>36</v>
      </c>
      <c r="S2159" s="21" t="str">
        <f>HYPERLINK("https://chcp.edu", "$25429")</f>
        <v>$25429</v>
      </c>
      <c r="T2159" s="20">
        <v>27728</v>
      </c>
      <c r="U2159" s="20">
        <v>29591</v>
      </c>
      <c r="V2159" s="20" t="s">
        <v>36</v>
      </c>
      <c r="W2159" s="20" t="s">
        <v>36</v>
      </c>
      <c r="Y2159" s="19">
        <v>0.64710000000000001</v>
      </c>
      <c r="Z2159" s="19">
        <v>0.84450000000000003</v>
      </c>
      <c r="AB2159" s="18">
        <v>1402</v>
      </c>
      <c r="AC2159" s="18">
        <v>6</v>
      </c>
    </row>
    <row r="2160" spans="1:29" ht="15.75" customHeight="1" x14ac:dyDescent="0.2">
      <c r="A2160" s="36" t="str">
        <f>HYPERLINK("https://www.collegeofidaho.edu", "The College of Idaho")</f>
        <v>The College of Idaho</v>
      </c>
      <c r="B2160" s="18" t="s">
        <v>32</v>
      </c>
      <c r="C2160" s="18" t="s">
        <v>486</v>
      </c>
      <c r="D2160" s="18" t="s">
        <v>487</v>
      </c>
      <c r="E2160" s="18" t="s">
        <v>36</v>
      </c>
      <c r="F2160" s="18" t="s">
        <v>45</v>
      </c>
      <c r="J2160" s="19"/>
      <c r="K2160" s="19">
        <v>0.66669999999999996</v>
      </c>
      <c r="L2160" s="19">
        <v>0.59154929600000006</v>
      </c>
      <c r="M2160" s="19">
        <v>0.67610000000000003</v>
      </c>
      <c r="N2160" s="19">
        <v>0.5</v>
      </c>
      <c r="O2160" s="19">
        <v>0.6341</v>
      </c>
      <c r="P2160" s="19">
        <v>0.75</v>
      </c>
      <c r="Q2160" s="19"/>
      <c r="R2160" s="20">
        <v>41347</v>
      </c>
      <c r="S2160" s="21" t="str">
        <f>HYPERLINK("https://www.collegeofidaho.edu/admission-aid/cost/net-price-calculator", "$18236")</f>
        <v>$18236</v>
      </c>
      <c r="T2160" s="20">
        <v>22464</v>
      </c>
      <c r="U2160" s="20">
        <v>21877</v>
      </c>
      <c r="V2160" s="20">
        <v>3400</v>
      </c>
      <c r="W2160" s="20">
        <v>14836</v>
      </c>
      <c r="Y2160" s="19">
        <v>0.29649999999999999</v>
      </c>
      <c r="Z2160" s="19">
        <v>0.3590000000000001</v>
      </c>
      <c r="AB2160" s="18">
        <v>936</v>
      </c>
      <c r="AC2160" s="18">
        <v>3</v>
      </c>
    </row>
    <row r="2161" spans="1:29" ht="15.75" customHeight="1" x14ac:dyDescent="0.2">
      <c r="A2161" s="36" t="str">
        <f>HYPERLINK("https://www.tcnj.edu", "The College of New Jersey")</f>
        <v>The College of New Jersey</v>
      </c>
      <c r="B2161" s="18" t="s">
        <v>49</v>
      </c>
      <c r="C2161" s="18" t="s">
        <v>141</v>
      </c>
      <c r="D2161" s="18" t="s">
        <v>263</v>
      </c>
      <c r="E2161" s="18">
        <v>1250</v>
      </c>
      <c r="F2161" s="18" t="s">
        <v>35</v>
      </c>
      <c r="J2161" s="19"/>
      <c r="K2161" s="19">
        <v>0.86580000000000001</v>
      </c>
      <c r="L2161" s="19">
        <v>0.72</v>
      </c>
      <c r="M2161" s="19">
        <v>0.88109999999999999</v>
      </c>
      <c r="N2161" s="19">
        <v>0.75380000000000003</v>
      </c>
      <c r="O2161" s="19">
        <v>0.83230000000000004</v>
      </c>
      <c r="P2161" s="19">
        <v>0.85350000000000004</v>
      </c>
      <c r="Q2161" s="19"/>
      <c r="R2161" s="20">
        <v>45897</v>
      </c>
      <c r="S2161" s="21" t="str">
        <f>HYPERLINK("https://netprice.tcnj.edu/npcalc.htm", "$26855")</f>
        <v>$26855</v>
      </c>
      <c r="T2161" s="20">
        <v>36367</v>
      </c>
      <c r="U2161" s="20">
        <v>43071</v>
      </c>
      <c r="V2161" s="20">
        <v>5118</v>
      </c>
      <c r="W2161" s="20">
        <v>21737.301675977651</v>
      </c>
      <c r="Y2161" s="19">
        <v>0.1668</v>
      </c>
      <c r="Z2161" s="19">
        <v>0.34449999999999997</v>
      </c>
      <c r="AB2161" s="18">
        <v>6850</v>
      </c>
      <c r="AC2161" s="18">
        <v>2</v>
      </c>
    </row>
    <row r="2162" spans="1:29" ht="15.75" customHeight="1" x14ac:dyDescent="0.2">
      <c r="A2162" s="36" t="str">
        <f>HYPERLINK("https://www.strose.edu", "The College of Saint Rose")</f>
        <v>The College of Saint Rose</v>
      </c>
      <c r="B2162" s="18" t="s">
        <v>32</v>
      </c>
      <c r="C2162" s="18" t="s">
        <v>38</v>
      </c>
      <c r="D2162" s="18" t="s">
        <v>550</v>
      </c>
      <c r="E2162" s="18" t="s">
        <v>36</v>
      </c>
      <c r="F2162" s="18" t="s">
        <v>45</v>
      </c>
      <c r="J2162" s="19"/>
      <c r="K2162" s="19">
        <v>0.58589999999999998</v>
      </c>
      <c r="L2162" s="19">
        <v>0.50826446299999994</v>
      </c>
      <c r="M2162" s="19">
        <v>0.6079</v>
      </c>
      <c r="N2162" s="19">
        <v>0.5</v>
      </c>
      <c r="O2162" s="19">
        <v>0.47499999999999998</v>
      </c>
      <c r="P2162" s="19">
        <v>0.61539999999999995</v>
      </c>
      <c r="Q2162" s="19"/>
      <c r="R2162" s="20">
        <v>47268</v>
      </c>
      <c r="S2162" s="21" t="str">
        <f>HYPERLINK("https://www.strose.edu/admissions/first-year-students/tuition-aid/tuition-fees/", "$19154")</f>
        <v>$19154</v>
      </c>
      <c r="T2162" s="20">
        <v>25192</v>
      </c>
      <c r="U2162" s="20">
        <v>26203</v>
      </c>
      <c r="V2162" s="20">
        <v>3300</v>
      </c>
      <c r="W2162" s="20">
        <v>15854</v>
      </c>
      <c r="Y2162" s="19">
        <v>0.41980000000000001</v>
      </c>
      <c r="Z2162" s="19">
        <v>0.41120000000000001</v>
      </c>
      <c r="AB2162" s="18">
        <v>2490</v>
      </c>
      <c r="AC2162" s="18">
        <v>4</v>
      </c>
    </row>
    <row r="2163" spans="1:29" ht="15.75" customHeight="1" x14ac:dyDescent="0.2">
      <c r="A2163" s="36" t="str">
        <f>HYPERLINK("https://www.css.edu", "The College of Saint Scholastica")</f>
        <v>The College of Saint Scholastica</v>
      </c>
      <c r="B2163" s="18" t="s">
        <v>32</v>
      </c>
      <c r="C2163" s="18" t="s">
        <v>72</v>
      </c>
      <c r="D2163" s="18" t="s">
        <v>1222</v>
      </c>
      <c r="E2163" s="18">
        <v>1141</v>
      </c>
      <c r="F2163" s="18" t="s">
        <v>35</v>
      </c>
      <c r="J2163" s="19"/>
      <c r="K2163" s="19">
        <v>0.6694</v>
      </c>
      <c r="L2163" s="19">
        <v>0.41350210999999998</v>
      </c>
      <c r="M2163" s="19">
        <v>0.6714</v>
      </c>
      <c r="N2163" s="19">
        <v>0.44440000000000002</v>
      </c>
      <c r="O2163" s="19">
        <v>0.66669999999999996</v>
      </c>
      <c r="P2163" s="19">
        <v>0.5</v>
      </c>
      <c r="Q2163" s="19"/>
      <c r="R2163" s="20">
        <v>49104</v>
      </c>
      <c r="S2163" s="21" t="str">
        <f>HYPERLINK("https://www.css.edu/undergraduate/undergraduate-traditional/paying-for-college/net-price-calculator--freshmen.html", "$17815")</f>
        <v>$17815</v>
      </c>
      <c r="T2163" s="20">
        <v>22108</v>
      </c>
      <c r="U2163" s="20">
        <v>25306</v>
      </c>
      <c r="V2163" s="20">
        <v>3370</v>
      </c>
      <c r="W2163" s="20">
        <v>14445</v>
      </c>
      <c r="Y2163" s="19">
        <v>0.2964</v>
      </c>
      <c r="Z2163" s="19">
        <v>0.1573</v>
      </c>
      <c r="AB2163" s="18">
        <v>2626</v>
      </c>
      <c r="AC2163" s="18">
        <v>4</v>
      </c>
    </row>
    <row r="2164" spans="1:29" ht="15.75" customHeight="1" x14ac:dyDescent="0.2">
      <c r="A2164" s="36" t="str">
        <f>HYPERLINK("https://www.cw.edu", "The College of Westchester")</f>
        <v>The College of Westchester</v>
      </c>
      <c r="B2164" s="18" t="s">
        <v>368</v>
      </c>
      <c r="C2164" s="18" t="s">
        <v>38</v>
      </c>
      <c r="D2164" s="18" t="s">
        <v>644</v>
      </c>
      <c r="E2164" s="18" t="s">
        <v>36</v>
      </c>
      <c r="F2164" s="18" t="s">
        <v>45</v>
      </c>
      <c r="J2164" s="19"/>
      <c r="K2164" s="19">
        <v>0.4798</v>
      </c>
      <c r="L2164" s="19">
        <v>0.36363636399999999</v>
      </c>
      <c r="M2164" s="19">
        <v>0.66669999999999996</v>
      </c>
      <c r="N2164" s="19">
        <v>0.42</v>
      </c>
      <c r="O2164" s="19">
        <v>0.51019999999999999</v>
      </c>
      <c r="P2164" s="19">
        <v>0.5</v>
      </c>
      <c r="Q2164" s="19">
        <v>2.6825633000000002E-2</v>
      </c>
      <c r="R2164" s="20">
        <v>36300</v>
      </c>
      <c r="S2164" s="21" t="str">
        <f>HYPERLINK("https://success.cw.edu/forms/npcalc/npcalc.htm", "$16094")</f>
        <v>$16094</v>
      </c>
      <c r="T2164" s="20">
        <v>21124</v>
      </c>
      <c r="U2164" s="20">
        <v>22507</v>
      </c>
      <c r="V2164" s="20">
        <v>5765</v>
      </c>
      <c r="W2164" s="20">
        <v>10329</v>
      </c>
      <c r="Y2164" s="19">
        <v>0.67969999999999997</v>
      </c>
      <c r="Z2164" s="19">
        <v>0.90990000000000004</v>
      </c>
      <c r="AB2164" s="18">
        <v>832</v>
      </c>
      <c r="AC2164" s="18">
        <v>6</v>
      </c>
    </row>
    <row r="2165" spans="1:29" ht="15.75" customHeight="1" x14ac:dyDescent="0.2">
      <c r="A2165" s="36" t="str">
        <f>HYPERLINK("https://www.wooster.edu", "The College of Wooster")</f>
        <v>The College of Wooster</v>
      </c>
      <c r="B2165" s="18" t="s">
        <v>32</v>
      </c>
      <c r="C2165" s="18" t="s">
        <v>75</v>
      </c>
      <c r="D2165" s="18" t="s">
        <v>488</v>
      </c>
      <c r="E2165" s="18">
        <v>1280</v>
      </c>
      <c r="F2165" s="18" t="s">
        <v>35</v>
      </c>
      <c r="J2165" s="19"/>
      <c r="K2165" s="19">
        <v>0.7671</v>
      </c>
      <c r="L2165" s="19">
        <v>0.77192982499999996</v>
      </c>
      <c r="M2165" s="19">
        <v>0.77669999999999995</v>
      </c>
      <c r="N2165" s="19">
        <v>0.67920000000000003</v>
      </c>
      <c r="O2165" s="19">
        <v>0.79169999999999996</v>
      </c>
      <c r="P2165" s="19">
        <v>0.84209999999999996</v>
      </c>
      <c r="Q2165" s="19"/>
      <c r="R2165" s="20">
        <v>61900</v>
      </c>
      <c r="S2165" s="21" t="str">
        <f>HYPERLINK("https://www.wooster.edu/admissions/aid/calc/calc/", "$14352")</f>
        <v>$14352</v>
      </c>
      <c r="T2165" s="20">
        <v>19183</v>
      </c>
      <c r="U2165" s="20">
        <v>24704</v>
      </c>
      <c r="V2165" s="20">
        <v>1900</v>
      </c>
      <c r="W2165" s="20">
        <v>12452</v>
      </c>
      <c r="Y2165" s="19">
        <v>0.1608</v>
      </c>
      <c r="Z2165" s="19">
        <v>0.34110000000000001</v>
      </c>
      <c r="AB2165" s="18">
        <v>1970</v>
      </c>
      <c r="AC2165" s="18">
        <v>3</v>
      </c>
    </row>
    <row r="2166" spans="1:29" ht="15.75" customHeight="1" x14ac:dyDescent="0.2">
      <c r="A2166" s="36" t="str">
        <f>HYPERLINK("https://www.creativecenter.edu", "The Creative Center")</f>
        <v>The Creative Center</v>
      </c>
      <c r="B2166" s="18" t="s">
        <v>368</v>
      </c>
      <c r="C2166" s="18" t="s">
        <v>341</v>
      </c>
      <c r="D2166" s="18" t="s">
        <v>345</v>
      </c>
      <c r="E2166" s="18" t="s">
        <v>36</v>
      </c>
      <c r="F2166" s="18" t="s">
        <v>45</v>
      </c>
      <c r="J2166" s="19"/>
      <c r="K2166" s="19">
        <v>0.71109999999999995</v>
      </c>
      <c r="L2166" s="19" t="s">
        <v>36</v>
      </c>
      <c r="M2166" s="19">
        <v>0.72499999999999998</v>
      </c>
      <c r="N2166" s="19" t="s">
        <v>36</v>
      </c>
      <c r="O2166" s="19">
        <v>0.5</v>
      </c>
      <c r="P2166" s="19" t="s">
        <v>36</v>
      </c>
      <c r="Q2166" s="19" t="s">
        <v>36</v>
      </c>
      <c r="R2166" s="20">
        <v>42050</v>
      </c>
      <c r="S2166" s="21" t="str">
        <f>HYPERLINK("https://www.creativecenter.edu/TCC14/at_breakouts.php", "$36688")</f>
        <v>$36688</v>
      </c>
      <c r="T2166" s="20">
        <v>39212</v>
      </c>
      <c r="U2166" s="20">
        <v>41627</v>
      </c>
      <c r="V2166" s="20">
        <v>7096</v>
      </c>
      <c r="W2166" s="20">
        <v>29592</v>
      </c>
      <c r="Y2166" s="19">
        <v>0.46550000000000002</v>
      </c>
      <c r="Z2166" s="19">
        <v>0.13730000000000001</v>
      </c>
      <c r="AB2166" s="18">
        <v>51</v>
      </c>
      <c r="AC2166" s="18">
        <v>6</v>
      </c>
    </row>
    <row r="2167" spans="1:29" ht="15.75" customHeight="1" x14ac:dyDescent="0.2">
      <c r="A2167" s="36" t="str">
        <f>HYPERLINK("https://www.evergreen.edu", "The Evergreen State College")</f>
        <v>The Evergreen State College</v>
      </c>
      <c r="B2167" s="18" t="s">
        <v>49</v>
      </c>
      <c r="C2167" s="18" t="s">
        <v>184</v>
      </c>
      <c r="D2167" s="18" t="s">
        <v>1223</v>
      </c>
      <c r="E2167" s="18">
        <v>1095</v>
      </c>
      <c r="F2167" s="18" t="s">
        <v>115</v>
      </c>
      <c r="J2167" s="19"/>
      <c r="K2167" s="19">
        <v>0.57279999999999998</v>
      </c>
      <c r="L2167" s="19">
        <v>0.414802065</v>
      </c>
      <c r="M2167" s="19">
        <v>0.56879999999999997</v>
      </c>
      <c r="N2167" s="19">
        <v>0.40910000000000002</v>
      </c>
      <c r="O2167" s="19">
        <v>0.64710000000000001</v>
      </c>
      <c r="P2167" s="19">
        <v>0.64290000000000003</v>
      </c>
      <c r="Q2167" s="19"/>
      <c r="R2167" s="20">
        <v>38842</v>
      </c>
      <c r="S2167" s="21" t="str">
        <f>HYPERLINK("https://www.evergreen.edu/costs/netprice-freshman.htm", "$27433")</f>
        <v>$27433</v>
      </c>
      <c r="T2167" s="20">
        <v>32287</v>
      </c>
      <c r="U2167" s="20">
        <v>35414</v>
      </c>
      <c r="V2167" s="20">
        <v>4110</v>
      </c>
      <c r="W2167" s="20">
        <v>23323.567164179109</v>
      </c>
      <c r="Y2167" s="19">
        <v>0.44340000000000002</v>
      </c>
      <c r="Z2167" s="19">
        <v>0.34100000000000003</v>
      </c>
      <c r="AB2167" s="18">
        <v>3560</v>
      </c>
      <c r="AC2167" s="18">
        <v>4</v>
      </c>
    </row>
    <row r="2168" spans="1:29" ht="15.75" customHeight="1" x14ac:dyDescent="0.2">
      <c r="A2168" s="36" t="str">
        <f>HYPERLINK("https://www.juilliard.edu/", "The Juilliard School")</f>
        <v>The Juilliard School</v>
      </c>
      <c r="B2168" s="18" t="s">
        <v>32</v>
      </c>
      <c r="C2168" s="18" t="s">
        <v>38</v>
      </c>
      <c r="D2168" s="18" t="s">
        <v>39</v>
      </c>
      <c r="E2168" s="18" t="s">
        <v>36</v>
      </c>
      <c r="F2168" s="18" t="s">
        <v>45</v>
      </c>
      <c r="J2168" s="19"/>
      <c r="K2168" s="19">
        <v>0.95050000000000001</v>
      </c>
      <c r="L2168" s="19" t="s">
        <v>36</v>
      </c>
      <c r="M2168" s="19">
        <v>1</v>
      </c>
      <c r="N2168" s="19">
        <v>1</v>
      </c>
      <c r="O2168" s="19">
        <v>1</v>
      </c>
      <c r="P2168" s="19">
        <v>0.66669999999999996</v>
      </c>
      <c r="Q2168" s="19"/>
      <c r="R2168" s="20">
        <v>62600</v>
      </c>
      <c r="S2168" s="21" t="str">
        <f>HYPERLINK("https://www.juilliard.edu/campus-life/financial-aid/net-price-calculator", "$25870")</f>
        <v>$25870</v>
      </c>
      <c r="T2168" s="20">
        <v>26115</v>
      </c>
      <c r="U2168" s="20">
        <v>37130</v>
      </c>
      <c r="V2168" s="20">
        <v>3440</v>
      </c>
      <c r="W2168" s="20">
        <v>22430</v>
      </c>
      <c r="Y2168" s="19">
        <v>0.1414</v>
      </c>
      <c r="Z2168" s="19">
        <v>0.62139999999999995</v>
      </c>
      <c r="AB2168" s="18">
        <v>486</v>
      </c>
      <c r="AC2168" s="18">
        <v>4</v>
      </c>
    </row>
    <row r="2169" spans="1:29" ht="15.75" customHeight="1" x14ac:dyDescent="0.2">
      <c r="A2169" s="36" t="str">
        <f>HYPERLINK("https://www.masters.edu", "The Master's College and Seminary")</f>
        <v>The Master's College and Seminary</v>
      </c>
      <c r="B2169" s="18" t="s">
        <v>32</v>
      </c>
      <c r="C2169" s="18" t="s">
        <v>68</v>
      </c>
      <c r="D2169" s="18" t="s">
        <v>1185</v>
      </c>
      <c r="E2169" s="18">
        <v>1116</v>
      </c>
      <c r="F2169" s="18" t="s">
        <v>35</v>
      </c>
      <c r="J2169" s="19"/>
      <c r="K2169" s="19">
        <v>0.55459999999999998</v>
      </c>
      <c r="L2169" s="19">
        <v>0.44615384600000002</v>
      </c>
      <c r="M2169" s="19">
        <v>0.50360000000000005</v>
      </c>
      <c r="N2169" s="19">
        <v>0.33329999999999999</v>
      </c>
      <c r="O2169" s="19">
        <v>0.65380000000000005</v>
      </c>
      <c r="P2169" s="19">
        <v>0.8125</v>
      </c>
      <c r="Q2169" s="19"/>
      <c r="R2169" s="20">
        <v>47766</v>
      </c>
      <c r="S2169" s="21" t="str">
        <f>HYPERLINK("https://npc.collegeboard.org/student/app/masters", "$21563")</f>
        <v>$21563</v>
      </c>
      <c r="T2169" s="20">
        <v>23780</v>
      </c>
      <c r="U2169" s="20">
        <v>27126</v>
      </c>
      <c r="V2169" s="20">
        <v>4196</v>
      </c>
      <c r="W2169" s="20">
        <v>17367</v>
      </c>
      <c r="Y2169" s="19">
        <v>0.30230000000000001</v>
      </c>
      <c r="Z2169" s="19">
        <v>0.33650000000000002</v>
      </c>
      <c r="AB2169" s="18">
        <v>1171</v>
      </c>
      <c r="AC2169" s="18">
        <v>4</v>
      </c>
    </row>
    <row r="2170" spans="1:29" ht="15.75" customHeight="1" x14ac:dyDescent="0.2">
      <c r="A2170" s="36" t="str">
        <f>HYPERLINK("https://necmusic.edu", "The New England Conservatory of Music")</f>
        <v>The New England Conservatory of Music</v>
      </c>
      <c r="B2170" s="18" t="s">
        <v>32</v>
      </c>
      <c r="C2170" s="18" t="s">
        <v>33</v>
      </c>
      <c r="D2170" s="18" t="s">
        <v>136</v>
      </c>
      <c r="E2170" s="18" t="s">
        <v>36</v>
      </c>
      <c r="F2170" s="18" t="s">
        <v>45</v>
      </c>
      <c r="J2170" s="19"/>
      <c r="K2170" s="19">
        <v>0.79569999999999996</v>
      </c>
      <c r="L2170" s="19" t="s">
        <v>36</v>
      </c>
      <c r="M2170" s="19">
        <v>0.6744</v>
      </c>
      <c r="N2170" s="19">
        <v>1</v>
      </c>
      <c r="O2170" s="19">
        <v>0.33329999999999999</v>
      </c>
      <c r="P2170" s="19">
        <v>1</v>
      </c>
      <c r="Q2170" s="19"/>
      <c r="R2170" s="20">
        <v>66030</v>
      </c>
      <c r="S2170" s="21" t="str">
        <f>HYPERLINK("https://necmusic.edu/modules/custom/NetPriceCalculator/index.html", "$29832")</f>
        <v>$29832</v>
      </c>
      <c r="T2170" s="20">
        <v>38375</v>
      </c>
      <c r="U2170" s="20">
        <v>42256</v>
      </c>
      <c r="V2170" s="20">
        <v>3400</v>
      </c>
      <c r="W2170" s="20">
        <v>26432</v>
      </c>
      <c r="Y2170" s="19">
        <v>0.12590000000000001</v>
      </c>
      <c r="Z2170" s="19">
        <v>0.64890000000000003</v>
      </c>
      <c r="AB2170" s="18">
        <v>413</v>
      </c>
      <c r="AC2170" s="18">
        <v>4</v>
      </c>
    </row>
    <row r="2171" spans="1:29" ht="15.75" customHeight="1" x14ac:dyDescent="0.2">
      <c r="A2171" s="36" t="str">
        <f>HYPERLINK("https://www.newschool.edu/", "The New School")</f>
        <v>The New School</v>
      </c>
      <c r="B2171" s="18" t="s">
        <v>32</v>
      </c>
      <c r="C2171" s="18" t="s">
        <v>38</v>
      </c>
      <c r="D2171" s="18" t="s">
        <v>39</v>
      </c>
      <c r="E2171" s="18">
        <v>1223</v>
      </c>
      <c r="F2171" s="18" t="s">
        <v>115</v>
      </c>
      <c r="G2171" s="18" t="s">
        <v>489</v>
      </c>
      <c r="H2171" s="18" t="s">
        <v>490</v>
      </c>
      <c r="I2171" s="18" t="s">
        <v>491</v>
      </c>
      <c r="J2171" s="19"/>
      <c r="K2171" s="19">
        <v>0.67330000000000001</v>
      </c>
      <c r="L2171" s="19">
        <v>0.54911433200000004</v>
      </c>
      <c r="M2171" s="19">
        <v>0.60919999999999996</v>
      </c>
      <c r="N2171" s="19">
        <v>0.64290000000000003</v>
      </c>
      <c r="O2171" s="19">
        <v>0.55559999999999998</v>
      </c>
      <c r="P2171" s="19">
        <v>0.80299999999999994</v>
      </c>
      <c r="Q2171" s="19"/>
      <c r="R2171" s="20">
        <v>69475</v>
      </c>
      <c r="S2171" s="21" t="str">
        <f>HYPERLINK("https://app.enrollmentfacts.com/npcNewSchool/npcNewSchool.aspx?title=0&amp;id=31&amp;state=NY&amp;theme=newschool&amp;literature=1&amp;loans=1", "$36112")</f>
        <v>$36112</v>
      </c>
      <c r="T2171" s="20">
        <v>40204</v>
      </c>
      <c r="U2171" s="20">
        <v>41714</v>
      </c>
      <c r="V2171" s="20">
        <v>3599</v>
      </c>
      <c r="W2171" s="20">
        <v>32513</v>
      </c>
      <c r="Y2171" s="19">
        <v>0.2074</v>
      </c>
      <c r="Z2171" s="19">
        <v>0.67490000000000006</v>
      </c>
      <c r="AB2171" s="18">
        <v>6982</v>
      </c>
      <c r="AC2171" s="18">
        <v>3</v>
      </c>
    </row>
    <row r="2172" spans="1:29" ht="15.75" customHeight="1" x14ac:dyDescent="0.2">
      <c r="A2172" s="36" t="str">
        <f>HYPERLINK("https://www.thencc.edu", "Virginia Marti College of Art and Design")</f>
        <v>Virginia Marti College of Art and Design</v>
      </c>
      <c r="B2172" s="18" t="s">
        <v>368</v>
      </c>
      <c r="C2172" s="18" t="s">
        <v>75</v>
      </c>
      <c r="D2172" s="18" t="s">
        <v>338</v>
      </c>
      <c r="E2172" s="18" t="s">
        <v>36</v>
      </c>
      <c r="F2172" s="18" t="s">
        <v>90</v>
      </c>
      <c r="J2172" s="19"/>
      <c r="K2172" s="19">
        <v>0.51719999999999999</v>
      </c>
      <c r="L2172" s="19">
        <v>0.42647058799999998</v>
      </c>
      <c r="M2172" s="19">
        <v>0.6522</v>
      </c>
      <c r="N2172" s="19">
        <v>0</v>
      </c>
      <c r="O2172" s="19" t="s">
        <v>36</v>
      </c>
      <c r="P2172" s="19" t="s">
        <v>36</v>
      </c>
      <c r="Q2172" s="19" t="s">
        <v>36</v>
      </c>
      <c r="R2172" s="20">
        <v>33261</v>
      </c>
      <c r="S2172" s="21" t="str">
        <f>HYPERLINK("https://www.thencc.edu/wp-content/uploads/2018/08/npcalc.htm", "$22000")</f>
        <v>$22000</v>
      </c>
      <c r="T2172" s="20">
        <v>28862</v>
      </c>
      <c r="U2172" s="20">
        <v>27313</v>
      </c>
      <c r="V2172" s="20">
        <v>5243</v>
      </c>
      <c r="W2172" s="20">
        <v>16757</v>
      </c>
      <c r="Y2172" s="19">
        <v>0.7006</v>
      </c>
      <c r="Z2172" s="19">
        <v>0.51879999999999993</v>
      </c>
      <c r="AB2172" s="18">
        <v>133</v>
      </c>
      <c r="AC2172" s="18">
        <v>6</v>
      </c>
    </row>
    <row r="2173" spans="1:29" ht="15.75" customHeight="1" x14ac:dyDescent="0.2">
      <c r="A2173" s="36" t="str">
        <f>HYPERLINK("https://www.walnuthillcollege.edu", "The Restaurant School at Walnut Hill College")</f>
        <v>The Restaurant School at Walnut Hill College</v>
      </c>
      <c r="B2173" s="18" t="s">
        <v>368</v>
      </c>
      <c r="C2173" s="18" t="s">
        <v>65</v>
      </c>
      <c r="D2173" s="18" t="s">
        <v>168</v>
      </c>
      <c r="E2173" s="18" t="s">
        <v>36</v>
      </c>
      <c r="F2173" s="18" t="s">
        <v>90</v>
      </c>
      <c r="J2173" s="19"/>
      <c r="K2173" s="19">
        <v>0.59619999999999995</v>
      </c>
      <c r="L2173" s="19">
        <v>0.22500000000000001</v>
      </c>
      <c r="M2173" s="19">
        <v>0.59570000000000001</v>
      </c>
      <c r="N2173" s="19">
        <v>0.60289999999999999</v>
      </c>
      <c r="O2173" s="19">
        <v>0.5</v>
      </c>
      <c r="P2173" s="19">
        <v>0.7</v>
      </c>
      <c r="Q2173" s="19" t="s">
        <v>36</v>
      </c>
      <c r="R2173" s="20">
        <v>39363</v>
      </c>
      <c r="S2173" s="21" t="str">
        <f>HYPERLINK("https://walnuthillcollege.studentaidcalculator.com/survey.aspx", "$31772")</f>
        <v>$31772</v>
      </c>
      <c r="T2173" s="20">
        <v>31964</v>
      </c>
      <c r="U2173" s="20">
        <v>33853</v>
      </c>
      <c r="V2173" s="20">
        <v>4635</v>
      </c>
      <c r="W2173" s="20">
        <v>27137</v>
      </c>
      <c r="Y2173" s="19">
        <v>0.69900000000000007</v>
      </c>
      <c r="Z2173" s="19">
        <v>0.58679999999999999</v>
      </c>
      <c r="AB2173" s="18">
        <v>334</v>
      </c>
      <c r="AC2173" s="18">
        <v>6</v>
      </c>
    </row>
    <row r="2174" spans="1:29" ht="15.75" customHeight="1" x14ac:dyDescent="0.2">
      <c r="A2174" s="36" t="str">
        <f>HYPERLINK("https://www.sage.edu", "The Sage Colleges")</f>
        <v>The Sage Colleges</v>
      </c>
      <c r="B2174" s="18" t="s">
        <v>32</v>
      </c>
      <c r="C2174" s="18" t="s">
        <v>38</v>
      </c>
      <c r="D2174" s="18" t="s">
        <v>145</v>
      </c>
      <c r="E2174" s="18" t="s">
        <v>36</v>
      </c>
      <c r="F2174" s="18" t="s">
        <v>45</v>
      </c>
      <c r="J2174" s="19"/>
      <c r="K2174" s="19">
        <v>0.55879999999999996</v>
      </c>
      <c r="L2174" s="19">
        <v>0.61111111100000004</v>
      </c>
      <c r="M2174" s="19">
        <v>0.64629999999999999</v>
      </c>
      <c r="N2174" s="19">
        <v>0.41789999999999999</v>
      </c>
      <c r="O2174" s="19">
        <v>0.51349999999999996</v>
      </c>
      <c r="P2174" s="19">
        <v>0.28570000000000001</v>
      </c>
      <c r="Q2174" s="19"/>
      <c r="R2174" s="20">
        <v>45397</v>
      </c>
      <c r="S2174" s="21" t="str">
        <f>HYPERLINK("https://sage.studentaidcalculator.com/welcome.aspx", "$14638")</f>
        <v>$14638</v>
      </c>
      <c r="T2174" s="20">
        <v>22233</v>
      </c>
      <c r="U2174" s="20">
        <v>25865</v>
      </c>
      <c r="V2174" s="20">
        <v>3125</v>
      </c>
      <c r="W2174" s="20">
        <v>11513</v>
      </c>
      <c r="Y2174" s="19">
        <v>0.47089999999999999</v>
      </c>
      <c r="Z2174" s="19">
        <v>0.35759999999999997</v>
      </c>
      <c r="AB2174" s="18">
        <v>1275</v>
      </c>
      <c r="AC2174" s="18">
        <v>4</v>
      </c>
    </row>
    <row r="2175" spans="1:29" ht="15.75" customHeight="1" x14ac:dyDescent="0.2">
      <c r="A2175" s="36" t="str">
        <f>HYPERLINK("https://www.ua.edu/", "The University of Alabama")</f>
        <v>The University of Alabama</v>
      </c>
      <c r="B2175" s="18" t="s">
        <v>49</v>
      </c>
      <c r="C2175" s="18" t="s">
        <v>300</v>
      </c>
      <c r="D2175" s="18" t="s">
        <v>1211</v>
      </c>
      <c r="E2175" s="18">
        <v>1278</v>
      </c>
      <c r="F2175" s="18" t="s">
        <v>35</v>
      </c>
      <c r="J2175" s="19"/>
      <c r="K2175" s="19">
        <v>0.67869999999999997</v>
      </c>
      <c r="L2175" s="19">
        <v>0.50495804700000002</v>
      </c>
      <c r="M2175" s="19">
        <v>0.70509999999999995</v>
      </c>
      <c r="N2175" s="19">
        <v>0.53910000000000002</v>
      </c>
      <c r="O2175" s="19">
        <v>0.54110000000000003</v>
      </c>
      <c r="P2175" s="19">
        <v>0.63790000000000002</v>
      </c>
      <c r="Q2175" s="19"/>
      <c r="R2175" s="20">
        <v>46744</v>
      </c>
      <c r="S2175" s="21" t="str">
        <f>HYPERLINK("https://financialaid.ua.edu/net-price-calculator/", "$37090")</f>
        <v>$37090</v>
      </c>
      <c r="T2175" s="20">
        <v>40596</v>
      </c>
      <c r="U2175" s="20">
        <v>42327</v>
      </c>
      <c r="V2175" s="20">
        <v>5320</v>
      </c>
      <c r="W2175" s="20">
        <v>31770.40252707581</v>
      </c>
      <c r="Y2175" s="19">
        <v>0.18</v>
      </c>
      <c r="Z2175" s="19">
        <v>0.21529999999999999</v>
      </c>
      <c r="AB2175" s="18">
        <v>32387</v>
      </c>
      <c r="AC2175" s="18">
        <v>4</v>
      </c>
    </row>
    <row r="2176" spans="1:29" ht="15.75" customHeight="1" x14ac:dyDescent="0.2">
      <c r="A2176" s="36" t="str">
        <f>HYPERLINK("https://www.findlay.edu/", "The University of Findlay")</f>
        <v>The University of Findlay</v>
      </c>
      <c r="B2176" s="18" t="s">
        <v>32</v>
      </c>
      <c r="C2176" s="18" t="s">
        <v>75</v>
      </c>
      <c r="D2176" s="18" t="s">
        <v>998</v>
      </c>
      <c r="E2176" s="18">
        <v>1171</v>
      </c>
      <c r="F2176" s="18" t="s">
        <v>35</v>
      </c>
      <c r="J2176" s="19"/>
      <c r="K2176" s="19">
        <v>0.6129</v>
      </c>
      <c r="L2176" s="19">
        <v>0.45192307700000001</v>
      </c>
      <c r="M2176" s="19">
        <v>0.62270000000000003</v>
      </c>
      <c r="N2176" s="19">
        <v>0.29409999999999997</v>
      </c>
      <c r="O2176" s="19">
        <v>0.55559999999999998</v>
      </c>
      <c r="P2176" s="19">
        <v>0.8</v>
      </c>
      <c r="Q2176" s="19"/>
      <c r="R2176" s="20">
        <v>45575</v>
      </c>
      <c r="S2176" s="21" t="str">
        <f>HYPERLINK("https://findlay.studentaidcalculator.com/survey.aspx", "$17823")</f>
        <v>$17823</v>
      </c>
      <c r="T2176" s="20">
        <v>21841</v>
      </c>
      <c r="U2176" s="20">
        <v>25428</v>
      </c>
      <c r="V2176" s="20">
        <v>2535</v>
      </c>
      <c r="W2176" s="20">
        <v>15288</v>
      </c>
      <c r="Y2176" s="19">
        <v>0.18679999999999999</v>
      </c>
      <c r="Z2176" s="19">
        <v>0.17560000000000001</v>
      </c>
      <c r="AB2176" s="18">
        <v>2637</v>
      </c>
      <c r="AC2176" s="18">
        <v>4</v>
      </c>
    </row>
    <row r="2177" spans="1:29" ht="15.75" customHeight="1" x14ac:dyDescent="0.2">
      <c r="A2177" s="36" t="str">
        <f>HYPERLINK("https://www.umt.edu", "The University of Montana")</f>
        <v>The University of Montana</v>
      </c>
      <c r="B2177" s="18" t="s">
        <v>49</v>
      </c>
      <c r="C2177" s="18" t="s">
        <v>421</v>
      </c>
      <c r="D2177" s="18" t="s">
        <v>1228</v>
      </c>
      <c r="E2177" s="18">
        <v>1165</v>
      </c>
      <c r="F2177" s="18" t="s">
        <v>35</v>
      </c>
      <c r="J2177" s="19"/>
      <c r="K2177" s="19">
        <v>0.45800000000000002</v>
      </c>
      <c r="L2177" s="19">
        <v>0.29662077599999997</v>
      </c>
      <c r="M2177" s="19">
        <v>0.47789999999999999</v>
      </c>
      <c r="N2177" s="19">
        <v>0.38890000000000002</v>
      </c>
      <c r="O2177" s="19">
        <v>0.35439999999999999</v>
      </c>
      <c r="P2177" s="19">
        <v>0.5</v>
      </c>
      <c r="Q2177" s="19"/>
      <c r="R2177" s="20">
        <v>38356</v>
      </c>
      <c r="S2177" s="21" t="str">
        <f>HYPERLINK("https://www.umt.edu/finaid/cost-of-attendance/net-price-calculator/default.php", "$32994")</f>
        <v>$32994</v>
      </c>
      <c r="T2177" s="20">
        <v>36102</v>
      </c>
      <c r="U2177" s="20">
        <v>37282</v>
      </c>
      <c r="V2177" s="20">
        <v>4235</v>
      </c>
      <c r="W2177" s="20">
        <v>28759.40443213296</v>
      </c>
      <c r="Y2177" s="19">
        <v>0.33750000000000002</v>
      </c>
      <c r="Z2177" s="19">
        <v>0.21299999999999999</v>
      </c>
      <c r="AB2177" s="18">
        <v>8958</v>
      </c>
      <c r="AC2177" s="18">
        <v>4</v>
      </c>
    </row>
    <row r="2178" spans="1:29" ht="15.75" customHeight="1" x14ac:dyDescent="0.2">
      <c r="A2178" s="36" t="str">
        <f>HYPERLINK("https://mc.umt.edu/", "The University of Montana - Missoula College")</f>
        <v>The University of Montana - Missoula College</v>
      </c>
      <c r="B2178" s="18" t="s">
        <v>49</v>
      </c>
      <c r="C2178" s="18" t="s">
        <v>421</v>
      </c>
      <c r="D2178" s="18" t="s">
        <v>1228</v>
      </c>
      <c r="E2178" s="18" t="s">
        <v>36</v>
      </c>
      <c r="F2178" s="18" t="s">
        <v>36</v>
      </c>
      <c r="J2178" s="19"/>
      <c r="K2178" s="19" t="s">
        <v>36</v>
      </c>
      <c r="L2178" s="19">
        <v>0.29662077599999997</v>
      </c>
      <c r="M2178" s="19" t="s">
        <v>36</v>
      </c>
      <c r="N2178" s="19" t="s">
        <v>36</v>
      </c>
      <c r="O2178" s="19" t="s">
        <v>36</v>
      </c>
      <c r="P2178" s="19" t="s">
        <v>36</v>
      </c>
      <c r="Q2178" s="19"/>
      <c r="R2178" s="20" t="s">
        <v>36</v>
      </c>
      <c r="S2178" s="35" t="s">
        <v>36</v>
      </c>
      <c r="T2178" s="20" t="s">
        <v>36</v>
      </c>
      <c r="U2178" s="20" t="s">
        <v>36</v>
      </c>
      <c r="V2178" s="20" t="s">
        <v>36</v>
      </c>
      <c r="W2178" s="20" t="s">
        <v>36</v>
      </c>
      <c r="Y2178" s="19" t="s">
        <v>36</v>
      </c>
      <c r="Z2178" s="19" t="s">
        <v>36</v>
      </c>
      <c r="AB2178" s="18" t="s">
        <v>36</v>
      </c>
      <c r="AC2178" s="18">
        <v>4</v>
      </c>
    </row>
    <row r="2179" spans="1:29" ht="15.75" customHeight="1" x14ac:dyDescent="0.2">
      <c r="A2179" s="36" t="str">
        <f>HYPERLINK("https://www.ut.edu", "The University of Tampa")</f>
        <v>The University of Tampa</v>
      </c>
      <c r="B2179" s="18" t="s">
        <v>32</v>
      </c>
      <c r="C2179" s="18" t="s">
        <v>162</v>
      </c>
      <c r="D2179" s="18" t="s">
        <v>1230</v>
      </c>
      <c r="E2179" s="18">
        <v>1171</v>
      </c>
      <c r="F2179" s="18" t="s">
        <v>35</v>
      </c>
      <c r="J2179" s="19"/>
      <c r="K2179" s="19">
        <v>0.59689999999999999</v>
      </c>
      <c r="L2179" s="19">
        <v>0.53919239899999993</v>
      </c>
      <c r="M2179" s="19">
        <v>0.60699999999999998</v>
      </c>
      <c r="N2179" s="19">
        <v>0.65380000000000005</v>
      </c>
      <c r="O2179" s="19">
        <v>0.54549999999999998</v>
      </c>
      <c r="P2179" s="19">
        <v>0.43480000000000002</v>
      </c>
      <c r="Q2179" s="19"/>
      <c r="R2179" s="20">
        <v>43708</v>
      </c>
      <c r="S2179" s="21" t="str">
        <f>HYPERLINK("https://www.ut.edu/financialaid/calculators/", "$26113")</f>
        <v>$26113</v>
      </c>
      <c r="T2179" s="20">
        <v>27000</v>
      </c>
      <c r="U2179" s="20">
        <v>29277</v>
      </c>
      <c r="V2179" s="20">
        <v>4780</v>
      </c>
      <c r="W2179" s="20">
        <v>21333</v>
      </c>
      <c r="Y2179" s="19">
        <v>0.22439999999999999</v>
      </c>
      <c r="Z2179" s="19">
        <v>0.39150000000000001</v>
      </c>
      <c r="AB2179" s="18">
        <v>7956</v>
      </c>
      <c r="AC2179" s="18">
        <v>4</v>
      </c>
    </row>
    <row r="2180" spans="1:29" ht="15.75" customHeight="1" x14ac:dyDescent="0.2">
      <c r="A2180" s="36" t="str">
        <f>HYPERLINK("https://www.utc.edu", "The University of Tennessee-Chattanooga")</f>
        <v>The University of Tennessee-Chattanooga</v>
      </c>
      <c r="B2180" s="18" t="s">
        <v>49</v>
      </c>
      <c r="C2180" s="18" t="s">
        <v>174</v>
      </c>
      <c r="D2180" s="18" t="s">
        <v>1128</v>
      </c>
      <c r="E2180" s="18">
        <v>1164</v>
      </c>
      <c r="F2180" s="18" t="s">
        <v>35</v>
      </c>
      <c r="J2180" s="19"/>
      <c r="K2180" s="19">
        <v>0.45169999999999999</v>
      </c>
      <c r="L2180" s="19">
        <v>0.400225479</v>
      </c>
      <c r="M2180" s="19">
        <v>0.4577</v>
      </c>
      <c r="N2180" s="19">
        <v>0.35289999999999999</v>
      </c>
      <c r="O2180" s="19">
        <v>0.52170000000000005</v>
      </c>
      <c r="P2180" s="19">
        <v>0.53569999999999995</v>
      </c>
      <c r="Q2180" s="19"/>
      <c r="R2180" s="20">
        <v>38882</v>
      </c>
      <c r="S2180" s="21" t="str">
        <f>HYPERLINK("https://www.utc.edu/financial-aid/estimating-your-cost/net-price-calculator.php", "$26906")</f>
        <v>$26906</v>
      </c>
      <c r="T2180" s="20">
        <v>32989</v>
      </c>
      <c r="U2180" s="20">
        <v>33911</v>
      </c>
      <c r="V2180" s="20">
        <v>5000</v>
      </c>
      <c r="W2180" s="20">
        <v>21906.00196463654</v>
      </c>
      <c r="Y2180" s="19">
        <v>0.32690000000000002</v>
      </c>
      <c r="Z2180" s="19">
        <v>0.23549999999999999</v>
      </c>
      <c r="AB2180" s="18">
        <v>10097</v>
      </c>
      <c r="AC2180" s="18">
        <v>4</v>
      </c>
    </row>
    <row r="2181" spans="1:29" ht="15.75" customHeight="1" x14ac:dyDescent="0.2">
      <c r="A2181" s="36" t="str">
        <f>HYPERLINK("https://www.utk.edu", "The University of Tennessee-Knoxville")</f>
        <v>The University of Tennessee-Knoxville</v>
      </c>
      <c r="B2181" s="18" t="s">
        <v>49</v>
      </c>
      <c r="C2181" s="18" t="s">
        <v>174</v>
      </c>
      <c r="D2181" s="18" t="s">
        <v>492</v>
      </c>
      <c r="E2181" s="18">
        <v>1280</v>
      </c>
      <c r="F2181" s="18" t="s">
        <v>35</v>
      </c>
      <c r="J2181" s="19"/>
      <c r="K2181" s="19">
        <v>0.70230000000000004</v>
      </c>
      <c r="L2181" s="19">
        <v>0.60680907900000003</v>
      </c>
      <c r="M2181" s="19">
        <v>0.71989999999999998</v>
      </c>
      <c r="N2181" s="19">
        <v>0.58489999999999998</v>
      </c>
      <c r="O2181" s="19">
        <v>0.66099999999999992</v>
      </c>
      <c r="P2181" s="19">
        <v>0.76070000000000004</v>
      </c>
      <c r="Q2181" s="19"/>
      <c r="R2181" s="20">
        <v>49350</v>
      </c>
      <c r="S2181" s="21" t="str">
        <f>HYPERLINK("https://onestop.utk.edu/your-money/cost-estimators/net-price-calculator/", "$31938")</f>
        <v>$31938</v>
      </c>
      <c r="T2181" s="20">
        <v>41715</v>
      </c>
      <c r="U2181" s="20">
        <v>43382</v>
      </c>
      <c r="V2181" s="20">
        <v>7264</v>
      </c>
      <c r="W2181" s="20">
        <v>24674.151260504201</v>
      </c>
      <c r="Y2181" s="19">
        <v>0.2712</v>
      </c>
      <c r="Z2181" s="19">
        <v>0.21619999999999989</v>
      </c>
      <c r="AB2181" s="18">
        <v>22151</v>
      </c>
      <c r="AC2181" s="18">
        <v>3</v>
      </c>
    </row>
    <row r="2182" spans="1:29" ht="15.75" customHeight="1" x14ac:dyDescent="0.2">
      <c r="A2182" s="36" t="str">
        <f>HYPERLINK("https://www.utm.edu", "The University of Tennessee-Martin")</f>
        <v>The University of Tennessee-Martin</v>
      </c>
      <c r="B2182" s="18" t="s">
        <v>49</v>
      </c>
      <c r="C2182" s="18" t="s">
        <v>174</v>
      </c>
      <c r="D2182" s="18" t="s">
        <v>1234</v>
      </c>
      <c r="E2182" s="18">
        <v>1125</v>
      </c>
      <c r="F2182" s="18" t="s">
        <v>35</v>
      </c>
      <c r="J2182" s="19"/>
      <c r="K2182" s="19">
        <v>0.50229999999999997</v>
      </c>
      <c r="L2182" s="19">
        <v>0.37408312999999999</v>
      </c>
      <c r="M2182" s="19">
        <v>0.49640000000000001</v>
      </c>
      <c r="N2182" s="19">
        <v>0.4975</v>
      </c>
      <c r="O2182" s="19">
        <v>0.58620000000000005</v>
      </c>
      <c r="P2182" s="19">
        <v>0.46150000000000002</v>
      </c>
      <c r="Q2182" s="19"/>
      <c r="R2182" s="20">
        <v>25966</v>
      </c>
      <c r="S2182" s="21" t="str">
        <f>HYPERLINK("https://www.utm.edu/departments/finaid/calculator.php", "$14292")</f>
        <v>$14292</v>
      </c>
      <c r="T2182" s="20">
        <v>19549</v>
      </c>
      <c r="U2182" s="20">
        <v>20153</v>
      </c>
      <c r="V2182" s="20">
        <v>4994</v>
      </c>
      <c r="W2182" s="20">
        <v>9298.1232876712329</v>
      </c>
      <c r="Y2182" s="19">
        <v>0.42159999999999997</v>
      </c>
      <c r="Z2182" s="19">
        <v>0.22020000000000001</v>
      </c>
      <c r="AB2182" s="18">
        <v>5522</v>
      </c>
      <c r="AC2182" s="18">
        <v>4</v>
      </c>
    </row>
    <row r="2183" spans="1:29" ht="15.75" customHeight="1" x14ac:dyDescent="0.2">
      <c r="A2183" s="36" t="str">
        <f>HYPERLINK("https://WWW.UTA.EDU", "The University of Texas at Arlington")</f>
        <v>The University of Texas at Arlington</v>
      </c>
      <c r="B2183" s="18" t="s">
        <v>49</v>
      </c>
      <c r="C2183" s="18" t="s">
        <v>146</v>
      </c>
      <c r="D2183" s="18" t="s">
        <v>727</v>
      </c>
      <c r="E2183" s="18">
        <v>1163</v>
      </c>
      <c r="F2183" s="18" t="s">
        <v>35</v>
      </c>
      <c r="J2183" s="19"/>
      <c r="K2183" s="19">
        <v>0.49980000000000002</v>
      </c>
      <c r="L2183" s="19">
        <v>0.46335697399999998</v>
      </c>
      <c r="M2183" s="19">
        <v>0.45279999999999998</v>
      </c>
      <c r="N2183" s="19">
        <v>0.45950000000000002</v>
      </c>
      <c r="O2183" s="19">
        <v>0.50570000000000004</v>
      </c>
      <c r="P2183" s="19">
        <v>0.61399999999999999</v>
      </c>
      <c r="Q2183" s="19"/>
      <c r="R2183" s="20">
        <v>39860</v>
      </c>
      <c r="S2183" s="21" t="str">
        <f>HYPERLINK("https://www.collegeforalltexans.com/apps/CollegeMoney/", "$29668")</f>
        <v>$29668</v>
      </c>
      <c r="T2183" s="20">
        <v>32221</v>
      </c>
      <c r="U2183" s="20">
        <v>36458</v>
      </c>
      <c r="V2183" s="20">
        <v>5784</v>
      </c>
      <c r="W2183" s="20">
        <v>23884.090909090912</v>
      </c>
      <c r="Y2183" s="19">
        <v>0.34210000000000002</v>
      </c>
      <c r="Z2183" s="19">
        <v>0.63739999999999997</v>
      </c>
      <c r="AB2183" s="18">
        <v>32955</v>
      </c>
      <c r="AC2183" s="18">
        <v>5</v>
      </c>
    </row>
    <row r="2184" spans="1:29" ht="15.75" customHeight="1" x14ac:dyDescent="0.2">
      <c r="A2184" s="36" t="str">
        <f>HYPERLINK("https://www.utexas.edu", "The University of Texas at Austin")</f>
        <v>The University of Texas at Austin</v>
      </c>
      <c r="B2184" s="18" t="s">
        <v>49</v>
      </c>
      <c r="C2184" s="18" t="s">
        <v>146</v>
      </c>
      <c r="D2184" s="18" t="s">
        <v>264</v>
      </c>
      <c r="E2184" s="18">
        <v>1359</v>
      </c>
      <c r="F2184" s="18" t="s">
        <v>35</v>
      </c>
      <c r="J2184" s="19"/>
      <c r="K2184" s="19">
        <v>0.82850000000000001</v>
      </c>
      <c r="L2184" s="19">
        <v>0.69695405300000002</v>
      </c>
      <c r="M2184" s="19">
        <v>0.85970000000000002</v>
      </c>
      <c r="N2184" s="19">
        <v>0.70789999999999997</v>
      </c>
      <c r="O2184" s="19">
        <v>0.74550000000000005</v>
      </c>
      <c r="P2184" s="19">
        <v>0.875</v>
      </c>
      <c r="Q2184" s="19"/>
      <c r="R2184" s="20">
        <v>51786</v>
      </c>
      <c r="S2184" s="21" t="str">
        <f>HYPERLINK("https://www.collegeforalltexans.com/apps/CollegeMoney/index.php", "$38684")</f>
        <v>$38684</v>
      </c>
      <c r="T2184" s="20">
        <v>43166</v>
      </c>
      <c r="U2184" s="20">
        <v>47709</v>
      </c>
      <c r="V2184" s="20">
        <v>4972</v>
      </c>
      <c r="W2184" s="20">
        <v>33712.344198174709</v>
      </c>
      <c r="Y2184" s="19">
        <v>0.2356</v>
      </c>
      <c r="Z2184" s="19">
        <v>0.58509999999999995</v>
      </c>
      <c r="AB2184" s="18">
        <v>39965</v>
      </c>
      <c r="AC2184" s="18">
        <v>2</v>
      </c>
    </row>
    <row r="2185" spans="1:29" ht="15.75" customHeight="1" x14ac:dyDescent="0.2">
      <c r="A2185" s="36" t="str">
        <f>HYPERLINK("https://www.utdallas.edu", "The University of Texas at Dallas")</f>
        <v>The University of Texas at Dallas</v>
      </c>
      <c r="B2185" s="18" t="s">
        <v>49</v>
      </c>
      <c r="C2185" s="18" t="s">
        <v>146</v>
      </c>
      <c r="D2185" s="18" t="s">
        <v>265</v>
      </c>
      <c r="E2185" s="18">
        <v>1340</v>
      </c>
      <c r="F2185" s="18" t="s">
        <v>35</v>
      </c>
      <c r="J2185" s="19"/>
      <c r="K2185" s="19">
        <v>0.69169999999999998</v>
      </c>
      <c r="L2185" s="19">
        <v>0.62005277000000003</v>
      </c>
      <c r="M2185" s="19">
        <v>0.68289999999999995</v>
      </c>
      <c r="N2185" s="19">
        <v>0.56059999999999999</v>
      </c>
      <c r="O2185" s="19">
        <v>0.56299999999999994</v>
      </c>
      <c r="P2185" s="19">
        <v>0.77149999999999996</v>
      </c>
      <c r="Q2185" s="19"/>
      <c r="R2185" s="20">
        <v>45488</v>
      </c>
      <c r="S2185" s="21" t="str">
        <f>HYPERLINK("https://www.collegeforalltexans.com/apps/CollegeMoney/", "$31611")</f>
        <v>$31611</v>
      </c>
      <c r="T2185" s="20">
        <v>35187</v>
      </c>
      <c r="U2185" s="20">
        <v>40553</v>
      </c>
      <c r="V2185" s="20">
        <v>4720</v>
      </c>
      <c r="W2185" s="20">
        <v>26891.296296296299</v>
      </c>
      <c r="Y2185" s="19">
        <v>0.33460000000000001</v>
      </c>
      <c r="Z2185" s="19">
        <v>0.65769999999999995</v>
      </c>
      <c r="AB2185" s="18">
        <v>18375</v>
      </c>
      <c r="AC2185" s="18">
        <v>2</v>
      </c>
    </row>
    <row r="2186" spans="1:29" ht="15.75" customHeight="1" x14ac:dyDescent="0.2">
      <c r="A2186" s="36" t="str">
        <f>HYPERLINK("https://www.utep.edu", "The University of Texas at El Paso")</f>
        <v>The University of Texas at El Paso</v>
      </c>
      <c r="B2186" s="18" t="s">
        <v>49</v>
      </c>
      <c r="C2186" s="18" t="s">
        <v>146</v>
      </c>
      <c r="D2186" s="18" t="s">
        <v>869</v>
      </c>
      <c r="E2186" s="18">
        <v>1011</v>
      </c>
      <c r="F2186" s="18" t="s">
        <v>35</v>
      </c>
      <c r="J2186" s="19"/>
      <c r="K2186" s="19">
        <v>0.40639999999999998</v>
      </c>
      <c r="L2186" s="19">
        <v>0.33902939199999998</v>
      </c>
      <c r="M2186" s="19">
        <v>0.46960000000000002</v>
      </c>
      <c r="N2186" s="19">
        <v>0.27850000000000003</v>
      </c>
      <c r="O2186" s="19">
        <v>0.39729999999999999</v>
      </c>
      <c r="P2186" s="19">
        <v>0.35709999999999997</v>
      </c>
      <c r="Q2186" s="19"/>
      <c r="R2186" s="20">
        <v>36955</v>
      </c>
      <c r="S2186" s="21" t="str">
        <f>HYPERLINK("https://www.collegeforalltexans.com/apps/CollegeMoney/", "$27082")</f>
        <v>$27082</v>
      </c>
      <c r="T2186" s="20">
        <v>31692</v>
      </c>
      <c r="U2186" s="20">
        <v>36263</v>
      </c>
      <c r="V2186" s="20">
        <v>5864</v>
      </c>
      <c r="W2186" s="20">
        <v>21218.01325381047</v>
      </c>
      <c r="Y2186" s="19">
        <v>0.55969999999999998</v>
      </c>
      <c r="Z2186" s="19">
        <v>0.94179999999999997</v>
      </c>
      <c r="AB2186" s="18">
        <v>21216</v>
      </c>
      <c r="AC2186" s="18">
        <v>5</v>
      </c>
    </row>
    <row r="2187" spans="1:29" ht="15.75" customHeight="1" x14ac:dyDescent="0.2">
      <c r="A2187" s="36" t="str">
        <f>HYPERLINK("https://www.utsa.edu/", "The University of Texas at San Antonio")</f>
        <v>The University of Texas at San Antonio</v>
      </c>
      <c r="B2187" s="18" t="s">
        <v>49</v>
      </c>
      <c r="C2187" s="18" t="s">
        <v>146</v>
      </c>
      <c r="D2187" s="18" t="s">
        <v>268</v>
      </c>
      <c r="E2187" s="18">
        <v>1122</v>
      </c>
      <c r="F2187" s="18" t="s">
        <v>35</v>
      </c>
      <c r="J2187" s="19"/>
      <c r="K2187" s="19">
        <v>0.36659999999999998</v>
      </c>
      <c r="L2187" s="19">
        <v>0.45179255099999999</v>
      </c>
      <c r="M2187" s="19">
        <v>0.32290000000000002</v>
      </c>
      <c r="N2187" s="19">
        <v>0.3795</v>
      </c>
      <c r="O2187" s="19">
        <v>0.37759999999999999</v>
      </c>
      <c r="P2187" s="19">
        <v>0.35709999999999997</v>
      </c>
      <c r="Q2187" s="19"/>
      <c r="R2187" s="20">
        <v>34484</v>
      </c>
      <c r="S2187" s="21" t="str">
        <f>HYPERLINK("https://bluebook.utsa.edu/AttendanceCost.aspx", "$24134")</f>
        <v>$24134</v>
      </c>
      <c r="T2187" s="20">
        <v>26905</v>
      </c>
      <c r="U2187" s="20">
        <v>31684</v>
      </c>
      <c r="V2187" s="20">
        <v>4082</v>
      </c>
      <c r="W2187" s="20">
        <v>20052.946280991731</v>
      </c>
      <c r="Y2187" s="19">
        <v>0.43190000000000001</v>
      </c>
      <c r="Z2187" s="19">
        <v>0.76629999999999998</v>
      </c>
      <c r="AB2187" s="18">
        <v>25709</v>
      </c>
      <c r="AC2187" s="18">
        <v>4</v>
      </c>
    </row>
    <row r="2188" spans="1:29" ht="15.75" customHeight="1" x14ac:dyDescent="0.2">
      <c r="A2188" s="36" t="str">
        <f>HYPERLINK("https://www.uttyler.edu/", "The University of Texas at Tyler")</f>
        <v>The University of Texas at Tyler</v>
      </c>
      <c r="B2188" s="18" t="s">
        <v>49</v>
      </c>
      <c r="C2188" s="18" t="s">
        <v>146</v>
      </c>
      <c r="D2188" s="18" t="s">
        <v>1236</v>
      </c>
      <c r="E2188" s="18">
        <v>1160</v>
      </c>
      <c r="F2188" s="18" t="s">
        <v>35</v>
      </c>
      <c r="J2188" s="19"/>
      <c r="K2188" s="19">
        <v>0.42409999999999998</v>
      </c>
      <c r="L2188" s="19">
        <v>0.40672268900000003</v>
      </c>
      <c r="M2188" s="19">
        <v>0.3594</v>
      </c>
      <c r="N2188" s="19">
        <v>0.26090000000000002</v>
      </c>
      <c r="O2188" s="19">
        <v>0.52029999999999998</v>
      </c>
      <c r="P2188" s="19">
        <v>0.3846</v>
      </c>
      <c r="Q2188" s="19"/>
      <c r="R2188" s="20">
        <v>33952</v>
      </c>
      <c r="S2188" s="21" t="str">
        <f>HYPERLINK("https://www.collegeforalltexans.com/apps/CollegeMoney/", "$22776")</f>
        <v>$22776</v>
      </c>
      <c r="T2188" s="20">
        <v>28140</v>
      </c>
      <c r="U2188" s="20">
        <v>32189</v>
      </c>
      <c r="V2188" s="20">
        <v>3790</v>
      </c>
      <c r="W2188" s="20">
        <v>18986.44976076555</v>
      </c>
      <c r="Y2188" s="19">
        <v>0.33989999999999998</v>
      </c>
      <c r="Z2188" s="19">
        <v>0.41949999999999998</v>
      </c>
      <c r="AB2188" s="18">
        <v>6699</v>
      </c>
      <c r="AC2188" s="18">
        <v>4</v>
      </c>
    </row>
    <row r="2189" spans="1:29" ht="15.75" customHeight="1" x14ac:dyDescent="0.2">
      <c r="A2189" s="36" t="str">
        <f>HYPERLINK("https://www.utpb.edu", "The University of Texas of the Permian Basin")</f>
        <v>The University of Texas of the Permian Basin</v>
      </c>
      <c r="B2189" s="18" t="s">
        <v>49</v>
      </c>
      <c r="C2189" s="18" t="s">
        <v>146</v>
      </c>
      <c r="D2189" s="18" t="s">
        <v>1237</v>
      </c>
      <c r="E2189" s="18">
        <v>1025</v>
      </c>
      <c r="F2189" s="18" t="s">
        <v>35</v>
      </c>
      <c r="J2189" s="19"/>
      <c r="K2189" s="19">
        <v>0.4259</v>
      </c>
      <c r="L2189" s="19">
        <v>0.35812672200000001</v>
      </c>
      <c r="M2189" s="19">
        <v>0.36220000000000002</v>
      </c>
      <c r="N2189" s="19">
        <v>0.36840000000000001</v>
      </c>
      <c r="O2189" s="19">
        <v>0.46250000000000002</v>
      </c>
      <c r="P2189" s="19">
        <v>0.5</v>
      </c>
      <c r="Q2189" s="19"/>
      <c r="R2189" s="20">
        <v>22234</v>
      </c>
      <c r="S2189" s="21" t="str">
        <f>HYPERLINK("https://www.collegeforalltexans.com/apps/CollegeMoney/", "$13089")</f>
        <v>$13089</v>
      </c>
      <c r="T2189" s="20">
        <v>14568</v>
      </c>
      <c r="U2189" s="20">
        <v>15082</v>
      </c>
      <c r="V2189" s="20">
        <v>4630</v>
      </c>
      <c r="W2189" s="20">
        <v>8459.7888888888883</v>
      </c>
      <c r="Y2189" s="19">
        <v>0.28389999999999999</v>
      </c>
      <c r="Z2189" s="19">
        <v>0.67399999999999993</v>
      </c>
      <c r="AB2189" s="18">
        <v>3730</v>
      </c>
      <c r="AC2189" s="18">
        <v>4</v>
      </c>
    </row>
    <row r="2190" spans="1:29" ht="15.75" customHeight="1" x14ac:dyDescent="0.2">
      <c r="A2190" s="36" t="str">
        <f>HYPERLINK("https://www.uvawise.edu/", "The University of Virginia's College at Wise")</f>
        <v>The University of Virginia's College at Wise</v>
      </c>
      <c r="B2190" s="18" t="s">
        <v>49</v>
      </c>
      <c r="C2190" s="18" t="s">
        <v>83</v>
      </c>
      <c r="D2190" s="18" t="s">
        <v>1239</v>
      </c>
      <c r="E2190" s="18">
        <v>1028</v>
      </c>
      <c r="F2190" s="18" t="s">
        <v>35</v>
      </c>
      <c r="J2190" s="19"/>
      <c r="K2190" s="19">
        <v>0.45789999999999997</v>
      </c>
      <c r="L2190" s="19">
        <v>0.36279069800000002</v>
      </c>
      <c r="M2190" s="19">
        <v>0.48949999999999999</v>
      </c>
      <c r="N2190" s="19">
        <v>0.3488</v>
      </c>
      <c r="O2190" s="19">
        <v>0.375</v>
      </c>
      <c r="P2190" s="19">
        <v>0</v>
      </c>
      <c r="Q2190" s="19"/>
      <c r="R2190" s="20">
        <v>41379</v>
      </c>
      <c r="S2190" s="21" t="str">
        <f>HYPERLINK("https://www.uvawise.edu/financial-aid/net-price-calculator/", "$30289")</f>
        <v>$30289</v>
      </c>
      <c r="T2190" s="20">
        <v>32218</v>
      </c>
      <c r="U2190" s="20">
        <v>34134</v>
      </c>
      <c r="V2190" s="20">
        <v>4010</v>
      </c>
      <c r="W2190" s="20">
        <v>26279.34782608696</v>
      </c>
      <c r="Y2190" s="19">
        <v>0.35060000000000002</v>
      </c>
      <c r="Z2190" s="19">
        <v>0.23939999999999989</v>
      </c>
      <c r="AB2190" s="18">
        <v>1249</v>
      </c>
      <c r="AC2190" s="18">
        <v>4</v>
      </c>
    </row>
    <row r="2191" spans="1:29" ht="15.75" customHeight="1" x14ac:dyDescent="0.2">
      <c r="A2191" s="36" t="str">
        <f>HYPERLINK("https://uwf.edu", "The University of West Florida")</f>
        <v>The University of West Florida</v>
      </c>
      <c r="B2191" s="18" t="s">
        <v>49</v>
      </c>
      <c r="C2191" s="18" t="s">
        <v>162</v>
      </c>
      <c r="D2191" s="18" t="s">
        <v>1241</v>
      </c>
      <c r="E2191" s="18">
        <v>1185</v>
      </c>
      <c r="F2191" s="18" t="s">
        <v>35</v>
      </c>
      <c r="J2191" s="19"/>
      <c r="K2191" s="19">
        <v>0.4405</v>
      </c>
      <c r="L2191" s="19">
        <v>0.42651037000000003</v>
      </c>
      <c r="M2191" s="19">
        <v>0.43569999999999998</v>
      </c>
      <c r="N2191" s="19">
        <v>0.42859999999999998</v>
      </c>
      <c r="O2191" s="19">
        <v>0.45</v>
      </c>
      <c r="P2191" s="19">
        <v>0.5</v>
      </c>
      <c r="Q2191" s="19"/>
      <c r="R2191" s="20">
        <v>31895</v>
      </c>
      <c r="S2191" s="21" t="str">
        <f>HYPERLINK("https://uwf.edu/npcalc/npcalc.cfm", "$23168")</f>
        <v>$23168</v>
      </c>
      <c r="T2191" s="20">
        <v>26542</v>
      </c>
      <c r="U2191" s="20">
        <v>29261</v>
      </c>
      <c r="V2191" s="20">
        <v>3300</v>
      </c>
      <c r="W2191" s="20">
        <v>19868.088495575219</v>
      </c>
      <c r="Y2191" s="19">
        <v>0.36820000000000003</v>
      </c>
      <c r="Z2191" s="19">
        <v>0.34730000000000011</v>
      </c>
      <c r="AB2191" s="18">
        <v>9602</v>
      </c>
      <c r="AC2191" s="18">
        <v>4</v>
      </c>
    </row>
    <row r="2192" spans="1:29" ht="15.75" customHeight="1" x14ac:dyDescent="0.2">
      <c r="A2192" s="36" t="str">
        <f>HYPERLINK("https://www.uarts.edu", "The University of the Arts")</f>
        <v>The University of the Arts</v>
      </c>
      <c r="B2192" s="18" t="s">
        <v>32</v>
      </c>
      <c r="C2192" s="18" t="s">
        <v>65</v>
      </c>
      <c r="D2192" s="18" t="s">
        <v>168</v>
      </c>
      <c r="E2192" s="18" t="s">
        <v>36</v>
      </c>
      <c r="F2192" s="18" t="s">
        <v>115</v>
      </c>
      <c r="J2192" s="19"/>
      <c r="K2192" s="19">
        <v>0.62960000000000005</v>
      </c>
      <c r="L2192" s="19">
        <v>0.513761468</v>
      </c>
      <c r="M2192" s="19">
        <v>0.64580000000000004</v>
      </c>
      <c r="N2192" s="19">
        <v>0.61019999999999996</v>
      </c>
      <c r="O2192" s="19">
        <v>0.69440000000000002</v>
      </c>
      <c r="P2192" s="19">
        <v>0.8</v>
      </c>
      <c r="Q2192" s="19"/>
      <c r="R2192" s="20">
        <v>65299</v>
      </c>
      <c r="S2192" s="21" t="str">
        <f>HYPERLINK("https://www.uarts.edu/admissions/freshman-net-price-calculator", "$32807")</f>
        <v>$32807</v>
      </c>
      <c r="T2192" s="20">
        <v>35438</v>
      </c>
      <c r="U2192" s="20">
        <v>35778</v>
      </c>
      <c r="V2192" s="20">
        <v>6489</v>
      </c>
      <c r="W2192" s="20">
        <v>26318</v>
      </c>
      <c r="Y2192" s="19">
        <v>0.29580000000000001</v>
      </c>
      <c r="Z2192" s="19">
        <v>0.42359999999999998</v>
      </c>
      <c r="AB2192" s="18">
        <v>1662</v>
      </c>
      <c r="AC2192" s="18">
        <v>4</v>
      </c>
    </row>
    <row r="2193" spans="1:29" ht="15.75" customHeight="1" x14ac:dyDescent="0.2">
      <c r="A2193" s="36" t="str">
        <f>HYPERLINK("https://www.sewanee.edu", "Sewanee-The University of the South")</f>
        <v>Sewanee-The University of the South</v>
      </c>
      <c r="B2193" s="18" t="s">
        <v>32</v>
      </c>
      <c r="C2193" s="18" t="s">
        <v>174</v>
      </c>
      <c r="D2193" s="18" t="s">
        <v>266</v>
      </c>
      <c r="E2193" s="18" t="s">
        <v>36</v>
      </c>
      <c r="F2193" s="18" t="s">
        <v>90</v>
      </c>
      <c r="J2193" s="19"/>
      <c r="K2193" s="19">
        <v>0.77310000000000001</v>
      </c>
      <c r="L2193" s="19">
        <v>0.56818181800000001</v>
      </c>
      <c r="M2193" s="19">
        <v>0.77680000000000005</v>
      </c>
      <c r="N2193" s="19">
        <v>0.75</v>
      </c>
      <c r="O2193" s="19">
        <v>0.68179999999999996</v>
      </c>
      <c r="P2193" s="19">
        <v>1</v>
      </c>
      <c r="Q2193" s="19"/>
      <c r="R2193" s="20">
        <v>60950</v>
      </c>
      <c r="S2193" s="21" t="str">
        <f>HYPERLINK("https://www.collegecostcalculator.org/sewaneetheuniversityofthesouth", "$14820")</f>
        <v>$14820</v>
      </c>
      <c r="T2193" s="20">
        <v>20343</v>
      </c>
      <c r="U2193" s="20">
        <v>28819</v>
      </c>
      <c r="V2193" s="20">
        <v>2950</v>
      </c>
      <c r="W2193" s="20">
        <v>11870</v>
      </c>
      <c r="Y2193" s="19">
        <v>0.16869999999999999</v>
      </c>
      <c r="Z2193" s="19">
        <v>0.18179999999999999</v>
      </c>
      <c r="AB2193" s="18">
        <v>1683</v>
      </c>
      <c r="AC2193" s="18">
        <v>2</v>
      </c>
    </row>
    <row r="2194" spans="1:29" ht="15.75" customHeight="1" x14ac:dyDescent="0.2">
      <c r="A2194" s="36" t="str">
        <f>HYPERLINK("https://www.thiel.edu", "Thiel College")</f>
        <v>Thiel College</v>
      </c>
      <c r="B2194" s="18" t="s">
        <v>32</v>
      </c>
      <c r="C2194" s="18" t="s">
        <v>65</v>
      </c>
      <c r="D2194" s="18" t="s">
        <v>220</v>
      </c>
      <c r="E2194" s="18">
        <v>1012</v>
      </c>
      <c r="F2194" s="18" t="s">
        <v>35</v>
      </c>
      <c r="J2194" s="19"/>
      <c r="K2194" s="19">
        <v>0.47439999999999999</v>
      </c>
      <c r="L2194" s="19">
        <v>0.23636363599999999</v>
      </c>
      <c r="M2194" s="19">
        <v>0.51380000000000003</v>
      </c>
      <c r="N2194" s="19">
        <v>0.3256</v>
      </c>
      <c r="O2194" s="19">
        <v>0.44440000000000002</v>
      </c>
      <c r="P2194" s="19" t="s">
        <v>36</v>
      </c>
      <c r="Q2194" s="19"/>
      <c r="R2194" s="20">
        <v>47050</v>
      </c>
      <c r="S2194" s="21" t="str">
        <f>HYPERLINK("https://www.thiel.edu/finaid", "$19408")</f>
        <v>$19408</v>
      </c>
      <c r="T2194" s="20">
        <v>22065</v>
      </c>
      <c r="U2194" s="20">
        <v>25197</v>
      </c>
      <c r="V2194" s="20">
        <v>4100</v>
      </c>
      <c r="W2194" s="20">
        <v>15308</v>
      </c>
      <c r="Y2194" s="19">
        <v>0.46870000000000001</v>
      </c>
      <c r="Z2194" s="19">
        <v>0.24729999999999999</v>
      </c>
      <c r="AB2194" s="18">
        <v>736</v>
      </c>
      <c r="AC2194" s="18">
        <v>5</v>
      </c>
    </row>
    <row r="2195" spans="1:29" ht="15.75" customHeight="1" x14ac:dyDescent="0.2">
      <c r="A2195" s="36" t="str">
        <f>HYPERLINK("https://www.thomas.edu", "Thomas College")</f>
        <v>Thomas College</v>
      </c>
      <c r="B2195" s="18" t="s">
        <v>32</v>
      </c>
      <c r="C2195" s="18" t="s">
        <v>43</v>
      </c>
      <c r="D2195" s="18" t="s">
        <v>79</v>
      </c>
      <c r="E2195" s="18" t="s">
        <v>36</v>
      </c>
      <c r="F2195" s="18" t="s">
        <v>36</v>
      </c>
      <c r="J2195" s="19"/>
      <c r="K2195" s="19">
        <v>0.47910000000000003</v>
      </c>
      <c r="L2195" s="19">
        <v>0.40229885100000001</v>
      </c>
      <c r="M2195" s="19">
        <v>0.50309999999999999</v>
      </c>
      <c r="N2195" s="19">
        <v>0.36840000000000001</v>
      </c>
      <c r="O2195" s="19">
        <v>0</v>
      </c>
      <c r="P2195" s="19">
        <v>0.5</v>
      </c>
      <c r="Q2195" s="19"/>
      <c r="R2195" s="20">
        <v>39710</v>
      </c>
      <c r="S2195" s="21" t="str">
        <f>HYPERLINK("https://thomas.studentaidcalculator.com/survey.aspx", "$19015")</f>
        <v>$19015</v>
      </c>
      <c r="T2195" s="20">
        <v>20621</v>
      </c>
      <c r="U2195" s="20">
        <v>22587</v>
      </c>
      <c r="V2195" s="20">
        <v>2800</v>
      </c>
      <c r="W2195" s="20">
        <v>16215</v>
      </c>
      <c r="Y2195" s="19">
        <v>0.33900000000000002</v>
      </c>
      <c r="Z2195" s="19">
        <v>0.25940000000000002</v>
      </c>
      <c r="AB2195" s="18">
        <v>825</v>
      </c>
      <c r="AC2195" s="18">
        <v>5</v>
      </c>
    </row>
    <row r="2196" spans="1:29" ht="15.75" customHeight="1" x14ac:dyDescent="0.2">
      <c r="A2196" s="36" t="str">
        <f>HYPERLINK("https://www.tesu.edu", "Thomas Edison State University")</f>
        <v>Thomas Edison State University</v>
      </c>
      <c r="B2196" s="18" t="s">
        <v>49</v>
      </c>
      <c r="C2196" s="18" t="s">
        <v>141</v>
      </c>
      <c r="D2196" s="18" t="s">
        <v>1245</v>
      </c>
      <c r="E2196" s="18" t="s">
        <v>36</v>
      </c>
      <c r="F2196" s="18" t="s">
        <v>36</v>
      </c>
      <c r="J2196" s="19"/>
      <c r="K2196" s="19" t="s">
        <v>36</v>
      </c>
      <c r="L2196" s="19">
        <v>0.28254437900000001</v>
      </c>
      <c r="M2196" s="19" t="s">
        <v>36</v>
      </c>
      <c r="N2196" s="19" t="s">
        <v>36</v>
      </c>
      <c r="O2196" s="19" t="s">
        <v>36</v>
      </c>
      <c r="P2196" s="19" t="s">
        <v>36</v>
      </c>
      <c r="Q2196" s="19"/>
      <c r="R2196" s="20">
        <v>17190</v>
      </c>
      <c r="S2196" s="21" t="str">
        <f>HYPERLINK("https://www.tesu.edu/tuition/net-price-calculator", "Not reported")</f>
        <v>Not reported</v>
      </c>
      <c r="T2196" s="20" t="s">
        <v>36</v>
      </c>
      <c r="U2196" s="20" t="s">
        <v>36</v>
      </c>
      <c r="V2196" s="20">
        <v>2267</v>
      </c>
      <c r="W2196" s="20" t="s">
        <v>36</v>
      </c>
      <c r="Y2196" s="19">
        <v>0.11700000000000001</v>
      </c>
      <c r="Z2196" s="19">
        <v>0.48939999999999989</v>
      </c>
      <c r="AB2196" s="18">
        <v>10787</v>
      </c>
      <c r="AC2196" s="18">
        <v>4</v>
      </c>
    </row>
    <row r="2197" spans="1:29" ht="15.75" customHeight="1" x14ac:dyDescent="0.2">
      <c r="A2197" s="36" t="str">
        <f>HYPERLINK("https://www.thomasmore.edu", "Thomas More College")</f>
        <v>Thomas More College</v>
      </c>
      <c r="B2197" s="18" t="s">
        <v>32</v>
      </c>
      <c r="C2197" s="18" t="s">
        <v>205</v>
      </c>
      <c r="D2197" s="18" t="s">
        <v>1247</v>
      </c>
      <c r="E2197" s="18">
        <v>1081</v>
      </c>
      <c r="F2197" s="18" t="s">
        <v>35</v>
      </c>
      <c r="J2197" s="19"/>
      <c r="K2197" s="19">
        <v>0.45100000000000001</v>
      </c>
      <c r="L2197" s="19">
        <v>0.29591836700000002</v>
      </c>
      <c r="M2197" s="19">
        <v>0.50480000000000003</v>
      </c>
      <c r="N2197" s="19">
        <v>0.2</v>
      </c>
      <c r="O2197" s="19">
        <v>0.1429</v>
      </c>
      <c r="P2197" s="19">
        <v>0</v>
      </c>
      <c r="Q2197" s="19"/>
      <c r="R2197" s="20">
        <v>40668</v>
      </c>
      <c r="S2197" s="21" t="str">
        <f>HYPERLINK("https://www.thomasmore.edu/financial_aid/netprice_introduction.cfm", "$16413")</f>
        <v>$16413</v>
      </c>
      <c r="T2197" s="20">
        <v>18272</v>
      </c>
      <c r="U2197" s="20">
        <v>20460</v>
      </c>
      <c r="V2197" s="20" t="s">
        <v>36</v>
      </c>
      <c r="W2197" s="20" t="s">
        <v>36</v>
      </c>
      <c r="Y2197" s="19">
        <v>0.25080000000000002</v>
      </c>
      <c r="Z2197" s="19">
        <v>0.23949999999999999</v>
      </c>
      <c r="AB2197" s="18">
        <v>1399</v>
      </c>
      <c r="AC2197" s="18">
        <v>4</v>
      </c>
    </row>
    <row r="2198" spans="1:29" ht="15.75" customHeight="1" x14ac:dyDescent="0.2">
      <c r="A2198" s="36" t="str">
        <f>HYPERLINK("https://tncc.edu", "Thomas Nelson Community College")</f>
        <v>Thomas Nelson Community College</v>
      </c>
      <c r="B2198" s="18" t="s">
        <v>49</v>
      </c>
      <c r="C2198" s="18" t="s">
        <v>83</v>
      </c>
      <c r="D2198" s="18" t="s">
        <v>808</v>
      </c>
      <c r="E2198" s="18" t="s">
        <v>36</v>
      </c>
      <c r="F2198" s="18" t="s">
        <v>36</v>
      </c>
      <c r="J2198" s="19"/>
      <c r="K2198" s="19">
        <v>0.189</v>
      </c>
      <c r="L2198" s="19">
        <v>0.109375</v>
      </c>
      <c r="M2198" s="19">
        <v>0.25359999999999999</v>
      </c>
      <c r="N2198" s="19">
        <v>0.08</v>
      </c>
      <c r="O2198" s="19">
        <v>0.1507</v>
      </c>
      <c r="P2198" s="19">
        <v>0.5</v>
      </c>
      <c r="Q2198" s="19">
        <v>0.100604903</v>
      </c>
      <c r="R2198" s="20">
        <v>26037</v>
      </c>
      <c r="S2198" s="21" t="str">
        <f>HYPERLINK("https://vawizard.org/wizard/npc", "$20855")</f>
        <v>$20855</v>
      </c>
      <c r="T2198" s="20">
        <v>22621</v>
      </c>
      <c r="U2198" s="20">
        <v>25244</v>
      </c>
      <c r="V2198" s="20">
        <v>5370</v>
      </c>
      <c r="W2198" s="20">
        <v>15485.255319148941</v>
      </c>
      <c r="Y2198" s="19">
        <v>0.38429999999999997</v>
      </c>
      <c r="Z2198" s="19">
        <v>0.53820000000000001</v>
      </c>
      <c r="AB2198" s="18">
        <v>6693</v>
      </c>
      <c r="AC2198" s="18">
        <v>6</v>
      </c>
    </row>
    <row r="2199" spans="1:29" ht="15.75" customHeight="1" x14ac:dyDescent="0.2">
      <c r="A2199" s="36" t="str">
        <f>HYPERLINK("https://www.thomasu.edu", "Thomas University")</f>
        <v>Thomas University</v>
      </c>
      <c r="B2199" s="18" t="s">
        <v>32</v>
      </c>
      <c r="C2199" s="18" t="s">
        <v>107</v>
      </c>
      <c r="D2199" s="18" t="s">
        <v>876</v>
      </c>
      <c r="E2199" s="18" t="s">
        <v>36</v>
      </c>
      <c r="F2199" s="18" t="s">
        <v>90</v>
      </c>
      <c r="J2199" s="19"/>
      <c r="K2199" s="19">
        <v>0.37369999999999998</v>
      </c>
      <c r="L2199" s="19">
        <v>0.26190476200000001</v>
      </c>
      <c r="M2199" s="19">
        <v>0.4118</v>
      </c>
      <c r="N2199" s="19">
        <v>0.21740000000000001</v>
      </c>
      <c r="O2199" s="19">
        <v>0.57140000000000002</v>
      </c>
      <c r="P2199" s="19">
        <v>1</v>
      </c>
      <c r="Q2199" s="19"/>
      <c r="R2199" s="20">
        <v>27640</v>
      </c>
      <c r="S2199" s="21" t="str">
        <f>HYPERLINK("https://thomasu.studentaidcalculator.com/welcome.aspx", "$21396")</f>
        <v>$21396</v>
      </c>
      <c r="T2199" s="20">
        <v>17826</v>
      </c>
      <c r="U2199" s="20">
        <v>29541</v>
      </c>
      <c r="V2199" s="20">
        <v>3200</v>
      </c>
      <c r="W2199" s="20">
        <v>18196</v>
      </c>
      <c r="Y2199" s="19">
        <v>0.4486</v>
      </c>
      <c r="Z2199" s="19">
        <v>0.72950000000000004</v>
      </c>
      <c r="AB2199" s="18">
        <v>1050</v>
      </c>
      <c r="AC2199" s="18">
        <v>5</v>
      </c>
    </row>
    <row r="2200" spans="1:29" ht="15.75" customHeight="1" x14ac:dyDescent="0.2">
      <c r="A2200" s="36" t="str">
        <f>HYPERLINK("https://www.threerivers.edu", "Three Rivers Community College")</f>
        <v>Three Rivers Community College</v>
      </c>
      <c r="B2200" s="18" t="s">
        <v>49</v>
      </c>
      <c r="C2200" s="18" t="s">
        <v>94</v>
      </c>
      <c r="D2200" s="18" t="s">
        <v>1726</v>
      </c>
      <c r="E2200" s="18" t="s">
        <v>36</v>
      </c>
      <c r="F2200" s="18" t="s">
        <v>36</v>
      </c>
      <c r="J2200" s="19"/>
      <c r="K2200" s="19">
        <v>0.14530000000000001</v>
      </c>
      <c r="L2200" s="19">
        <v>0.12990527700000001</v>
      </c>
      <c r="M2200" s="19">
        <v>0.17330000000000001</v>
      </c>
      <c r="N2200" s="19">
        <v>7.4999999999999997E-2</v>
      </c>
      <c r="O2200" s="19">
        <v>8.0500000000000002E-2</v>
      </c>
      <c r="P2200" s="19">
        <v>0</v>
      </c>
      <c r="Q2200" s="19">
        <v>6.8541300999999999E-2</v>
      </c>
      <c r="R2200" s="20">
        <v>26088</v>
      </c>
      <c r="S2200" s="21" t="str">
        <f>HYPERLINK("https://www.threerivers.edu/paying-for-trcc/net-price-calculator/", "$21206")</f>
        <v>$21206</v>
      </c>
      <c r="T2200" s="20">
        <v>21203</v>
      </c>
      <c r="U2200" s="20">
        <v>21209</v>
      </c>
      <c r="V2200" s="20">
        <v>5200</v>
      </c>
      <c r="W2200" s="20">
        <v>16006.10843373494</v>
      </c>
      <c r="Y2200" s="19">
        <v>0.44</v>
      </c>
      <c r="Z2200" s="19">
        <v>0.3881</v>
      </c>
      <c r="AB2200" s="18">
        <v>3842</v>
      </c>
      <c r="AC2200" s="18">
        <v>6</v>
      </c>
    </row>
    <row r="2201" spans="1:29" ht="15.75" customHeight="1" x14ac:dyDescent="0.2">
      <c r="A2201" s="36" t="str">
        <f>HYPERLINK("https://www.tcc.edu", "Tidewater Community College")</f>
        <v>Tidewater Community College</v>
      </c>
      <c r="B2201" s="18" t="s">
        <v>49</v>
      </c>
      <c r="C2201" s="18" t="s">
        <v>83</v>
      </c>
      <c r="D2201" s="18" t="s">
        <v>800</v>
      </c>
      <c r="E2201" s="18" t="s">
        <v>36</v>
      </c>
      <c r="F2201" s="18" t="s">
        <v>36</v>
      </c>
      <c r="J2201" s="19"/>
      <c r="K2201" s="19">
        <v>0.1986</v>
      </c>
      <c r="L2201" s="19">
        <v>7.7713339000000006E-2</v>
      </c>
      <c r="M2201" s="19">
        <v>0.2475</v>
      </c>
      <c r="N2201" s="19">
        <v>0.12559999999999999</v>
      </c>
      <c r="O2201" s="19">
        <v>0.18990000000000001</v>
      </c>
      <c r="P2201" s="19">
        <v>0.29570000000000002</v>
      </c>
      <c r="Q2201" s="19">
        <v>0.112557346</v>
      </c>
      <c r="R2201" s="20">
        <v>25984</v>
      </c>
      <c r="S2201" s="21" t="str">
        <f>HYPERLINK("https://www.tcc.edu/paying-for-tcc", "$20355")</f>
        <v>$20355</v>
      </c>
      <c r="T2201" s="20">
        <v>23172</v>
      </c>
      <c r="U2201" s="20">
        <v>25629</v>
      </c>
      <c r="V2201" s="20">
        <v>5016</v>
      </c>
      <c r="W2201" s="20">
        <v>15339.808630394</v>
      </c>
      <c r="Y2201" s="19">
        <v>0.3997</v>
      </c>
      <c r="Z2201" s="19">
        <v>0.54449999999999998</v>
      </c>
      <c r="AB2201" s="18">
        <v>19516</v>
      </c>
      <c r="AC2201" s="18">
        <v>6</v>
      </c>
    </row>
    <row r="2202" spans="1:29" ht="15.75" customHeight="1" x14ac:dyDescent="0.2">
      <c r="A2202" s="36" t="str">
        <f>HYPERLINK("https://www.tiffin.edu", "Tiffin University")</f>
        <v>Tiffin University</v>
      </c>
      <c r="B2202" s="18" t="s">
        <v>32</v>
      </c>
      <c r="C2202" s="18" t="s">
        <v>75</v>
      </c>
      <c r="D2202" s="18" t="s">
        <v>819</v>
      </c>
      <c r="E2202" s="18" t="s">
        <v>36</v>
      </c>
      <c r="F2202" s="18" t="s">
        <v>90</v>
      </c>
      <c r="J2202" s="19"/>
      <c r="K2202" s="19">
        <v>0.28160000000000002</v>
      </c>
      <c r="L2202" s="19">
        <v>0.138170974</v>
      </c>
      <c r="M2202" s="19">
        <v>0.35649999999999998</v>
      </c>
      <c r="N2202" s="19">
        <v>0.12809999999999999</v>
      </c>
      <c r="O2202" s="19">
        <v>0.32140000000000002</v>
      </c>
      <c r="P2202" s="19">
        <v>0.42859999999999998</v>
      </c>
      <c r="Q2202" s="19"/>
      <c r="R2202" s="20">
        <v>37800</v>
      </c>
      <c r="S2202" s="21" t="str">
        <f>HYPERLINK("https://www.tiffin.edu", "$18337")</f>
        <v>$18337</v>
      </c>
      <c r="T2202" s="20">
        <v>21250</v>
      </c>
      <c r="U2202" s="20">
        <v>22542</v>
      </c>
      <c r="V2202" s="20">
        <v>3500</v>
      </c>
      <c r="W2202" s="20">
        <v>14837</v>
      </c>
      <c r="Y2202" s="19">
        <v>0.38629999999999998</v>
      </c>
      <c r="Z2202" s="19">
        <v>0.60329999999999995</v>
      </c>
      <c r="AB2202" s="18">
        <v>2095</v>
      </c>
      <c r="AC2202" s="18">
        <v>4</v>
      </c>
    </row>
    <row r="2203" spans="1:29" ht="15.75" customHeight="1" x14ac:dyDescent="0.2">
      <c r="A2203" s="36" t="str">
        <f>HYPERLINK("https://tillamookbaycc.edu/", "Tillamook Bay Community College")</f>
        <v>Tillamook Bay Community College</v>
      </c>
      <c r="B2203" s="18" t="s">
        <v>49</v>
      </c>
      <c r="C2203" s="18" t="s">
        <v>143</v>
      </c>
      <c r="D2203" s="18" t="s">
        <v>1727</v>
      </c>
      <c r="E2203" s="18" t="s">
        <v>36</v>
      </c>
      <c r="F2203" s="18" t="s">
        <v>36</v>
      </c>
      <c r="J2203" s="19"/>
      <c r="K2203" s="19">
        <v>0.23400000000000001</v>
      </c>
      <c r="L2203" s="19" t="s">
        <v>36</v>
      </c>
      <c r="M2203" s="19">
        <v>0.16220000000000001</v>
      </c>
      <c r="N2203" s="19" t="s">
        <v>36</v>
      </c>
      <c r="O2203" s="19">
        <v>0.5</v>
      </c>
      <c r="P2203" s="19" t="s">
        <v>36</v>
      </c>
      <c r="Q2203" s="19" t="s">
        <v>36</v>
      </c>
      <c r="R2203" s="20">
        <v>15300</v>
      </c>
      <c r="S2203" s="21" t="str">
        <f>HYPERLINK("https://jics.tbcc.cc.or.us/ICS/ClientConfig/CustomContent/netpricecalc/npcalc.htm", "$8386")</f>
        <v>$8386</v>
      </c>
      <c r="T2203" s="20">
        <v>10848</v>
      </c>
      <c r="U2203" s="20">
        <v>11708</v>
      </c>
      <c r="V2203" s="20">
        <v>2799</v>
      </c>
      <c r="W2203" s="20">
        <v>5587.3125</v>
      </c>
      <c r="Y2203" s="19">
        <v>0.63980000000000004</v>
      </c>
      <c r="Z2203" s="19">
        <v>0.30840000000000001</v>
      </c>
      <c r="AB2203" s="18">
        <v>227</v>
      </c>
      <c r="AC2203" s="18">
        <v>6</v>
      </c>
    </row>
    <row r="2204" spans="1:29" ht="15.75" customHeight="1" x14ac:dyDescent="0.2">
      <c r="A2204" s="36" t="str">
        <f>HYPERLINK("https://www.tocc.edu", "Tohono O'Odham Community College")</f>
        <v>Tohono O'Odham Community College</v>
      </c>
      <c r="B2204" s="18" t="s">
        <v>49</v>
      </c>
      <c r="C2204" s="18" t="s">
        <v>354</v>
      </c>
      <c r="D2204" s="18" t="s">
        <v>1728</v>
      </c>
      <c r="E2204" s="18" t="s">
        <v>36</v>
      </c>
      <c r="F2204" s="18" t="s">
        <v>36</v>
      </c>
      <c r="J2204" s="19"/>
      <c r="K2204" s="19">
        <v>0.37140000000000001</v>
      </c>
      <c r="L2204" s="19" t="s">
        <v>36</v>
      </c>
      <c r="M2204" s="19">
        <v>0.6</v>
      </c>
      <c r="N2204" s="19">
        <v>0.16669999999999999</v>
      </c>
      <c r="O2204" s="19" t="s">
        <v>36</v>
      </c>
      <c r="P2204" s="19" t="s">
        <v>36</v>
      </c>
      <c r="Q2204" s="19" t="s">
        <v>36</v>
      </c>
      <c r="R2204" s="20">
        <v>11332</v>
      </c>
      <c r="S2204" s="21" t="str">
        <f>HYPERLINK("https://www.tocc.edu", "Not reported")</f>
        <v>Not reported</v>
      </c>
      <c r="T2204" s="20" t="s">
        <v>36</v>
      </c>
      <c r="U2204" s="20" t="s">
        <v>36</v>
      </c>
      <c r="V2204" s="20">
        <v>6000</v>
      </c>
      <c r="W2204" s="20" t="s">
        <v>36</v>
      </c>
      <c r="Y2204" s="19">
        <v>0.43840000000000001</v>
      </c>
      <c r="Z2204" s="19">
        <v>0.93940000000000001</v>
      </c>
      <c r="AB2204" s="18">
        <v>330</v>
      </c>
      <c r="AC2204" s="18">
        <v>6</v>
      </c>
    </row>
    <row r="2205" spans="1:29" ht="15.75" customHeight="1" x14ac:dyDescent="0.2">
      <c r="A2205" s="36" t="str">
        <f>HYPERLINK("https://www.tompkinscortland.edu", "SUNY Tompkins Cortland Community College")</f>
        <v>SUNY Tompkins Cortland Community College</v>
      </c>
      <c r="B2205" s="18" t="s">
        <v>49</v>
      </c>
      <c r="C2205" s="18" t="s">
        <v>38</v>
      </c>
      <c r="D2205" s="18" t="s">
        <v>1729</v>
      </c>
      <c r="E2205" s="18" t="s">
        <v>36</v>
      </c>
      <c r="F2205" s="18" t="s">
        <v>36</v>
      </c>
      <c r="J2205" s="19"/>
      <c r="K2205" s="19">
        <v>0.27589999999999998</v>
      </c>
      <c r="L2205" s="19">
        <v>0.23634053399999999</v>
      </c>
      <c r="M2205" s="19">
        <v>0.34489999999999998</v>
      </c>
      <c r="N2205" s="19">
        <v>0.21970000000000001</v>
      </c>
      <c r="O2205" s="19">
        <v>0.1263</v>
      </c>
      <c r="P2205" s="19">
        <v>0.66669999999999996</v>
      </c>
      <c r="Q2205" s="19">
        <v>8.0287206E-2</v>
      </c>
      <c r="R2205" s="20">
        <v>20064</v>
      </c>
      <c r="S2205" s="21" t="str">
        <f>HYPERLINK("https://www.tompkinscortland.edu/admissions/net-price-calculator", "$8236")</f>
        <v>$8236</v>
      </c>
      <c r="T2205" s="20">
        <v>13911</v>
      </c>
      <c r="U2205" s="20">
        <v>15454</v>
      </c>
      <c r="V2205" s="20">
        <v>2700</v>
      </c>
      <c r="W2205" s="20">
        <v>5536</v>
      </c>
      <c r="Y2205" s="19">
        <v>0.51490000000000002</v>
      </c>
      <c r="Z2205" s="19">
        <v>0.37590000000000001</v>
      </c>
      <c r="AB2205" s="18">
        <v>2264</v>
      </c>
      <c r="AC2205" s="18">
        <v>6</v>
      </c>
    </row>
    <row r="2206" spans="1:29" ht="15.75" customHeight="1" x14ac:dyDescent="0.2">
      <c r="A2206" s="36" t="str">
        <f>HYPERLINK("https://www.tougaloo.edu", "Tougaloo College")</f>
        <v>Tougaloo College</v>
      </c>
      <c r="B2206" s="18" t="s">
        <v>32</v>
      </c>
      <c r="C2206" s="18" t="s">
        <v>59</v>
      </c>
      <c r="D2206" s="18" t="s">
        <v>878</v>
      </c>
      <c r="E2206" s="18">
        <v>1025</v>
      </c>
      <c r="F2206" s="18" t="s">
        <v>35</v>
      </c>
      <c r="J2206" s="19"/>
      <c r="K2206" s="19">
        <v>0.5</v>
      </c>
      <c r="L2206" s="19">
        <v>0.33760683800000002</v>
      </c>
      <c r="M2206" s="19">
        <v>0</v>
      </c>
      <c r="N2206" s="19">
        <v>0.505</v>
      </c>
      <c r="O2206" s="19">
        <v>1</v>
      </c>
      <c r="P2206" s="19" t="s">
        <v>36</v>
      </c>
      <c r="Q2206" s="19"/>
      <c r="R2206" s="20">
        <v>22840</v>
      </c>
      <c r="S2206" s="21" t="str">
        <f>HYPERLINK("https://www.tougaloo.edu/admissions/office-student-financial-aid/net-price-calculator", "$9176")</f>
        <v>$9176</v>
      </c>
      <c r="T2206" s="20">
        <v>17704</v>
      </c>
      <c r="U2206" s="20">
        <v>19995</v>
      </c>
      <c r="V2206" s="20">
        <v>5840</v>
      </c>
      <c r="W2206" s="20">
        <v>3336</v>
      </c>
      <c r="Y2206" s="19">
        <v>0.85529999999999995</v>
      </c>
      <c r="Z2206" s="19">
        <v>0.99750000000000005</v>
      </c>
      <c r="AB2206" s="18">
        <v>789</v>
      </c>
      <c r="AC2206" s="18">
        <v>5</v>
      </c>
    </row>
    <row r="2207" spans="1:29" ht="15.75" customHeight="1" x14ac:dyDescent="0.2">
      <c r="A2207" s="36" t="str">
        <f>HYPERLINK("https://www.touro.edu", "Touro College")</f>
        <v>Touro College</v>
      </c>
      <c r="B2207" s="18" t="s">
        <v>32</v>
      </c>
      <c r="C2207" s="18" t="s">
        <v>38</v>
      </c>
      <c r="D2207" s="18" t="s">
        <v>39</v>
      </c>
      <c r="E2207" s="18" t="s">
        <v>36</v>
      </c>
      <c r="F2207" s="18" t="s">
        <v>90</v>
      </c>
      <c r="J2207" s="19"/>
      <c r="K2207" s="19">
        <v>0.57079999999999997</v>
      </c>
      <c r="L2207" s="19">
        <v>0.36783042399999999</v>
      </c>
      <c r="M2207" s="19">
        <v>0.58189999999999997</v>
      </c>
      <c r="N2207" s="19">
        <v>0.55489999999999995</v>
      </c>
      <c r="O2207" s="19">
        <v>0.52270000000000005</v>
      </c>
      <c r="P2207" s="19">
        <v>0.48980000000000001</v>
      </c>
      <c r="Q2207" s="19"/>
      <c r="R2207" s="20">
        <v>35111</v>
      </c>
      <c r="S2207" s="21" t="str">
        <f>HYPERLINK("https://www.touro.edu/students/net-price-calculators/", "$21904")</f>
        <v>$21904</v>
      </c>
      <c r="T2207" s="20">
        <v>25894</v>
      </c>
      <c r="U2207" s="20">
        <v>28493</v>
      </c>
      <c r="V2207" s="20">
        <v>5441</v>
      </c>
      <c r="W2207" s="20">
        <v>16463</v>
      </c>
      <c r="Y2207" s="19">
        <v>0.38340000000000002</v>
      </c>
      <c r="Z2207" s="19">
        <v>0.38979999999999998</v>
      </c>
      <c r="AB2207" s="18">
        <v>5670</v>
      </c>
      <c r="AC2207" s="18">
        <v>4</v>
      </c>
    </row>
    <row r="2208" spans="1:29" ht="15.75" customHeight="1" x14ac:dyDescent="0.2">
      <c r="A2208" s="36" t="str">
        <f>HYPERLINK("https://www.towson.edu", "Towson University")</f>
        <v>Towson University</v>
      </c>
      <c r="B2208" s="18" t="s">
        <v>49</v>
      </c>
      <c r="C2208" s="18" t="s">
        <v>124</v>
      </c>
      <c r="D2208" s="18" t="s">
        <v>493</v>
      </c>
      <c r="E2208" s="18">
        <v>1136</v>
      </c>
      <c r="F2208" s="18" t="s">
        <v>35</v>
      </c>
      <c r="J2208" s="19"/>
      <c r="K2208" s="19">
        <v>0.71719999999999995</v>
      </c>
      <c r="L2208" s="19">
        <v>0.625</v>
      </c>
      <c r="M2208" s="19">
        <v>0.71809999999999996</v>
      </c>
      <c r="N2208" s="19">
        <v>0.74390000000000001</v>
      </c>
      <c r="O2208" s="19">
        <v>0.70830000000000004</v>
      </c>
      <c r="P2208" s="19">
        <v>0.70640000000000003</v>
      </c>
      <c r="Q2208" s="19"/>
      <c r="R2208" s="20">
        <v>38754</v>
      </c>
      <c r="S2208" s="21" t="str">
        <f>HYPERLINK("https://www.towson.edu/admissions/tuition/calculator.html", "$25091")</f>
        <v>$25091</v>
      </c>
      <c r="T2208" s="20">
        <v>31782</v>
      </c>
      <c r="U2208" s="20">
        <v>36943</v>
      </c>
      <c r="V2208" s="20">
        <v>4430</v>
      </c>
      <c r="W2208" s="20">
        <v>20661.45454545454</v>
      </c>
      <c r="Y2208" s="19">
        <v>0.2757</v>
      </c>
      <c r="Z2208" s="19">
        <v>0.43369999999999997</v>
      </c>
      <c r="AB2208" s="18">
        <v>19367</v>
      </c>
      <c r="AC2208" s="18">
        <v>3</v>
      </c>
    </row>
    <row r="2209" spans="1:29" ht="15.75" customHeight="1" x14ac:dyDescent="0.2">
      <c r="A2209" s="36" t="str">
        <f>HYPERLINK("https://www.transy.edu", "Transylvania University")</f>
        <v>Transylvania University</v>
      </c>
      <c r="B2209" s="18" t="s">
        <v>32</v>
      </c>
      <c r="C2209" s="18" t="s">
        <v>205</v>
      </c>
      <c r="D2209" s="18" t="s">
        <v>180</v>
      </c>
      <c r="E2209" s="18" t="s">
        <v>36</v>
      </c>
      <c r="F2209" s="18" t="s">
        <v>90</v>
      </c>
      <c r="J2209" s="19"/>
      <c r="K2209" s="19">
        <v>0.75519999999999998</v>
      </c>
      <c r="L2209" s="19">
        <v>0.47222222200000002</v>
      </c>
      <c r="M2209" s="19">
        <v>0.77780000000000005</v>
      </c>
      <c r="N2209" s="19">
        <v>0.66669999999999996</v>
      </c>
      <c r="O2209" s="19">
        <v>0.66669999999999996</v>
      </c>
      <c r="P2209" s="19">
        <v>1</v>
      </c>
      <c r="Q2209" s="19"/>
      <c r="R2209" s="20">
        <v>50550</v>
      </c>
      <c r="S2209" s="21" t="str">
        <f>HYPERLINK("https://www.transy.edu/admission/net-price-calculator", "$20750")</f>
        <v>$20750</v>
      </c>
      <c r="T2209" s="20">
        <v>20226</v>
      </c>
      <c r="U2209" s="20">
        <v>25986</v>
      </c>
      <c r="V2209" s="20">
        <v>3100</v>
      </c>
      <c r="W2209" s="20">
        <v>17650</v>
      </c>
      <c r="Y2209" s="19">
        <v>0.2054</v>
      </c>
      <c r="Z2209" s="19">
        <v>0.20409999999999989</v>
      </c>
      <c r="AB2209" s="18">
        <v>965</v>
      </c>
      <c r="AC2209" s="18">
        <v>3</v>
      </c>
    </row>
    <row r="2210" spans="1:29" ht="15.75" customHeight="1" x14ac:dyDescent="0.2">
      <c r="A2210" s="36" t="str">
        <f>HYPERLINK("https://www.tvcc.cc", "Treasure Valley Community College")</f>
        <v>Treasure Valley Community College</v>
      </c>
      <c r="B2210" s="18" t="s">
        <v>49</v>
      </c>
      <c r="C2210" s="18" t="s">
        <v>143</v>
      </c>
      <c r="D2210" s="18" t="s">
        <v>1629</v>
      </c>
      <c r="E2210" s="18" t="s">
        <v>36</v>
      </c>
      <c r="F2210" s="18" t="s">
        <v>36</v>
      </c>
      <c r="J2210" s="19"/>
      <c r="K2210" s="19">
        <v>0.28149999999999997</v>
      </c>
      <c r="L2210" s="19">
        <v>0.10033821900000001</v>
      </c>
      <c r="M2210" s="19">
        <v>0.318</v>
      </c>
      <c r="N2210" s="19">
        <v>0</v>
      </c>
      <c r="O2210" s="19">
        <v>0.23680000000000001</v>
      </c>
      <c r="P2210" s="19">
        <v>0</v>
      </c>
      <c r="Q2210" s="19">
        <v>6.9591528E-2</v>
      </c>
      <c r="R2210" s="20">
        <v>21382</v>
      </c>
      <c r="S2210" s="21" t="str">
        <f>HYPERLINK("https://www.tvcc.cc/current/financialaid/npcalculator/npcalc.htm", "$15271")</f>
        <v>$15271</v>
      </c>
      <c r="T2210" s="20" t="s">
        <v>36</v>
      </c>
      <c r="U2210" s="20" t="s">
        <v>36</v>
      </c>
      <c r="V2210" s="20">
        <v>8300</v>
      </c>
      <c r="W2210" s="20">
        <v>6971.9876543209866</v>
      </c>
      <c r="Y2210" s="19">
        <v>0.47299999999999998</v>
      </c>
      <c r="Z2210" s="19">
        <v>0.38629999999999998</v>
      </c>
      <c r="AB2210" s="18">
        <v>1543</v>
      </c>
      <c r="AC2210" s="18">
        <v>6</v>
      </c>
    </row>
    <row r="2211" spans="1:29" ht="15.75" customHeight="1" x14ac:dyDescent="0.2">
      <c r="A2211" s="36" t="str">
        <f>HYPERLINK("https://www.trevecca.edu", "Trevecca Nazarene University")</f>
        <v>Trevecca Nazarene University</v>
      </c>
      <c r="B2211" s="18" t="s">
        <v>32</v>
      </c>
      <c r="C2211" s="18" t="s">
        <v>174</v>
      </c>
      <c r="D2211" s="18" t="s">
        <v>175</v>
      </c>
      <c r="E2211" s="18">
        <v>1121</v>
      </c>
      <c r="F2211" s="18" t="s">
        <v>35</v>
      </c>
      <c r="J2211" s="19"/>
      <c r="K2211" s="19">
        <v>0.53820000000000001</v>
      </c>
      <c r="L2211" s="19">
        <v>0.16438356200000001</v>
      </c>
      <c r="M2211" s="19">
        <v>0.56620000000000004</v>
      </c>
      <c r="N2211" s="19">
        <v>0.31819999999999998</v>
      </c>
      <c r="O2211" s="19">
        <v>0.625</v>
      </c>
      <c r="P2211" s="19">
        <v>0.33329999999999999</v>
      </c>
      <c r="Q2211" s="19"/>
      <c r="R2211" s="20">
        <v>39130</v>
      </c>
      <c r="S2211" s="21" t="str">
        <f>HYPERLINK("https://www.shoppingsheet.com/Shopping/Landing/trevecca", "$16381")</f>
        <v>$16381</v>
      </c>
      <c r="T2211" s="20">
        <v>18414</v>
      </c>
      <c r="U2211" s="20">
        <v>20529</v>
      </c>
      <c r="V2211" s="20" t="s">
        <v>36</v>
      </c>
      <c r="W2211" s="20" t="s">
        <v>36</v>
      </c>
      <c r="Y2211" s="19">
        <v>0.35089999999999999</v>
      </c>
      <c r="Z2211" s="19">
        <v>0.39250000000000002</v>
      </c>
      <c r="AB2211" s="18">
        <v>2112</v>
      </c>
      <c r="AC2211" s="18">
        <v>4</v>
      </c>
    </row>
    <row r="2212" spans="1:29" ht="15.75" customHeight="1" x14ac:dyDescent="0.2">
      <c r="A2212" s="36" t="str">
        <f>HYPERLINK("https://www.tricountycc.edu", "Tri-County Community College")</f>
        <v>Tri-County Community College</v>
      </c>
      <c r="B2212" s="18" t="s">
        <v>49</v>
      </c>
      <c r="C2212" s="18" t="s">
        <v>103</v>
      </c>
      <c r="D2212" s="18" t="s">
        <v>1730</v>
      </c>
      <c r="E2212" s="18" t="s">
        <v>36</v>
      </c>
      <c r="F2212" s="18" t="s">
        <v>36</v>
      </c>
      <c r="J2212" s="19"/>
      <c r="K2212" s="19">
        <v>0.23569999999999999</v>
      </c>
      <c r="L2212" s="19">
        <v>0.24709302299999999</v>
      </c>
      <c r="M2212" s="19">
        <v>0.2422</v>
      </c>
      <c r="N2212" s="19">
        <v>0.33329999999999999</v>
      </c>
      <c r="O2212" s="19">
        <v>0.25</v>
      </c>
      <c r="P2212" s="19">
        <v>0</v>
      </c>
      <c r="Q2212" s="19">
        <v>2.2522522999999999E-2</v>
      </c>
      <c r="R2212" s="20">
        <v>22322</v>
      </c>
      <c r="S2212" s="21" t="str">
        <f>HYPERLINK("https://www.tricountycc.edu", "$17421")</f>
        <v>$17421</v>
      </c>
      <c r="T2212" s="20">
        <v>17989</v>
      </c>
      <c r="U2212" s="20">
        <v>17727</v>
      </c>
      <c r="V2212" s="20">
        <v>6537</v>
      </c>
      <c r="W2212" s="20">
        <v>10884.13114754098</v>
      </c>
      <c r="Y2212" s="19">
        <v>0.38629999999999998</v>
      </c>
      <c r="Z2212" s="19">
        <v>9.2500000000000027E-2</v>
      </c>
      <c r="AB2212" s="18">
        <v>530</v>
      </c>
      <c r="AC2212" s="18">
        <v>6</v>
      </c>
    </row>
    <row r="2213" spans="1:29" ht="15.75" customHeight="1" x14ac:dyDescent="0.2">
      <c r="A2213" s="36" t="str">
        <f>HYPERLINK("https://www.triangle-tech.edu", "Triangle Tech Inc-Bethlehem")</f>
        <v>Triangle Tech Inc-Bethlehem</v>
      </c>
      <c r="B2213" s="18" t="s">
        <v>368</v>
      </c>
      <c r="C2213" s="18" t="s">
        <v>65</v>
      </c>
      <c r="D2213" s="18" t="s">
        <v>130</v>
      </c>
      <c r="E2213" s="18" t="s">
        <v>36</v>
      </c>
      <c r="F2213" s="18" t="s">
        <v>36</v>
      </c>
      <c r="J2213" s="19"/>
      <c r="K2213" s="19">
        <v>0.67349999999999999</v>
      </c>
      <c r="L2213" s="19">
        <v>0.64</v>
      </c>
      <c r="M2213" s="19">
        <v>0.7429</v>
      </c>
      <c r="N2213" s="19">
        <v>0.57140000000000002</v>
      </c>
      <c r="O2213" s="19">
        <v>0.42859999999999998</v>
      </c>
      <c r="P2213" s="19" t="s">
        <v>36</v>
      </c>
      <c r="Q2213" s="19" t="s">
        <v>36</v>
      </c>
      <c r="R2213" s="20">
        <v>29932</v>
      </c>
      <c r="S2213" s="21" t="str">
        <f>HYPERLINK("https://www.triangle-tech.edu", "$18024")</f>
        <v>$18024</v>
      </c>
      <c r="T2213" s="20">
        <v>18955</v>
      </c>
      <c r="U2213" s="20">
        <v>23134</v>
      </c>
      <c r="V2213" s="20">
        <v>7015</v>
      </c>
      <c r="W2213" s="20">
        <v>11009</v>
      </c>
      <c r="Y2213" s="19">
        <v>0.69299999999999995</v>
      </c>
      <c r="Z2213" s="19">
        <v>0.35649999999999998</v>
      </c>
      <c r="AB2213" s="18">
        <v>115</v>
      </c>
      <c r="AC2213" s="18">
        <v>6</v>
      </c>
    </row>
    <row r="2214" spans="1:29" ht="15.75" customHeight="1" x14ac:dyDescent="0.2">
      <c r="A2214" s="36" t="str">
        <f>HYPERLINK("https://www.triangle-tech.edu", "Triangle Tech Inc-Dubois")</f>
        <v>Triangle Tech Inc-Dubois</v>
      </c>
      <c r="B2214" s="18" t="s">
        <v>368</v>
      </c>
      <c r="C2214" s="18" t="s">
        <v>65</v>
      </c>
      <c r="D2214" s="18" t="s">
        <v>1731</v>
      </c>
      <c r="E2214" s="18" t="s">
        <v>36</v>
      </c>
      <c r="F2214" s="18" t="s">
        <v>36</v>
      </c>
      <c r="J2214" s="19"/>
      <c r="K2214" s="19">
        <v>0.80299999999999994</v>
      </c>
      <c r="L2214" s="19" t="s">
        <v>36</v>
      </c>
      <c r="M2214" s="19">
        <v>0.79369999999999996</v>
      </c>
      <c r="N2214" s="19" t="s">
        <v>36</v>
      </c>
      <c r="O2214" s="19">
        <v>1</v>
      </c>
      <c r="P2214" s="19" t="s">
        <v>36</v>
      </c>
      <c r="Q2214" s="19" t="s">
        <v>36</v>
      </c>
      <c r="R2214" s="20">
        <v>29879</v>
      </c>
      <c r="S2214" s="21" t="str">
        <f>HYPERLINK("https://www.triangle-tech.edu", "$17588")</f>
        <v>$17588</v>
      </c>
      <c r="T2214" s="20">
        <v>18568</v>
      </c>
      <c r="U2214" s="20">
        <v>24387</v>
      </c>
      <c r="V2214" s="20">
        <v>7095</v>
      </c>
      <c r="W2214" s="20">
        <v>10493</v>
      </c>
      <c r="Y2214" s="19">
        <v>0.50339999999999996</v>
      </c>
      <c r="Z2214" s="19">
        <v>2.8000000000000021E-2</v>
      </c>
      <c r="AB2214" s="18">
        <v>143</v>
      </c>
      <c r="AC2214" s="18">
        <v>6</v>
      </c>
    </row>
    <row r="2215" spans="1:29" ht="15.75" customHeight="1" x14ac:dyDescent="0.2">
      <c r="A2215" s="36" t="str">
        <f>HYPERLINK("https://www.triangle-tech.edu", "Triangle Tech Inc-Erie")</f>
        <v>Triangle Tech Inc-Erie</v>
      </c>
      <c r="B2215" s="18" t="s">
        <v>368</v>
      </c>
      <c r="C2215" s="18" t="s">
        <v>65</v>
      </c>
      <c r="D2215" s="18" t="s">
        <v>782</v>
      </c>
      <c r="E2215" s="18" t="s">
        <v>36</v>
      </c>
      <c r="F2215" s="18" t="s">
        <v>36</v>
      </c>
      <c r="J2215" s="19"/>
      <c r="K2215" s="19">
        <v>0.71430000000000005</v>
      </c>
      <c r="L2215" s="19">
        <v>0.56626505999999999</v>
      </c>
      <c r="M2215" s="19">
        <v>0.76</v>
      </c>
      <c r="N2215" s="19">
        <v>0</v>
      </c>
      <c r="O2215" s="19" t="s">
        <v>36</v>
      </c>
      <c r="P2215" s="19">
        <v>0</v>
      </c>
      <c r="Q2215" s="19" t="s">
        <v>36</v>
      </c>
      <c r="R2215" s="20">
        <v>29752</v>
      </c>
      <c r="S2215" s="21" t="str">
        <f>HYPERLINK("https://triangle-tech.edu/consumer-information/hea-student-consumer-information-disclosures/net-price-calculator", "$18968")</f>
        <v>$18968</v>
      </c>
      <c r="T2215" s="20">
        <v>11287</v>
      </c>
      <c r="U2215" s="20">
        <v>12654</v>
      </c>
      <c r="V2215" s="20">
        <v>7206</v>
      </c>
      <c r="W2215" s="20">
        <v>11762</v>
      </c>
      <c r="Y2215" s="19">
        <v>0.2626</v>
      </c>
      <c r="Z2215" s="19">
        <v>6.5599999999999992E-2</v>
      </c>
      <c r="AB2215" s="18">
        <v>61</v>
      </c>
      <c r="AC2215" s="18">
        <v>6</v>
      </c>
    </row>
    <row r="2216" spans="1:29" ht="15.75" customHeight="1" x14ac:dyDescent="0.2">
      <c r="A2216" s="36" t="str">
        <f>HYPERLINK("https://www.triangle-tech.edu", "Triangle Tech Inc-Greensburg")</f>
        <v>Triangle Tech Inc-Greensburg</v>
      </c>
      <c r="B2216" s="18" t="s">
        <v>368</v>
      </c>
      <c r="C2216" s="18" t="s">
        <v>65</v>
      </c>
      <c r="D2216" s="18" t="s">
        <v>1150</v>
      </c>
      <c r="E2216" s="18" t="s">
        <v>36</v>
      </c>
      <c r="F2216" s="18" t="s">
        <v>36</v>
      </c>
      <c r="J2216" s="19"/>
      <c r="K2216" s="19">
        <v>0.81010000000000004</v>
      </c>
      <c r="L2216" s="19">
        <v>0.64</v>
      </c>
      <c r="M2216" s="19">
        <v>0.81579999999999997</v>
      </c>
      <c r="N2216" s="19">
        <v>0.5</v>
      </c>
      <c r="O2216" s="19" t="s">
        <v>36</v>
      </c>
      <c r="P2216" s="19" t="s">
        <v>36</v>
      </c>
      <c r="Q2216" s="19" t="s">
        <v>36</v>
      </c>
      <c r="R2216" s="20">
        <v>29984</v>
      </c>
      <c r="S2216" s="21" t="str">
        <f>HYPERLINK("https://triangle-tech.edu", "$14299")</f>
        <v>$14299</v>
      </c>
      <c r="T2216" s="20">
        <v>16236</v>
      </c>
      <c r="U2216" s="20">
        <v>21254</v>
      </c>
      <c r="V2216" s="20">
        <v>7252</v>
      </c>
      <c r="W2216" s="20">
        <v>7047</v>
      </c>
      <c r="Y2216" s="19">
        <v>0.60129999999999995</v>
      </c>
      <c r="Z2216" s="19">
        <v>5.7899999999999952E-2</v>
      </c>
      <c r="AB2216" s="18">
        <v>121</v>
      </c>
      <c r="AC2216" s="18">
        <v>6</v>
      </c>
    </row>
    <row r="2217" spans="1:29" ht="15.75" customHeight="1" x14ac:dyDescent="0.2">
      <c r="A2217" s="36" t="str">
        <f>HYPERLINK("https://www.triangle-tech.edu", "Triangle Tech Inc-Pittsburgh")</f>
        <v>Triangle Tech Inc-Pittsburgh</v>
      </c>
      <c r="B2217" s="18" t="s">
        <v>368</v>
      </c>
      <c r="C2217" s="18" t="s">
        <v>65</v>
      </c>
      <c r="D2217" s="18" t="s">
        <v>74</v>
      </c>
      <c r="E2217" s="18" t="s">
        <v>36</v>
      </c>
      <c r="F2217" s="18" t="s">
        <v>36</v>
      </c>
      <c r="J2217" s="19"/>
      <c r="K2217" s="19">
        <v>0.55810000000000004</v>
      </c>
      <c r="L2217" s="19">
        <v>0.510204082</v>
      </c>
      <c r="M2217" s="19">
        <v>0.71430000000000005</v>
      </c>
      <c r="N2217" s="19">
        <v>0.39290000000000003</v>
      </c>
      <c r="O2217" s="19" t="s">
        <v>36</v>
      </c>
      <c r="P2217" s="19" t="s">
        <v>36</v>
      </c>
      <c r="Q2217" s="19" t="s">
        <v>36</v>
      </c>
      <c r="R2217" s="20">
        <v>29970</v>
      </c>
      <c r="S2217" s="21" t="str">
        <f>HYPERLINK("https://www.triangle-tech.edu", "$17324")</f>
        <v>$17324</v>
      </c>
      <c r="T2217" s="20">
        <v>22413</v>
      </c>
      <c r="U2217" s="20">
        <v>23091</v>
      </c>
      <c r="V2217" s="20">
        <v>7192</v>
      </c>
      <c r="W2217" s="20">
        <v>10132</v>
      </c>
      <c r="Y2217" s="19">
        <v>0.68669999999999998</v>
      </c>
      <c r="Z2217" s="19">
        <v>0.50690000000000002</v>
      </c>
      <c r="AB2217" s="18">
        <v>144</v>
      </c>
      <c r="AC2217" s="18">
        <v>6</v>
      </c>
    </row>
    <row r="2218" spans="1:29" ht="15.75" customHeight="1" x14ac:dyDescent="0.2">
      <c r="A2218" s="36" t="str">
        <f>HYPERLINK("https://www.triangle-tech.edu", "Triangle Tech Inc-Sunbury")</f>
        <v>Triangle Tech Inc-Sunbury</v>
      </c>
      <c r="B2218" s="18" t="s">
        <v>368</v>
      </c>
      <c r="C2218" s="18" t="s">
        <v>65</v>
      </c>
      <c r="D2218" s="18" t="s">
        <v>1732</v>
      </c>
      <c r="E2218" s="18" t="s">
        <v>36</v>
      </c>
      <c r="F2218" s="18" t="s">
        <v>36</v>
      </c>
      <c r="J2218" s="19"/>
      <c r="K2218" s="19">
        <v>0.83330000000000004</v>
      </c>
      <c r="L2218" s="19" t="s">
        <v>36</v>
      </c>
      <c r="M2218" s="19">
        <v>0.8448</v>
      </c>
      <c r="N2218" s="19" t="s">
        <v>36</v>
      </c>
      <c r="O2218" s="19" t="s">
        <v>36</v>
      </c>
      <c r="P2218" s="19" t="s">
        <v>36</v>
      </c>
      <c r="Q2218" s="19" t="s">
        <v>36</v>
      </c>
      <c r="R2218" s="20">
        <v>29932</v>
      </c>
      <c r="S2218" s="21" t="str">
        <f>HYPERLINK("https://www.triangle-tech.edu", "$15985")</f>
        <v>$15985</v>
      </c>
      <c r="T2218" s="20">
        <v>19536</v>
      </c>
      <c r="U2218" s="20">
        <v>24231</v>
      </c>
      <c r="V2218" s="20">
        <v>7015</v>
      </c>
      <c r="W2218" s="20">
        <v>8970</v>
      </c>
      <c r="Y2218" s="19">
        <v>0.52080000000000004</v>
      </c>
      <c r="Z2218" s="19">
        <v>0.13160000000000011</v>
      </c>
      <c r="AB2218" s="18">
        <v>76</v>
      </c>
      <c r="AC2218" s="18">
        <v>6</v>
      </c>
    </row>
    <row r="2219" spans="1:29" ht="15.75" customHeight="1" x14ac:dyDescent="0.2">
      <c r="A2219" s="36" t="str">
        <f>HYPERLINK("https://www.tridenttech.edu", "Trident Technical College")</f>
        <v>Trident Technical College</v>
      </c>
      <c r="B2219" s="18" t="s">
        <v>49</v>
      </c>
      <c r="C2219" s="18" t="s">
        <v>208</v>
      </c>
      <c r="D2219" s="18" t="s">
        <v>334</v>
      </c>
      <c r="E2219" s="18" t="s">
        <v>36</v>
      </c>
      <c r="F2219" s="18" t="s">
        <v>36</v>
      </c>
      <c r="J2219" s="19"/>
      <c r="K2219" s="19">
        <v>0.15740000000000001</v>
      </c>
      <c r="L2219" s="19">
        <v>5.9709980000000003E-2</v>
      </c>
      <c r="M2219" s="19">
        <v>0.1731</v>
      </c>
      <c r="N2219" s="19">
        <v>0.11360000000000001</v>
      </c>
      <c r="O2219" s="19">
        <v>0.17979999999999999</v>
      </c>
      <c r="P2219" s="19">
        <v>0.1613</v>
      </c>
      <c r="Q2219" s="19">
        <v>8.5476411000000002E-2</v>
      </c>
      <c r="R2219" s="20">
        <v>22608</v>
      </c>
      <c r="S2219" s="21" t="str">
        <f>HYPERLINK("https://www.tridenttech.edu/pay/apply/fa_Calc.htm", "$15280")</f>
        <v>$15280</v>
      </c>
      <c r="T2219" s="20">
        <v>16615</v>
      </c>
      <c r="U2219" s="20">
        <v>18480</v>
      </c>
      <c r="V2219" s="20">
        <v>5627</v>
      </c>
      <c r="W2219" s="20">
        <v>9653.3203285420932</v>
      </c>
      <c r="Y2219" s="19">
        <v>0.41070000000000001</v>
      </c>
      <c r="Z2219" s="19">
        <v>0.43930000000000002</v>
      </c>
      <c r="AB2219" s="18">
        <v>10905</v>
      </c>
      <c r="AC2219" s="18">
        <v>6</v>
      </c>
    </row>
    <row r="2220" spans="1:29" ht="15.75" customHeight="1" x14ac:dyDescent="0.2">
      <c r="A2220" s="36" t="str">
        <f>HYPERLINK("https://www.trine.edu", "Trine University")</f>
        <v>Trine University</v>
      </c>
      <c r="B2220" s="18" t="s">
        <v>32</v>
      </c>
      <c r="C2220" s="18" t="s">
        <v>148</v>
      </c>
      <c r="D2220" s="18" t="s">
        <v>494</v>
      </c>
      <c r="E2220" s="18">
        <v>1128</v>
      </c>
      <c r="F2220" s="18" t="s">
        <v>35</v>
      </c>
      <c r="J2220" s="19"/>
      <c r="K2220" s="19">
        <v>0.54500000000000004</v>
      </c>
      <c r="L2220" s="19">
        <v>0.46511627900000002</v>
      </c>
      <c r="M2220" s="19">
        <v>0.55379999999999996</v>
      </c>
      <c r="N2220" s="19">
        <v>0.1176</v>
      </c>
      <c r="O2220" s="19">
        <v>1</v>
      </c>
      <c r="P2220" s="19">
        <v>0</v>
      </c>
      <c r="Q2220" s="19"/>
      <c r="R2220" s="20">
        <v>49010</v>
      </c>
      <c r="S2220" s="21" t="str">
        <f>HYPERLINK("https://www.indianacollegecosts.org/calculate-your-college-costs", "$21661")</f>
        <v>$21661</v>
      </c>
      <c r="T2220" s="20">
        <v>23096</v>
      </c>
      <c r="U2220" s="20">
        <v>27004</v>
      </c>
      <c r="V2220" s="20">
        <v>6900</v>
      </c>
      <c r="W2220" s="20">
        <v>14761</v>
      </c>
      <c r="Y2220" s="19">
        <v>0.15379999999999999</v>
      </c>
      <c r="Z2220" s="19">
        <v>0.1893</v>
      </c>
      <c r="AB2220" s="18">
        <v>1939</v>
      </c>
      <c r="AC2220" s="18">
        <v>3</v>
      </c>
    </row>
    <row r="2221" spans="1:29" ht="15.75" customHeight="1" x14ac:dyDescent="0.2">
      <c r="A2221" s="36" t="str">
        <f>HYPERLINK("https://www.trnty.edu", "Trinity Christian College")</f>
        <v>Trinity Christian College</v>
      </c>
      <c r="B2221" s="18" t="s">
        <v>32</v>
      </c>
      <c r="C2221" s="18" t="s">
        <v>137</v>
      </c>
      <c r="D2221" s="18" t="s">
        <v>1250</v>
      </c>
      <c r="E2221" s="18">
        <v>1125</v>
      </c>
      <c r="F2221" s="18" t="s">
        <v>35</v>
      </c>
      <c r="J2221" s="19"/>
      <c r="K2221" s="19">
        <v>0.68799999999999994</v>
      </c>
      <c r="L2221" s="19">
        <v>0.35031847100000002</v>
      </c>
      <c r="M2221" s="19">
        <v>0.75</v>
      </c>
      <c r="N2221" s="19">
        <v>0.4</v>
      </c>
      <c r="O2221" s="19">
        <v>0.45450000000000002</v>
      </c>
      <c r="P2221" s="19">
        <v>1</v>
      </c>
      <c r="Q2221" s="19"/>
      <c r="R2221" s="20">
        <v>42255</v>
      </c>
      <c r="S2221" s="21" t="str">
        <f>HYPERLINK("https://www.trnty.edu/finaid/mm-npcfs.html", "$18058")</f>
        <v>$18058</v>
      </c>
      <c r="T2221" s="20">
        <v>21471</v>
      </c>
      <c r="U2221" s="20">
        <v>21414</v>
      </c>
      <c r="V2221" s="20">
        <v>3900</v>
      </c>
      <c r="W2221" s="20">
        <v>14158</v>
      </c>
      <c r="Y2221" s="19">
        <v>0.36549999999999999</v>
      </c>
      <c r="Z2221" s="19">
        <v>0.3599</v>
      </c>
      <c r="AB2221" s="18">
        <v>1028</v>
      </c>
      <c r="AC2221" s="18">
        <v>4</v>
      </c>
    </row>
    <row r="2222" spans="1:29" ht="15.75" customHeight="1" x14ac:dyDescent="0.2">
      <c r="A2222" s="36" t="str">
        <f>HYPERLINK("https://www.trincoll.edu", "Trinity College")</f>
        <v>Trinity College</v>
      </c>
      <c r="B2222" s="18" t="s">
        <v>32</v>
      </c>
      <c r="C2222" s="18" t="s">
        <v>94</v>
      </c>
      <c r="D2222" s="18" t="s">
        <v>267</v>
      </c>
      <c r="E2222" s="18">
        <v>1370</v>
      </c>
      <c r="F2222" s="18" t="s">
        <v>115</v>
      </c>
      <c r="J2222" s="19"/>
      <c r="K2222" s="19">
        <v>0.81020000000000003</v>
      </c>
      <c r="L2222" s="19" t="s">
        <v>36</v>
      </c>
      <c r="M2222" s="19">
        <v>0.81069999999999998</v>
      </c>
      <c r="N2222" s="19">
        <v>0.8286</v>
      </c>
      <c r="O2222" s="19">
        <v>0.78720000000000001</v>
      </c>
      <c r="P2222" s="19">
        <v>0.82609999999999995</v>
      </c>
      <c r="Q2222" s="19"/>
      <c r="R2222" s="20">
        <v>71470</v>
      </c>
      <c r="S2222" s="21" t="str">
        <f>HYPERLINK("https://trincoll.studentaidcalculator.com/", "$10082")</f>
        <v>$10082</v>
      </c>
      <c r="T2222" s="20">
        <v>11196</v>
      </c>
      <c r="U2222" s="20">
        <v>25471</v>
      </c>
      <c r="V2222" s="20">
        <v>2500</v>
      </c>
      <c r="W2222" s="20">
        <v>7582</v>
      </c>
      <c r="X2222" s="18" t="s">
        <v>37</v>
      </c>
      <c r="Y2222" s="19">
        <v>0.12970000000000001</v>
      </c>
      <c r="Z2222" s="19">
        <v>0.34960000000000002</v>
      </c>
      <c r="AA2222" s="18" t="s">
        <v>37</v>
      </c>
      <c r="AB2222" s="18">
        <v>2174</v>
      </c>
      <c r="AC2222" s="18">
        <v>2</v>
      </c>
    </row>
    <row r="2223" spans="1:29" ht="15.75" customHeight="1" x14ac:dyDescent="0.2">
      <c r="A2223" s="36" t="str">
        <f>HYPERLINK("https://www.trinitypr.edu", "Trinity College of Puerto Rico")</f>
        <v>Trinity College of Puerto Rico</v>
      </c>
      <c r="B2223" s="18" t="s">
        <v>32</v>
      </c>
      <c r="C2223" s="18" t="s">
        <v>284</v>
      </c>
      <c r="D2223" s="18" t="s">
        <v>1332</v>
      </c>
      <c r="E2223" s="18" t="s">
        <v>36</v>
      </c>
      <c r="F2223" s="18" t="s">
        <v>36</v>
      </c>
      <c r="J2223" s="19"/>
      <c r="K2223" s="19">
        <v>0.5</v>
      </c>
      <c r="L2223" s="19" t="s">
        <v>36</v>
      </c>
      <c r="M2223" s="19" t="s">
        <v>36</v>
      </c>
      <c r="N2223" s="19" t="s">
        <v>36</v>
      </c>
      <c r="O2223" s="19">
        <v>0.5</v>
      </c>
      <c r="P2223" s="19" t="s">
        <v>36</v>
      </c>
      <c r="Q2223" s="19" t="s">
        <v>36</v>
      </c>
      <c r="R2223" s="20">
        <v>12056</v>
      </c>
      <c r="S2223" s="21" t="str">
        <f>HYPERLINK("https://www.trinitypr.edu", "$5501")</f>
        <v>$5501</v>
      </c>
      <c r="T2223" s="20">
        <v>5422</v>
      </c>
      <c r="U2223" s="20" t="s">
        <v>36</v>
      </c>
      <c r="V2223" s="20">
        <v>2664</v>
      </c>
      <c r="W2223" s="20">
        <v>2837</v>
      </c>
      <c r="Y2223" s="19">
        <v>1</v>
      </c>
      <c r="Z2223" s="19">
        <v>1</v>
      </c>
      <c r="AB2223" s="18">
        <v>149</v>
      </c>
      <c r="AC2223" s="18">
        <v>6</v>
      </c>
    </row>
    <row r="2224" spans="1:29" ht="15.75" customHeight="1" x14ac:dyDescent="0.2">
      <c r="A2224" s="36" t="str">
        <f>HYPERLINK("https://florida.tiu.edu", "Trinity International University-Florida")</f>
        <v>Trinity International University-Florida</v>
      </c>
      <c r="B2224" s="18" t="s">
        <v>32</v>
      </c>
      <c r="C2224" s="18" t="s">
        <v>162</v>
      </c>
      <c r="D2224" s="18" t="s">
        <v>359</v>
      </c>
      <c r="E2224" s="18" t="s">
        <v>36</v>
      </c>
      <c r="F2224" s="18" t="s">
        <v>36</v>
      </c>
      <c r="J2224" s="19"/>
      <c r="K2224" s="19">
        <v>0</v>
      </c>
      <c r="L2224" s="19">
        <v>0.31746031800000002</v>
      </c>
      <c r="M2224" s="19" t="s">
        <v>36</v>
      </c>
      <c r="N2224" s="19">
        <v>0</v>
      </c>
      <c r="O2224" s="19">
        <v>0</v>
      </c>
      <c r="P2224" s="19" t="s">
        <v>36</v>
      </c>
      <c r="Q2224" s="19"/>
      <c r="R2224" s="20">
        <v>30468</v>
      </c>
      <c r="S2224" s="21" t="str">
        <f>HYPERLINK("https://florida.tiu.edu/admissions-financial-aid/tuition-costs/net-price-calculator/", "Not reported")</f>
        <v>Not reported</v>
      </c>
      <c r="T2224" s="20" t="s">
        <v>36</v>
      </c>
      <c r="U2224" s="20" t="s">
        <v>36</v>
      </c>
      <c r="V2224" s="20">
        <v>7430</v>
      </c>
      <c r="W2224" s="20" t="s">
        <v>36</v>
      </c>
      <c r="Y2224" s="19">
        <v>0.61109999999999998</v>
      </c>
      <c r="Z2224" s="19">
        <v>0.87329999999999997</v>
      </c>
      <c r="AB2224" s="18">
        <v>150</v>
      </c>
      <c r="AC2224" s="18">
        <v>4</v>
      </c>
    </row>
    <row r="2225" spans="1:29" ht="15.75" customHeight="1" x14ac:dyDescent="0.2">
      <c r="A2225" s="36" t="str">
        <f>HYPERLINK("https://www.tiu.edu", "Trinity International University-Illinois")</f>
        <v>Trinity International University-Illinois</v>
      </c>
      <c r="B2225" s="18" t="s">
        <v>32</v>
      </c>
      <c r="C2225" s="18" t="s">
        <v>137</v>
      </c>
      <c r="D2225" s="18" t="s">
        <v>1252</v>
      </c>
      <c r="E2225" s="18">
        <v>1129</v>
      </c>
      <c r="F2225" s="18" t="s">
        <v>35</v>
      </c>
      <c r="J2225" s="19"/>
      <c r="K2225" s="19">
        <v>0.51590000000000003</v>
      </c>
      <c r="L2225" s="19">
        <v>0.31746031800000002</v>
      </c>
      <c r="M2225" s="19">
        <v>0.58720000000000006</v>
      </c>
      <c r="N2225" s="19">
        <v>0.21049999999999999</v>
      </c>
      <c r="O2225" s="19">
        <v>0.30769999999999997</v>
      </c>
      <c r="P2225" s="19">
        <v>1</v>
      </c>
      <c r="Q2225" s="19"/>
      <c r="R2225" s="20">
        <v>44510</v>
      </c>
      <c r="S2225" s="21" t="str">
        <f>HYPERLINK("https://undergrad.tiu.edu/tuition-aid/net-price-calculator/", "$17013")</f>
        <v>$17013</v>
      </c>
      <c r="T2225" s="20">
        <v>19076</v>
      </c>
      <c r="U2225" s="20">
        <v>20809</v>
      </c>
      <c r="V2225" s="20">
        <v>4220</v>
      </c>
      <c r="W2225" s="20">
        <v>12793</v>
      </c>
      <c r="Y2225" s="19">
        <v>0.40300000000000002</v>
      </c>
      <c r="Z2225" s="19">
        <v>0.45600000000000002</v>
      </c>
      <c r="AB2225" s="18">
        <v>750</v>
      </c>
      <c r="AC2225" s="18">
        <v>4</v>
      </c>
    </row>
    <row r="2226" spans="1:29" ht="15.75" customHeight="1" x14ac:dyDescent="0.2">
      <c r="A2226" s="36" t="str">
        <f>HYPERLINK("https://new.trinity.edu/", "Trinity University")</f>
        <v>Trinity University</v>
      </c>
      <c r="B2226" s="18" t="s">
        <v>32</v>
      </c>
      <c r="C2226" s="18" t="s">
        <v>146</v>
      </c>
      <c r="D2226" s="18" t="s">
        <v>268</v>
      </c>
      <c r="E2226" s="18">
        <v>1353</v>
      </c>
      <c r="F2226" s="18" t="s">
        <v>35</v>
      </c>
      <c r="J2226" s="19"/>
      <c r="K2226" s="19">
        <v>0.79720000000000002</v>
      </c>
      <c r="L2226" s="19">
        <v>0.8</v>
      </c>
      <c r="M2226" s="19">
        <v>0.79949999999999999</v>
      </c>
      <c r="N2226" s="19">
        <v>0.63160000000000005</v>
      </c>
      <c r="O2226" s="19">
        <v>0.80410000000000004</v>
      </c>
      <c r="P2226" s="19">
        <v>0.71150000000000002</v>
      </c>
      <c r="Q2226" s="19"/>
      <c r="R2226" s="20">
        <v>56880</v>
      </c>
      <c r="S2226" s="21" t="str">
        <f>HYPERLINK("https://new.trinity.edu/admissions-aid/net-price-calculator", "$12693")</f>
        <v>$12693</v>
      </c>
      <c r="T2226" s="20">
        <v>17578</v>
      </c>
      <c r="U2226" s="20">
        <v>24537</v>
      </c>
      <c r="V2226" s="20">
        <v>2400</v>
      </c>
      <c r="W2226" s="20">
        <v>10293</v>
      </c>
      <c r="Y2226" s="19">
        <v>0.1593</v>
      </c>
      <c r="Z2226" s="19">
        <v>0.44169999999999998</v>
      </c>
      <c r="AA2226" s="18" t="s">
        <v>37</v>
      </c>
      <c r="AB2226" s="18">
        <v>2393</v>
      </c>
      <c r="AC2226" s="18">
        <v>2</v>
      </c>
    </row>
    <row r="2227" spans="1:29" ht="15.75" customHeight="1" x14ac:dyDescent="0.2">
      <c r="A2227" s="36" t="str">
        <f>HYPERLINK("https://www.tvcc.edu", "Trinity Valley Community College")</f>
        <v>Trinity Valley Community College</v>
      </c>
      <c r="B2227" s="18" t="s">
        <v>49</v>
      </c>
      <c r="C2227" s="18" t="s">
        <v>146</v>
      </c>
      <c r="D2227" s="18" t="s">
        <v>278</v>
      </c>
      <c r="E2227" s="18" t="s">
        <v>36</v>
      </c>
      <c r="F2227" s="18" t="s">
        <v>36</v>
      </c>
      <c r="J2227" s="19"/>
      <c r="K2227" s="19">
        <v>0.17599999999999999</v>
      </c>
      <c r="L2227" s="19">
        <v>0.13498402600000001</v>
      </c>
      <c r="M2227" s="19">
        <v>0.17730000000000001</v>
      </c>
      <c r="N2227" s="19">
        <v>0.1623</v>
      </c>
      <c r="O2227" s="19">
        <v>0.34939999999999999</v>
      </c>
      <c r="P2227" s="19">
        <v>0</v>
      </c>
      <c r="Q2227" s="19">
        <v>0.106601732</v>
      </c>
      <c r="R2227" s="20">
        <v>17395</v>
      </c>
      <c r="S2227" s="21" t="str">
        <f>HYPERLINK("https://www.collegeforalltexans.com/apps/CollegeMoney/", "$11429")</f>
        <v>$11429</v>
      </c>
      <c r="T2227" s="20">
        <v>13832</v>
      </c>
      <c r="U2227" s="20">
        <v>16637</v>
      </c>
      <c r="V2227" s="20">
        <v>6405</v>
      </c>
      <c r="W2227" s="20">
        <v>5024.1486068111444</v>
      </c>
      <c r="Y2227" s="19">
        <v>0.45269999999999999</v>
      </c>
      <c r="Z2227" s="19">
        <v>0.42120000000000002</v>
      </c>
      <c r="AB2227" s="18">
        <v>4065</v>
      </c>
      <c r="AC2227" s="18">
        <v>6</v>
      </c>
    </row>
    <row r="2228" spans="1:29" ht="15.75" customHeight="1" x14ac:dyDescent="0.2">
      <c r="A2228" s="36" t="str">
        <f>HYPERLINK("https://www.trinitydc.edu", "Trinity Washington University")</f>
        <v>Trinity Washington University</v>
      </c>
      <c r="B2228" s="18" t="s">
        <v>32</v>
      </c>
      <c r="C2228" s="18" t="s">
        <v>113</v>
      </c>
      <c r="D2228" s="18" t="s">
        <v>114</v>
      </c>
      <c r="E2228" s="18" t="s">
        <v>36</v>
      </c>
      <c r="F2228" s="18" t="s">
        <v>90</v>
      </c>
      <c r="J2228" s="19"/>
      <c r="K2228" s="19">
        <v>0.35980000000000001</v>
      </c>
      <c r="L2228" s="19">
        <v>0.39938080500000001</v>
      </c>
      <c r="M2228" s="19">
        <v>0</v>
      </c>
      <c r="N2228" s="19">
        <v>0.32800000000000001</v>
      </c>
      <c r="O2228" s="19">
        <v>0.56000000000000005</v>
      </c>
      <c r="P2228" s="19">
        <v>0.6</v>
      </c>
      <c r="Q2228" s="19"/>
      <c r="R2228" s="20">
        <v>37360</v>
      </c>
      <c r="S2228" s="21" t="str">
        <f>HYPERLINK("https://www.trinitydc.edu/enrollment/net-price-calculator/", "$16119")</f>
        <v>$16119</v>
      </c>
      <c r="T2228" s="20">
        <v>17715</v>
      </c>
      <c r="U2228" s="20">
        <v>19317</v>
      </c>
      <c r="V2228" s="20">
        <v>3180</v>
      </c>
      <c r="W2228" s="20">
        <v>12939</v>
      </c>
      <c r="Y2228" s="19">
        <v>0.69840000000000002</v>
      </c>
      <c r="Z2228" s="19">
        <v>0.98199999999999998</v>
      </c>
      <c r="AB2228" s="18">
        <v>1498</v>
      </c>
      <c r="AC2228" s="18">
        <v>4</v>
      </c>
    </row>
    <row r="2229" spans="1:29" ht="15.75" customHeight="1" x14ac:dyDescent="0.2">
      <c r="A2229" s="36" t="str">
        <f>HYPERLINK("https://www.triton.edu", "Triton College")</f>
        <v>Triton College</v>
      </c>
      <c r="B2229" s="18" t="s">
        <v>49</v>
      </c>
      <c r="C2229" s="18" t="s">
        <v>137</v>
      </c>
      <c r="D2229" s="18" t="s">
        <v>1733</v>
      </c>
      <c r="E2229" s="18" t="s">
        <v>36</v>
      </c>
      <c r="F2229" s="18" t="s">
        <v>36</v>
      </c>
      <c r="J2229" s="19"/>
      <c r="K2229" s="19">
        <v>0.17680000000000001</v>
      </c>
      <c r="L2229" s="19">
        <v>0.15353181599999999</v>
      </c>
      <c r="M2229" s="19">
        <v>0.25740000000000002</v>
      </c>
      <c r="N2229" s="19">
        <v>6.5100000000000005E-2</v>
      </c>
      <c r="O2229" s="19">
        <v>0.1759</v>
      </c>
      <c r="P2229" s="19">
        <v>0.26669999999999999</v>
      </c>
      <c r="Q2229" s="19">
        <v>8.9060594000000007E-2</v>
      </c>
      <c r="R2229" s="20">
        <v>23064</v>
      </c>
      <c r="S2229" s="21" t="str">
        <f>HYPERLINK("https://online2.triton.edu/netpricecalculator/", "$17416")</f>
        <v>$17416</v>
      </c>
      <c r="T2229" s="20">
        <v>20241</v>
      </c>
      <c r="U2229" s="20">
        <v>21408</v>
      </c>
      <c r="V2229" s="20">
        <v>4496</v>
      </c>
      <c r="W2229" s="20">
        <v>12920.54365079365</v>
      </c>
      <c r="Y2229" s="19">
        <v>0.25690000000000002</v>
      </c>
      <c r="Z2229" s="19">
        <v>0.6724</v>
      </c>
      <c r="AB2229" s="18">
        <v>8073</v>
      </c>
      <c r="AC2229" s="18">
        <v>6</v>
      </c>
    </row>
    <row r="2230" spans="1:29" ht="15.75" customHeight="1" x14ac:dyDescent="0.2">
      <c r="A2230" s="36" t="str">
        <f>HYPERLINK("https://www.trocaire.edu/", "Trocaire College")</f>
        <v>Trocaire College</v>
      </c>
      <c r="B2230" s="18" t="s">
        <v>32</v>
      </c>
      <c r="C2230" s="18" t="s">
        <v>38</v>
      </c>
      <c r="D2230" s="18" t="s">
        <v>322</v>
      </c>
      <c r="E2230" s="18" t="s">
        <v>36</v>
      </c>
      <c r="F2230" s="18" t="s">
        <v>36</v>
      </c>
      <c r="J2230" s="19"/>
      <c r="K2230" s="19">
        <v>0.25</v>
      </c>
      <c r="L2230" s="19">
        <v>0.32620320899999999</v>
      </c>
      <c r="M2230" s="19">
        <v>0.25679999999999997</v>
      </c>
      <c r="N2230" s="19">
        <v>0.1071</v>
      </c>
      <c r="O2230" s="19">
        <v>0</v>
      </c>
      <c r="P2230" s="19" t="s">
        <v>36</v>
      </c>
      <c r="Q2230" s="19">
        <v>5.3929122000000003E-2</v>
      </c>
      <c r="R2230" s="20">
        <v>27410</v>
      </c>
      <c r="S2230" s="21" t="str">
        <f>HYPERLINK("https://trocaire.edu/net-price-calculator/", "$10595")</f>
        <v>$10595</v>
      </c>
      <c r="T2230" s="20">
        <v>15937</v>
      </c>
      <c r="U2230" s="20">
        <v>20720</v>
      </c>
      <c r="V2230" s="20">
        <v>3300</v>
      </c>
      <c r="W2230" s="20">
        <v>7295</v>
      </c>
      <c r="Y2230" s="19">
        <v>0.49790000000000001</v>
      </c>
      <c r="Z2230" s="19">
        <v>0.32679999999999998</v>
      </c>
      <c r="AB2230" s="18">
        <v>1279</v>
      </c>
      <c r="AC2230" s="18">
        <v>6</v>
      </c>
    </row>
    <row r="2231" spans="1:29" ht="15.75" customHeight="1" x14ac:dyDescent="0.2">
      <c r="A2231" s="36" t="str">
        <f>HYPERLINK("https://www.troy.edu", "Troy University-eTROY")</f>
        <v>Troy University-eTROY</v>
      </c>
      <c r="B2231" s="18" t="s">
        <v>49</v>
      </c>
      <c r="C2231" s="18" t="s">
        <v>300</v>
      </c>
      <c r="D2231" s="18" t="s">
        <v>145</v>
      </c>
      <c r="E2231" s="18">
        <v>1085</v>
      </c>
      <c r="F2231" s="18" t="s">
        <v>35</v>
      </c>
      <c r="J2231" s="19"/>
      <c r="K2231" s="19">
        <v>0.39</v>
      </c>
      <c r="L2231" s="19">
        <v>0.189623081</v>
      </c>
      <c r="M2231" s="19">
        <v>0.44879999999999998</v>
      </c>
      <c r="N2231" s="19">
        <v>0.23769999999999999</v>
      </c>
      <c r="O2231" s="19">
        <v>0.52829999999999999</v>
      </c>
      <c r="P2231" s="19">
        <v>0.28570000000000001</v>
      </c>
      <c r="Q2231" s="19"/>
      <c r="R2231" s="20">
        <v>27399</v>
      </c>
      <c r="S2231" s="21" t="str">
        <f>HYPERLINK("https://www.troy.edu/admissions/net-price-calculator.html", "$22114")</f>
        <v>$22114</v>
      </c>
      <c r="T2231" s="20">
        <v>24161</v>
      </c>
      <c r="U2231" s="20">
        <v>24803</v>
      </c>
      <c r="V2231" s="20">
        <v>4435</v>
      </c>
      <c r="W2231" s="20">
        <v>17679.178272980502</v>
      </c>
      <c r="Y2231" s="19">
        <v>0.40110000000000001</v>
      </c>
      <c r="Z2231" s="19">
        <v>0.46500000000000002</v>
      </c>
      <c r="AB2231" s="18">
        <v>13634</v>
      </c>
      <c r="AC2231" s="18">
        <v>4</v>
      </c>
    </row>
    <row r="2232" spans="1:29" ht="15.75" customHeight="1" x14ac:dyDescent="0.2">
      <c r="A2232" s="36" t="str">
        <f>HYPERLINK("https://www.troy.edu/dothan/", "Troy University-Dothan Campus")</f>
        <v>Troy University-Dothan Campus</v>
      </c>
      <c r="B2232" s="18" t="s">
        <v>49</v>
      </c>
      <c r="C2232" s="18" t="s">
        <v>300</v>
      </c>
      <c r="D2232" s="18" t="s">
        <v>1255</v>
      </c>
      <c r="E2232" s="18" t="s">
        <v>36</v>
      </c>
      <c r="F2232" s="18" t="s">
        <v>36</v>
      </c>
      <c r="J2232" s="19"/>
      <c r="K2232" s="19" t="s">
        <v>36</v>
      </c>
      <c r="L2232" s="19">
        <v>0.189623081</v>
      </c>
      <c r="M2232" s="19" t="s">
        <v>36</v>
      </c>
      <c r="N2232" s="19" t="s">
        <v>36</v>
      </c>
      <c r="O2232" s="19" t="s">
        <v>36</v>
      </c>
      <c r="P2232" s="19" t="s">
        <v>36</v>
      </c>
      <c r="Q2232" s="19"/>
      <c r="R2232" s="20" t="s">
        <v>36</v>
      </c>
      <c r="S2232" s="35" t="s">
        <v>36</v>
      </c>
      <c r="T2232" s="20" t="s">
        <v>36</v>
      </c>
      <c r="U2232" s="20" t="s">
        <v>36</v>
      </c>
      <c r="V2232" s="20" t="s">
        <v>36</v>
      </c>
      <c r="W2232" s="20" t="s">
        <v>36</v>
      </c>
      <c r="Y2232" s="19" t="s">
        <v>36</v>
      </c>
      <c r="Z2232" s="19" t="s">
        <v>36</v>
      </c>
      <c r="AB2232" s="18" t="s">
        <v>36</v>
      </c>
      <c r="AC2232" s="18">
        <v>4</v>
      </c>
    </row>
    <row r="2233" spans="1:29" ht="15.75" customHeight="1" x14ac:dyDescent="0.2">
      <c r="A2233" s="36" t="str">
        <f>HYPERLINK("https://www.troy.edu/montgomery/", "Troy University-Montgomery Campus")</f>
        <v>Troy University-Montgomery Campus</v>
      </c>
      <c r="B2233" s="18" t="s">
        <v>49</v>
      </c>
      <c r="C2233" s="18" t="s">
        <v>300</v>
      </c>
      <c r="D2233" s="18" t="s">
        <v>547</v>
      </c>
      <c r="E2233" s="18" t="s">
        <v>36</v>
      </c>
      <c r="F2233" s="18" t="s">
        <v>36</v>
      </c>
      <c r="J2233" s="19"/>
      <c r="K2233" s="19" t="s">
        <v>36</v>
      </c>
      <c r="L2233" s="19">
        <v>0.189623081</v>
      </c>
      <c r="M2233" s="19" t="s">
        <v>36</v>
      </c>
      <c r="N2233" s="19" t="s">
        <v>36</v>
      </c>
      <c r="O2233" s="19" t="s">
        <v>36</v>
      </c>
      <c r="P2233" s="19" t="s">
        <v>36</v>
      </c>
      <c r="Q2233" s="19"/>
      <c r="R2233" s="20" t="s">
        <v>36</v>
      </c>
      <c r="S2233" s="35" t="s">
        <v>36</v>
      </c>
      <c r="T2233" s="20" t="s">
        <v>36</v>
      </c>
      <c r="U2233" s="20" t="s">
        <v>36</v>
      </c>
      <c r="V2233" s="20" t="s">
        <v>36</v>
      </c>
      <c r="W2233" s="20" t="s">
        <v>36</v>
      </c>
      <c r="Y2233" s="19" t="s">
        <v>36</v>
      </c>
      <c r="Z2233" s="19" t="s">
        <v>36</v>
      </c>
      <c r="AB2233" s="18" t="s">
        <v>36</v>
      </c>
      <c r="AC2233" s="18">
        <v>4</v>
      </c>
    </row>
    <row r="2234" spans="1:29" ht="15.75" customHeight="1" x14ac:dyDescent="0.2">
      <c r="A2234" s="36" t="str">
        <f>HYPERLINK("https://online.troy.edu/index.html", "Troy University")</f>
        <v>Troy University</v>
      </c>
      <c r="B2234" s="18" t="s">
        <v>49</v>
      </c>
      <c r="C2234" s="18" t="s">
        <v>300</v>
      </c>
      <c r="D2234" s="18" t="s">
        <v>145</v>
      </c>
      <c r="E2234" s="18" t="s">
        <v>36</v>
      </c>
      <c r="F2234" s="18" t="s">
        <v>36</v>
      </c>
      <c r="J2234" s="19"/>
      <c r="K2234" s="19" t="s">
        <v>36</v>
      </c>
      <c r="L2234" s="19">
        <v>0.189623081</v>
      </c>
      <c r="M2234" s="19" t="s">
        <v>36</v>
      </c>
      <c r="N2234" s="19" t="s">
        <v>36</v>
      </c>
      <c r="O2234" s="19" t="s">
        <v>36</v>
      </c>
      <c r="P2234" s="19" t="s">
        <v>36</v>
      </c>
      <c r="Q2234" s="19"/>
      <c r="R2234" s="20" t="s">
        <v>36</v>
      </c>
      <c r="S2234" s="35" t="s">
        <v>36</v>
      </c>
      <c r="T2234" s="20" t="s">
        <v>36</v>
      </c>
      <c r="U2234" s="20" t="s">
        <v>36</v>
      </c>
      <c r="V2234" s="20" t="s">
        <v>36</v>
      </c>
      <c r="W2234" s="20" t="s">
        <v>36</v>
      </c>
      <c r="Y2234" s="19" t="s">
        <v>36</v>
      </c>
      <c r="Z2234" s="19" t="s">
        <v>36</v>
      </c>
      <c r="AB2234" s="18" t="s">
        <v>36</v>
      </c>
      <c r="AC2234" s="18">
        <v>4</v>
      </c>
    </row>
    <row r="2235" spans="1:29" ht="15.75" customHeight="1" x14ac:dyDescent="0.2">
      <c r="A2235" s="36" t="str">
        <f>HYPERLINK("https://www.troy.edu/phenixcity/", "Troy University-Phenix City Campus")</f>
        <v>Troy University-Phenix City Campus</v>
      </c>
      <c r="B2235" s="18" t="s">
        <v>49</v>
      </c>
      <c r="C2235" s="18" t="s">
        <v>300</v>
      </c>
      <c r="D2235" s="18" t="s">
        <v>1127</v>
      </c>
      <c r="E2235" s="18" t="s">
        <v>36</v>
      </c>
      <c r="F2235" s="18" t="s">
        <v>36</v>
      </c>
      <c r="J2235" s="19"/>
      <c r="K2235" s="19" t="s">
        <v>36</v>
      </c>
      <c r="L2235" s="19">
        <v>0.189623081</v>
      </c>
      <c r="M2235" s="19" t="s">
        <v>36</v>
      </c>
      <c r="N2235" s="19" t="s">
        <v>36</v>
      </c>
      <c r="O2235" s="19" t="s">
        <v>36</v>
      </c>
      <c r="P2235" s="19" t="s">
        <v>36</v>
      </c>
      <c r="Q2235" s="19"/>
      <c r="R2235" s="20" t="s">
        <v>36</v>
      </c>
      <c r="S2235" s="35" t="s">
        <v>36</v>
      </c>
      <c r="T2235" s="20" t="s">
        <v>36</v>
      </c>
      <c r="U2235" s="20" t="s">
        <v>36</v>
      </c>
      <c r="V2235" s="20" t="s">
        <v>36</v>
      </c>
      <c r="W2235" s="20" t="s">
        <v>36</v>
      </c>
      <c r="Y2235" s="19" t="s">
        <v>36</v>
      </c>
      <c r="Z2235" s="19" t="s">
        <v>36</v>
      </c>
      <c r="AB2235" s="18" t="s">
        <v>36</v>
      </c>
      <c r="AC2235" s="18">
        <v>4</v>
      </c>
    </row>
    <row r="2236" spans="1:29" ht="15.75" customHeight="1" x14ac:dyDescent="0.2">
      <c r="A2236" s="36" t="str">
        <f>HYPERLINK("https://www.troy.edu/servicecenters/", "Troy University")</f>
        <v>Troy University</v>
      </c>
      <c r="B2236" s="18" t="s">
        <v>49</v>
      </c>
      <c r="C2236" s="18" t="s">
        <v>300</v>
      </c>
      <c r="D2236" s="18" t="s">
        <v>145</v>
      </c>
      <c r="E2236" s="18" t="s">
        <v>36</v>
      </c>
      <c r="F2236" s="18" t="s">
        <v>36</v>
      </c>
      <c r="J2236" s="19"/>
      <c r="K2236" s="19" t="s">
        <v>36</v>
      </c>
      <c r="L2236" s="19">
        <v>0.189623081</v>
      </c>
      <c r="M2236" s="19" t="s">
        <v>36</v>
      </c>
      <c r="N2236" s="19" t="s">
        <v>36</v>
      </c>
      <c r="O2236" s="19" t="s">
        <v>36</v>
      </c>
      <c r="P2236" s="19" t="s">
        <v>36</v>
      </c>
      <c r="Q2236" s="19"/>
      <c r="R2236" s="20" t="s">
        <v>36</v>
      </c>
      <c r="S2236" s="35" t="s">
        <v>36</v>
      </c>
      <c r="T2236" s="20" t="s">
        <v>36</v>
      </c>
      <c r="U2236" s="20" t="s">
        <v>36</v>
      </c>
      <c r="V2236" s="20" t="s">
        <v>36</v>
      </c>
      <c r="W2236" s="20" t="s">
        <v>36</v>
      </c>
      <c r="Y2236" s="19" t="s">
        <v>36</v>
      </c>
      <c r="Z2236" s="19" t="s">
        <v>36</v>
      </c>
      <c r="AB2236" s="18" t="s">
        <v>36</v>
      </c>
      <c r="AC2236" s="18">
        <v>4</v>
      </c>
    </row>
    <row r="2237" spans="1:29" ht="15.75" customHeight="1" x14ac:dyDescent="0.2">
      <c r="A2237" s="36" t="str">
        <f>HYPERLINK("https://www.tmcc.edu", "Truckee Meadows Community College")</f>
        <v>Truckee Meadows Community College</v>
      </c>
      <c r="B2237" s="18" t="s">
        <v>49</v>
      </c>
      <c r="C2237" s="18" t="s">
        <v>476</v>
      </c>
      <c r="D2237" s="18" t="s">
        <v>900</v>
      </c>
      <c r="E2237" s="18" t="s">
        <v>36</v>
      </c>
      <c r="F2237" s="18" t="s">
        <v>36</v>
      </c>
      <c r="J2237" s="19"/>
      <c r="K2237" s="19">
        <v>0.28389999999999999</v>
      </c>
      <c r="L2237" s="19">
        <v>0.13102725400000001</v>
      </c>
      <c r="M2237" s="19">
        <v>0.28760000000000002</v>
      </c>
      <c r="N2237" s="19">
        <v>0.23080000000000001</v>
      </c>
      <c r="O2237" s="19">
        <v>0.26269999999999999</v>
      </c>
      <c r="P2237" s="19">
        <v>0.31580000000000003</v>
      </c>
      <c r="Q2237" s="19">
        <v>7.5174825000000001E-2</v>
      </c>
      <c r="R2237" s="20">
        <v>25594</v>
      </c>
      <c r="S2237" s="21" t="str">
        <f>HYPERLINK("https://www.tmcc.edu/financialaid/netpricecalculator/", "$20411")</f>
        <v>$20411</v>
      </c>
      <c r="T2237" s="20">
        <v>20552</v>
      </c>
      <c r="U2237" s="20">
        <v>24946</v>
      </c>
      <c r="V2237" s="20">
        <v>6676</v>
      </c>
      <c r="W2237" s="20">
        <v>13735.82191780822</v>
      </c>
      <c r="Y2237" s="19">
        <v>0.2359</v>
      </c>
      <c r="Z2237" s="19">
        <v>0.4728</v>
      </c>
      <c r="AB2237" s="18">
        <v>7859</v>
      </c>
      <c r="AC2237" s="18">
        <v>6</v>
      </c>
    </row>
    <row r="2238" spans="1:29" ht="15.75" customHeight="1" x14ac:dyDescent="0.2">
      <c r="A2238" s="36" t="str">
        <f>HYPERLINK("https://www.truman.edu", "Truman State University")</f>
        <v>Truman State University</v>
      </c>
      <c r="B2238" s="18" t="s">
        <v>49</v>
      </c>
      <c r="C2238" s="18" t="s">
        <v>164</v>
      </c>
      <c r="D2238" s="18" t="s">
        <v>269</v>
      </c>
      <c r="E2238" s="18">
        <v>1291</v>
      </c>
      <c r="F2238" s="18" t="s">
        <v>35</v>
      </c>
      <c r="J2238" s="19"/>
      <c r="K2238" s="19">
        <v>0.74890000000000001</v>
      </c>
      <c r="L2238" s="19">
        <v>0.56578947400000001</v>
      </c>
      <c r="M2238" s="19">
        <v>0.7609999999999999</v>
      </c>
      <c r="N2238" s="19">
        <v>0.74070000000000003</v>
      </c>
      <c r="O2238" s="19">
        <v>0.63639999999999997</v>
      </c>
      <c r="P2238" s="19">
        <v>0.81820000000000004</v>
      </c>
      <c r="Q2238" s="19"/>
      <c r="R2238" s="20">
        <v>27878</v>
      </c>
      <c r="S2238" s="21" t="str">
        <f>HYPERLINK("https://netprice.truman.edu", "$15552")</f>
        <v>$15552</v>
      </c>
      <c r="T2238" s="20">
        <v>19474</v>
      </c>
      <c r="U2238" s="20">
        <v>21987</v>
      </c>
      <c r="V2238" s="20">
        <v>4800</v>
      </c>
      <c r="W2238" s="20">
        <v>10752.76331360947</v>
      </c>
      <c r="Y2238" s="19">
        <v>0.18659999999999999</v>
      </c>
      <c r="Z2238" s="19">
        <v>0.2114</v>
      </c>
      <c r="AB2238" s="18">
        <v>5241</v>
      </c>
      <c r="AC2238" s="18">
        <v>2</v>
      </c>
    </row>
    <row r="2239" spans="1:29" ht="15.75" customHeight="1" x14ac:dyDescent="0.2">
      <c r="A2239" s="36" t="str">
        <f>HYPERLINK("https://www.tufts.edu", "Tufts University")</f>
        <v>Tufts University</v>
      </c>
      <c r="B2239" s="18" t="s">
        <v>32</v>
      </c>
      <c r="C2239" s="18" t="s">
        <v>33</v>
      </c>
      <c r="D2239" s="18" t="s">
        <v>157</v>
      </c>
      <c r="E2239" s="18">
        <v>1482</v>
      </c>
      <c r="F2239" s="18" t="s">
        <v>35</v>
      </c>
      <c r="J2239" s="19"/>
      <c r="K2239" s="19">
        <v>0.93230000000000002</v>
      </c>
      <c r="L2239" s="19">
        <v>0.82300885000000001</v>
      </c>
      <c r="M2239" s="19">
        <v>0.94089999999999996</v>
      </c>
      <c r="N2239" s="19">
        <v>0.88639999999999997</v>
      </c>
      <c r="O2239" s="19">
        <v>0.86</v>
      </c>
      <c r="P2239" s="19">
        <v>0.95489999999999997</v>
      </c>
      <c r="Q2239" s="19"/>
      <c r="R2239" s="20">
        <v>70600</v>
      </c>
      <c r="S2239" s="21" t="str">
        <f>HYPERLINK("https://npc.collegeboard.org/student/app/tufts", "$9471")</f>
        <v>$9471</v>
      </c>
      <c r="T2239" s="20">
        <v>20510</v>
      </c>
      <c r="U2239" s="20">
        <v>27185</v>
      </c>
      <c r="V2239" s="20">
        <v>2228</v>
      </c>
      <c r="W2239" s="20">
        <v>7243</v>
      </c>
      <c r="X2239" s="18" t="s">
        <v>37</v>
      </c>
      <c r="Y2239" s="19">
        <v>0.1198</v>
      </c>
      <c r="Z2239" s="19">
        <v>0.43430000000000002</v>
      </c>
      <c r="AA2239" s="18" t="s">
        <v>37</v>
      </c>
      <c r="AB2239" s="18">
        <v>5492</v>
      </c>
      <c r="AC2239" s="18">
        <v>1</v>
      </c>
    </row>
    <row r="2240" spans="1:29" ht="15.75" customHeight="1" x14ac:dyDescent="0.2">
      <c r="A2240" s="36" t="str">
        <f>HYPERLINK("https://tulane.edu", "Tulane University of Louisiana")</f>
        <v>Tulane University of Louisiana</v>
      </c>
      <c r="B2240" s="18" t="s">
        <v>32</v>
      </c>
      <c r="C2240" s="18" t="s">
        <v>158</v>
      </c>
      <c r="D2240" s="18" t="s">
        <v>159</v>
      </c>
      <c r="E2240" s="18">
        <v>1442</v>
      </c>
      <c r="F2240" s="18" t="s">
        <v>35</v>
      </c>
      <c r="J2240" s="19"/>
      <c r="K2240" s="19">
        <v>0.83360000000000001</v>
      </c>
      <c r="L2240" s="19">
        <v>0.474178404</v>
      </c>
      <c r="M2240" s="19">
        <v>0.84109999999999996</v>
      </c>
      <c r="N2240" s="19">
        <v>0.72729999999999995</v>
      </c>
      <c r="O2240" s="19">
        <v>0.86839999999999995</v>
      </c>
      <c r="P2240" s="19">
        <v>0.80649999999999999</v>
      </c>
      <c r="Q2240" s="19"/>
      <c r="R2240" s="20">
        <v>69764</v>
      </c>
      <c r="S2240" s="21" t="str">
        <f>HYPERLINK("https://admission.tulane.edu/tuition-aid/net-price-calculator", "$15431")</f>
        <v>$15431</v>
      </c>
      <c r="T2240" s="20">
        <v>25120</v>
      </c>
      <c r="U2240" s="20">
        <v>32735</v>
      </c>
      <c r="V2240" s="20">
        <v>2268</v>
      </c>
      <c r="W2240" s="20">
        <v>13163</v>
      </c>
      <c r="Y2240" s="19">
        <v>0.12959999999999999</v>
      </c>
      <c r="Z2240" s="19">
        <v>0.30330000000000001</v>
      </c>
      <c r="AB2240" s="18">
        <v>7871</v>
      </c>
      <c r="AC2240" s="18">
        <v>1</v>
      </c>
    </row>
    <row r="2241" spans="1:29" ht="15.75" customHeight="1" x14ac:dyDescent="0.2">
      <c r="A2241" s="36" t="str">
        <f>HYPERLINK("https://www.tulsacc.edu", "Tulsa Community College")</f>
        <v>Tulsa Community College</v>
      </c>
      <c r="B2241" s="18" t="s">
        <v>49</v>
      </c>
      <c r="C2241" s="18" t="s">
        <v>290</v>
      </c>
      <c r="D2241" s="18" t="s">
        <v>291</v>
      </c>
      <c r="E2241" s="18" t="s">
        <v>36</v>
      </c>
      <c r="F2241" s="18" t="s">
        <v>36</v>
      </c>
      <c r="J2241" s="19"/>
      <c r="K2241" s="19">
        <v>0.1545</v>
      </c>
      <c r="L2241" s="19">
        <v>9.9316086999999997E-2</v>
      </c>
      <c r="M2241" s="19">
        <v>0.17549999999999999</v>
      </c>
      <c r="N2241" s="19">
        <v>7.9799999999999996E-2</v>
      </c>
      <c r="O2241" s="19">
        <v>0.16070000000000001</v>
      </c>
      <c r="P2241" s="19">
        <v>0.1474</v>
      </c>
      <c r="Q2241" s="19">
        <v>0.15135341199999999</v>
      </c>
      <c r="R2241" s="20">
        <v>23933</v>
      </c>
      <c r="S2241" s="21" t="str">
        <f>HYPERLINK("https://www.tulsacc.edu/admissions-aid/aid/tuition-and-fees/tuition-calculator", "$17674")</f>
        <v>$17674</v>
      </c>
      <c r="T2241" s="20">
        <v>20188</v>
      </c>
      <c r="U2241" s="20">
        <v>21820</v>
      </c>
      <c r="V2241" s="20">
        <v>4368</v>
      </c>
      <c r="W2241" s="20">
        <v>13306.123209169051</v>
      </c>
      <c r="Y2241" s="19">
        <v>0.3498</v>
      </c>
      <c r="Z2241" s="19">
        <v>0.44919999999999999</v>
      </c>
      <c r="AB2241" s="18">
        <v>14413</v>
      </c>
      <c r="AC2241" s="18">
        <v>6</v>
      </c>
    </row>
    <row r="2242" spans="1:29" ht="15.75" customHeight="1" x14ac:dyDescent="0.2">
      <c r="A2242" s="36" t="str">
        <f>HYPERLINK("https://www.tunxis.edu", "Tunxis Community College")</f>
        <v>Tunxis Community College</v>
      </c>
      <c r="B2242" s="18" t="s">
        <v>49</v>
      </c>
      <c r="C2242" s="18" t="s">
        <v>94</v>
      </c>
      <c r="D2242" s="18" t="s">
        <v>1286</v>
      </c>
      <c r="E2242" s="18" t="s">
        <v>36</v>
      </c>
      <c r="F2242" s="18" t="s">
        <v>36</v>
      </c>
      <c r="J2242" s="19"/>
      <c r="K2242" s="19">
        <v>0.16789999999999999</v>
      </c>
      <c r="L2242" s="19">
        <v>0.11958405599999999</v>
      </c>
      <c r="M2242" s="19">
        <v>0.22989999999999999</v>
      </c>
      <c r="N2242" s="19">
        <v>9.0899999999999995E-2</v>
      </c>
      <c r="O2242" s="19">
        <v>6.8400000000000002E-2</v>
      </c>
      <c r="P2242" s="19">
        <v>6.25E-2</v>
      </c>
      <c r="Q2242" s="19">
        <v>0.11468381599999999</v>
      </c>
      <c r="R2242" s="20">
        <v>28280</v>
      </c>
      <c r="S2242" s="21" t="str">
        <f>HYPERLINK("https://www.commnet.edu/finaid/netprice/npcalc.htm?coll=J", "$23140")</f>
        <v>$23140</v>
      </c>
      <c r="T2242" s="20">
        <v>23393</v>
      </c>
      <c r="U2242" s="20">
        <v>25588</v>
      </c>
      <c r="V2242" s="20">
        <v>8836</v>
      </c>
      <c r="W2242" s="20">
        <v>14304.759562841529</v>
      </c>
      <c r="Y2242" s="19">
        <v>0.38069999999999998</v>
      </c>
      <c r="Z2242" s="19">
        <v>0.41849999999999998</v>
      </c>
      <c r="AB2242" s="18">
        <v>3436</v>
      </c>
      <c r="AC2242" s="18">
        <v>6</v>
      </c>
    </row>
    <row r="2243" spans="1:29" ht="15.75" customHeight="1" x14ac:dyDescent="0.2">
      <c r="A2243" s="36" t="str">
        <f>HYPERLINK("https://www.tusculum.edu", "Tusculum College")</f>
        <v>Tusculum College</v>
      </c>
      <c r="B2243" s="18" t="s">
        <v>32</v>
      </c>
      <c r="C2243" s="18" t="s">
        <v>174</v>
      </c>
      <c r="D2243" s="18" t="s">
        <v>1258</v>
      </c>
      <c r="E2243" s="18">
        <v>1029</v>
      </c>
      <c r="F2243" s="18" t="s">
        <v>35</v>
      </c>
      <c r="J2243" s="19"/>
      <c r="K2243" s="19">
        <v>0.33439999999999998</v>
      </c>
      <c r="L2243" s="19">
        <v>0.42253521100000002</v>
      </c>
      <c r="M2243" s="19">
        <v>0.38390000000000002</v>
      </c>
      <c r="N2243" s="19">
        <v>0.1613</v>
      </c>
      <c r="O2243" s="19">
        <v>0.18179999999999999</v>
      </c>
      <c r="P2243" s="19">
        <v>0</v>
      </c>
      <c r="Q2243" s="19"/>
      <c r="R2243" s="20">
        <v>38660</v>
      </c>
      <c r="S2243" s="21" t="str">
        <f>HYPERLINK("https://www.tusculum.edu/npc/index.html", "$14910")</f>
        <v>$14910</v>
      </c>
      <c r="T2243" s="20">
        <v>18442</v>
      </c>
      <c r="U2243" s="20">
        <v>20224</v>
      </c>
      <c r="V2243" s="20">
        <v>6260</v>
      </c>
      <c r="W2243" s="20">
        <v>8650</v>
      </c>
      <c r="Y2243" s="19">
        <v>0.503</v>
      </c>
      <c r="Z2243" s="19">
        <v>0.30320000000000003</v>
      </c>
      <c r="AB2243" s="18">
        <v>1484</v>
      </c>
      <c r="AC2243" s="18">
        <v>4</v>
      </c>
    </row>
    <row r="2244" spans="1:29" ht="15.75" customHeight="1" x14ac:dyDescent="0.2">
      <c r="A2244" s="36" t="str">
        <f>HYPERLINK("https://www.tuskegee.edu", "Tuskegee University")</f>
        <v>Tuskegee University</v>
      </c>
      <c r="B2244" s="18" t="s">
        <v>32</v>
      </c>
      <c r="C2244" s="18" t="s">
        <v>300</v>
      </c>
      <c r="D2244" s="18" t="s">
        <v>1259</v>
      </c>
      <c r="E2244" s="18">
        <v>1036</v>
      </c>
      <c r="F2244" s="18" t="s">
        <v>35</v>
      </c>
      <c r="J2244" s="19"/>
      <c r="K2244" s="19">
        <v>0.51929999999999998</v>
      </c>
      <c r="L2244" s="19">
        <v>0.40056022400000002</v>
      </c>
      <c r="M2244" s="19" t="s">
        <v>36</v>
      </c>
      <c r="N2244" s="19">
        <v>0.53149999999999997</v>
      </c>
      <c r="O2244" s="19" t="s">
        <v>36</v>
      </c>
      <c r="P2244" s="19" t="s">
        <v>36</v>
      </c>
      <c r="Q2244" s="19"/>
      <c r="R2244" s="20">
        <v>39383</v>
      </c>
      <c r="S2244" s="21" t="str">
        <f>HYPERLINK("https://www.tuskegee.edu", "$32568")</f>
        <v>$32568</v>
      </c>
      <c r="T2244" s="20">
        <v>33596</v>
      </c>
      <c r="U2244" s="20">
        <v>34166</v>
      </c>
      <c r="V2244" s="20">
        <v>7563</v>
      </c>
      <c r="W2244" s="20">
        <v>25005</v>
      </c>
      <c r="Y2244" s="19">
        <v>5.6800000000000003E-2</v>
      </c>
      <c r="Z2244" s="19">
        <v>0.99329999999999996</v>
      </c>
      <c r="AB2244" s="18">
        <v>2833</v>
      </c>
      <c r="AC2244" s="18">
        <v>4</v>
      </c>
    </row>
    <row r="2245" spans="1:29" ht="15.75" customHeight="1" x14ac:dyDescent="0.2">
      <c r="A2245" s="36" t="str">
        <f>HYPERLINK("https://www.tjc.edu", "Tyler Junior College")</f>
        <v>Tyler Junior College</v>
      </c>
      <c r="B2245" s="18" t="s">
        <v>49</v>
      </c>
      <c r="C2245" s="18" t="s">
        <v>146</v>
      </c>
      <c r="D2245" s="18" t="s">
        <v>1236</v>
      </c>
      <c r="E2245" s="18" t="s">
        <v>36</v>
      </c>
      <c r="F2245" s="18" t="s">
        <v>36</v>
      </c>
      <c r="J2245" s="19"/>
      <c r="K2245" s="19">
        <v>0.16950000000000001</v>
      </c>
      <c r="L2245" s="19">
        <v>0.16883699999999999</v>
      </c>
      <c r="M2245" s="19">
        <v>0.2198</v>
      </c>
      <c r="N2245" s="19">
        <v>0.10059999999999999</v>
      </c>
      <c r="O2245" s="19">
        <v>0.1822</v>
      </c>
      <c r="P2245" s="19">
        <v>0.17649999999999999</v>
      </c>
      <c r="Q2245" s="19">
        <v>9.0909090999999997E-2</v>
      </c>
      <c r="R2245" s="20">
        <v>18986</v>
      </c>
      <c r="S2245" s="21" t="str">
        <f>HYPERLINK("https://www.tjc.edu/costcalc", "$12908")</f>
        <v>$12908</v>
      </c>
      <c r="T2245" s="20">
        <v>15821</v>
      </c>
      <c r="U2245" s="20">
        <v>17070</v>
      </c>
      <c r="V2245" s="20">
        <v>5204</v>
      </c>
      <c r="W2245" s="20">
        <v>7704.2222222222226</v>
      </c>
      <c r="Y2245" s="19">
        <v>0.36659999999999998</v>
      </c>
      <c r="Z2245" s="19">
        <v>0.48820000000000002</v>
      </c>
      <c r="AB2245" s="18">
        <v>9449</v>
      </c>
      <c r="AC2245" s="18">
        <v>6</v>
      </c>
    </row>
    <row r="2246" spans="1:29" ht="15.75" customHeight="1" x14ac:dyDescent="0.2">
      <c r="A2246" s="36" t="str">
        <f>HYPERLINK("https://www.sunyulster.edu", "SUNY Ulster County Community College")</f>
        <v>SUNY Ulster County Community College</v>
      </c>
      <c r="B2246" s="18" t="s">
        <v>49</v>
      </c>
      <c r="C2246" s="18" t="s">
        <v>38</v>
      </c>
      <c r="D2246" s="18" t="s">
        <v>1734</v>
      </c>
      <c r="E2246" s="18" t="s">
        <v>36</v>
      </c>
      <c r="F2246" s="18" t="s">
        <v>36</v>
      </c>
      <c r="G2246" s="18" t="s">
        <v>51</v>
      </c>
      <c r="I2246" s="18" t="s">
        <v>1735</v>
      </c>
      <c r="J2246" s="19"/>
      <c r="K2246" s="19">
        <v>0.31859999999999999</v>
      </c>
      <c r="L2246" s="19">
        <v>0.239819005</v>
      </c>
      <c r="M2246" s="19">
        <v>0.34920000000000001</v>
      </c>
      <c r="N2246" s="19">
        <v>0.27910000000000001</v>
      </c>
      <c r="O2246" s="19">
        <v>0.14749999999999999</v>
      </c>
      <c r="P2246" s="19">
        <v>0.5</v>
      </c>
      <c r="Q2246" s="19">
        <v>7.7124182999999999E-2</v>
      </c>
      <c r="R2246" s="20">
        <v>14154</v>
      </c>
      <c r="S2246" s="21" t="str">
        <f>HYPERLINK("https://www.suny.edu/howmuch/netpricecalculator.xhtml?bgColor= 8fa5c6&amp;embed=N&amp;headerUrl=www.sunyulster.edu/_global/images/net_price_calc_header.", "$1981")</f>
        <v>$1981</v>
      </c>
      <c r="T2246" s="20">
        <v>6962</v>
      </c>
      <c r="U2246" s="20">
        <v>8540</v>
      </c>
      <c r="V2246" s="20">
        <v>3800</v>
      </c>
      <c r="W2246" s="20">
        <v>-1819</v>
      </c>
      <c r="Y2246" s="19">
        <v>0.2462</v>
      </c>
      <c r="Z2246" s="19">
        <v>0.3226</v>
      </c>
      <c r="AB2246" s="18">
        <v>1981</v>
      </c>
      <c r="AC2246" s="18">
        <v>6</v>
      </c>
    </row>
    <row r="2247" spans="1:29" ht="15.75" customHeight="1" x14ac:dyDescent="0.2">
      <c r="A2247" s="36" t="str">
        <f>HYPERLINK("https://www.nriinstitute.edu", "Ultrasound Medical Institute")</f>
        <v>Ultrasound Medical Institute</v>
      </c>
      <c r="B2247" s="18" t="s">
        <v>368</v>
      </c>
      <c r="C2247" s="18" t="s">
        <v>162</v>
      </c>
      <c r="D2247" s="18" t="s">
        <v>1736</v>
      </c>
      <c r="E2247" s="18" t="s">
        <v>36</v>
      </c>
      <c r="F2247" s="18" t="s">
        <v>36</v>
      </c>
      <c r="J2247" s="19"/>
      <c r="K2247" s="19">
        <v>9.0899999999999995E-2</v>
      </c>
      <c r="L2247" s="19" t="s">
        <v>36</v>
      </c>
      <c r="M2247" s="19">
        <v>0</v>
      </c>
      <c r="N2247" s="19">
        <v>0</v>
      </c>
      <c r="O2247" s="19">
        <v>0</v>
      </c>
      <c r="P2247" s="19" t="s">
        <v>36</v>
      </c>
      <c r="Q2247" s="19" t="s">
        <v>36</v>
      </c>
      <c r="R2247" s="20" t="s">
        <v>36</v>
      </c>
      <c r="S2247" s="21" t="str">
        <f>HYPERLINK("https://nriinstitute.edu", "Not reported")</f>
        <v>Not reported</v>
      </c>
      <c r="T2247" s="20" t="s">
        <v>36</v>
      </c>
      <c r="U2247" s="20" t="s">
        <v>36</v>
      </c>
      <c r="V2247" s="20" t="s">
        <v>36</v>
      </c>
      <c r="W2247" s="20" t="s">
        <v>36</v>
      </c>
      <c r="Y2247" s="19">
        <v>0.1895</v>
      </c>
      <c r="Z2247" s="19">
        <v>0.86519999999999997</v>
      </c>
      <c r="AB2247" s="18">
        <v>89</v>
      </c>
      <c r="AC2247" s="18">
        <v>6</v>
      </c>
    </row>
    <row r="2248" spans="1:29" ht="15.75" customHeight="1" x14ac:dyDescent="0.2">
      <c r="A2248" s="36" t="str">
        <f>HYPERLINK("https://www.umpqua.edu/", "Umpqua Community College")</f>
        <v>Umpqua Community College</v>
      </c>
      <c r="B2248" s="18" t="s">
        <v>49</v>
      </c>
      <c r="C2248" s="18" t="s">
        <v>143</v>
      </c>
      <c r="D2248" s="18" t="s">
        <v>1737</v>
      </c>
      <c r="E2248" s="18" t="s">
        <v>36</v>
      </c>
      <c r="F2248" s="18" t="s">
        <v>36</v>
      </c>
      <c r="J2248" s="19"/>
      <c r="K2248" s="19">
        <v>0.19800000000000001</v>
      </c>
      <c r="L2248" s="19">
        <v>0.16711833800000001</v>
      </c>
      <c r="M2248" s="19">
        <v>0.2024</v>
      </c>
      <c r="N2248" s="19" t="s">
        <v>36</v>
      </c>
      <c r="O2248" s="19">
        <v>0.33329999999999999</v>
      </c>
      <c r="P2248" s="19">
        <v>0</v>
      </c>
      <c r="Q2248" s="19">
        <v>3.8436482000000001E-2</v>
      </c>
      <c r="R2248" s="20">
        <v>22145</v>
      </c>
      <c r="S2248" s="21" t="str">
        <f>HYPERLINK("https://www.umpqua.edu/netprice", "$15463")</f>
        <v>$15463</v>
      </c>
      <c r="T2248" s="20">
        <v>18281</v>
      </c>
      <c r="U2248" s="20">
        <v>22145</v>
      </c>
      <c r="V2248" s="20">
        <v>4500</v>
      </c>
      <c r="W2248" s="20">
        <v>10963.48484848485</v>
      </c>
      <c r="Y2248" s="19">
        <v>0.4194</v>
      </c>
      <c r="Z2248" s="19">
        <v>0.20720000000000011</v>
      </c>
      <c r="AB2248" s="18">
        <v>999</v>
      </c>
      <c r="AC2248" s="18">
        <v>6</v>
      </c>
    </row>
    <row r="2249" spans="1:29" ht="15.75" customHeight="1" x14ac:dyDescent="0.2">
      <c r="A2249" s="36" t="str">
        <f>HYPERLINK("https://www.ucollege.edu", "Union College")</f>
        <v>Union College</v>
      </c>
      <c r="B2249" s="18" t="s">
        <v>32</v>
      </c>
      <c r="C2249" s="18" t="s">
        <v>341</v>
      </c>
      <c r="D2249" s="18" t="s">
        <v>516</v>
      </c>
      <c r="E2249" s="18">
        <v>1112</v>
      </c>
      <c r="F2249" s="18" t="s">
        <v>35</v>
      </c>
      <c r="J2249" s="19"/>
      <c r="K2249" s="19">
        <v>0.53900000000000003</v>
      </c>
      <c r="L2249" s="19">
        <v>0.56363636399999995</v>
      </c>
      <c r="M2249" s="19">
        <v>0.55679999999999996</v>
      </c>
      <c r="N2249" s="19">
        <v>0.23080000000000001</v>
      </c>
      <c r="O2249" s="19">
        <v>0.42309999999999998</v>
      </c>
      <c r="P2249" s="19">
        <v>0.8</v>
      </c>
      <c r="Q2249" s="19"/>
      <c r="R2249" s="20">
        <v>34490</v>
      </c>
      <c r="S2249" s="21" t="str">
        <f>HYPERLINK("https://www.ucollege.edu/admissions/financing-your-education/cost-calculator", "$18718")</f>
        <v>$18718</v>
      </c>
      <c r="T2249" s="20">
        <v>20652</v>
      </c>
      <c r="U2249" s="20">
        <v>22882</v>
      </c>
      <c r="V2249" s="20">
        <v>4620</v>
      </c>
      <c r="W2249" s="20">
        <v>14098</v>
      </c>
      <c r="Y2249" s="19">
        <v>0.36680000000000001</v>
      </c>
      <c r="Z2249" s="19">
        <v>0.47520000000000001</v>
      </c>
      <c r="AB2249" s="18">
        <v>747</v>
      </c>
      <c r="AC2249" s="18">
        <v>4</v>
      </c>
    </row>
    <row r="2250" spans="1:29" ht="15.75" customHeight="1" x14ac:dyDescent="0.2">
      <c r="A2250" s="36" t="str">
        <f>HYPERLINK("https://www.union.edu/", "Union College")</f>
        <v>Union College</v>
      </c>
      <c r="B2250" s="18" t="s">
        <v>32</v>
      </c>
      <c r="C2250" s="18" t="s">
        <v>38</v>
      </c>
      <c r="D2250" s="18" t="s">
        <v>270</v>
      </c>
      <c r="E2250" s="18" t="s">
        <v>36</v>
      </c>
      <c r="F2250" s="18" t="s">
        <v>90</v>
      </c>
      <c r="G2250" s="18" t="s">
        <v>40</v>
      </c>
      <c r="H2250" s="18" t="s">
        <v>271</v>
      </c>
      <c r="I2250" s="18" t="s">
        <v>272</v>
      </c>
      <c r="J2250" s="19"/>
      <c r="K2250" s="19">
        <v>0.85440000000000005</v>
      </c>
      <c r="L2250" s="19" t="s">
        <v>36</v>
      </c>
      <c r="M2250" s="19">
        <v>0.86539999999999995</v>
      </c>
      <c r="N2250" s="19">
        <v>0.66669999999999996</v>
      </c>
      <c r="O2250" s="19">
        <v>0.79490000000000005</v>
      </c>
      <c r="P2250" s="19">
        <v>0.89190000000000003</v>
      </c>
      <c r="Q2250" s="19"/>
      <c r="R2250" s="20">
        <v>68610</v>
      </c>
      <c r="S2250" s="21" t="str">
        <f>HYPERLINK("https://npc.collegeboard.org/student/app/union", "$14640")</f>
        <v>$14640</v>
      </c>
      <c r="T2250" s="20">
        <v>21162</v>
      </c>
      <c r="U2250" s="20">
        <v>28250</v>
      </c>
      <c r="V2250" s="20">
        <v>2001</v>
      </c>
      <c r="W2250" s="20">
        <v>12639</v>
      </c>
      <c r="X2250" s="18" t="s">
        <v>37</v>
      </c>
      <c r="Y2250" s="19">
        <v>0.128</v>
      </c>
      <c r="Z2250" s="19">
        <v>0.27829999999999999</v>
      </c>
      <c r="AB2250" s="18">
        <v>2167</v>
      </c>
      <c r="AC2250" s="18">
        <v>2</v>
      </c>
    </row>
    <row r="2251" spans="1:29" ht="15.75" customHeight="1" x14ac:dyDescent="0.2">
      <c r="A2251" s="36" t="str">
        <f>HYPERLINK("https://www.unionky.edu", "Union College")</f>
        <v>Union College</v>
      </c>
      <c r="B2251" s="18" t="s">
        <v>32</v>
      </c>
      <c r="C2251" s="18" t="s">
        <v>205</v>
      </c>
      <c r="D2251" s="18" t="s">
        <v>1261</v>
      </c>
      <c r="E2251" s="18">
        <v>1025</v>
      </c>
      <c r="F2251" s="18" t="s">
        <v>35</v>
      </c>
      <c r="J2251" s="19"/>
      <c r="K2251" s="19">
        <v>0.33679999999999999</v>
      </c>
      <c r="L2251" s="19">
        <v>9.478673E-2</v>
      </c>
      <c r="M2251" s="19">
        <v>0.32529999999999998</v>
      </c>
      <c r="N2251" s="19">
        <v>9.0899999999999995E-2</v>
      </c>
      <c r="O2251" s="19">
        <v>0.8</v>
      </c>
      <c r="P2251" s="19" t="s">
        <v>36</v>
      </c>
      <c r="Q2251" s="19"/>
      <c r="R2251" s="20">
        <v>38905</v>
      </c>
      <c r="S2251" s="21" t="str">
        <f>HYPERLINK("https://unionky.studentaidcalculator.com/survey.aspx", "$17722")</f>
        <v>$17722</v>
      </c>
      <c r="T2251" s="20">
        <v>19559</v>
      </c>
      <c r="U2251" s="20">
        <v>36754</v>
      </c>
      <c r="V2251" s="20">
        <v>5425</v>
      </c>
      <c r="W2251" s="20">
        <v>12297</v>
      </c>
      <c r="Y2251" s="19">
        <v>0.52249999999999996</v>
      </c>
      <c r="Z2251" s="19">
        <v>0.28960000000000002</v>
      </c>
      <c r="AB2251" s="18">
        <v>984</v>
      </c>
      <c r="AC2251" s="18">
        <v>4</v>
      </c>
    </row>
    <row r="2252" spans="1:29" ht="15.75" customHeight="1" x14ac:dyDescent="0.2">
      <c r="A2252" s="36" t="str">
        <f>HYPERLINK("https://www.ucc.edu", "Union County College")</f>
        <v>Union County College</v>
      </c>
      <c r="B2252" s="18" t="s">
        <v>49</v>
      </c>
      <c r="C2252" s="18" t="s">
        <v>141</v>
      </c>
      <c r="D2252" s="18" t="s">
        <v>1738</v>
      </c>
      <c r="E2252" s="18" t="s">
        <v>36</v>
      </c>
      <c r="F2252" s="18" t="s">
        <v>36</v>
      </c>
      <c r="J2252" s="19"/>
      <c r="K2252" s="19">
        <v>0.24079999999999999</v>
      </c>
      <c r="L2252" s="19">
        <v>4.9488055000000003E-2</v>
      </c>
      <c r="M2252" s="19">
        <v>0.38600000000000001</v>
      </c>
      <c r="N2252" s="19">
        <v>0.1956</v>
      </c>
      <c r="O2252" s="19">
        <v>0.19409999999999999</v>
      </c>
      <c r="P2252" s="19">
        <v>0.41860000000000003</v>
      </c>
      <c r="Q2252" s="19">
        <v>0.102798559</v>
      </c>
      <c r="R2252" s="20">
        <v>20058</v>
      </c>
      <c r="S2252" s="21" t="str">
        <f>HYPERLINK("https://www.ucc.edu/documents/admissions-aid/netpricecalculator/npcalc.htm", "$13833")</f>
        <v>$13833</v>
      </c>
      <c r="T2252" s="20">
        <v>16869</v>
      </c>
      <c r="U2252" s="20">
        <v>19109</v>
      </c>
      <c r="V2252" s="20">
        <v>3200</v>
      </c>
      <c r="W2252" s="20">
        <v>10633.741248097411</v>
      </c>
      <c r="Y2252" s="19">
        <v>0.42680000000000001</v>
      </c>
      <c r="Z2252" s="19">
        <v>0.83189999999999997</v>
      </c>
      <c r="AB2252" s="18">
        <v>9317</v>
      </c>
      <c r="AC2252" s="18">
        <v>6</v>
      </c>
    </row>
    <row r="2253" spans="1:29" ht="15.75" customHeight="1" x14ac:dyDescent="0.2">
      <c r="A2253" s="36" t="str">
        <f>HYPERLINK("https://www.myunion.edu", "Union Institute &amp; University")</f>
        <v>Union Institute &amp; University</v>
      </c>
      <c r="B2253" s="18" t="s">
        <v>32</v>
      </c>
      <c r="C2253" s="18" t="s">
        <v>75</v>
      </c>
      <c r="D2253" s="18" t="s">
        <v>502</v>
      </c>
      <c r="E2253" s="18" t="s">
        <v>36</v>
      </c>
      <c r="F2253" s="18" t="s">
        <v>36</v>
      </c>
      <c r="J2253" s="19"/>
      <c r="K2253" s="19">
        <v>0</v>
      </c>
      <c r="L2253" s="19">
        <v>0.44725738399999998</v>
      </c>
      <c r="M2253" s="19">
        <v>0</v>
      </c>
      <c r="N2253" s="19">
        <v>0</v>
      </c>
      <c r="O2253" s="19" t="s">
        <v>36</v>
      </c>
      <c r="P2253" s="19" t="s">
        <v>36</v>
      </c>
      <c r="Q2253" s="19"/>
      <c r="R2253" s="20">
        <v>26820</v>
      </c>
      <c r="S2253" s="21" t="str">
        <f>HYPERLINK("https://www.myunion.edu/net-price-calculator", "$16134")</f>
        <v>$16134</v>
      </c>
      <c r="T2253" s="20" t="s">
        <v>36</v>
      </c>
      <c r="U2253" s="20" t="s">
        <v>36</v>
      </c>
      <c r="V2253" s="20">
        <v>2416</v>
      </c>
      <c r="W2253" s="20">
        <v>13718</v>
      </c>
      <c r="Y2253" s="19">
        <v>0.44800000000000001</v>
      </c>
      <c r="Z2253" s="19">
        <v>0.64700000000000002</v>
      </c>
      <c r="AB2253" s="18">
        <v>813</v>
      </c>
      <c r="AC2253" s="18">
        <v>4</v>
      </c>
    </row>
    <row r="2254" spans="1:29" ht="15.75" customHeight="1" x14ac:dyDescent="0.2">
      <c r="A2254" s="36" t="str">
        <f>HYPERLINK("https://www.uu.edu", "Union University")</f>
        <v>Union University</v>
      </c>
      <c r="B2254" s="18" t="s">
        <v>32</v>
      </c>
      <c r="C2254" s="18" t="s">
        <v>174</v>
      </c>
      <c r="D2254" s="18" t="s">
        <v>419</v>
      </c>
      <c r="E2254" s="18">
        <v>1243</v>
      </c>
      <c r="F2254" s="18" t="s">
        <v>35</v>
      </c>
      <c r="J2254" s="19"/>
      <c r="K2254" s="19">
        <v>0.68440000000000001</v>
      </c>
      <c r="L2254" s="19">
        <v>0.54672897200000004</v>
      </c>
      <c r="M2254" s="19">
        <v>0.70150000000000001</v>
      </c>
      <c r="N2254" s="19">
        <v>0.37930000000000003</v>
      </c>
      <c r="O2254" s="19">
        <v>0.76919999999999999</v>
      </c>
      <c r="P2254" s="19">
        <v>0.72729999999999995</v>
      </c>
      <c r="Q2254" s="19"/>
      <c r="R2254" s="20">
        <v>51790</v>
      </c>
      <c r="S2254" s="21" t="str">
        <f>HYPERLINK("https://www.uu.edu/financialaid/undergraduate/npc/", "$19534")</f>
        <v>$19534</v>
      </c>
      <c r="T2254" s="20">
        <v>20779</v>
      </c>
      <c r="U2254" s="20">
        <v>24659</v>
      </c>
      <c r="V2254" s="20">
        <v>9880</v>
      </c>
      <c r="W2254" s="20">
        <v>9654</v>
      </c>
      <c r="Y2254" s="19">
        <v>0.2918</v>
      </c>
      <c r="Z2254" s="19">
        <v>0.26819999999999999</v>
      </c>
      <c r="AB2254" s="18">
        <v>2099</v>
      </c>
      <c r="AC2254" s="18">
        <v>3</v>
      </c>
    </row>
    <row r="2255" spans="1:29" ht="15.75" customHeight="1" x14ac:dyDescent="0.2">
      <c r="A2255" s="36" t="str">
        <f>HYPERLINK("https://www.usmma.edu", "United States Merchant Marine Academy")</f>
        <v>United States Merchant Marine Academy</v>
      </c>
      <c r="B2255" s="18" t="s">
        <v>49</v>
      </c>
      <c r="C2255" s="18" t="s">
        <v>38</v>
      </c>
      <c r="D2255" s="18" t="s">
        <v>273</v>
      </c>
      <c r="E2255" s="18">
        <v>1269</v>
      </c>
      <c r="F2255" s="18" t="s">
        <v>35</v>
      </c>
      <c r="J2255" s="19"/>
      <c r="K2255" s="19">
        <v>0.80510000000000004</v>
      </c>
      <c r="L2255" s="19" t="s">
        <v>36</v>
      </c>
      <c r="M2255" s="19">
        <v>0.79</v>
      </c>
      <c r="N2255" s="19">
        <v>0.8</v>
      </c>
      <c r="O2255" s="19">
        <v>0.95240000000000002</v>
      </c>
      <c r="P2255" s="19">
        <v>0.8125</v>
      </c>
      <c r="Q2255" s="19"/>
      <c r="R2255" s="20" t="s">
        <v>36</v>
      </c>
      <c r="S2255" s="21" t="str">
        <f>HYPERLINK("https://www.usmma.edu/admissions/financial-aid/cost-attendance", "$6286")</f>
        <v>$6286</v>
      </c>
      <c r="T2255" s="20">
        <v>8429</v>
      </c>
      <c r="U2255" s="20">
        <v>8429</v>
      </c>
      <c r="V2255" s="20" t="s">
        <v>36</v>
      </c>
      <c r="W2255" s="20" t="s">
        <v>36</v>
      </c>
      <c r="Y2255" s="19">
        <v>7.6300000000000007E-2</v>
      </c>
      <c r="Z2255" s="19">
        <v>0.25469999999999998</v>
      </c>
      <c r="AB2255" s="18">
        <v>954</v>
      </c>
      <c r="AC2255" s="18">
        <v>2</v>
      </c>
    </row>
    <row r="2256" spans="1:29" ht="15.75" customHeight="1" x14ac:dyDescent="0.2">
      <c r="A2256" s="36" t="str">
        <f>HYPERLINK("https://www.uttc.edu/", "United Tribes Technical College")</f>
        <v>United Tribes Technical College</v>
      </c>
      <c r="B2256" s="18" t="s">
        <v>32</v>
      </c>
      <c r="C2256" s="18" t="s">
        <v>730</v>
      </c>
      <c r="D2256" s="18" t="s">
        <v>965</v>
      </c>
      <c r="E2256" s="18" t="s">
        <v>36</v>
      </c>
      <c r="F2256" s="18" t="s">
        <v>36</v>
      </c>
      <c r="J2256" s="19"/>
      <c r="K2256" s="19">
        <v>7.2599999999999998E-2</v>
      </c>
      <c r="L2256" s="19" t="s">
        <v>36</v>
      </c>
      <c r="M2256" s="19">
        <v>0.25</v>
      </c>
      <c r="N2256" s="19">
        <v>0.25</v>
      </c>
      <c r="O2256" s="19">
        <v>0</v>
      </c>
      <c r="P2256" s="19" t="s">
        <v>36</v>
      </c>
      <c r="Q2256" s="19" t="s">
        <v>36</v>
      </c>
      <c r="R2256" s="20">
        <v>12822</v>
      </c>
      <c r="S2256" s="21" t="str">
        <f>HYPERLINK("https://my.uttc.edu/ICS/Admissions/NetPrice.jnz", "$5232")</f>
        <v>$5232</v>
      </c>
      <c r="T2256" s="20">
        <v>5802</v>
      </c>
      <c r="U2256" s="20">
        <v>12398</v>
      </c>
      <c r="V2256" s="20">
        <v>3470</v>
      </c>
      <c r="W2256" s="20">
        <v>1762</v>
      </c>
      <c r="Y2256" s="19">
        <v>0.68320000000000003</v>
      </c>
      <c r="Z2256" s="19">
        <v>0.94699999999999995</v>
      </c>
      <c r="AB2256" s="18">
        <v>302</v>
      </c>
      <c r="AC2256" s="18">
        <v>6</v>
      </c>
    </row>
    <row r="2257" spans="1:29" ht="15.75" customHeight="1" x14ac:dyDescent="0.2">
      <c r="A2257" s="36" t="str">
        <f>HYPERLINK("https://www.unity.edu", "Unity College")</f>
        <v>Unity College</v>
      </c>
      <c r="B2257" s="18" t="s">
        <v>32</v>
      </c>
      <c r="C2257" s="18" t="s">
        <v>43</v>
      </c>
      <c r="D2257" s="18" t="s">
        <v>880</v>
      </c>
      <c r="E2257" s="18" t="s">
        <v>36</v>
      </c>
      <c r="F2257" s="18" t="s">
        <v>90</v>
      </c>
      <c r="J2257" s="19"/>
      <c r="K2257" s="19">
        <v>0.65890000000000004</v>
      </c>
      <c r="L2257" s="19">
        <v>0.38461538499999998</v>
      </c>
      <c r="M2257" s="19">
        <v>0.67259999999999998</v>
      </c>
      <c r="N2257" s="19">
        <v>0.25</v>
      </c>
      <c r="O2257" s="19">
        <v>0.66669999999999996</v>
      </c>
      <c r="P2257" s="19">
        <v>1</v>
      </c>
      <c r="Q2257" s="19"/>
      <c r="R2257" s="20">
        <v>40560</v>
      </c>
      <c r="S2257" s="21" t="str">
        <f>HYPERLINK("https://www.unity.edu/admissions/tuition-and-financial-aid/net-price-calculator", "$21802")</f>
        <v>$21802</v>
      </c>
      <c r="T2257" s="20">
        <v>23578</v>
      </c>
      <c r="U2257" s="20">
        <v>26778</v>
      </c>
      <c r="V2257" s="20">
        <v>1810</v>
      </c>
      <c r="W2257" s="20">
        <v>19992</v>
      </c>
      <c r="Y2257" s="19">
        <v>0.38819999999999999</v>
      </c>
      <c r="Z2257" s="19">
        <v>0.1414</v>
      </c>
      <c r="AB2257" s="18">
        <v>700</v>
      </c>
      <c r="AC2257" s="18">
        <v>5</v>
      </c>
    </row>
    <row r="2258" spans="1:29" ht="15.75" customHeight="1" x14ac:dyDescent="0.2">
      <c r="A2258" s="36" t="str">
        <f>HYPERLINK("https://www.uti.edu", "Universal Technical Institute of Arizona Inc")</f>
        <v>Universal Technical Institute of Arizona Inc</v>
      </c>
      <c r="B2258" s="18" t="s">
        <v>368</v>
      </c>
      <c r="C2258" s="18" t="s">
        <v>354</v>
      </c>
      <c r="D2258" s="18" t="s">
        <v>1314</v>
      </c>
      <c r="E2258" s="18" t="s">
        <v>36</v>
      </c>
      <c r="F2258" s="18" t="s">
        <v>36</v>
      </c>
      <c r="J2258" s="19"/>
      <c r="K2258" s="19">
        <v>0.63829999999999998</v>
      </c>
      <c r="L2258" s="19">
        <v>0.55088131600000001</v>
      </c>
      <c r="M2258" s="19">
        <v>0.6764</v>
      </c>
      <c r="N2258" s="19">
        <v>0.32140000000000002</v>
      </c>
      <c r="O2258" s="19">
        <v>0.64929999999999999</v>
      </c>
      <c r="P2258" s="19">
        <v>0.74070000000000003</v>
      </c>
      <c r="Q2258" s="19">
        <v>7.5766830000000007E-3</v>
      </c>
      <c r="R2258" s="20" t="s">
        <v>36</v>
      </c>
      <c r="S2258" s="21" t="str">
        <f>HYPERLINK("https://www.uti.edu/student-services/financial-aid/npc", "$19111")</f>
        <v>$19111</v>
      </c>
      <c r="T2258" s="20">
        <v>21956</v>
      </c>
      <c r="U2258" s="20">
        <v>23282</v>
      </c>
      <c r="V2258" s="20" t="s">
        <v>36</v>
      </c>
      <c r="W2258" s="20" t="s">
        <v>36</v>
      </c>
      <c r="Y2258" s="19">
        <v>0.45029999999999998</v>
      </c>
      <c r="Z2258" s="19">
        <v>0.56940000000000002</v>
      </c>
      <c r="AB2258" s="18">
        <v>1860</v>
      </c>
      <c r="AC2258" s="18">
        <v>6</v>
      </c>
    </row>
    <row r="2259" spans="1:29" ht="15.75" customHeight="1" x14ac:dyDescent="0.2">
      <c r="A2259" s="36" t="str">
        <f>HYPERLINK("https://www.uti.edu/", "Universal Technical Institute of Pennsylvania Inc")</f>
        <v>Universal Technical Institute of Pennsylvania Inc</v>
      </c>
      <c r="B2259" s="18" t="s">
        <v>368</v>
      </c>
      <c r="C2259" s="18" t="s">
        <v>65</v>
      </c>
      <c r="D2259" s="18" t="s">
        <v>1739</v>
      </c>
      <c r="E2259" s="18" t="s">
        <v>36</v>
      </c>
      <c r="F2259" s="18" t="s">
        <v>36</v>
      </c>
      <c r="J2259" s="19"/>
      <c r="K2259" s="19">
        <v>0.62829999999999997</v>
      </c>
      <c r="L2259" s="19">
        <v>0.50894225900000001</v>
      </c>
      <c r="M2259" s="19">
        <v>0.68369999999999997</v>
      </c>
      <c r="N2259" s="19">
        <v>0.43959999999999999</v>
      </c>
      <c r="O2259" s="19">
        <v>0.59730000000000005</v>
      </c>
      <c r="P2259" s="19">
        <v>0.81820000000000004</v>
      </c>
      <c r="Q2259" s="19">
        <v>3.7705360000000001E-3</v>
      </c>
      <c r="R2259" s="20" t="s">
        <v>36</v>
      </c>
      <c r="S2259" s="21" t="str">
        <f>HYPERLINK("https://www.uti.edu/student-services/financial-aid/npc", "$16011")</f>
        <v>$16011</v>
      </c>
      <c r="T2259" s="20">
        <v>19178</v>
      </c>
      <c r="U2259" s="20">
        <v>21056</v>
      </c>
      <c r="V2259" s="20" t="s">
        <v>36</v>
      </c>
      <c r="W2259" s="20" t="s">
        <v>36</v>
      </c>
      <c r="Y2259" s="19">
        <v>0.38890000000000002</v>
      </c>
      <c r="Z2259" s="19">
        <v>0.42720000000000002</v>
      </c>
      <c r="AB2259" s="18">
        <v>1311</v>
      </c>
      <c r="AC2259" s="18">
        <v>6</v>
      </c>
    </row>
    <row r="2260" spans="1:29" ht="15.75" customHeight="1" x14ac:dyDescent="0.2">
      <c r="A2260" s="36" t="str">
        <f>HYPERLINK("https://www.buffalo.edu", "SUNY University at Buffalo")</f>
        <v>SUNY University at Buffalo</v>
      </c>
      <c r="B2260" s="18" t="s">
        <v>49</v>
      </c>
      <c r="C2260" s="18" t="s">
        <v>38</v>
      </c>
      <c r="D2260" s="18" t="s">
        <v>322</v>
      </c>
      <c r="E2260" s="18">
        <v>1197</v>
      </c>
      <c r="F2260" s="18" t="s">
        <v>35</v>
      </c>
      <c r="G2260" s="18" t="s">
        <v>51</v>
      </c>
      <c r="H2260" s="18" t="s">
        <v>495</v>
      </c>
      <c r="I2260" s="18" t="s">
        <v>496</v>
      </c>
      <c r="J2260" s="19"/>
      <c r="K2260" s="19">
        <v>0.75280000000000002</v>
      </c>
      <c r="L2260" s="19">
        <v>0.60295323999999995</v>
      </c>
      <c r="M2260" s="19">
        <v>0.74939999999999996</v>
      </c>
      <c r="N2260" s="19">
        <v>0.58330000000000004</v>
      </c>
      <c r="O2260" s="19">
        <v>0.65580000000000005</v>
      </c>
      <c r="P2260" s="19">
        <v>0.81710000000000005</v>
      </c>
      <c r="Q2260" s="19"/>
      <c r="R2260" s="20">
        <v>26158</v>
      </c>
      <c r="S2260" s="21" t="str">
        <f>HYPERLINK("https://financialaid.buffalo.edu/net-price-calculator/", "$12053")</f>
        <v>$12053</v>
      </c>
      <c r="T2260" s="20">
        <v>18956</v>
      </c>
      <c r="U2260" s="20">
        <v>22147</v>
      </c>
      <c r="V2260" s="20">
        <v>3853</v>
      </c>
      <c r="W2260" s="20">
        <v>8200</v>
      </c>
      <c r="Y2260" s="19">
        <v>0.313</v>
      </c>
      <c r="Z2260" s="19">
        <v>0.52429999999999999</v>
      </c>
      <c r="AB2260" s="18">
        <v>20735</v>
      </c>
      <c r="AC2260" s="18">
        <v>3</v>
      </c>
    </row>
    <row r="2261" spans="1:29" ht="15.75" customHeight="1" x14ac:dyDescent="0.2">
      <c r="A2261" s="36" t="str">
        <f>HYPERLINK("https://www.uakron.edu", "University of Akron Main Campus")</f>
        <v>University of Akron Main Campus</v>
      </c>
      <c r="B2261" s="18" t="s">
        <v>49</v>
      </c>
      <c r="C2261" s="18" t="s">
        <v>75</v>
      </c>
      <c r="D2261" s="18" t="s">
        <v>882</v>
      </c>
      <c r="E2261" s="18">
        <v>1125</v>
      </c>
      <c r="F2261" s="18" t="s">
        <v>35</v>
      </c>
      <c r="J2261" s="19"/>
      <c r="K2261" s="19">
        <v>0.37890000000000001</v>
      </c>
      <c r="L2261" s="19">
        <v>0.25358851700000001</v>
      </c>
      <c r="M2261" s="19">
        <v>0.44619999999999999</v>
      </c>
      <c r="N2261" s="19">
        <v>0.17369999999999999</v>
      </c>
      <c r="O2261" s="19">
        <v>0.29599999999999999</v>
      </c>
      <c r="P2261" s="19">
        <v>0.65749999999999997</v>
      </c>
      <c r="Q2261" s="19"/>
      <c r="R2261" s="20">
        <v>34617</v>
      </c>
      <c r="S2261" s="21" t="str">
        <f>HYPERLINK("https://www.uakron.edu/finaid/", "$26412")</f>
        <v>$26412</v>
      </c>
      <c r="T2261" s="20">
        <v>29461</v>
      </c>
      <c r="U2261" s="20">
        <v>30579</v>
      </c>
      <c r="V2261" s="20">
        <v>3520</v>
      </c>
      <c r="W2261" s="20">
        <v>22892.172067039111</v>
      </c>
      <c r="Y2261" s="19">
        <v>0.33260000000000001</v>
      </c>
      <c r="Z2261" s="19">
        <v>0.26690000000000003</v>
      </c>
      <c r="AB2261" s="18">
        <v>15047</v>
      </c>
      <c r="AC2261" s="18">
        <v>5</v>
      </c>
    </row>
    <row r="2262" spans="1:29" ht="15.75" customHeight="1" x14ac:dyDescent="0.2">
      <c r="A2262" s="36" t="str">
        <f>HYPERLINK("https://www.wayne.uakron.edu", "University of Akron Wayne College")</f>
        <v>University of Akron Wayne College</v>
      </c>
      <c r="B2262" s="18" t="s">
        <v>49</v>
      </c>
      <c r="C2262" s="18" t="s">
        <v>75</v>
      </c>
      <c r="D2262" s="18" t="s">
        <v>1740</v>
      </c>
      <c r="E2262" s="18" t="s">
        <v>36</v>
      </c>
      <c r="F2262" s="18" t="s">
        <v>36</v>
      </c>
      <c r="J2262" s="19"/>
      <c r="K2262" s="19">
        <v>1.6799999999999999E-2</v>
      </c>
      <c r="L2262" s="19">
        <v>0.25358851700000001</v>
      </c>
      <c r="M2262" s="19">
        <v>1.8700000000000001E-2</v>
      </c>
      <c r="N2262" s="19">
        <v>0</v>
      </c>
      <c r="O2262" s="19">
        <v>0</v>
      </c>
      <c r="P2262" s="19">
        <v>0</v>
      </c>
      <c r="Q2262" s="19">
        <v>6.9845856999999997E-2</v>
      </c>
      <c r="R2262" s="20">
        <v>29151</v>
      </c>
      <c r="S2262" s="21" t="str">
        <f>HYPERLINK("https://wayne.uakron.edu/admissions/financial-aid/net-price-calculator.dot", "$22784")</f>
        <v>$22784</v>
      </c>
      <c r="T2262" s="20">
        <v>25077</v>
      </c>
      <c r="U2262" s="20">
        <v>27505</v>
      </c>
      <c r="V2262" s="20">
        <v>4066</v>
      </c>
      <c r="W2262" s="20">
        <v>18718.26966292135</v>
      </c>
      <c r="Y2262" s="19">
        <v>0.2356</v>
      </c>
      <c r="Z2262" s="19">
        <v>0.14680000000000001</v>
      </c>
      <c r="AB2262" s="18">
        <v>913</v>
      </c>
      <c r="AC2262" s="18">
        <v>6</v>
      </c>
    </row>
    <row r="2263" spans="1:29" ht="15.75" customHeight="1" x14ac:dyDescent="0.2">
      <c r="A2263" s="36" t="str">
        <f>HYPERLINK("https://www.uab.edu", "University of Alabama at Birmingham")</f>
        <v>University of Alabama at Birmingham</v>
      </c>
      <c r="B2263" s="18" t="s">
        <v>49</v>
      </c>
      <c r="C2263" s="18" t="s">
        <v>300</v>
      </c>
      <c r="D2263" s="18" t="s">
        <v>311</v>
      </c>
      <c r="E2263" s="18">
        <v>1195</v>
      </c>
      <c r="F2263" s="18" t="s">
        <v>35</v>
      </c>
      <c r="J2263" s="19"/>
      <c r="K2263" s="19">
        <v>0.5292</v>
      </c>
      <c r="L2263" s="19">
        <v>0.46445497600000002</v>
      </c>
      <c r="M2263" s="19">
        <v>0.53559999999999997</v>
      </c>
      <c r="N2263" s="19">
        <v>0.47510000000000002</v>
      </c>
      <c r="O2263" s="19">
        <v>0.55559999999999998</v>
      </c>
      <c r="P2263" s="19">
        <v>0.70369999999999999</v>
      </c>
      <c r="Q2263" s="19"/>
      <c r="R2263" s="20">
        <v>36800</v>
      </c>
      <c r="S2263" s="21" t="str">
        <f>HYPERLINK("https://uab.studentaidcalculator.com/survey.aspx", "$28473")</f>
        <v>$28473</v>
      </c>
      <c r="T2263" s="20">
        <v>31561</v>
      </c>
      <c r="U2263" s="20">
        <v>32501</v>
      </c>
      <c r="V2263" s="20">
        <v>6086</v>
      </c>
      <c r="W2263" s="20">
        <v>22387.427118644071</v>
      </c>
      <c r="Y2263" s="19">
        <v>0.35320000000000001</v>
      </c>
      <c r="Z2263" s="19">
        <v>0.42159999999999997</v>
      </c>
      <c r="AB2263" s="18">
        <v>12866</v>
      </c>
      <c r="AC2263" s="18">
        <v>4</v>
      </c>
    </row>
    <row r="2264" spans="1:29" ht="15.75" customHeight="1" x14ac:dyDescent="0.2">
      <c r="A2264" s="36" t="str">
        <f>HYPERLINK("https://www.uah.edu", "University of Alabama in Huntsville")</f>
        <v>University of Alabama in Huntsville</v>
      </c>
      <c r="B2264" s="18" t="s">
        <v>49</v>
      </c>
      <c r="C2264" s="18" t="s">
        <v>300</v>
      </c>
      <c r="D2264" s="18" t="s">
        <v>497</v>
      </c>
      <c r="E2264" s="18">
        <v>1322</v>
      </c>
      <c r="F2264" s="18" t="s">
        <v>35</v>
      </c>
      <c r="J2264" s="19"/>
      <c r="K2264" s="19">
        <v>0.48620000000000002</v>
      </c>
      <c r="L2264" s="19">
        <v>0.438003221</v>
      </c>
      <c r="M2264" s="19">
        <v>0.51649999999999996</v>
      </c>
      <c r="N2264" s="19">
        <v>0.29070000000000001</v>
      </c>
      <c r="O2264" s="19">
        <v>0.3846</v>
      </c>
      <c r="P2264" s="19">
        <v>0.59260000000000002</v>
      </c>
      <c r="Q2264" s="19"/>
      <c r="R2264" s="20">
        <v>36881</v>
      </c>
      <c r="S2264" s="21" t="str">
        <f>HYPERLINK("https://finaid.uah.edu/", "$31376")</f>
        <v>$31376</v>
      </c>
      <c r="T2264" s="20">
        <v>35548</v>
      </c>
      <c r="U2264" s="20">
        <v>36665</v>
      </c>
      <c r="V2264" s="20">
        <v>5653</v>
      </c>
      <c r="W2264" s="20">
        <v>25723.670807453422</v>
      </c>
      <c r="Y2264" s="19">
        <v>0.27650000000000002</v>
      </c>
      <c r="Z2264" s="19">
        <v>0.25850000000000001</v>
      </c>
      <c r="AB2264" s="18">
        <v>6917</v>
      </c>
      <c r="AC2264" s="18">
        <v>3</v>
      </c>
    </row>
    <row r="2265" spans="1:29" ht="15.75" customHeight="1" x14ac:dyDescent="0.2">
      <c r="A2265" s="36" t="str">
        <f>HYPERLINK("https://www.uaa.alaska.edu", "University of Alaska Anchorage")</f>
        <v>University of Alaska Anchorage</v>
      </c>
      <c r="B2265" s="18" t="s">
        <v>49</v>
      </c>
      <c r="C2265" s="18" t="s">
        <v>548</v>
      </c>
      <c r="D2265" s="18" t="s">
        <v>549</v>
      </c>
      <c r="E2265" s="18" t="s">
        <v>36</v>
      </c>
      <c r="F2265" s="18" t="s">
        <v>90</v>
      </c>
      <c r="J2265" s="19"/>
      <c r="K2265" s="19">
        <v>0.24310000000000001</v>
      </c>
      <c r="L2265" s="19">
        <v>0.231516057</v>
      </c>
      <c r="M2265" s="19">
        <v>0.2989</v>
      </c>
      <c r="N2265" s="19">
        <v>0.1389</v>
      </c>
      <c r="O2265" s="19">
        <v>0.21429999999999999</v>
      </c>
      <c r="P2265" s="19">
        <v>0.18129999999999999</v>
      </c>
      <c r="Q2265" s="19"/>
      <c r="R2265" s="20">
        <v>39902</v>
      </c>
      <c r="S2265" s="21" t="str">
        <f>HYPERLINK("https://www.uaa.alaska.edu/financialaid/customcf/npcalc.htm", "$31652")</f>
        <v>$31652</v>
      </c>
      <c r="T2265" s="20">
        <v>35986</v>
      </c>
      <c r="U2265" s="20">
        <v>37571</v>
      </c>
      <c r="V2265" s="20">
        <v>8446</v>
      </c>
      <c r="W2265" s="20">
        <v>23206.741935483871</v>
      </c>
      <c r="Y2265" s="19">
        <v>0.21609999999999999</v>
      </c>
      <c r="Z2265" s="19">
        <v>0.44479999999999997</v>
      </c>
      <c r="AB2265" s="18">
        <v>11332</v>
      </c>
      <c r="AC2265" s="18">
        <v>5</v>
      </c>
    </row>
    <row r="2266" spans="1:29" ht="15.75" customHeight="1" x14ac:dyDescent="0.2">
      <c r="A2266" s="36" t="str">
        <f>HYPERLINK("https://www.uaf.edu", "University of Alaska Fairbanks")</f>
        <v>University of Alaska Fairbanks</v>
      </c>
      <c r="B2266" s="18" t="s">
        <v>49</v>
      </c>
      <c r="C2266" s="18" t="s">
        <v>548</v>
      </c>
      <c r="D2266" s="18" t="s">
        <v>1262</v>
      </c>
      <c r="E2266" s="18">
        <v>1094</v>
      </c>
      <c r="F2266" s="18" t="s">
        <v>35</v>
      </c>
      <c r="J2266" s="19"/>
      <c r="K2266" s="19">
        <v>0.30180000000000001</v>
      </c>
      <c r="L2266" s="19">
        <v>0.20833333300000001</v>
      </c>
      <c r="M2266" s="19">
        <v>0.37709999999999999</v>
      </c>
      <c r="N2266" s="19">
        <v>0.375</v>
      </c>
      <c r="O2266" s="19">
        <v>0.2</v>
      </c>
      <c r="P2266" s="19">
        <v>0</v>
      </c>
      <c r="Q2266" s="19"/>
      <c r="R2266" s="20">
        <v>32563</v>
      </c>
      <c r="S2266" s="21" t="str">
        <f>HYPERLINK("https://www.uaf.edu/finaid/net-price-calculator/", "$23026")</f>
        <v>$23026</v>
      </c>
      <c r="T2266" s="20">
        <v>25385</v>
      </c>
      <c r="U2266" s="20">
        <v>29432</v>
      </c>
      <c r="V2266" s="20">
        <v>4650</v>
      </c>
      <c r="W2266" s="20">
        <v>18376.902654867259</v>
      </c>
      <c r="Y2266" s="19">
        <v>0.20369999999999999</v>
      </c>
      <c r="Z2266" s="19">
        <v>0.50550000000000006</v>
      </c>
      <c r="AB2266" s="18">
        <v>4910</v>
      </c>
      <c r="AC2266" s="18">
        <v>4</v>
      </c>
    </row>
    <row r="2267" spans="1:29" ht="15.75" customHeight="1" x14ac:dyDescent="0.2">
      <c r="A2267" s="36" t="str">
        <f>HYPERLINK("https://www.arizona.edu", "University of Arizona")</f>
        <v>University of Arizona</v>
      </c>
      <c r="B2267" s="18" t="s">
        <v>49</v>
      </c>
      <c r="C2267" s="18" t="s">
        <v>354</v>
      </c>
      <c r="D2267" s="18" t="s">
        <v>1013</v>
      </c>
      <c r="E2267" s="18" t="s">
        <v>36</v>
      </c>
      <c r="F2267" s="18" t="s">
        <v>90</v>
      </c>
      <c r="J2267" s="19"/>
      <c r="K2267" s="19">
        <v>0.6361</v>
      </c>
      <c r="L2267" s="19">
        <v>0.507565932</v>
      </c>
      <c r="M2267" s="19">
        <v>0.65349999999999997</v>
      </c>
      <c r="N2267" s="19">
        <v>0.50409999999999999</v>
      </c>
      <c r="O2267" s="19">
        <v>0.59540000000000004</v>
      </c>
      <c r="P2267" s="19">
        <v>0.72440000000000004</v>
      </c>
      <c r="Q2267" s="19"/>
      <c r="R2267" s="20">
        <v>51707</v>
      </c>
      <c r="S2267" s="21" t="str">
        <f>HYPERLINK("https://financialaid.arizona.edu/general/net-price-calculator", "$37084")</f>
        <v>$37084</v>
      </c>
      <c r="T2267" s="20">
        <v>41063</v>
      </c>
      <c r="U2267" s="20">
        <v>43693</v>
      </c>
      <c r="V2267" s="20">
        <v>4100</v>
      </c>
      <c r="W2267" s="20">
        <v>32984.303983228507</v>
      </c>
      <c r="Y2267" s="19">
        <v>0.29349999999999998</v>
      </c>
      <c r="Z2267" s="19">
        <v>0.49659999999999999</v>
      </c>
      <c r="AB2267" s="18">
        <v>33428</v>
      </c>
      <c r="AC2267" s="18">
        <v>4</v>
      </c>
    </row>
    <row r="2268" spans="1:29" ht="15.75" customHeight="1" x14ac:dyDescent="0.2">
      <c r="A2268" s="36" t="str">
        <f>HYPERLINK("https://www.uark.edu", "University of Arkansas")</f>
        <v>University of Arkansas</v>
      </c>
      <c r="B2268" s="18" t="s">
        <v>49</v>
      </c>
      <c r="C2268" s="18" t="s">
        <v>371</v>
      </c>
      <c r="D2268" s="18" t="s">
        <v>498</v>
      </c>
      <c r="E2268" s="18">
        <v>1239</v>
      </c>
      <c r="F2268" s="18" t="s">
        <v>35</v>
      </c>
      <c r="J2268" s="19"/>
      <c r="K2268" s="19">
        <v>0.61519999999999997</v>
      </c>
      <c r="L2268" s="19">
        <v>0.483214649</v>
      </c>
      <c r="M2268" s="19">
        <v>0.63390000000000002</v>
      </c>
      <c r="N2268" s="19">
        <v>0.43719999999999998</v>
      </c>
      <c r="O2268" s="19">
        <v>0.52500000000000002</v>
      </c>
      <c r="P2268" s="19">
        <v>0.65690000000000004</v>
      </c>
      <c r="Q2268" s="19"/>
      <c r="R2268" s="20">
        <v>40162</v>
      </c>
      <c r="S2268" s="21" t="str">
        <f>HYPERLINK("https://finaid.uark.edu/aid-calculator.php", "$30801")</f>
        <v>$30801</v>
      </c>
      <c r="T2268" s="20">
        <v>34750</v>
      </c>
      <c r="U2268" s="20">
        <v>36490</v>
      </c>
      <c r="V2268" s="20">
        <v>5150</v>
      </c>
      <c r="W2268" s="20">
        <v>25651.288135593219</v>
      </c>
      <c r="Y2268" s="19">
        <v>0.20430000000000001</v>
      </c>
      <c r="Z2268" s="19">
        <v>0.23810000000000001</v>
      </c>
      <c r="AB2268" s="18">
        <v>22763</v>
      </c>
      <c r="AC2268" s="18">
        <v>3</v>
      </c>
    </row>
    <row r="2269" spans="1:29" ht="15.75" customHeight="1" x14ac:dyDescent="0.2">
      <c r="A2269" s="36" t="str">
        <f>HYPERLINK("https://ualr.edu/www/", "University of Arkansas at Little Rock")</f>
        <v>University of Arkansas at Little Rock</v>
      </c>
      <c r="B2269" s="18" t="s">
        <v>49</v>
      </c>
      <c r="C2269" s="18" t="s">
        <v>371</v>
      </c>
      <c r="D2269" s="18" t="s">
        <v>810</v>
      </c>
      <c r="E2269" s="18">
        <v>1105</v>
      </c>
      <c r="F2269" s="18" t="s">
        <v>35</v>
      </c>
      <c r="J2269" s="19"/>
      <c r="K2269" s="19">
        <v>0.31990000000000002</v>
      </c>
      <c r="L2269" s="19">
        <v>0.30054644800000002</v>
      </c>
      <c r="M2269" s="19">
        <v>0.37180000000000002</v>
      </c>
      <c r="N2269" s="19">
        <v>0.29459999999999997</v>
      </c>
      <c r="O2269" s="19">
        <v>0.1154</v>
      </c>
      <c r="P2269" s="19">
        <v>0.35</v>
      </c>
      <c r="Q2269" s="19"/>
      <c r="R2269" s="20">
        <v>35466</v>
      </c>
      <c r="S2269" s="21" t="str">
        <f>HYPERLINK("https://ualr.edu/finaid/npc/npcalc.htm", "$26561")</f>
        <v>$26561</v>
      </c>
      <c r="T2269" s="20">
        <v>30357</v>
      </c>
      <c r="U2269" s="20">
        <v>30078</v>
      </c>
      <c r="V2269" s="20">
        <v>5040</v>
      </c>
      <c r="W2269" s="20">
        <v>21521.615384615379</v>
      </c>
      <c r="Y2269" s="19">
        <v>0.37030000000000002</v>
      </c>
      <c r="Z2269" s="19">
        <v>0.49299999999999999</v>
      </c>
      <c r="AB2269" s="18">
        <v>6677</v>
      </c>
      <c r="AC2269" s="18">
        <v>5</v>
      </c>
    </row>
    <row r="2270" spans="1:29" ht="15.75" customHeight="1" x14ac:dyDescent="0.2">
      <c r="A2270" s="36" t="str">
        <f>HYPERLINK("https://www.uamont.edu/", "University of Arkansas at Monticello")</f>
        <v>University of Arkansas at Monticello</v>
      </c>
      <c r="B2270" s="18" t="s">
        <v>49</v>
      </c>
      <c r="C2270" s="18" t="s">
        <v>371</v>
      </c>
      <c r="D2270" s="18" t="s">
        <v>884</v>
      </c>
      <c r="E2270" s="18" t="s">
        <v>36</v>
      </c>
      <c r="F2270" s="18" t="s">
        <v>36</v>
      </c>
      <c r="J2270" s="19"/>
      <c r="K2270" s="19">
        <v>0.23230000000000001</v>
      </c>
      <c r="L2270" s="19">
        <v>0.15460526299999999</v>
      </c>
      <c r="M2270" s="19">
        <v>0.3155</v>
      </c>
      <c r="N2270" s="19">
        <v>0.1273</v>
      </c>
      <c r="O2270" s="19">
        <v>0.28570000000000001</v>
      </c>
      <c r="P2270" s="19">
        <v>0.33329999999999999</v>
      </c>
      <c r="Q2270" s="19"/>
      <c r="R2270" s="20">
        <v>24662</v>
      </c>
      <c r="S2270" s="21" t="str">
        <f>HYPERLINK("https://uam-web2.uamont.edu/netprice/npcalc.htm", "$17844")</f>
        <v>$17844</v>
      </c>
      <c r="T2270" s="20">
        <v>17972</v>
      </c>
      <c r="U2270" s="20">
        <v>19244</v>
      </c>
      <c r="V2270" s="20">
        <v>4800</v>
      </c>
      <c r="W2270" s="20">
        <v>13044.69230769231</v>
      </c>
      <c r="Y2270" s="19">
        <v>0.50039999999999996</v>
      </c>
      <c r="Z2270" s="19">
        <v>0.38429999999999997</v>
      </c>
      <c r="AB2270" s="18">
        <v>2589</v>
      </c>
      <c r="AC2270" s="18">
        <v>5</v>
      </c>
    </row>
    <row r="2271" spans="1:29" ht="15.75" customHeight="1" x14ac:dyDescent="0.2">
      <c r="A2271" s="36" t="str">
        <f>HYPERLINK("https://www.uapb.edu", "University of Arkansas at Pine Bluff")</f>
        <v>University of Arkansas at Pine Bluff</v>
      </c>
      <c r="B2271" s="18" t="s">
        <v>49</v>
      </c>
      <c r="C2271" s="18" t="s">
        <v>371</v>
      </c>
      <c r="D2271" s="18" t="s">
        <v>1263</v>
      </c>
      <c r="E2271" s="18">
        <v>951</v>
      </c>
      <c r="F2271" s="18" t="s">
        <v>35</v>
      </c>
      <c r="J2271" s="19"/>
      <c r="K2271" s="19">
        <v>0.28549999999999998</v>
      </c>
      <c r="L2271" s="19">
        <v>0.24907975500000001</v>
      </c>
      <c r="M2271" s="19">
        <v>0.2</v>
      </c>
      <c r="N2271" s="19">
        <v>0.28660000000000002</v>
      </c>
      <c r="O2271" s="19">
        <v>0.2727</v>
      </c>
      <c r="P2271" s="19" t="s">
        <v>36</v>
      </c>
      <c r="Q2271" s="19"/>
      <c r="R2271" s="20">
        <v>25816</v>
      </c>
      <c r="S2271" s="21" t="str">
        <f>HYPERLINK("https://www.uapb.edu/admissions/net_price_calculator.aspx", "$17710")</f>
        <v>$17710</v>
      </c>
      <c r="T2271" s="20">
        <v>19094</v>
      </c>
      <c r="U2271" s="20">
        <v>23768</v>
      </c>
      <c r="V2271" s="20">
        <v>4406</v>
      </c>
      <c r="W2271" s="20">
        <v>13304.56050955414</v>
      </c>
      <c r="Y2271" s="19">
        <v>0.70709999999999995</v>
      </c>
      <c r="Z2271" s="19">
        <v>0.9657</v>
      </c>
      <c r="AB2271" s="18">
        <v>2510</v>
      </c>
      <c r="AC2271" s="18">
        <v>4</v>
      </c>
    </row>
    <row r="2272" spans="1:29" ht="15.75" customHeight="1" x14ac:dyDescent="0.2">
      <c r="A2272" s="36" t="str">
        <f>HYPERLINK("https://uafs.edu/", "University of Arkansas-Fort Smith")</f>
        <v>University of Arkansas-Fort Smith</v>
      </c>
      <c r="B2272" s="18" t="s">
        <v>49</v>
      </c>
      <c r="C2272" s="18" t="s">
        <v>371</v>
      </c>
      <c r="D2272" s="18" t="s">
        <v>1264</v>
      </c>
      <c r="E2272" s="18" t="s">
        <v>36</v>
      </c>
      <c r="F2272" s="18" t="s">
        <v>36</v>
      </c>
      <c r="J2272" s="19"/>
      <c r="K2272" s="19">
        <v>0.29820000000000002</v>
      </c>
      <c r="L2272" s="19">
        <v>0.215358932</v>
      </c>
      <c r="M2272" s="19">
        <v>0.314</v>
      </c>
      <c r="N2272" s="19">
        <v>0.1852</v>
      </c>
      <c r="O2272" s="19">
        <v>0.25230000000000002</v>
      </c>
      <c r="P2272" s="19">
        <v>0.32790000000000002</v>
      </c>
      <c r="Q2272" s="19"/>
      <c r="R2272" s="20">
        <v>27040</v>
      </c>
      <c r="S2272" s="21" t="str">
        <f>HYPERLINK("https://admissions.uafs.edu/sites/admissions.uafs.edu/files/Departments/Financial/documents/np_calc/Net%20Price%20Calculator.htm", "$19581")</f>
        <v>$19581</v>
      </c>
      <c r="T2272" s="20">
        <v>21985</v>
      </c>
      <c r="U2272" s="20">
        <v>24126</v>
      </c>
      <c r="V2272" s="20">
        <v>5964</v>
      </c>
      <c r="W2272" s="20">
        <v>13617.26666666667</v>
      </c>
      <c r="Y2272" s="19">
        <v>0.44919999999999999</v>
      </c>
      <c r="Z2272" s="19">
        <v>0.34960000000000002</v>
      </c>
      <c r="AB2272" s="18">
        <v>5455</v>
      </c>
      <c r="AC2272" s="18">
        <v>4</v>
      </c>
    </row>
    <row r="2273" spans="1:29" ht="15.75" customHeight="1" x14ac:dyDescent="0.2">
      <c r="A2273" s="36" t="str">
        <f>HYPERLINK("https://www.ubalt.edu", "University of Baltimore")</f>
        <v>University of Baltimore</v>
      </c>
      <c r="B2273" s="18" t="s">
        <v>49</v>
      </c>
      <c r="C2273" s="18" t="s">
        <v>124</v>
      </c>
      <c r="D2273" s="18" t="s">
        <v>125</v>
      </c>
      <c r="E2273" s="18">
        <v>999</v>
      </c>
      <c r="F2273" s="18" t="s">
        <v>35</v>
      </c>
      <c r="J2273" s="19"/>
      <c r="K2273" s="19">
        <v>0.32900000000000001</v>
      </c>
      <c r="L2273" s="19">
        <v>0.48022598900000002</v>
      </c>
      <c r="M2273" s="19">
        <v>0.51060000000000005</v>
      </c>
      <c r="N2273" s="19">
        <v>0.25290000000000001</v>
      </c>
      <c r="O2273" s="19">
        <v>0</v>
      </c>
      <c r="P2273" s="19">
        <v>0.66669999999999996</v>
      </c>
      <c r="Q2273" s="19"/>
      <c r="R2273" s="20">
        <v>40654</v>
      </c>
      <c r="S2273" s="21" t="str">
        <f>HYPERLINK("https://www.ubalt.edu/admission/financial-aid/aid-basics/policies/npc.cfm", "$36031")</f>
        <v>$36031</v>
      </c>
      <c r="T2273" s="20" t="s">
        <v>36</v>
      </c>
      <c r="U2273" s="20" t="s">
        <v>36</v>
      </c>
      <c r="V2273" s="20">
        <v>5750</v>
      </c>
      <c r="W2273" s="20">
        <v>30281.891304347821</v>
      </c>
      <c r="Y2273" s="19">
        <v>0.43330000000000002</v>
      </c>
      <c r="Z2273" s="19">
        <v>0.67789999999999995</v>
      </c>
      <c r="AB2273" s="18">
        <v>2856</v>
      </c>
      <c r="AC2273" s="18">
        <v>4</v>
      </c>
    </row>
    <row r="2274" spans="1:29" ht="15.75" customHeight="1" x14ac:dyDescent="0.2">
      <c r="A2274" s="36" t="str">
        <f>HYPERLINK("https://www.bridgeport.edu", "University of Bridgeport")</f>
        <v>University of Bridgeport</v>
      </c>
      <c r="B2274" s="18" t="s">
        <v>32</v>
      </c>
      <c r="C2274" s="18" t="s">
        <v>94</v>
      </c>
      <c r="D2274" s="18" t="s">
        <v>886</v>
      </c>
      <c r="E2274" s="18">
        <v>969</v>
      </c>
      <c r="F2274" s="18" t="s">
        <v>35</v>
      </c>
      <c r="J2274" s="19"/>
      <c r="K2274" s="19">
        <v>0.4158</v>
      </c>
      <c r="L2274" s="19">
        <v>0.344262295</v>
      </c>
      <c r="M2274" s="19">
        <v>0.53259999999999996</v>
      </c>
      <c r="N2274" s="19">
        <v>0.33329999999999999</v>
      </c>
      <c r="O2274" s="19">
        <v>0.37880000000000003</v>
      </c>
      <c r="P2274" s="19">
        <v>0.4</v>
      </c>
      <c r="Q2274" s="19"/>
      <c r="R2274" s="20">
        <v>54508</v>
      </c>
      <c r="S2274" s="21" t="str">
        <f>HYPERLINK("https://tcc.noellevitz.com/University%20of%20Bridgeport/cost", "$21144")</f>
        <v>$21144</v>
      </c>
      <c r="T2274" s="20">
        <v>23764</v>
      </c>
      <c r="U2274" s="20">
        <v>24453</v>
      </c>
      <c r="V2274" s="20">
        <v>8668</v>
      </c>
      <c r="W2274" s="20">
        <v>12476</v>
      </c>
      <c r="Y2274" s="19">
        <v>0.48209999999999997</v>
      </c>
      <c r="Z2274" s="19">
        <v>0.75739999999999996</v>
      </c>
      <c r="AB2274" s="18">
        <v>3129</v>
      </c>
      <c r="AC2274" s="18">
        <v>5</v>
      </c>
    </row>
    <row r="2275" spans="1:29" ht="15.75" customHeight="1" x14ac:dyDescent="0.2">
      <c r="A2275" s="36" t="str">
        <f>HYPERLINK("https://www.berkeley.edu", "University of California-Berkeley")</f>
        <v>University of California-Berkeley</v>
      </c>
      <c r="B2275" s="18" t="s">
        <v>49</v>
      </c>
      <c r="C2275" s="18" t="s">
        <v>68</v>
      </c>
      <c r="D2275" s="18" t="s">
        <v>160</v>
      </c>
      <c r="E2275" s="18">
        <v>1414</v>
      </c>
      <c r="F2275" s="18" t="s">
        <v>35</v>
      </c>
      <c r="J2275" s="19"/>
      <c r="K2275" s="19">
        <v>0.91069999999999995</v>
      </c>
      <c r="L2275" s="19">
        <v>0.53985872899999998</v>
      </c>
      <c r="M2275" s="19">
        <v>0.90329999999999999</v>
      </c>
      <c r="N2275" s="19">
        <v>0.82050000000000001</v>
      </c>
      <c r="O2275" s="19">
        <v>0.87319999999999998</v>
      </c>
      <c r="P2275" s="19">
        <v>0.93589999999999995</v>
      </c>
      <c r="Q2275" s="19"/>
      <c r="R2275" s="20">
        <v>65003</v>
      </c>
      <c r="S2275" s="21" t="str">
        <f>HYPERLINK("https://calculator.berkeley.edu/", "$38272")</f>
        <v>$38272</v>
      </c>
      <c r="T2275" s="20">
        <v>42898</v>
      </c>
      <c r="U2275" s="20">
        <v>49459</v>
      </c>
      <c r="V2275" s="20">
        <v>5270</v>
      </c>
      <c r="W2275" s="20">
        <v>33002.488135593223</v>
      </c>
      <c r="Y2275" s="19">
        <v>0.27750000000000002</v>
      </c>
      <c r="Z2275" s="19">
        <v>0.74270000000000003</v>
      </c>
      <c r="AB2275" s="18">
        <v>30574</v>
      </c>
      <c r="AC2275" s="18">
        <v>1</v>
      </c>
    </row>
    <row r="2276" spans="1:29" ht="15.75" customHeight="1" x14ac:dyDescent="0.2">
      <c r="A2276" s="36" t="str">
        <f>HYPERLINK("https://www.ucdavis.edu", "University of California-Davis")</f>
        <v>University of California-Davis</v>
      </c>
      <c r="B2276" s="18" t="s">
        <v>49</v>
      </c>
      <c r="C2276" s="18" t="s">
        <v>68</v>
      </c>
      <c r="D2276" s="18" t="s">
        <v>274</v>
      </c>
      <c r="E2276" s="18">
        <v>1286</v>
      </c>
      <c r="F2276" s="18" t="s">
        <v>35</v>
      </c>
      <c r="J2276" s="19"/>
      <c r="K2276" s="19">
        <v>0.85189999999999999</v>
      </c>
      <c r="L2276" s="19">
        <v>0.72173464099999995</v>
      </c>
      <c r="M2276" s="19">
        <v>0.86499999999999999</v>
      </c>
      <c r="N2276" s="19">
        <v>0.76</v>
      </c>
      <c r="O2276" s="19">
        <v>0.76980000000000004</v>
      </c>
      <c r="P2276" s="19">
        <v>0.89249999999999996</v>
      </c>
      <c r="Q2276" s="19"/>
      <c r="R2276" s="20">
        <v>63743</v>
      </c>
      <c r="S2276" s="21" t="str">
        <f>HYPERLINK("https://financialaid.ucdavis.edu/AidEstimator/", "$39941")</f>
        <v>$39941</v>
      </c>
      <c r="T2276" s="20">
        <v>43706</v>
      </c>
      <c r="U2276" s="20">
        <v>48717</v>
      </c>
      <c r="V2276" s="20">
        <v>5174</v>
      </c>
      <c r="W2276" s="20">
        <v>34767.247545582053</v>
      </c>
      <c r="Y2276" s="19">
        <v>0.38500000000000001</v>
      </c>
      <c r="Z2276" s="19">
        <v>0.74839999999999995</v>
      </c>
      <c r="AB2276" s="18">
        <v>30046</v>
      </c>
      <c r="AC2276" s="18">
        <v>2</v>
      </c>
    </row>
    <row r="2277" spans="1:29" ht="15.75" customHeight="1" x14ac:dyDescent="0.2">
      <c r="A2277" s="36" t="str">
        <f>HYPERLINK("https://www.uci.edu/", "University of California-Irvine")</f>
        <v>University of California-Irvine</v>
      </c>
      <c r="B2277" s="18" t="s">
        <v>49</v>
      </c>
      <c r="C2277" s="18" t="s">
        <v>68</v>
      </c>
      <c r="D2277" s="18" t="s">
        <v>340</v>
      </c>
      <c r="E2277" s="18">
        <v>1291</v>
      </c>
      <c r="F2277" s="18" t="s">
        <v>35</v>
      </c>
      <c r="J2277" s="19"/>
      <c r="K2277" s="19">
        <v>0.8488</v>
      </c>
      <c r="L2277" s="19">
        <v>0.74766977400000001</v>
      </c>
      <c r="M2277" s="19">
        <v>0.85660000000000003</v>
      </c>
      <c r="N2277" s="19">
        <v>0.78</v>
      </c>
      <c r="O2277" s="19">
        <v>0.77390000000000003</v>
      </c>
      <c r="P2277" s="19">
        <v>0.89729999999999999</v>
      </c>
      <c r="Q2277" s="19"/>
      <c r="R2277" s="20">
        <v>61872</v>
      </c>
      <c r="S2277" s="21" t="str">
        <f>HYPERLINK("https://www.ofas.uci.edu/content/Calculator.aspx", "$38999")</f>
        <v>$38999</v>
      </c>
      <c r="T2277" s="20">
        <v>43078</v>
      </c>
      <c r="U2277" s="20">
        <v>50619</v>
      </c>
      <c r="V2277" s="20">
        <v>5259</v>
      </c>
      <c r="W2277" s="20">
        <v>33740.696704428417</v>
      </c>
      <c r="Y2277" s="19">
        <v>0.4234</v>
      </c>
      <c r="Z2277" s="19">
        <v>0.86040000000000005</v>
      </c>
      <c r="AB2277" s="18">
        <v>29295</v>
      </c>
      <c r="AC2277" s="18">
        <v>3</v>
      </c>
    </row>
    <row r="2278" spans="1:29" ht="15.75" customHeight="1" x14ac:dyDescent="0.2">
      <c r="A2278" s="36" t="str">
        <f>HYPERLINK("https://www.ucla.edu/", "University of California-Los Angeles")</f>
        <v>University of California-Los Angeles</v>
      </c>
      <c r="B2278" s="18" t="s">
        <v>49</v>
      </c>
      <c r="C2278" s="18" t="s">
        <v>68</v>
      </c>
      <c r="D2278" s="18" t="s">
        <v>140</v>
      </c>
      <c r="E2278" s="18">
        <v>1387</v>
      </c>
      <c r="F2278" s="18" t="s">
        <v>35</v>
      </c>
      <c r="J2278" s="19"/>
      <c r="K2278" s="19">
        <v>0.90869999999999995</v>
      </c>
      <c r="L2278" s="19">
        <v>0.77975632599999989</v>
      </c>
      <c r="M2278" s="19">
        <v>0.92900000000000005</v>
      </c>
      <c r="N2278" s="19">
        <v>0.74680000000000002</v>
      </c>
      <c r="O2278" s="19">
        <v>0.86350000000000005</v>
      </c>
      <c r="P2278" s="19">
        <v>0.93630000000000002</v>
      </c>
      <c r="Q2278" s="19"/>
      <c r="R2278" s="20">
        <v>61915</v>
      </c>
      <c r="S2278" s="21" t="str">
        <f>HYPERLINK("https://dnn.uclanet.ucla.edu/fas102016/Prospective-Student/Net-Price-Calculator", "$36867")</f>
        <v>$36867</v>
      </c>
      <c r="T2278" s="20">
        <v>40757</v>
      </c>
      <c r="U2278" s="20">
        <v>48379</v>
      </c>
      <c r="V2278" s="20">
        <v>5199</v>
      </c>
      <c r="W2278" s="20">
        <v>31668.135523613961</v>
      </c>
      <c r="Y2278" s="19">
        <v>0.33779999999999999</v>
      </c>
      <c r="Z2278" s="19">
        <v>0.7329</v>
      </c>
      <c r="AB2278" s="18">
        <v>30994</v>
      </c>
      <c r="AC2278" s="18">
        <v>1</v>
      </c>
    </row>
    <row r="2279" spans="1:29" ht="15.75" customHeight="1" x14ac:dyDescent="0.2">
      <c r="A2279" s="36" t="str">
        <f>HYPERLINK("https://www.ucmerced.edu", "University of California-Merced")</f>
        <v>University of California-Merced</v>
      </c>
      <c r="B2279" s="18" t="s">
        <v>49</v>
      </c>
      <c r="C2279" s="18" t="s">
        <v>68</v>
      </c>
      <c r="D2279" s="18" t="s">
        <v>1265</v>
      </c>
      <c r="E2279" s="18">
        <v>1114</v>
      </c>
      <c r="F2279" s="18" t="s">
        <v>35</v>
      </c>
      <c r="J2279" s="19"/>
      <c r="K2279" s="19">
        <v>0.64390000000000003</v>
      </c>
      <c r="L2279" s="19">
        <v>0.62203023800000001</v>
      </c>
      <c r="M2279" s="19">
        <v>0.72119999999999995</v>
      </c>
      <c r="N2279" s="19">
        <v>0.64490000000000003</v>
      </c>
      <c r="O2279" s="19">
        <v>0.57389999999999997</v>
      </c>
      <c r="P2279" s="19">
        <v>0.72209999999999996</v>
      </c>
      <c r="Q2279" s="19"/>
      <c r="R2279" s="20">
        <v>63690</v>
      </c>
      <c r="S2279" s="21" t="str">
        <f>HYPERLINK("https://finaidapps.ucmerced.edu/calculator/", "$40152")</f>
        <v>$40152</v>
      </c>
      <c r="T2279" s="20">
        <v>43396</v>
      </c>
      <c r="U2279" s="20">
        <v>49280</v>
      </c>
      <c r="V2279" s="20">
        <v>5288</v>
      </c>
      <c r="W2279" s="20">
        <v>34864.5679475164</v>
      </c>
      <c r="Y2279" s="19">
        <v>0.61240000000000006</v>
      </c>
      <c r="Z2279" s="19">
        <v>0.89759999999999995</v>
      </c>
      <c r="AB2279" s="18">
        <v>7375</v>
      </c>
      <c r="AC2279" s="18">
        <v>4</v>
      </c>
    </row>
    <row r="2280" spans="1:29" ht="15.75" customHeight="1" x14ac:dyDescent="0.2">
      <c r="A2280" s="36" t="str">
        <f>HYPERLINK("https://WWW.UCR.EDU", "University of California-Riverside")</f>
        <v>University of California-Riverside</v>
      </c>
      <c r="B2280" s="18" t="s">
        <v>49</v>
      </c>
      <c r="C2280" s="18" t="s">
        <v>68</v>
      </c>
      <c r="D2280" s="18" t="s">
        <v>392</v>
      </c>
      <c r="E2280" s="18">
        <v>1215</v>
      </c>
      <c r="F2280" s="18" t="s">
        <v>35</v>
      </c>
      <c r="J2280" s="19"/>
      <c r="K2280" s="19">
        <v>0.75049999999999994</v>
      </c>
      <c r="L2280" s="19">
        <v>0.62451896699999998</v>
      </c>
      <c r="M2280" s="19">
        <v>0.72270000000000001</v>
      </c>
      <c r="N2280" s="19">
        <v>0.74519999999999997</v>
      </c>
      <c r="O2280" s="19">
        <v>0.72750000000000004</v>
      </c>
      <c r="P2280" s="19">
        <v>0.79200000000000004</v>
      </c>
      <c r="Q2280" s="19"/>
      <c r="R2280" s="20">
        <v>62677</v>
      </c>
      <c r="S2280" s="21" t="str">
        <f>HYPERLINK("https://vcsaweb.ucr.edu/FinAidManualCalculator/", "$38902")</f>
        <v>$38902</v>
      </c>
      <c r="T2280" s="20">
        <v>42290</v>
      </c>
      <c r="U2280" s="20">
        <v>49500</v>
      </c>
      <c r="V2280" s="20">
        <v>5204</v>
      </c>
      <c r="W2280" s="20">
        <v>33698.274408602163</v>
      </c>
      <c r="Y2280" s="19">
        <v>0.55799999999999994</v>
      </c>
      <c r="Z2280" s="19">
        <v>0.88050000000000006</v>
      </c>
      <c r="AB2280" s="18">
        <v>20044</v>
      </c>
      <c r="AC2280" s="18">
        <v>4</v>
      </c>
    </row>
    <row r="2281" spans="1:29" ht="15.75" customHeight="1" x14ac:dyDescent="0.2">
      <c r="A2281" s="36" t="str">
        <f>HYPERLINK("https://www.ucsd.edu", "University of California-San Diego")</f>
        <v>University of California-San Diego</v>
      </c>
      <c r="B2281" s="18" t="s">
        <v>49</v>
      </c>
      <c r="C2281" s="18" t="s">
        <v>68</v>
      </c>
      <c r="D2281" s="18" t="s">
        <v>499</v>
      </c>
      <c r="E2281" s="18">
        <v>1343</v>
      </c>
      <c r="F2281" s="18" t="s">
        <v>35</v>
      </c>
      <c r="J2281" s="19"/>
      <c r="K2281" s="19">
        <v>0.84519999999999995</v>
      </c>
      <c r="L2281" s="19">
        <v>0.71948181400000011</v>
      </c>
      <c r="M2281" s="19">
        <v>0.85299999999999998</v>
      </c>
      <c r="N2281" s="19">
        <v>0.69350000000000001</v>
      </c>
      <c r="O2281" s="19">
        <v>0.76370000000000005</v>
      </c>
      <c r="P2281" s="19">
        <v>0.90580000000000005</v>
      </c>
      <c r="Q2281" s="19"/>
      <c r="R2281" s="20">
        <v>60177</v>
      </c>
      <c r="S2281" s="21" t="str">
        <f>HYPERLINK("https://students.ucsd.edu/finances/financial-aid/forms/calculator.html", "$37618")</f>
        <v>$37618</v>
      </c>
      <c r="T2281" s="20">
        <v>42343</v>
      </c>
      <c r="U2281" s="20">
        <v>49573</v>
      </c>
      <c r="V2281" s="20">
        <v>5030</v>
      </c>
      <c r="W2281" s="20">
        <v>32588.64606328182</v>
      </c>
      <c r="Y2281" s="19">
        <v>0.3427</v>
      </c>
      <c r="Z2281" s="19">
        <v>0.80610000000000004</v>
      </c>
      <c r="AB2281" s="18">
        <v>28577</v>
      </c>
      <c r="AC2281" s="18">
        <v>3</v>
      </c>
    </row>
    <row r="2282" spans="1:29" ht="15.75" customHeight="1" x14ac:dyDescent="0.2">
      <c r="A2282" s="36" t="str">
        <f>HYPERLINK("https://www.ucsb.edu", "University of California-Santa Barbara")</f>
        <v>University of California-Santa Barbara</v>
      </c>
      <c r="B2282" s="18" t="s">
        <v>49</v>
      </c>
      <c r="C2282" s="18" t="s">
        <v>68</v>
      </c>
      <c r="D2282" s="18" t="s">
        <v>275</v>
      </c>
      <c r="E2282" s="18">
        <v>1346</v>
      </c>
      <c r="F2282" s="18" t="s">
        <v>35</v>
      </c>
      <c r="J2282" s="19"/>
      <c r="K2282" s="19">
        <v>0.81489999999999996</v>
      </c>
      <c r="L2282" s="19">
        <v>0.66267605600000001</v>
      </c>
      <c r="M2282" s="19">
        <v>0.84219999999999995</v>
      </c>
      <c r="N2282" s="19">
        <v>0.77529999999999999</v>
      </c>
      <c r="O2282" s="19">
        <v>0.76790000000000003</v>
      </c>
      <c r="P2282" s="19">
        <v>0.83389999999999997</v>
      </c>
      <c r="Q2282" s="19"/>
      <c r="R2282" s="20">
        <v>64125</v>
      </c>
      <c r="S2282" s="21" t="str">
        <f>HYPERLINK("https://www.finaid.ucsb.edu/Prospective/AidEstimator.aspx", "$39884")</f>
        <v>$39884</v>
      </c>
      <c r="T2282" s="20">
        <v>43923</v>
      </c>
      <c r="U2282" s="20">
        <v>51166</v>
      </c>
      <c r="V2282" s="20">
        <v>6491</v>
      </c>
      <c r="W2282" s="20">
        <v>33393.396017699117</v>
      </c>
      <c r="Y2282" s="19">
        <v>0.3649</v>
      </c>
      <c r="Z2282" s="19">
        <v>0.68049999999999999</v>
      </c>
      <c r="AB2282" s="18">
        <v>22181</v>
      </c>
      <c r="AC2282" s="18">
        <v>2</v>
      </c>
    </row>
    <row r="2283" spans="1:29" ht="15.75" customHeight="1" x14ac:dyDescent="0.2">
      <c r="A2283" s="36" t="str">
        <f>HYPERLINK("https://www.ucsc.edu/", "University of California-Santa Cruz")</f>
        <v>University of California-Santa Cruz</v>
      </c>
      <c r="B2283" s="18" t="s">
        <v>49</v>
      </c>
      <c r="C2283" s="18" t="s">
        <v>68</v>
      </c>
      <c r="D2283" s="18" t="s">
        <v>500</v>
      </c>
      <c r="E2283" s="18">
        <v>1287</v>
      </c>
      <c r="F2283" s="18" t="s">
        <v>35</v>
      </c>
      <c r="J2283" s="19"/>
      <c r="K2283" s="19">
        <v>0.77210000000000001</v>
      </c>
      <c r="L2283" s="19">
        <v>0.66969146999999996</v>
      </c>
      <c r="M2283" s="19">
        <v>0.79190000000000005</v>
      </c>
      <c r="N2283" s="19">
        <v>0.77780000000000005</v>
      </c>
      <c r="O2283" s="19">
        <v>0.73470000000000002</v>
      </c>
      <c r="P2283" s="19">
        <v>0.78649999999999998</v>
      </c>
      <c r="Q2283" s="19"/>
      <c r="R2283" s="20">
        <v>64054</v>
      </c>
      <c r="S2283" s="21" t="str">
        <f>HYPERLINK("https://www2.ucsc.edu/finaidcalc/", "$39849")</f>
        <v>$39849</v>
      </c>
      <c r="T2283" s="20">
        <v>43951</v>
      </c>
      <c r="U2283" s="20">
        <v>52440</v>
      </c>
      <c r="V2283" s="20">
        <v>5965</v>
      </c>
      <c r="W2283" s="20">
        <v>33884.611428571428</v>
      </c>
      <c r="Y2283" s="19">
        <v>0.39350000000000002</v>
      </c>
      <c r="Z2283" s="19">
        <v>0.68569999999999998</v>
      </c>
      <c r="AB2283" s="18">
        <v>17577</v>
      </c>
      <c r="AC2283" s="18">
        <v>3</v>
      </c>
    </row>
    <row r="2284" spans="1:29" ht="15.75" customHeight="1" x14ac:dyDescent="0.2">
      <c r="A2284" s="36" t="str">
        <f>HYPERLINK("https://www.uca.edu", "University of Central Arkansas")</f>
        <v>University of Central Arkansas</v>
      </c>
      <c r="B2284" s="18" t="s">
        <v>49</v>
      </c>
      <c r="C2284" s="18" t="s">
        <v>371</v>
      </c>
      <c r="D2284" s="18" t="s">
        <v>372</v>
      </c>
      <c r="E2284" s="18">
        <v>1175</v>
      </c>
      <c r="F2284" s="18" t="s">
        <v>35</v>
      </c>
      <c r="J2284" s="19"/>
      <c r="K2284" s="19">
        <v>0.41239999999999999</v>
      </c>
      <c r="L2284" s="19">
        <v>0.35268817200000002</v>
      </c>
      <c r="M2284" s="19">
        <v>0.45050000000000001</v>
      </c>
      <c r="N2284" s="19">
        <v>0.26719999999999999</v>
      </c>
      <c r="O2284" s="19">
        <v>0.36109999999999998</v>
      </c>
      <c r="P2284" s="19">
        <v>0.54549999999999998</v>
      </c>
      <c r="Q2284" s="19"/>
      <c r="R2284" s="20">
        <v>28377</v>
      </c>
      <c r="S2284" s="21" t="str">
        <f>HYPERLINK("https://uca.edu/financialaid/financial-aid-net-price-calculator/", "$20157")</f>
        <v>$20157</v>
      </c>
      <c r="T2284" s="20">
        <v>22113</v>
      </c>
      <c r="U2284" s="20">
        <v>24754</v>
      </c>
      <c r="V2284" s="20">
        <v>6812</v>
      </c>
      <c r="W2284" s="20">
        <v>13345.461247637049</v>
      </c>
      <c r="Y2284" s="19">
        <v>0.39700000000000002</v>
      </c>
      <c r="Z2284" s="19">
        <v>0.34219999999999989</v>
      </c>
      <c r="AB2284" s="18">
        <v>9034</v>
      </c>
      <c r="AC2284" s="18">
        <v>3</v>
      </c>
    </row>
    <row r="2285" spans="1:29" ht="15.75" customHeight="1" x14ac:dyDescent="0.2">
      <c r="A2285" s="36" t="str">
        <f>HYPERLINK("https://www.ucf.edu/", "University of Central Florida")</f>
        <v>University of Central Florida</v>
      </c>
      <c r="B2285" s="18" t="s">
        <v>49</v>
      </c>
      <c r="C2285" s="18" t="s">
        <v>162</v>
      </c>
      <c r="D2285" s="18" t="s">
        <v>501</v>
      </c>
      <c r="E2285" s="18">
        <v>1249</v>
      </c>
      <c r="F2285" s="18" t="s">
        <v>35</v>
      </c>
      <c r="J2285" s="19"/>
      <c r="K2285" s="19">
        <v>0.70009999999999994</v>
      </c>
      <c r="L2285" s="19">
        <v>0.60965180200000002</v>
      </c>
      <c r="M2285" s="19">
        <v>0.71099999999999997</v>
      </c>
      <c r="N2285" s="19">
        <v>0.69379999999999997</v>
      </c>
      <c r="O2285" s="19">
        <v>0.68</v>
      </c>
      <c r="P2285" s="19">
        <v>0.70720000000000005</v>
      </c>
      <c r="Q2285" s="19"/>
      <c r="R2285" s="20">
        <v>38353</v>
      </c>
      <c r="S2285" s="21" t="str">
        <f>HYPERLINK("https://finaid.ucf.edu/net-price-calculator/", "$29892")</f>
        <v>$29892</v>
      </c>
      <c r="T2285" s="20">
        <v>33267</v>
      </c>
      <c r="U2285" s="20">
        <v>36079</v>
      </c>
      <c r="V2285" s="20">
        <v>6122</v>
      </c>
      <c r="W2285" s="20">
        <v>23770.445767195772</v>
      </c>
      <c r="Y2285" s="19">
        <v>0.38090000000000002</v>
      </c>
      <c r="Z2285" s="19">
        <v>0.5071</v>
      </c>
      <c r="AB2285" s="18">
        <v>56366</v>
      </c>
      <c r="AC2285" s="18">
        <v>3</v>
      </c>
    </row>
    <row r="2286" spans="1:29" ht="15.75" customHeight="1" x14ac:dyDescent="0.2">
      <c r="A2286" s="36" t="str">
        <f>HYPERLINK("https://www.ucmo.edu", "University of Central Missouri")</f>
        <v>University of Central Missouri</v>
      </c>
      <c r="B2286" s="18" t="s">
        <v>49</v>
      </c>
      <c r="C2286" s="18" t="s">
        <v>164</v>
      </c>
      <c r="D2286" s="18" t="s">
        <v>1267</v>
      </c>
      <c r="E2286" s="18">
        <v>1105</v>
      </c>
      <c r="F2286" s="18" t="s">
        <v>35</v>
      </c>
      <c r="J2286" s="19"/>
      <c r="K2286" s="19">
        <v>0.4909</v>
      </c>
      <c r="L2286" s="19">
        <v>0.41846522800000002</v>
      </c>
      <c r="M2286" s="19">
        <v>0.52829999999999999</v>
      </c>
      <c r="N2286" s="19">
        <v>0.36820000000000003</v>
      </c>
      <c r="O2286" s="19">
        <v>0.47499999999999998</v>
      </c>
      <c r="P2286" s="19">
        <v>0.53849999999999998</v>
      </c>
      <c r="Q2286" s="19"/>
      <c r="R2286" s="20">
        <v>26194</v>
      </c>
      <c r="S2286" s="21" t="str">
        <f>HYPERLINK("https://www.ucmo.edu/future-students/tuition-costs-and-financial-aid/", "$18347")</f>
        <v>$18347</v>
      </c>
      <c r="T2286" s="20">
        <v>23231</v>
      </c>
      <c r="U2286" s="20">
        <v>25946</v>
      </c>
      <c r="V2286" s="20">
        <v>3400</v>
      </c>
      <c r="W2286" s="20">
        <v>14947.663385826771</v>
      </c>
      <c r="Y2286" s="19">
        <v>0.32090000000000002</v>
      </c>
      <c r="Z2286" s="19">
        <v>0.24610000000000001</v>
      </c>
      <c r="AB2286" s="18">
        <v>8589</v>
      </c>
      <c r="AC2286" s="18">
        <v>4</v>
      </c>
    </row>
    <row r="2287" spans="1:29" ht="15.75" customHeight="1" x14ac:dyDescent="0.2">
      <c r="A2287" s="36" t="str">
        <f>HYPERLINK("https://www.uco.edu", "University of Central Oklahoma")</f>
        <v>University of Central Oklahoma</v>
      </c>
      <c r="B2287" s="18" t="s">
        <v>49</v>
      </c>
      <c r="C2287" s="18" t="s">
        <v>290</v>
      </c>
      <c r="D2287" s="18" t="s">
        <v>437</v>
      </c>
      <c r="E2287" s="18">
        <v>1085</v>
      </c>
      <c r="F2287" s="18" t="s">
        <v>35</v>
      </c>
      <c r="J2287" s="19"/>
      <c r="K2287" s="19">
        <v>0.37709999999999999</v>
      </c>
      <c r="L2287" s="19">
        <v>0.384166126</v>
      </c>
      <c r="M2287" s="19">
        <v>0.41499999999999998</v>
      </c>
      <c r="N2287" s="19">
        <v>0.2243</v>
      </c>
      <c r="O2287" s="19">
        <v>0.38300000000000001</v>
      </c>
      <c r="P2287" s="19">
        <v>0.25640000000000002</v>
      </c>
      <c r="Q2287" s="19"/>
      <c r="R2287" s="20">
        <v>33963</v>
      </c>
      <c r="S2287" s="21" t="str">
        <f>HYPERLINK("https://www.uco.edu/admissions-aid/financial-aid/", "$25123")</f>
        <v>$25123</v>
      </c>
      <c r="T2287" s="20">
        <v>29396</v>
      </c>
      <c r="U2287" s="20">
        <v>32554</v>
      </c>
      <c r="V2287" s="20">
        <v>8546</v>
      </c>
      <c r="W2287" s="20">
        <v>16577.31899109792</v>
      </c>
      <c r="Y2287" s="19">
        <v>0.33810000000000001</v>
      </c>
      <c r="Z2287" s="19">
        <v>0.43859999999999999</v>
      </c>
      <c r="AB2287" s="18">
        <v>14267</v>
      </c>
      <c r="AC2287" s="18">
        <v>4</v>
      </c>
    </row>
    <row r="2288" spans="1:29" ht="15.75" customHeight="1" x14ac:dyDescent="0.2">
      <c r="A2288" s="36" t="str">
        <f>HYPERLINK("https://www.ucwv.edu", "University of Charleston")</f>
        <v>University of Charleston</v>
      </c>
      <c r="B2288" s="18" t="s">
        <v>32</v>
      </c>
      <c r="C2288" s="18" t="s">
        <v>574</v>
      </c>
      <c r="D2288" s="18" t="s">
        <v>334</v>
      </c>
      <c r="E2288" s="18">
        <v>1014</v>
      </c>
      <c r="F2288" s="18" t="s">
        <v>115</v>
      </c>
      <c r="J2288" s="19"/>
      <c r="K2288" s="19">
        <v>0.49390000000000001</v>
      </c>
      <c r="L2288" s="19">
        <v>0.33098591599999999</v>
      </c>
      <c r="M2288" s="19">
        <v>0.52259999999999995</v>
      </c>
      <c r="N2288" s="19">
        <v>0.28210000000000002</v>
      </c>
      <c r="O2288" s="19">
        <v>0.5</v>
      </c>
      <c r="P2288" s="19">
        <v>0.5</v>
      </c>
      <c r="Q2288" s="19"/>
      <c r="R2288" s="20">
        <v>43900</v>
      </c>
      <c r="S2288" s="21" t="str">
        <f>HYPERLINK("https://www.ucwv.edu/NPC/", "$13168")</f>
        <v>$13168</v>
      </c>
      <c r="T2288" s="20">
        <v>13639</v>
      </c>
      <c r="U2288" s="20">
        <v>15952</v>
      </c>
      <c r="V2288" s="20">
        <v>4400</v>
      </c>
      <c r="W2288" s="20">
        <v>8768</v>
      </c>
      <c r="Y2288" s="19">
        <v>0.30380000000000001</v>
      </c>
      <c r="Z2288" s="19">
        <v>0.51929999999999998</v>
      </c>
      <c r="AB2288" s="18">
        <v>1810</v>
      </c>
      <c r="AC2288" s="18">
        <v>4</v>
      </c>
    </row>
    <row r="2289" spans="1:29" ht="15.75" customHeight="1" x14ac:dyDescent="0.2">
      <c r="A2289" s="36" t="str">
        <f>HYPERLINK("https://WWW.UCHICAGO.EDU", "University of Chicago")</f>
        <v>University of Chicago</v>
      </c>
      <c r="B2289" s="18" t="s">
        <v>32</v>
      </c>
      <c r="C2289" s="18" t="s">
        <v>137</v>
      </c>
      <c r="D2289" s="18" t="s">
        <v>161</v>
      </c>
      <c r="E2289" s="18">
        <v>1524</v>
      </c>
      <c r="F2289" s="18" t="s">
        <v>35</v>
      </c>
      <c r="J2289" s="19"/>
      <c r="K2289" s="19">
        <v>0.9284</v>
      </c>
      <c r="L2289" s="19">
        <v>0.95454545499999999</v>
      </c>
      <c r="M2289" s="19">
        <v>0.93469999999999998</v>
      </c>
      <c r="N2289" s="19">
        <v>0.77780000000000005</v>
      </c>
      <c r="O2289" s="19">
        <v>0.92420000000000002</v>
      </c>
      <c r="P2289" s="19">
        <v>0.96740000000000004</v>
      </c>
      <c r="Q2289" s="19"/>
      <c r="R2289" s="20">
        <v>75735</v>
      </c>
      <c r="S2289" s="21" t="str">
        <f>HYPERLINK("https://collegeadmissions.uchicago.edu/costs/calculate", "$2932")</f>
        <v>$2932</v>
      </c>
      <c r="T2289" s="20">
        <v>4672</v>
      </c>
      <c r="U2289" s="20">
        <v>15458</v>
      </c>
      <c r="V2289" s="20">
        <v>3975</v>
      </c>
      <c r="W2289" s="20">
        <v>-1043</v>
      </c>
      <c r="Y2289" s="19">
        <v>0.10780000000000001</v>
      </c>
      <c r="Z2289" s="19">
        <v>0.57889999999999997</v>
      </c>
      <c r="AA2289" s="18" t="s">
        <v>37</v>
      </c>
      <c r="AB2289" s="18">
        <v>6298</v>
      </c>
      <c r="AC2289" s="18">
        <v>1</v>
      </c>
    </row>
    <row r="2290" spans="1:29" ht="15.75" customHeight="1" x14ac:dyDescent="0.2">
      <c r="A2290" s="36" t="str">
        <f>HYPERLINK("https://www.ucblueash.edu/", "University of Cincinnati-Blue Ash College")</f>
        <v>University of Cincinnati-Blue Ash College</v>
      </c>
      <c r="B2290" s="18" t="s">
        <v>49</v>
      </c>
      <c r="C2290" s="18" t="s">
        <v>75</v>
      </c>
      <c r="D2290" s="18" t="s">
        <v>1741</v>
      </c>
      <c r="E2290" s="18" t="s">
        <v>36</v>
      </c>
      <c r="F2290" s="18" t="s">
        <v>36</v>
      </c>
      <c r="J2290" s="19"/>
      <c r="K2290" s="19">
        <v>0.22570000000000001</v>
      </c>
      <c r="L2290" s="19">
        <v>0.31038062300000002</v>
      </c>
      <c r="M2290" s="19">
        <v>0.28050000000000003</v>
      </c>
      <c r="N2290" s="19">
        <v>9.7900000000000001E-2</v>
      </c>
      <c r="O2290" s="19">
        <v>0.23810000000000001</v>
      </c>
      <c r="P2290" s="19">
        <v>0.44</v>
      </c>
      <c r="Q2290" s="19">
        <v>6.6198595999999998E-2</v>
      </c>
      <c r="R2290" s="20">
        <v>34076</v>
      </c>
      <c r="S2290" s="21" t="str">
        <f>HYPERLINK("https://npc.collegeboard.org/student/app/uc", "$27814")</f>
        <v>$27814</v>
      </c>
      <c r="T2290" s="20">
        <v>31425</v>
      </c>
      <c r="U2290" s="20">
        <v>33504</v>
      </c>
      <c r="V2290" s="20">
        <v>7166</v>
      </c>
      <c r="W2290" s="20">
        <v>20648.42045454546</v>
      </c>
      <c r="X2290" s="18" t="s">
        <v>37</v>
      </c>
      <c r="Y2290" s="19">
        <v>0.38579999999999998</v>
      </c>
      <c r="Z2290" s="19">
        <v>0.40289999999999998</v>
      </c>
      <c r="AB2290" s="18">
        <v>4495</v>
      </c>
      <c r="AC2290" s="18">
        <v>6</v>
      </c>
    </row>
    <row r="2291" spans="1:29" ht="15.75" customHeight="1" x14ac:dyDescent="0.2">
      <c r="A2291" s="36" t="str">
        <f>HYPERLINK("https://www.ucclermont.edu/", "University of Cincinnati-Clermont College")</f>
        <v>University of Cincinnati-Clermont College</v>
      </c>
      <c r="B2291" s="18" t="s">
        <v>49</v>
      </c>
      <c r="C2291" s="18" t="s">
        <v>75</v>
      </c>
      <c r="D2291" s="18" t="s">
        <v>1354</v>
      </c>
      <c r="E2291" s="18" t="s">
        <v>36</v>
      </c>
      <c r="F2291" s="18" t="s">
        <v>36</v>
      </c>
      <c r="J2291" s="19"/>
      <c r="K2291" s="19">
        <v>0.24590000000000001</v>
      </c>
      <c r="L2291" s="19">
        <v>0.31038062300000002</v>
      </c>
      <c r="M2291" s="19">
        <v>0.26129999999999998</v>
      </c>
      <c r="N2291" s="19">
        <v>0.1053</v>
      </c>
      <c r="O2291" s="19">
        <v>0.1</v>
      </c>
      <c r="P2291" s="19">
        <v>0.5</v>
      </c>
      <c r="Q2291" s="19">
        <v>6.6198595999999998E-2</v>
      </c>
      <c r="R2291" s="20">
        <v>31816</v>
      </c>
      <c r="S2291" s="21" t="str">
        <f>HYPERLINK("https://npc.collegeboard.org/student/app/uc", "$26317")</f>
        <v>$26317</v>
      </c>
      <c r="T2291" s="20">
        <v>29228</v>
      </c>
      <c r="U2291" s="20">
        <v>30957</v>
      </c>
      <c r="V2291" s="20">
        <v>7166</v>
      </c>
      <c r="W2291" s="20">
        <v>19151.11042944785</v>
      </c>
      <c r="Y2291" s="19">
        <v>0.31559999999999999</v>
      </c>
      <c r="Z2291" s="19">
        <v>0.1679999999999999</v>
      </c>
      <c r="AB2291" s="18">
        <v>2238</v>
      </c>
      <c r="AC2291" s="18">
        <v>6</v>
      </c>
    </row>
    <row r="2292" spans="1:29" ht="15.75" customHeight="1" x14ac:dyDescent="0.2">
      <c r="A2292" s="36" t="str">
        <f>HYPERLINK("https://www.uc.edu", "University of Cincinnati-Main Campus")</f>
        <v>University of Cincinnati-Main Campus</v>
      </c>
      <c r="B2292" s="18" t="s">
        <v>49</v>
      </c>
      <c r="C2292" s="18" t="s">
        <v>75</v>
      </c>
      <c r="D2292" s="18" t="s">
        <v>502</v>
      </c>
      <c r="E2292" s="18">
        <v>1230</v>
      </c>
      <c r="F2292" s="18" t="s">
        <v>35</v>
      </c>
      <c r="J2292" s="19"/>
      <c r="K2292" s="19">
        <v>0.68859999999999999</v>
      </c>
      <c r="L2292" s="19">
        <v>0.31038062300000002</v>
      </c>
      <c r="M2292" s="19">
        <v>0.69879999999999998</v>
      </c>
      <c r="N2292" s="19">
        <v>0.57330000000000003</v>
      </c>
      <c r="O2292" s="19">
        <v>0.66669999999999996</v>
      </c>
      <c r="P2292" s="19">
        <v>0.7419</v>
      </c>
      <c r="Q2292" s="19"/>
      <c r="R2292" s="20">
        <v>44490</v>
      </c>
      <c r="S2292" s="21" t="str">
        <f>HYPERLINK("https://npc.collegeboard.org/student/app/uc", "$34679")</f>
        <v>$34679</v>
      </c>
      <c r="T2292" s="20">
        <v>39648</v>
      </c>
      <c r="U2292" s="20">
        <v>42418</v>
      </c>
      <c r="V2292" s="20">
        <v>6038</v>
      </c>
      <c r="W2292" s="20">
        <v>28641.555932203391</v>
      </c>
      <c r="Y2292" s="19">
        <v>0.21590000000000001</v>
      </c>
      <c r="Z2292" s="19">
        <v>0.25850000000000001</v>
      </c>
      <c r="AB2292" s="18">
        <v>25523</v>
      </c>
      <c r="AC2292" s="18">
        <v>3</v>
      </c>
    </row>
    <row r="2293" spans="1:29" ht="15.75" customHeight="1" x14ac:dyDescent="0.2">
      <c r="A2293" s="36" t="str">
        <f>HYPERLINK("https://www.colorado.edu", "University of Colorado Boulder")</f>
        <v>University of Colorado Boulder</v>
      </c>
      <c r="B2293" s="18" t="s">
        <v>49</v>
      </c>
      <c r="C2293" s="18" t="s">
        <v>87</v>
      </c>
      <c r="D2293" s="18" t="s">
        <v>503</v>
      </c>
      <c r="E2293" s="18">
        <v>1293</v>
      </c>
      <c r="F2293" s="18" t="s">
        <v>35</v>
      </c>
      <c r="J2293" s="19"/>
      <c r="K2293" s="19">
        <v>0.68810000000000004</v>
      </c>
      <c r="L2293" s="19">
        <v>0.55394990399999999</v>
      </c>
      <c r="M2293" s="19">
        <v>0.70520000000000005</v>
      </c>
      <c r="N2293" s="19">
        <v>0.48680000000000001</v>
      </c>
      <c r="O2293" s="19">
        <v>0.61850000000000005</v>
      </c>
      <c r="P2293" s="19">
        <v>0.69920000000000004</v>
      </c>
      <c r="Q2293" s="19"/>
      <c r="R2293" s="20">
        <v>54312</v>
      </c>
      <c r="S2293" s="21" t="str">
        <f>HYPERLINK("https://ofa.colorado.edu/NetPriceCalculator/", "$37934")</f>
        <v>$37934</v>
      </c>
      <c r="T2293" s="20">
        <v>43622</v>
      </c>
      <c r="U2293" s="20">
        <v>49431</v>
      </c>
      <c r="V2293" s="20">
        <v>4094</v>
      </c>
      <c r="W2293" s="20">
        <v>33840.396917148362</v>
      </c>
      <c r="Y2293" s="19">
        <v>0.159</v>
      </c>
      <c r="Z2293" s="19">
        <v>0.32550000000000001</v>
      </c>
      <c r="AB2293" s="18">
        <v>28565</v>
      </c>
      <c r="AC2293" s="18">
        <v>3</v>
      </c>
    </row>
    <row r="2294" spans="1:29" ht="15.75" customHeight="1" x14ac:dyDescent="0.2">
      <c r="A2294" s="36" t="str">
        <f>HYPERLINK("https://www.uccs.edu", "University of Colorado Colorado Springs")</f>
        <v>University of Colorado Colorado Springs</v>
      </c>
      <c r="B2294" s="18" t="s">
        <v>49</v>
      </c>
      <c r="C2294" s="18" t="s">
        <v>87</v>
      </c>
      <c r="D2294" s="18" t="s">
        <v>88</v>
      </c>
      <c r="E2294" s="18">
        <v>1162</v>
      </c>
      <c r="F2294" s="18" t="s">
        <v>35</v>
      </c>
      <c r="J2294" s="19"/>
      <c r="K2294" s="19">
        <v>0.43290000000000001</v>
      </c>
      <c r="L2294" s="19">
        <v>0.45068493199999998</v>
      </c>
      <c r="M2294" s="19">
        <v>0.43490000000000001</v>
      </c>
      <c r="N2294" s="19">
        <v>0.30430000000000001</v>
      </c>
      <c r="O2294" s="19">
        <v>0.44640000000000002</v>
      </c>
      <c r="P2294" s="19">
        <v>0.55169999999999997</v>
      </c>
      <c r="Q2294" s="19"/>
      <c r="R2294" s="20">
        <v>36298</v>
      </c>
      <c r="S2294" s="21" t="str">
        <f>HYPERLINK("https://www.uccs.edu/ir/standard-reports/net-price-calculators.html", "$27819")</f>
        <v>$27819</v>
      </c>
      <c r="T2294" s="20">
        <v>31198</v>
      </c>
      <c r="U2294" s="20">
        <v>34359</v>
      </c>
      <c r="V2294" s="20">
        <v>6400</v>
      </c>
      <c r="W2294" s="20">
        <v>21419.840686274511</v>
      </c>
      <c r="Y2294" s="19">
        <v>0.30959999999999999</v>
      </c>
      <c r="Z2294" s="19">
        <v>0.35659999999999997</v>
      </c>
      <c r="AB2294" s="18">
        <v>10344</v>
      </c>
      <c r="AC2294" s="18">
        <v>3</v>
      </c>
    </row>
    <row r="2295" spans="1:29" ht="15.75" customHeight="1" x14ac:dyDescent="0.2">
      <c r="A2295" s="36" t="str">
        <f>HYPERLINK("https://www.ucdenver.edu/", "University of Colorado Denver/Anschutz Medical Campus")</f>
        <v>University of Colorado Denver/Anschutz Medical Campus</v>
      </c>
      <c r="B2295" s="18" t="s">
        <v>49</v>
      </c>
      <c r="C2295" s="18" t="s">
        <v>87</v>
      </c>
      <c r="D2295" s="18" t="s">
        <v>508</v>
      </c>
      <c r="E2295" s="18">
        <v>1179</v>
      </c>
      <c r="F2295" s="18" t="s">
        <v>35</v>
      </c>
      <c r="J2295" s="19"/>
      <c r="K2295" s="19">
        <v>0.44850000000000001</v>
      </c>
      <c r="L2295" s="19">
        <v>0.53944954099999998</v>
      </c>
      <c r="M2295" s="19">
        <v>0.45</v>
      </c>
      <c r="N2295" s="19">
        <v>0.5484</v>
      </c>
      <c r="O2295" s="19">
        <v>0.39679999999999999</v>
      </c>
      <c r="P2295" s="19">
        <v>0.55930000000000002</v>
      </c>
      <c r="Q2295" s="19"/>
      <c r="R2295" s="20">
        <v>44114</v>
      </c>
      <c r="S2295" s="21" t="str">
        <f>HYPERLINK("https://www.ucdenver.edu/student-services/resources/CostsAndFinancing/FASO/Learn/Pages/Net-Price-Calculator.aspx", "$34593")</f>
        <v>$34593</v>
      </c>
      <c r="T2295" s="20">
        <v>38727</v>
      </c>
      <c r="U2295" s="20">
        <v>42648</v>
      </c>
      <c r="V2295" s="20">
        <v>7254</v>
      </c>
      <c r="W2295" s="20">
        <v>27339.273972602739</v>
      </c>
      <c r="Y2295" s="19">
        <v>0.26079999999999998</v>
      </c>
      <c r="Z2295" s="19">
        <v>0.51919999999999999</v>
      </c>
      <c r="AB2295" s="18">
        <v>11531</v>
      </c>
      <c r="AC2295" s="18">
        <v>4</v>
      </c>
    </row>
    <row r="2296" spans="1:29" ht="15.75" customHeight="1" x14ac:dyDescent="0.2">
      <c r="A2296" s="36" t="str">
        <f>HYPERLINK("https://uconn.edu/", "University of Connecticut")</f>
        <v>University of Connecticut</v>
      </c>
      <c r="B2296" s="18" t="s">
        <v>49</v>
      </c>
      <c r="C2296" s="18" t="s">
        <v>94</v>
      </c>
      <c r="D2296" s="18" t="s">
        <v>276</v>
      </c>
      <c r="E2296" s="18">
        <v>1313</v>
      </c>
      <c r="F2296" s="18" t="s">
        <v>35</v>
      </c>
      <c r="J2296" s="19"/>
      <c r="K2296" s="19">
        <v>0.82850000000000001</v>
      </c>
      <c r="L2296" s="19">
        <v>0.63967136200000008</v>
      </c>
      <c r="M2296" s="19">
        <v>0.85099999999999998</v>
      </c>
      <c r="N2296" s="19">
        <v>0.69420000000000004</v>
      </c>
      <c r="O2296" s="19">
        <v>0.77780000000000005</v>
      </c>
      <c r="P2296" s="19">
        <v>0.84</v>
      </c>
      <c r="Q2296" s="19"/>
      <c r="R2296" s="20">
        <v>53112</v>
      </c>
      <c r="S2296" s="21" t="str">
        <f>HYPERLINK("https://financialaid.uconn.edu/pricecalc/", "$35143")</f>
        <v>$35143</v>
      </c>
      <c r="T2296" s="20">
        <v>41835</v>
      </c>
      <c r="U2296" s="20">
        <v>46548</v>
      </c>
      <c r="V2296" s="20">
        <v>3650</v>
      </c>
      <c r="W2296" s="20">
        <v>31493.823529411758</v>
      </c>
      <c r="Y2296" s="19">
        <v>0.20849999999999999</v>
      </c>
      <c r="Z2296" s="19">
        <v>0.41449999999999998</v>
      </c>
      <c r="AB2296" s="18">
        <v>18930</v>
      </c>
      <c r="AC2296" s="18">
        <v>2</v>
      </c>
    </row>
    <row r="2297" spans="1:29" ht="15.75" customHeight="1" x14ac:dyDescent="0.2">
      <c r="A2297" s="36" t="str">
        <f>HYPERLINK("https://uconn.edu/", "University of Connecticut-Avery Point")</f>
        <v>University of Connecticut-Avery Point</v>
      </c>
      <c r="B2297" s="18" t="s">
        <v>49</v>
      </c>
      <c r="C2297" s="18" t="s">
        <v>94</v>
      </c>
      <c r="D2297" s="18" t="s">
        <v>504</v>
      </c>
      <c r="E2297" s="18">
        <v>1111</v>
      </c>
      <c r="F2297" s="18" t="s">
        <v>35</v>
      </c>
      <c r="J2297" s="19"/>
      <c r="K2297" s="19">
        <v>0.5837</v>
      </c>
      <c r="L2297" s="19">
        <v>0.63967136200000008</v>
      </c>
      <c r="M2297" s="19">
        <v>0.58040000000000003</v>
      </c>
      <c r="N2297" s="19">
        <v>0.57140000000000002</v>
      </c>
      <c r="O2297" s="19">
        <v>0.6</v>
      </c>
      <c r="P2297" s="19">
        <v>0.57889999999999997</v>
      </c>
      <c r="Q2297" s="19"/>
      <c r="R2297" s="20">
        <v>51070</v>
      </c>
      <c r="S2297" s="21" t="str">
        <f>HYPERLINK("https://financialaid.uconn.edu/pricecalc/", "$39719")</f>
        <v>$39719</v>
      </c>
      <c r="T2297" s="20">
        <v>43176</v>
      </c>
      <c r="U2297" s="20">
        <v>49312</v>
      </c>
      <c r="V2297" s="20">
        <v>3650</v>
      </c>
      <c r="W2297" s="20">
        <v>36069.327272727271</v>
      </c>
      <c r="Y2297" s="19">
        <v>0.26319999999999999</v>
      </c>
      <c r="Z2297" s="19">
        <v>0.32150000000000001</v>
      </c>
      <c r="AB2297" s="18">
        <v>619</v>
      </c>
      <c r="AC2297" s="18">
        <v>3</v>
      </c>
    </row>
    <row r="2298" spans="1:29" ht="15.75" customHeight="1" x14ac:dyDescent="0.2">
      <c r="A2298" s="36" t="str">
        <f>HYPERLINK("https://uconn.edu/", "University of Connecticut-Stamford")</f>
        <v>University of Connecticut-Stamford</v>
      </c>
      <c r="B2298" s="18" t="s">
        <v>49</v>
      </c>
      <c r="C2298" s="18" t="s">
        <v>94</v>
      </c>
      <c r="D2298" s="18" t="s">
        <v>1270</v>
      </c>
      <c r="E2298" s="18">
        <v>1085</v>
      </c>
      <c r="F2298" s="18" t="s">
        <v>35</v>
      </c>
      <c r="J2298" s="19"/>
      <c r="K2298" s="19">
        <v>0.64200000000000002</v>
      </c>
      <c r="L2298" s="19">
        <v>0.63967136200000008</v>
      </c>
      <c r="M2298" s="19">
        <v>0.63160000000000005</v>
      </c>
      <c r="N2298" s="19">
        <v>0.5897</v>
      </c>
      <c r="O2298" s="19">
        <v>0.66669999999999996</v>
      </c>
      <c r="P2298" s="19">
        <v>0.71430000000000005</v>
      </c>
      <c r="Q2298" s="19"/>
      <c r="R2298" s="20">
        <v>54192</v>
      </c>
      <c r="S2298" s="21" t="str">
        <f>HYPERLINK("https://financialaid.uconn.edu/pricecalc/", "$43225")</f>
        <v>$43225</v>
      </c>
      <c r="T2298" s="20">
        <v>45167</v>
      </c>
      <c r="U2298" s="20">
        <v>50418</v>
      </c>
      <c r="V2298" s="20">
        <v>3650</v>
      </c>
      <c r="W2298" s="20">
        <v>39575.539823008847</v>
      </c>
      <c r="Y2298" s="19">
        <v>0.3543</v>
      </c>
      <c r="Z2298" s="19">
        <v>0.61620000000000008</v>
      </c>
      <c r="AB2298" s="18">
        <v>1670</v>
      </c>
      <c r="AC2298" s="18">
        <v>4</v>
      </c>
    </row>
    <row r="2299" spans="1:29" ht="15.75" customHeight="1" x14ac:dyDescent="0.2">
      <c r="A2299" s="36" t="str">
        <f>HYPERLINK("https://uconn.edu/", "University of Connecticut-Tri-Campus")</f>
        <v>University of Connecticut-Tri-Campus</v>
      </c>
      <c r="B2299" s="18" t="s">
        <v>49</v>
      </c>
      <c r="C2299" s="18" t="s">
        <v>94</v>
      </c>
      <c r="D2299" s="18" t="s">
        <v>887</v>
      </c>
      <c r="E2299" s="18">
        <v>1086</v>
      </c>
      <c r="F2299" s="18" t="s">
        <v>35</v>
      </c>
      <c r="J2299" s="19"/>
      <c r="K2299" s="19">
        <v>0.59</v>
      </c>
      <c r="L2299" s="19">
        <v>0.63967136200000008</v>
      </c>
      <c r="M2299" s="19">
        <v>0.63590000000000002</v>
      </c>
      <c r="N2299" s="19">
        <v>0.42109999999999997</v>
      </c>
      <c r="O2299" s="19">
        <v>0.41860000000000003</v>
      </c>
      <c r="P2299" s="19">
        <v>0.7</v>
      </c>
      <c r="Q2299" s="19"/>
      <c r="R2299" s="20">
        <v>51070</v>
      </c>
      <c r="S2299" s="21" t="str">
        <f>HYPERLINK("https://financialaid.uconn.edu/pricecalc/", "$39415")</f>
        <v>$39415</v>
      </c>
      <c r="T2299" s="20">
        <v>43018</v>
      </c>
      <c r="U2299" s="20">
        <v>48570</v>
      </c>
      <c r="V2299" s="20">
        <v>3650</v>
      </c>
      <c r="W2299" s="20">
        <v>35765.571428571428</v>
      </c>
      <c r="Y2299" s="19">
        <v>0.37319999999999998</v>
      </c>
      <c r="Z2299" s="19">
        <v>0.44769999999999999</v>
      </c>
      <c r="AB2299" s="18">
        <v>851</v>
      </c>
      <c r="AC2299" s="18">
        <v>5</v>
      </c>
    </row>
    <row r="2300" spans="1:29" ht="15.75" customHeight="1" x14ac:dyDescent="0.2">
      <c r="A2300" s="36" t="str">
        <f>HYPERLINK("https://www.udallas.edu", "University of Dallas")</f>
        <v>University of Dallas</v>
      </c>
      <c r="B2300" s="18" t="s">
        <v>32</v>
      </c>
      <c r="C2300" s="18" t="s">
        <v>146</v>
      </c>
      <c r="D2300" s="18" t="s">
        <v>505</v>
      </c>
      <c r="E2300" s="18">
        <v>1278</v>
      </c>
      <c r="F2300" s="18" t="s">
        <v>35</v>
      </c>
      <c r="J2300" s="19"/>
      <c r="K2300" s="19">
        <v>0.68189999999999995</v>
      </c>
      <c r="L2300" s="19">
        <v>0.44444444399999999</v>
      </c>
      <c r="M2300" s="19">
        <v>0.69379999999999997</v>
      </c>
      <c r="N2300" s="19">
        <v>0.4</v>
      </c>
      <c r="O2300" s="19">
        <v>0.625</v>
      </c>
      <c r="P2300" s="19">
        <v>1</v>
      </c>
      <c r="Q2300" s="19"/>
      <c r="R2300" s="20">
        <v>54876</v>
      </c>
      <c r="S2300" s="21" t="str">
        <f>HYPERLINK("https://www.udallas.edu/admissions/calculator/index.php", "$18387")</f>
        <v>$18387</v>
      </c>
      <c r="T2300" s="20">
        <v>20505</v>
      </c>
      <c r="U2300" s="20">
        <v>21356</v>
      </c>
      <c r="V2300" s="20">
        <v>4200</v>
      </c>
      <c r="W2300" s="20">
        <v>14187</v>
      </c>
      <c r="Y2300" s="19">
        <v>0.22739999999999999</v>
      </c>
      <c r="Z2300" s="19">
        <v>0.38540000000000002</v>
      </c>
      <c r="AB2300" s="18">
        <v>1440</v>
      </c>
      <c r="AC2300" s="18">
        <v>3</v>
      </c>
    </row>
    <row r="2301" spans="1:29" ht="15.75" customHeight="1" x14ac:dyDescent="0.2">
      <c r="A2301" s="36" t="str">
        <f>HYPERLINK("https://www.udayton.edu", "University of Dayton")</f>
        <v>University of Dayton</v>
      </c>
      <c r="B2301" s="18" t="s">
        <v>32</v>
      </c>
      <c r="C2301" s="18" t="s">
        <v>75</v>
      </c>
      <c r="D2301" s="18" t="s">
        <v>506</v>
      </c>
      <c r="E2301" s="18">
        <v>1254</v>
      </c>
      <c r="F2301" s="18" t="s">
        <v>35</v>
      </c>
      <c r="J2301" s="19"/>
      <c r="K2301" s="19">
        <v>0.78680000000000005</v>
      </c>
      <c r="L2301" s="19">
        <v>0.56756756799999997</v>
      </c>
      <c r="M2301" s="19">
        <v>0.80049999999999999</v>
      </c>
      <c r="N2301" s="19">
        <v>0.70689999999999997</v>
      </c>
      <c r="O2301" s="19">
        <v>0.66200000000000003</v>
      </c>
      <c r="P2301" s="19">
        <v>0.80769999999999997</v>
      </c>
      <c r="Q2301" s="19"/>
      <c r="R2301" s="20">
        <v>57680</v>
      </c>
      <c r="S2301" s="21" t="str">
        <f>HYPERLINK("https://udayton.edu/netprice/index.php", "$27732")</f>
        <v>$27732</v>
      </c>
      <c r="T2301" s="20">
        <v>28171</v>
      </c>
      <c r="U2301" s="20">
        <v>31021</v>
      </c>
      <c r="V2301" s="20">
        <v>2750</v>
      </c>
      <c r="W2301" s="20">
        <v>24982</v>
      </c>
      <c r="Y2301" s="19">
        <v>0.1071</v>
      </c>
      <c r="Z2301" s="19">
        <v>0.2074</v>
      </c>
      <c r="AB2301" s="18">
        <v>8422</v>
      </c>
      <c r="AC2301" s="18">
        <v>3</v>
      </c>
    </row>
    <row r="2302" spans="1:29" ht="15.75" customHeight="1" x14ac:dyDescent="0.2">
      <c r="A2302" s="36" t="str">
        <f>HYPERLINK("https://www.udel.edu/", "University of Delaware")</f>
        <v>University of Delaware</v>
      </c>
      <c r="B2302" s="18" t="s">
        <v>49</v>
      </c>
      <c r="C2302" s="18" t="s">
        <v>507</v>
      </c>
      <c r="D2302" s="18" t="s">
        <v>425</v>
      </c>
      <c r="E2302" s="18">
        <v>1250</v>
      </c>
      <c r="F2302" s="18" t="s">
        <v>35</v>
      </c>
      <c r="J2302" s="19"/>
      <c r="K2302" s="19">
        <v>0.82350000000000001</v>
      </c>
      <c r="L2302" s="19">
        <v>0.59763313600000001</v>
      </c>
      <c r="M2302" s="19">
        <v>0.8347</v>
      </c>
      <c r="N2302" s="19">
        <v>0.75970000000000004</v>
      </c>
      <c r="O2302" s="19">
        <v>0.77810000000000001</v>
      </c>
      <c r="P2302" s="19">
        <v>0.81330000000000002</v>
      </c>
      <c r="Q2302" s="19"/>
      <c r="R2302" s="20">
        <v>47782</v>
      </c>
      <c r="S2302" s="21" t="str">
        <f>HYPERLINK("https://www1.udel.edu/npc/", "$34496")</f>
        <v>$34496</v>
      </c>
      <c r="T2302" s="20">
        <v>36742</v>
      </c>
      <c r="U2302" s="20">
        <v>40503</v>
      </c>
      <c r="V2302" s="20">
        <v>2300</v>
      </c>
      <c r="W2302" s="20">
        <v>32196.633663366341</v>
      </c>
      <c r="Y2302" s="19">
        <v>0.1389</v>
      </c>
      <c r="Z2302" s="19">
        <v>0.28199999999999997</v>
      </c>
      <c r="AB2302" s="18">
        <v>18948</v>
      </c>
      <c r="AC2302" s="18">
        <v>3</v>
      </c>
    </row>
    <row r="2303" spans="1:29" ht="15.75" customHeight="1" x14ac:dyDescent="0.2">
      <c r="A2303" s="36" t="str">
        <f>HYPERLINK("https://www.du.edu", "University of Denver")</f>
        <v>University of Denver</v>
      </c>
      <c r="B2303" s="18" t="s">
        <v>32</v>
      </c>
      <c r="C2303" s="18" t="s">
        <v>87</v>
      </c>
      <c r="D2303" s="18" t="s">
        <v>508</v>
      </c>
      <c r="E2303" s="18">
        <v>1294</v>
      </c>
      <c r="F2303" s="18" t="s">
        <v>35</v>
      </c>
      <c r="J2303" s="19"/>
      <c r="K2303" s="19">
        <v>0.75119999999999998</v>
      </c>
      <c r="L2303" s="19">
        <v>0.63358778599999999</v>
      </c>
      <c r="M2303" s="19">
        <v>0.78049999999999997</v>
      </c>
      <c r="N2303" s="19">
        <v>0.70589999999999997</v>
      </c>
      <c r="O2303" s="19">
        <v>0.67469999999999997</v>
      </c>
      <c r="P2303" s="19">
        <v>0.6522</v>
      </c>
      <c r="Q2303" s="19"/>
      <c r="R2303" s="20">
        <v>65376</v>
      </c>
      <c r="S2303" s="21" t="str">
        <f>HYPERLINK("https://www.du.edu/financialaid/undergraduate/calculator/", "$21335")</f>
        <v>$21335</v>
      </c>
      <c r="T2303" s="20">
        <v>28934</v>
      </c>
      <c r="U2303" s="20">
        <v>29315</v>
      </c>
      <c r="V2303" s="20">
        <v>4095</v>
      </c>
      <c r="W2303" s="20">
        <v>17240</v>
      </c>
      <c r="Y2303" s="19">
        <v>0.15379999999999999</v>
      </c>
      <c r="Z2303" s="19">
        <v>0.31309999999999999</v>
      </c>
      <c r="AB2303" s="18">
        <v>5753</v>
      </c>
      <c r="AC2303" s="18">
        <v>3</v>
      </c>
    </row>
    <row r="2304" spans="1:29" ht="15.75" customHeight="1" x14ac:dyDescent="0.2">
      <c r="A2304" s="36" t="str">
        <f>HYPERLINK("https://www.udmercy.edu", "University of Detroit Mercy")</f>
        <v>University of Detroit Mercy</v>
      </c>
      <c r="B2304" s="18" t="s">
        <v>32</v>
      </c>
      <c r="C2304" s="18" t="s">
        <v>226</v>
      </c>
      <c r="D2304" s="18" t="s">
        <v>668</v>
      </c>
      <c r="E2304" s="18">
        <v>1163</v>
      </c>
      <c r="F2304" s="18" t="s">
        <v>35</v>
      </c>
      <c r="J2304" s="19"/>
      <c r="K2304" s="19">
        <v>0.62190000000000001</v>
      </c>
      <c r="L2304" s="19">
        <v>0.53355704700000006</v>
      </c>
      <c r="M2304" s="19">
        <v>0.66749999999999998</v>
      </c>
      <c r="N2304" s="19">
        <v>0.29509999999999997</v>
      </c>
      <c r="O2304" s="19">
        <v>0.73680000000000001</v>
      </c>
      <c r="P2304" s="19">
        <v>0.76190000000000002</v>
      </c>
      <c r="Q2304" s="19"/>
      <c r="R2304" s="20">
        <v>57378</v>
      </c>
      <c r="S2304" s="21" t="str">
        <f>HYPERLINK("https://www.udmercy.edu/admission/financial-aid/cost/netprice-calc.php", "$15409")</f>
        <v>$15409</v>
      </c>
      <c r="T2304" s="20">
        <v>18486</v>
      </c>
      <c r="U2304" s="20">
        <v>20364</v>
      </c>
      <c r="V2304" s="20">
        <v>6768</v>
      </c>
      <c r="W2304" s="20">
        <v>8641</v>
      </c>
      <c r="Y2304" s="19">
        <v>0.2959</v>
      </c>
      <c r="Z2304" s="19">
        <v>0.39300000000000002</v>
      </c>
      <c r="AB2304" s="18">
        <v>2674</v>
      </c>
      <c r="AC2304" s="18">
        <v>4</v>
      </c>
    </row>
    <row r="2305" spans="1:29" ht="15.75" customHeight="1" x14ac:dyDescent="0.2">
      <c r="A2305" s="36" t="str">
        <f>HYPERLINK("https://www.dbq.edu", "University of Dubuque")</f>
        <v>University of Dubuque</v>
      </c>
      <c r="B2305" s="18" t="s">
        <v>32</v>
      </c>
      <c r="C2305" s="18" t="s">
        <v>211</v>
      </c>
      <c r="D2305" s="18" t="s">
        <v>397</v>
      </c>
      <c r="E2305" s="18">
        <v>992</v>
      </c>
      <c r="F2305" s="18" t="s">
        <v>35</v>
      </c>
      <c r="J2305" s="19"/>
      <c r="K2305" s="19">
        <v>0.42770000000000002</v>
      </c>
      <c r="L2305" s="19">
        <v>0.39898989899999998</v>
      </c>
      <c r="M2305" s="19">
        <v>0.47960000000000003</v>
      </c>
      <c r="N2305" s="19">
        <v>0.26319999999999999</v>
      </c>
      <c r="O2305" s="19">
        <v>0.33329999999999999</v>
      </c>
      <c r="P2305" s="19">
        <v>0.42859999999999998</v>
      </c>
      <c r="Q2305" s="19"/>
      <c r="R2305" s="20">
        <v>41010</v>
      </c>
      <c r="S2305" s="21" t="str">
        <f>HYPERLINK("https://www.dbq.edu/admission/financialaid/netpricecalculator/npcalc.htm", "$18339")</f>
        <v>$18339</v>
      </c>
      <c r="T2305" s="20">
        <v>20430</v>
      </c>
      <c r="U2305" s="20">
        <v>25055</v>
      </c>
      <c r="V2305" s="20">
        <v>1850</v>
      </c>
      <c r="W2305" s="20">
        <v>16489</v>
      </c>
      <c r="Y2305" s="19">
        <v>0.46310000000000001</v>
      </c>
      <c r="Z2305" s="19">
        <v>0.39539999999999997</v>
      </c>
      <c r="AB2305" s="18">
        <v>1955</v>
      </c>
      <c r="AC2305" s="18">
        <v>4</v>
      </c>
    </row>
    <row r="2306" spans="1:29" ht="15.75" customHeight="1" x14ac:dyDescent="0.2">
      <c r="A2306" s="36" t="str">
        <f>HYPERLINK("https://www.evansville.edu/", "University of Evansville")</f>
        <v>University of Evansville</v>
      </c>
      <c r="B2306" s="18" t="s">
        <v>32</v>
      </c>
      <c r="C2306" s="18" t="s">
        <v>148</v>
      </c>
      <c r="D2306" s="18" t="s">
        <v>509</v>
      </c>
      <c r="E2306" s="18">
        <v>1187</v>
      </c>
      <c r="F2306" s="18" t="s">
        <v>115</v>
      </c>
      <c r="J2306" s="19"/>
      <c r="K2306" s="19">
        <v>0.71700000000000008</v>
      </c>
      <c r="L2306" s="19">
        <v>0.52571428600000003</v>
      </c>
      <c r="M2306" s="19">
        <v>0.72489999999999999</v>
      </c>
      <c r="N2306" s="19">
        <v>0.38890000000000002</v>
      </c>
      <c r="O2306" s="19">
        <v>0.52629999999999999</v>
      </c>
      <c r="P2306" s="19">
        <v>1</v>
      </c>
      <c r="Q2306" s="19"/>
      <c r="R2306" s="20">
        <v>50868</v>
      </c>
      <c r="S2306" s="21" t="str">
        <f>HYPERLINK("https://www.evansville.edu/tuitionandaid/calculator.cfm", "$14495")</f>
        <v>$14495</v>
      </c>
      <c r="T2306" s="20">
        <v>20211</v>
      </c>
      <c r="U2306" s="20">
        <v>25251</v>
      </c>
      <c r="V2306" s="20">
        <v>3314</v>
      </c>
      <c r="W2306" s="20">
        <v>11181</v>
      </c>
      <c r="Y2306" s="19">
        <v>0.22570000000000001</v>
      </c>
      <c r="Z2306" s="19">
        <v>0.27229999999999999</v>
      </c>
      <c r="AB2306" s="18">
        <v>2049</v>
      </c>
      <c r="AC2306" s="18">
        <v>3</v>
      </c>
    </row>
    <row r="2307" spans="1:29" ht="15.75" customHeight="1" x14ac:dyDescent="0.2">
      <c r="A2307" s="36" t="str">
        <f>HYPERLINK("https://www.ufl.edu/", "University of Florida-Online")</f>
        <v>University of Florida-Online</v>
      </c>
      <c r="B2307" s="18" t="s">
        <v>49</v>
      </c>
      <c r="C2307" s="18" t="s">
        <v>162</v>
      </c>
      <c r="D2307" s="18" t="s">
        <v>277</v>
      </c>
      <c r="E2307" s="18">
        <v>1356</v>
      </c>
      <c r="F2307" s="18" t="s">
        <v>35</v>
      </c>
      <c r="J2307" s="19"/>
      <c r="K2307" s="19">
        <v>0.88029999999999997</v>
      </c>
      <c r="L2307" s="19">
        <v>0.79632792500000005</v>
      </c>
      <c r="M2307" s="19">
        <v>0.89249999999999996</v>
      </c>
      <c r="N2307" s="19">
        <v>0.81740000000000002</v>
      </c>
      <c r="O2307" s="19">
        <v>0.87609999999999999</v>
      </c>
      <c r="P2307" s="19">
        <v>0.88980000000000004</v>
      </c>
      <c r="Q2307" s="19"/>
      <c r="R2307" s="20">
        <v>43409</v>
      </c>
      <c r="S2307" s="21" t="str">
        <f>HYPERLINK("https://npc.collegeboard.org/student/app/ufl", "$28713")</f>
        <v>$28713</v>
      </c>
      <c r="T2307" s="20">
        <v>29989</v>
      </c>
      <c r="U2307" s="20">
        <v>33620</v>
      </c>
      <c r="V2307" s="20">
        <v>4840</v>
      </c>
      <c r="W2307" s="20">
        <v>23873.53696498054</v>
      </c>
      <c r="Y2307" s="19">
        <v>0.26069999999999999</v>
      </c>
      <c r="Z2307" s="19">
        <v>0.4526</v>
      </c>
      <c r="AB2307" s="18">
        <v>33655</v>
      </c>
      <c r="AC2307" s="18">
        <v>2</v>
      </c>
    </row>
    <row r="2308" spans="1:29" ht="15.75" customHeight="1" x14ac:dyDescent="0.2">
      <c r="A2308" s="36" t="str">
        <f>HYPERLINK("https://www.ufonline.ufl.edu", "University of Florida")</f>
        <v>University of Florida</v>
      </c>
      <c r="B2308" s="18" t="s">
        <v>49</v>
      </c>
      <c r="C2308" s="18" t="s">
        <v>162</v>
      </c>
      <c r="D2308" s="18" t="s">
        <v>277</v>
      </c>
      <c r="E2308" s="18">
        <v>1235</v>
      </c>
      <c r="F2308" s="18" t="s">
        <v>35</v>
      </c>
      <c r="J2308" s="19"/>
      <c r="K2308" s="19" t="s">
        <v>36</v>
      </c>
      <c r="L2308" s="19">
        <v>0.79632792500000005</v>
      </c>
      <c r="M2308" s="19" t="s">
        <v>36</v>
      </c>
      <c r="N2308" s="19" t="s">
        <v>36</v>
      </c>
      <c r="O2308" s="19" t="s">
        <v>36</v>
      </c>
      <c r="P2308" s="19" t="s">
        <v>36</v>
      </c>
      <c r="Q2308" s="19"/>
      <c r="R2308" s="20">
        <v>30360</v>
      </c>
      <c r="S2308" s="21" t="str">
        <f>HYPERLINK("https://ufonline.ufl.edu/net-price-calculator/", "$20699")</f>
        <v>$20699</v>
      </c>
      <c r="T2308" s="20">
        <v>20598</v>
      </c>
      <c r="U2308" s="20">
        <v>23604</v>
      </c>
      <c r="V2308" s="20">
        <v>3870</v>
      </c>
      <c r="W2308" s="20">
        <v>16829.538461538461</v>
      </c>
      <c r="Y2308" s="19">
        <v>0.31830000000000003</v>
      </c>
      <c r="Z2308" s="19">
        <v>0.37590000000000001</v>
      </c>
      <c r="AB2308" s="18">
        <v>2735</v>
      </c>
      <c r="AC2308" s="18">
        <v>2</v>
      </c>
    </row>
    <row r="2309" spans="1:29" ht="15.75" customHeight="1" x14ac:dyDescent="0.2">
      <c r="A2309" s="36" t="str">
        <f>HYPERLINK("https://uftl.edu/", "University of Fort Lauderdale")</f>
        <v>University of Fort Lauderdale</v>
      </c>
      <c r="B2309" s="18" t="s">
        <v>32</v>
      </c>
      <c r="C2309" s="18" t="s">
        <v>162</v>
      </c>
      <c r="D2309" s="18" t="s">
        <v>1742</v>
      </c>
      <c r="E2309" s="18" t="s">
        <v>36</v>
      </c>
      <c r="F2309" s="18" t="s">
        <v>36</v>
      </c>
      <c r="J2309" s="19"/>
      <c r="K2309" s="19">
        <v>0.1429</v>
      </c>
      <c r="L2309" s="19" t="s">
        <v>36</v>
      </c>
      <c r="M2309" s="19" t="s">
        <v>36</v>
      </c>
      <c r="N2309" s="19">
        <v>0.1429</v>
      </c>
      <c r="O2309" s="19" t="s">
        <v>36</v>
      </c>
      <c r="P2309" s="19" t="s">
        <v>36</v>
      </c>
      <c r="Q2309" s="19" t="s">
        <v>36</v>
      </c>
      <c r="R2309" s="20">
        <v>20839</v>
      </c>
      <c r="S2309" s="21" t="str">
        <f>HYPERLINK("https://uftl.edu/UFTLFinancialAid.php", "$8218")</f>
        <v>$8218</v>
      </c>
      <c r="T2309" s="20" t="s">
        <v>36</v>
      </c>
      <c r="U2309" s="20" t="s">
        <v>36</v>
      </c>
      <c r="V2309" s="20">
        <v>5155</v>
      </c>
      <c r="W2309" s="20">
        <v>3063</v>
      </c>
      <c r="Y2309" s="19">
        <v>0.68969999999999998</v>
      </c>
      <c r="Z2309" s="19">
        <v>0.98250000000000004</v>
      </c>
      <c r="AB2309" s="18">
        <v>57</v>
      </c>
      <c r="AC2309" s="18">
        <v>6</v>
      </c>
    </row>
    <row r="2310" spans="1:29" ht="15.75" customHeight="1" x14ac:dyDescent="0.2">
      <c r="A2310" s="36" t="str">
        <f>HYPERLINK("https://www.uga.edu", "University of Georgia")</f>
        <v>University of Georgia</v>
      </c>
      <c r="B2310" s="18" t="s">
        <v>49</v>
      </c>
      <c r="C2310" s="18" t="s">
        <v>107</v>
      </c>
      <c r="D2310" s="18" t="s">
        <v>278</v>
      </c>
      <c r="E2310" s="18">
        <v>1316</v>
      </c>
      <c r="F2310" s="18" t="s">
        <v>35</v>
      </c>
      <c r="J2310" s="19"/>
      <c r="K2310" s="19">
        <v>0.85270000000000001</v>
      </c>
      <c r="L2310" s="19">
        <v>0.66077441100000001</v>
      </c>
      <c r="M2310" s="19">
        <v>0.86160000000000003</v>
      </c>
      <c r="N2310" s="19">
        <v>0.83260000000000001</v>
      </c>
      <c r="O2310" s="19">
        <v>0.83850000000000002</v>
      </c>
      <c r="P2310" s="19">
        <v>0.84699999999999998</v>
      </c>
      <c r="Q2310" s="19"/>
      <c r="R2310" s="20">
        <v>44978</v>
      </c>
      <c r="S2310" s="21" t="str">
        <f>HYPERLINK("https://osfa.uga.edu/sites/default/files/npcalc.htm", "$30032")</f>
        <v>$30032</v>
      </c>
      <c r="T2310" s="20">
        <v>34159</v>
      </c>
      <c r="U2310" s="20">
        <v>36107</v>
      </c>
      <c r="V2310" s="20">
        <v>4526</v>
      </c>
      <c r="W2310" s="20">
        <v>25506.573264781491</v>
      </c>
      <c r="Y2310" s="19">
        <v>0.21529999999999999</v>
      </c>
      <c r="Z2310" s="19">
        <v>0.30709999999999998</v>
      </c>
      <c r="AB2310" s="18">
        <v>28740</v>
      </c>
      <c r="AC2310" s="18">
        <v>2</v>
      </c>
    </row>
    <row r="2311" spans="1:29" ht="15.75" customHeight="1" x14ac:dyDescent="0.2">
      <c r="A2311" s="36" t="str">
        <f>HYPERLINK("https://www.hartford.edu", "University of Hartford")</f>
        <v>University of Hartford</v>
      </c>
      <c r="B2311" s="18" t="s">
        <v>32</v>
      </c>
      <c r="C2311" s="18" t="s">
        <v>94</v>
      </c>
      <c r="D2311" s="18" t="s">
        <v>909</v>
      </c>
      <c r="E2311" s="18">
        <v>1140</v>
      </c>
      <c r="F2311" s="18" t="s">
        <v>35</v>
      </c>
      <c r="J2311" s="19"/>
      <c r="K2311" s="19">
        <v>0.59599999999999997</v>
      </c>
      <c r="L2311" s="19">
        <v>0.489795918</v>
      </c>
      <c r="M2311" s="19">
        <v>0.63700000000000001</v>
      </c>
      <c r="N2311" s="19">
        <v>0.53810000000000002</v>
      </c>
      <c r="O2311" s="19">
        <v>0.50380000000000003</v>
      </c>
      <c r="P2311" s="19">
        <v>0.5</v>
      </c>
      <c r="Q2311" s="19"/>
      <c r="R2311" s="20">
        <v>54662</v>
      </c>
      <c r="S2311" s="21" t="str">
        <f>HYPERLINK("https://hartford.studentaidcalculator.com/", "$27780")</f>
        <v>$27780</v>
      </c>
      <c r="T2311" s="20">
        <v>29379</v>
      </c>
      <c r="U2311" s="20">
        <v>30911</v>
      </c>
      <c r="V2311" s="20">
        <v>3406</v>
      </c>
      <c r="W2311" s="20">
        <v>24374</v>
      </c>
      <c r="Y2311" s="19">
        <v>0.26889999999999997</v>
      </c>
      <c r="Z2311" s="19">
        <v>0.45050000000000001</v>
      </c>
      <c r="AB2311" s="18">
        <v>4835</v>
      </c>
      <c r="AC2311" s="18">
        <v>4</v>
      </c>
    </row>
    <row r="2312" spans="1:29" ht="15.75" customHeight="1" x14ac:dyDescent="0.2">
      <c r="A2312" s="36" t="str">
        <f>HYPERLINK("https://maui.hawaii.edu", "University of Hawaii Maui College")</f>
        <v>University of Hawaii Maui College</v>
      </c>
      <c r="B2312" s="18" t="s">
        <v>49</v>
      </c>
      <c r="C2312" s="18" t="s">
        <v>313</v>
      </c>
      <c r="D2312" s="18" t="s">
        <v>1743</v>
      </c>
      <c r="E2312" s="18" t="s">
        <v>36</v>
      </c>
      <c r="F2312" s="18" t="s">
        <v>36</v>
      </c>
      <c r="J2312" s="19"/>
      <c r="K2312" s="19">
        <v>0.16769999999999999</v>
      </c>
      <c r="L2312" s="19">
        <v>0.23058542400000001</v>
      </c>
      <c r="M2312" s="19">
        <v>0.22220000000000001</v>
      </c>
      <c r="N2312" s="19">
        <v>0</v>
      </c>
      <c r="O2312" s="19">
        <v>0.1739</v>
      </c>
      <c r="P2312" s="19">
        <v>0.21929999999999999</v>
      </c>
      <c r="Q2312" s="19">
        <v>3.5087719000000003E-2</v>
      </c>
      <c r="R2312" s="20">
        <v>30478</v>
      </c>
      <c r="S2312" s="21" t="str">
        <f>HYPERLINK("https://maui.hawaii.edu/netpricecalculator/", "$25326")</f>
        <v>$25326</v>
      </c>
      <c r="T2312" s="20">
        <v>27426</v>
      </c>
      <c r="U2312" s="20">
        <v>29368</v>
      </c>
      <c r="V2312" s="20">
        <v>7522</v>
      </c>
      <c r="W2312" s="20">
        <v>17804.48201438849</v>
      </c>
      <c r="Y2312" s="19">
        <v>0.34410000000000002</v>
      </c>
      <c r="Z2312" s="19">
        <v>0.83630000000000004</v>
      </c>
      <c r="AB2312" s="18">
        <v>2621</v>
      </c>
      <c r="AC2312" s="18">
        <v>6</v>
      </c>
    </row>
    <row r="2313" spans="1:29" ht="15.75" customHeight="1" x14ac:dyDescent="0.2">
      <c r="A2313" s="36" t="str">
        <f>HYPERLINK("https://hilo.hawaii.edu", "University of Hawaii at Hilo")</f>
        <v>University of Hawaii at Hilo</v>
      </c>
      <c r="B2313" s="18" t="s">
        <v>49</v>
      </c>
      <c r="C2313" s="18" t="s">
        <v>313</v>
      </c>
      <c r="D2313" s="18" t="s">
        <v>1273</v>
      </c>
      <c r="E2313" s="18">
        <v>1047</v>
      </c>
      <c r="F2313" s="18" t="s">
        <v>35</v>
      </c>
      <c r="J2313" s="19"/>
      <c r="K2313" s="19">
        <v>0.41010000000000002</v>
      </c>
      <c r="L2313" s="19">
        <v>0.45344129599999999</v>
      </c>
      <c r="M2313" s="19">
        <v>0.30209999999999998</v>
      </c>
      <c r="N2313" s="19">
        <v>0.5</v>
      </c>
      <c r="O2313" s="19">
        <v>0.46</v>
      </c>
      <c r="P2313" s="19">
        <v>0.53059999999999996</v>
      </c>
      <c r="Q2313" s="19"/>
      <c r="R2313" s="20">
        <v>36128</v>
      </c>
      <c r="S2313" s="21" t="str">
        <f>HYPERLINK("https://hilo.hawaii.edu/financialaid/netprice/", "$26861")</f>
        <v>$26861</v>
      </c>
      <c r="T2313" s="20">
        <v>29117</v>
      </c>
      <c r="U2313" s="20">
        <v>33293</v>
      </c>
      <c r="V2313" s="20">
        <v>4456</v>
      </c>
      <c r="W2313" s="20">
        <v>22405.357142857141</v>
      </c>
      <c r="Y2313" s="19">
        <v>0.48099999999999998</v>
      </c>
      <c r="Z2313" s="19">
        <v>0.79889999999999994</v>
      </c>
      <c r="AB2313" s="18">
        <v>2855</v>
      </c>
      <c r="AC2313" s="18">
        <v>4</v>
      </c>
    </row>
    <row r="2314" spans="1:29" ht="15.75" customHeight="1" x14ac:dyDescent="0.2">
      <c r="A2314" s="36" t="str">
        <f>HYPERLINK("https://manoa.hawaii.edu", "University of Hawaii at Manoa")</f>
        <v>University of Hawaii at Manoa</v>
      </c>
      <c r="B2314" s="18" t="s">
        <v>49</v>
      </c>
      <c r="C2314" s="18" t="s">
        <v>313</v>
      </c>
      <c r="D2314" s="18" t="s">
        <v>510</v>
      </c>
      <c r="E2314" s="18">
        <v>1154</v>
      </c>
      <c r="F2314" s="18" t="s">
        <v>35</v>
      </c>
      <c r="J2314" s="19"/>
      <c r="K2314" s="19">
        <v>0.59950000000000003</v>
      </c>
      <c r="L2314" s="19">
        <v>0.54419410800000001</v>
      </c>
      <c r="M2314" s="19">
        <v>0.44030000000000002</v>
      </c>
      <c r="N2314" s="19">
        <v>0.28000000000000003</v>
      </c>
      <c r="O2314" s="19">
        <v>0.51080000000000003</v>
      </c>
      <c r="P2314" s="19">
        <v>0.72640000000000005</v>
      </c>
      <c r="Q2314" s="19"/>
      <c r="R2314" s="20">
        <v>51550</v>
      </c>
      <c r="S2314" s="21" t="str">
        <f>HYPERLINK("https://www.hawaii.edu/fas/basics/calculator.php", "$40595")</f>
        <v>$40595</v>
      </c>
      <c r="T2314" s="20">
        <v>44615</v>
      </c>
      <c r="U2314" s="20">
        <v>46684</v>
      </c>
      <c r="V2314" s="20">
        <v>4091</v>
      </c>
      <c r="W2314" s="20">
        <v>36504.29</v>
      </c>
      <c r="Y2314" s="19">
        <v>0.29749999999999999</v>
      </c>
      <c r="Z2314" s="19">
        <v>0.82979999999999998</v>
      </c>
      <c r="AB2314" s="18">
        <v>12583</v>
      </c>
      <c r="AC2314" s="18">
        <v>3</v>
      </c>
    </row>
    <row r="2315" spans="1:29" ht="15.75" customHeight="1" x14ac:dyDescent="0.2">
      <c r="A2315" s="36" t="str">
        <f>HYPERLINK("https://www.uh.edu/", "University of Houston")</f>
        <v>University of Houston</v>
      </c>
      <c r="B2315" s="18" t="s">
        <v>49</v>
      </c>
      <c r="C2315" s="18" t="s">
        <v>146</v>
      </c>
      <c r="D2315" s="18" t="s">
        <v>147</v>
      </c>
      <c r="E2315" s="18">
        <v>1202</v>
      </c>
      <c r="F2315" s="18" t="s">
        <v>35</v>
      </c>
      <c r="J2315" s="19"/>
      <c r="K2315" s="19">
        <v>0.53680000000000005</v>
      </c>
      <c r="L2315" s="19">
        <v>0.50900763399999993</v>
      </c>
      <c r="M2315" s="19">
        <v>0.50729999999999997</v>
      </c>
      <c r="N2315" s="19">
        <v>0.45879999999999999</v>
      </c>
      <c r="O2315" s="19">
        <v>0.51070000000000004</v>
      </c>
      <c r="P2315" s="19">
        <v>0.64359999999999995</v>
      </c>
      <c r="Q2315" s="19"/>
      <c r="R2315" s="20">
        <v>37306</v>
      </c>
      <c r="S2315" s="21" t="str">
        <f>HYPERLINK("https://www.uh.edu/financial/net-price-calculator/", "$25849")</f>
        <v>$25849</v>
      </c>
      <c r="T2315" s="20">
        <v>28449</v>
      </c>
      <c r="U2315" s="20">
        <v>33439</v>
      </c>
      <c r="V2315" s="20">
        <v>5256</v>
      </c>
      <c r="W2315" s="20">
        <v>20593.790281329919</v>
      </c>
      <c r="Y2315" s="19">
        <v>0.37440000000000001</v>
      </c>
      <c r="Z2315" s="19">
        <v>0.76329999999999998</v>
      </c>
      <c r="AB2315" s="18">
        <v>35985</v>
      </c>
      <c r="AC2315" s="18">
        <v>3</v>
      </c>
    </row>
    <row r="2316" spans="1:29" ht="15.75" customHeight="1" x14ac:dyDescent="0.2">
      <c r="A2316" s="36" t="str">
        <f>HYPERLINK("https://www.uhd.edu", "University of Houston-Downtown")</f>
        <v>University of Houston-Downtown</v>
      </c>
      <c r="B2316" s="18" t="s">
        <v>49</v>
      </c>
      <c r="C2316" s="18" t="s">
        <v>146</v>
      </c>
      <c r="D2316" s="18" t="s">
        <v>147</v>
      </c>
      <c r="E2316" s="18">
        <v>997</v>
      </c>
      <c r="F2316" s="18" t="s">
        <v>35</v>
      </c>
      <c r="J2316" s="19"/>
      <c r="K2316" s="19">
        <v>0.20760000000000001</v>
      </c>
      <c r="L2316" s="19">
        <v>0.30339588899999997</v>
      </c>
      <c r="M2316" s="19">
        <v>0.2336</v>
      </c>
      <c r="N2316" s="19">
        <v>0.16750000000000001</v>
      </c>
      <c r="O2316" s="19">
        <v>0.21360000000000001</v>
      </c>
      <c r="P2316" s="19">
        <v>0.1951</v>
      </c>
      <c r="Q2316" s="19"/>
      <c r="R2316" s="20">
        <v>33434</v>
      </c>
      <c r="S2316" s="21" t="str">
        <f>HYPERLINK("https://www.uhd.edu/financial/cost/Pages/financial-cost-calculator.aspx", "$23814")</f>
        <v>$23814</v>
      </c>
      <c r="T2316" s="20">
        <v>27328</v>
      </c>
      <c r="U2316" s="20">
        <v>30661</v>
      </c>
      <c r="V2316" s="20">
        <v>8198</v>
      </c>
      <c r="W2316" s="20">
        <v>15616.84440227704</v>
      </c>
      <c r="Y2316" s="19">
        <v>0.46010000000000001</v>
      </c>
      <c r="Z2316" s="19">
        <v>0.84319999999999995</v>
      </c>
      <c r="AB2316" s="18">
        <v>12310</v>
      </c>
      <c r="AC2316" s="18">
        <v>5</v>
      </c>
    </row>
    <row r="2317" spans="1:29" ht="15.75" customHeight="1" x14ac:dyDescent="0.2">
      <c r="A2317" s="36" t="str">
        <f>HYPERLINK("https://www.uidaho.edu", "University of Idaho")</f>
        <v>University of Idaho</v>
      </c>
      <c r="B2317" s="18" t="s">
        <v>49</v>
      </c>
      <c r="C2317" s="18" t="s">
        <v>486</v>
      </c>
      <c r="D2317" s="18" t="s">
        <v>1274</v>
      </c>
      <c r="E2317" s="18">
        <v>1127</v>
      </c>
      <c r="F2317" s="18" t="s">
        <v>35</v>
      </c>
      <c r="J2317" s="19"/>
      <c r="K2317" s="19">
        <v>0.54859999999999998</v>
      </c>
      <c r="L2317" s="19">
        <v>0.50467289700000006</v>
      </c>
      <c r="M2317" s="19">
        <v>0.56340000000000001</v>
      </c>
      <c r="N2317" s="19">
        <v>5.8799999999999998E-2</v>
      </c>
      <c r="O2317" s="19">
        <v>0.4375</v>
      </c>
      <c r="P2317" s="19">
        <v>0.75</v>
      </c>
      <c r="Q2317" s="19"/>
      <c r="R2317" s="20">
        <v>37624</v>
      </c>
      <c r="S2317" s="21" t="str">
        <f>HYPERLINK("https://www.uidaho.edu/financial-aid/cost-of-attendance", "$29358")</f>
        <v>$29358</v>
      </c>
      <c r="T2317" s="20">
        <v>32209</v>
      </c>
      <c r="U2317" s="20">
        <v>34556</v>
      </c>
      <c r="V2317" s="20">
        <v>5142</v>
      </c>
      <c r="W2317" s="20">
        <v>24216.5</v>
      </c>
      <c r="Y2317" s="19">
        <v>0.31640000000000001</v>
      </c>
      <c r="Z2317" s="19">
        <v>0.25950000000000001</v>
      </c>
      <c r="AB2317" s="18">
        <v>7685</v>
      </c>
      <c r="AC2317" s="18">
        <v>4</v>
      </c>
    </row>
    <row r="2318" spans="1:29" ht="15.75" customHeight="1" x14ac:dyDescent="0.2">
      <c r="A2318" s="36" t="str">
        <f>HYPERLINK("https://www.uic.edu", "University of Illinois at Chicago")</f>
        <v>University of Illinois at Chicago</v>
      </c>
      <c r="B2318" s="18" t="s">
        <v>49</v>
      </c>
      <c r="C2318" s="18" t="s">
        <v>137</v>
      </c>
      <c r="D2318" s="18" t="s">
        <v>161</v>
      </c>
      <c r="E2318" s="18">
        <v>1150</v>
      </c>
      <c r="F2318" s="18" t="s">
        <v>35</v>
      </c>
      <c r="J2318" s="19"/>
      <c r="K2318" s="19">
        <v>0.56569999999999998</v>
      </c>
      <c r="L2318" s="19">
        <v>0.60787671200000004</v>
      </c>
      <c r="M2318" s="19">
        <v>0.5958</v>
      </c>
      <c r="N2318" s="19">
        <v>0.43769999999999998</v>
      </c>
      <c r="O2318" s="19">
        <v>0.4945</v>
      </c>
      <c r="P2318" s="19">
        <v>0.64939999999999998</v>
      </c>
      <c r="Q2318" s="19"/>
      <c r="R2318" s="20">
        <v>43518</v>
      </c>
      <c r="S2318" s="21" t="str">
        <f>HYPERLINK("https://www.financialaid.uic.edu/npcalc.shtml", "$28613")</f>
        <v>$28613</v>
      </c>
      <c r="T2318" s="20">
        <v>32947</v>
      </c>
      <c r="U2318" s="20">
        <v>40341</v>
      </c>
      <c r="V2318" s="20">
        <v>5028</v>
      </c>
      <c r="W2318" s="20">
        <v>23585.175999999999</v>
      </c>
      <c r="Y2318" s="19">
        <v>0.52059999999999995</v>
      </c>
      <c r="Z2318" s="19">
        <v>0.69920000000000004</v>
      </c>
      <c r="AB2318" s="18">
        <v>19106</v>
      </c>
      <c r="AC2318" s="18">
        <v>3</v>
      </c>
    </row>
    <row r="2319" spans="1:29" ht="15.75" customHeight="1" x14ac:dyDescent="0.2">
      <c r="A2319" s="36" t="str">
        <f>HYPERLINK("https://www.uis.edu", "University of Illinois at Springfield")</f>
        <v>University of Illinois at Springfield</v>
      </c>
      <c r="B2319" s="18" t="s">
        <v>49</v>
      </c>
      <c r="C2319" s="18" t="s">
        <v>137</v>
      </c>
      <c r="D2319" s="18" t="s">
        <v>349</v>
      </c>
      <c r="E2319" s="18">
        <v>1159</v>
      </c>
      <c r="F2319" s="18" t="s">
        <v>35</v>
      </c>
      <c r="J2319" s="19"/>
      <c r="K2319" s="19">
        <v>0.50209999999999999</v>
      </c>
      <c r="L2319" s="19">
        <v>0.47341772199999999</v>
      </c>
      <c r="M2319" s="19">
        <v>0.50970000000000004</v>
      </c>
      <c r="N2319" s="19">
        <v>0.58819999999999995</v>
      </c>
      <c r="O2319" s="19">
        <v>0.35289999999999999</v>
      </c>
      <c r="P2319" s="19">
        <v>0.4</v>
      </c>
      <c r="Q2319" s="19"/>
      <c r="R2319" s="20">
        <v>34598</v>
      </c>
      <c r="S2319" s="21" t="str">
        <f>HYPERLINK("https://www.uis.edu/financialaid/cost/index.html", "$19889")</f>
        <v>$19889</v>
      </c>
      <c r="T2319" s="20">
        <v>24449</v>
      </c>
      <c r="U2319" s="20">
        <v>27057</v>
      </c>
      <c r="V2319" s="20">
        <v>3900</v>
      </c>
      <c r="W2319" s="20">
        <v>15989.45652173913</v>
      </c>
      <c r="Y2319" s="19">
        <v>0.34939999999999999</v>
      </c>
      <c r="Z2319" s="19">
        <v>0.34420000000000001</v>
      </c>
      <c r="AB2319" s="18">
        <v>2833</v>
      </c>
      <c r="AC2319" s="18">
        <v>3</v>
      </c>
    </row>
    <row r="2320" spans="1:29" ht="15.75" customHeight="1" x14ac:dyDescent="0.2">
      <c r="A2320" s="36" t="str">
        <f>HYPERLINK("https://www.illinois.edu/", "University of Illinois at Urbana-Champaign")</f>
        <v>University of Illinois at Urbana-Champaign</v>
      </c>
      <c r="B2320" s="18" t="s">
        <v>49</v>
      </c>
      <c r="C2320" s="18" t="s">
        <v>137</v>
      </c>
      <c r="D2320" s="18" t="s">
        <v>279</v>
      </c>
      <c r="E2320" s="18">
        <v>1376</v>
      </c>
      <c r="F2320" s="18" t="s">
        <v>35</v>
      </c>
      <c r="J2320" s="19"/>
      <c r="K2320" s="19">
        <v>0.85029999999999994</v>
      </c>
      <c r="L2320" s="19">
        <v>0.74782608700000008</v>
      </c>
      <c r="M2320" s="19">
        <v>0.87660000000000005</v>
      </c>
      <c r="N2320" s="19">
        <v>0.78</v>
      </c>
      <c r="O2320" s="19">
        <v>0.76019999999999999</v>
      </c>
      <c r="P2320" s="19">
        <v>0.85660000000000003</v>
      </c>
      <c r="Q2320" s="19"/>
      <c r="R2320" s="20">
        <v>46202</v>
      </c>
      <c r="S2320" s="21" t="str">
        <f>HYPERLINK("https://www.osfa.illinois.edu/resources/calculators", "$25609")</f>
        <v>$25609</v>
      </c>
      <c r="T2320" s="20">
        <v>33344</v>
      </c>
      <c r="U2320" s="20">
        <v>39387</v>
      </c>
      <c r="V2320" s="20">
        <v>3700</v>
      </c>
      <c r="W2320" s="20">
        <v>21909.426229508201</v>
      </c>
      <c r="Y2320" s="19">
        <v>0.21249999999999999</v>
      </c>
      <c r="Z2320" s="19">
        <v>0.54899999999999993</v>
      </c>
      <c r="AB2320" s="18">
        <v>32884</v>
      </c>
      <c r="AC2320" s="18">
        <v>2</v>
      </c>
    </row>
    <row r="2321" spans="1:29" ht="15.75" customHeight="1" x14ac:dyDescent="0.2">
      <c r="A2321" s="36" t="str">
        <f>HYPERLINK("https://uindy.edu", "University of Indianapolis")</f>
        <v>University of Indianapolis</v>
      </c>
      <c r="B2321" s="18" t="s">
        <v>32</v>
      </c>
      <c r="C2321" s="18" t="s">
        <v>148</v>
      </c>
      <c r="D2321" s="18" t="s">
        <v>316</v>
      </c>
      <c r="E2321" s="18">
        <v>1093</v>
      </c>
      <c r="F2321" s="18" t="s">
        <v>35</v>
      </c>
      <c r="J2321" s="19"/>
      <c r="K2321" s="19">
        <v>0.56210000000000004</v>
      </c>
      <c r="L2321" s="19">
        <v>0.28841607600000002</v>
      </c>
      <c r="M2321" s="19">
        <v>0.6</v>
      </c>
      <c r="N2321" s="19">
        <v>0.24560000000000001</v>
      </c>
      <c r="O2321" s="19">
        <v>0.53569999999999995</v>
      </c>
      <c r="P2321" s="19">
        <v>0.5</v>
      </c>
      <c r="Q2321" s="19"/>
      <c r="R2321" s="20">
        <v>42902</v>
      </c>
      <c r="S2321" s="21" t="str">
        <f>HYPERLINK("https://uindy.studentaidcalculator.com/welcome.aspx", "$15987")</f>
        <v>$15987</v>
      </c>
      <c r="T2321" s="20">
        <v>20423</v>
      </c>
      <c r="U2321" s="20">
        <v>24433</v>
      </c>
      <c r="V2321" s="20">
        <v>4524</v>
      </c>
      <c r="W2321" s="20">
        <v>11463</v>
      </c>
      <c r="Y2321" s="19">
        <v>0.32629999999999998</v>
      </c>
      <c r="Z2321" s="19">
        <v>0.34260000000000002</v>
      </c>
      <c r="AB2321" s="18">
        <v>4384</v>
      </c>
      <c r="AC2321" s="18">
        <v>4</v>
      </c>
    </row>
    <row r="2322" spans="1:29" ht="15.75" customHeight="1" x14ac:dyDescent="0.2">
      <c r="A2322" s="36" t="str">
        <f>HYPERLINK("https://www.uiowa.edu", "University of Iowa")</f>
        <v>University of Iowa</v>
      </c>
      <c r="B2322" s="18" t="s">
        <v>49</v>
      </c>
      <c r="C2322" s="18" t="s">
        <v>211</v>
      </c>
      <c r="D2322" s="18" t="s">
        <v>511</v>
      </c>
      <c r="E2322" s="18">
        <v>1232</v>
      </c>
      <c r="F2322" s="18" t="s">
        <v>35</v>
      </c>
      <c r="J2322" s="19"/>
      <c r="K2322" s="19">
        <v>0.73540000000000005</v>
      </c>
      <c r="L2322" s="19">
        <v>0.62644281200000007</v>
      </c>
      <c r="M2322" s="19">
        <v>0.74880000000000002</v>
      </c>
      <c r="N2322" s="19">
        <v>0.58620000000000005</v>
      </c>
      <c r="O2322" s="19">
        <v>0.66339999999999999</v>
      </c>
      <c r="P2322" s="19">
        <v>0.70830000000000004</v>
      </c>
      <c r="Q2322" s="19"/>
      <c r="R2322" s="20">
        <v>44251</v>
      </c>
      <c r="S2322" s="21" t="str">
        <f>HYPERLINK("https://npc.collegeboard.org/student/app/uiowa", "$32461")</f>
        <v>$32461</v>
      </c>
      <c r="T2322" s="20">
        <v>36596</v>
      </c>
      <c r="U2322" s="20">
        <v>39795</v>
      </c>
      <c r="V2322" s="20">
        <v>3192</v>
      </c>
      <c r="W2322" s="20">
        <v>29269.94758909853</v>
      </c>
      <c r="Y2322" s="19">
        <v>0.1857</v>
      </c>
      <c r="Z2322" s="19">
        <v>0.28670000000000001</v>
      </c>
      <c r="AB2322" s="18">
        <v>23349</v>
      </c>
      <c r="AC2322" s="18">
        <v>3</v>
      </c>
    </row>
    <row r="2323" spans="1:29" ht="15.75" customHeight="1" x14ac:dyDescent="0.2">
      <c r="A2323" s="36" t="str">
        <f>HYPERLINK("https://www.uj.edu", "University of Jamestown")</f>
        <v>University of Jamestown</v>
      </c>
      <c r="B2323" s="18" t="s">
        <v>32</v>
      </c>
      <c r="C2323" s="18" t="s">
        <v>730</v>
      </c>
      <c r="D2323" s="18" t="s">
        <v>1276</v>
      </c>
      <c r="E2323" s="18">
        <v>1075</v>
      </c>
      <c r="F2323" s="18" t="s">
        <v>35</v>
      </c>
      <c r="J2323" s="19"/>
      <c r="K2323" s="19">
        <v>0.52559999999999996</v>
      </c>
      <c r="L2323" s="19">
        <v>0.192982456</v>
      </c>
      <c r="M2323" s="19">
        <v>0.54590000000000005</v>
      </c>
      <c r="N2323" s="19">
        <v>0.4</v>
      </c>
      <c r="O2323" s="19">
        <v>0.33329999999999999</v>
      </c>
      <c r="P2323" s="19">
        <v>0.66669999999999996</v>
      </c>
      <c r="Q2323" s="19"/>
      <c r="R2323" s="20">
        <v>33008</v>
      </c>
      <c r="S2323" s="21" t="str">
        <f>HYPERLINK("https://uj.studentaidcalculator.com/survey.aspx", "$15616")</f>
        <v>$15616</v>
      </c>
      <c r="T2323" s="20">
        <v>18314</v>
      </c>
      <c r="U2323" s="20">
        <v>19662</v>
      </c>
      <c r="V2323" s="20">
        <v>4500</v>
      </c>
      <c r="W2323" s="20">
        <v>11116</v>
      </c>
      <c r="Y2323" s="19">
        <v>0.25130000000000002</v>
      </c>
      <c r="Z2323" s="19">
        <v>0.25330000000000003</v>
      </c>
      <c r="AB2323" s="18">
        <v>896</v>
      </c>
      <c r="AC2323" s="18">
        <v>4</v>
      </c>
    </row>
    <row r="2324" spans="1:29" ht="15.75" customHeight="1" x14ac:dyDescent="0.2">
      <c r="A2324" s="36" t="str">
        <f>HYPERLINK("https://ku.edu", "University of Kansas")</f>
        <v>University of Kansas</v>
      </c>
      <c r="B2324" s="18" t="s">
        <v>49</v>
      </c>
      <c r="C2324" s="18" t="s">
        <v>307</v>
      </c>
      <c r="D2324" s="18" t="s">
        <v>1278</v>
      </c>
      <c r="E2324" s="18">
        <v>1230</v>
      </c>
      <c r="F2324" s="18" t="s">
        <v>35</v>
      </c>
      <c r="J2324" s="19"/>
      <c r="K2324" s="19">
        <v>0.63080000000000003</v>
      </c>
      <c r="L2324" s="19">
        <v>0.52793296099999998</v>
      </c>
      <c r="M2324" s="19">
        <v>0.65880000000000005</v>
      </c>
      <c r="N2324" s="19">
        <v>0.46779999999999999</v>
      </c>
      <c r="O2324" s="19">
        <v>0.52380000000000004</v>
      </c>
      <c r="P2324" s="19">
        <v>0.58020000000000005</v>
      </c>
      <c r="Q2324" s="19"/>
      <c r="R2324" s="20">
        <v>41074</v>
      </c>
      <c r="S2324" s="21" t="str">
        <f>HYPERLINK("https://admissions.ku.edu/tuition-scholarship/net-price-calculator", "$31217")</f>
        <v>$31217</v>
      </c>
      <c r="T2324" s="20">
        <v>32775</v>
      </c>
      <c r="U2324" s="20">
        <v>37400</v>
      </c>
      <c r="V2324" s="20">
        <v>4206</v>
      </c>
      <c r="W2324" s="20">
        <v>27011.569506726461</v>
      </c>
      <c r="Y2324" s="19">
        <v>0.22170000000000001</v>
      </c>
      <c r="Z2324" s="19">
        <v>0.28789999999999999</v>
      </c>
      <c r="AB2324" s="18">
        <v>18903</v>
      </c>
      <c r="AC2324" s="18">
        <v>4</v>
      </c>
    </row>
    <row r="2325" spans="1:29" ht="15.75" customHeight="1" x14ac:dyDescent="0.2">
      <c r="A2325" s="36" t="str">
        <f>HYPERLINK("https://www.uky.edu", "University of Kentucky")</f>
        <v>University of Kentucky</v>
      </c>
      <c r="B2325" s="18" t="s">
        <v>49</v>
      </c>
      <c r="C2325" s="18" t="s">
        <v>205</v>
      </c>
      <c r="D2325" s="18" t="s">
        <v>180</v>
      </c>
      <c r="E2325" s="18">
        <v>1213</v>
      </c>
      <c r="F2325" s="18" t="s">
        <v>35</v>
      </c>
      <c r="J2325" s="19"/>
      <c r="K2325" s="19">
        <v>0.65049999999999997</v>
      </c>
      <c r="L2325" s="19">
        <v>0.53031465899999997</v>
      </c>
      <c r="M2325" s="19">
        <v>0.67310000000000003</v>
      </c>
      <c r="N2325" s="19">
        <v>0.48259999999999997</v>
      </c>
      <c r="O2325" s="19">
        <v>0.59819999999999995</v>
      </c>
      <c r="P2325" s="19">
        <v>0.75639999999999996</v>
      </c>
      <c r="Q2325" s="19"/>
      <c r="R2325" s="20">
        <v>45634</v>
      </c>
      <c r="S2325" s="21" t="str">
        <f>HYPERLINK("https://npc.collegeboard.org/student/app/uky", "$32935")</f>
        <v>$32935</v>
      </c>
      <c r="T2325" s="20">
        <v>35490</v>
      </c>
      <c r="U2325" s="20">
        <v>39821</v>
      </c>
      <c r="V2325" s="20">
        <v>4730</v>
      </c>
      <c r="W2325" s="20">
        <v>28205.307479224379</v>
      </c>
      <c r="Y2325" s="19">
        <v>0.22869999999999999</v>
      </c>
      <c r="Z2325" s="19">
        <v>0.24479999999999999</v>
      </c>
      <c r="AB2325" s="18">
        <v>22078</v>
      </c>
      <c r="AC2325" s="18">
        <v>4</v>
      </c>
    </row>
    <row r="2326" spans="1:29" ht="15.75" customHeight="1" x14ac:dyDescent="0.2">
      <c r="A2326" s="36" t="str">
        <f>HYPERLINK("https://www.laverne.edu/", "University of La Verne")</f>
        <v>University of La Verne</v>
      </c>
      <c r="B2326" s="18" t="s">
        <v>32</v>
      </c>
      <c r="C2326" s="18" t="s">
        <v>68</v>
      </c>
      <c r="D2326" s="18" t="s">
        <v>1279</v>
      </c>
      <c r="E2326" s="18">
        <v>1106</v>
      </c>
      <c r="F2326" s="18" t="s">
        <v>35</v>
      </c>
      <c r="J2326" s="19"/>
      <c r="K2326" s="19">
        <v>0.66269999999999996</v>
      </c>
      <c r="L2326" s="19">
        <v>0.40989399300000001</v>
      </c>
      <c r="M2326" s="19">
        <v>0.6409999999999999</v>
      </c>
      <c r="N2326" s="19">
        <v>0.44440000000000002</v>
      </c>
      <c r="O2326" s="19">
        <v>0.69820000000000004</v>
      </c>
      <c r="P2326" s="19">
        <v>0.64710000000000001</v>
      </c>
      <c r="Q2326" s="19"/>
      <c r="R2326" s="20">
        <v>59826</v>
      </c>
      <c r="S2326" s="21" t="str">
        <f>HYPERLINK("https://laverne.studentaidcalculator.com/survey.aspx", "$21724")</f>
        <v>$21724</v>
      </c>
      <c r="T2326" s="20">
        <v>24564</v>
      </c>
      <c r="U2326" s="20">
        <v>28203</v>
      </c>
      <c r="V2326" s="20">
        <v>5196</v>
      </c>
      <c r="W2326" s="20">
        <v>16528</v>
      </c>
      <c r="Y2326" s="19">
        <v>0.43869999999999998</v>
      </c>
      <c r="Z2326" s="19">
        <v>0.79200000000000004</v>
      </c>
      <c r="AB2326" s="18">
        <v>5120</v>
      </c>
      <c r="AC2326" s="18">
        <v>4</v>
      </c>
    </row>
    <row r="2327" spans="1:29" ht="15.75" customHeight="1" x14ac:dyDescent="0.2">
      <c r="A2327" s="36" t="str">
        <f>HYPERLINK("https://www.louisiana.edu", "University of Louisiana at Lafayette")</f>
        <v>University of Louisiana at Lafayette</v>
      </c>
      <c r="B2327" s="18" t="s">
        <v>49</v>
      </c>
      <c r="C2327" s="18" t="s">
        <v>158</v>
      </c>
      <c r="D2327" s="18" t="s">
        <v>1281</v>
      </c>
      <c r="E2327" s="18">
        <v>1162</v>
      </c>
      <c r="F2327" s="18" t="s">
        <v>35</v>
      </c>
      <c r="J2327" s="19"/>
      <c r="K2327" s="19">
        <v>0.44119999999999998</v>
      </c>
      <c r="L2327" s="19">
        <v>0.430446194</v>
      </c>
      <c r="M2327" s="19">
        <v>0.48780000000000001</v>
      </c>
      <c r="N2327" s="19">
        <v>0.32329999999999998</v>
      </c>
      <c r="O2327" s="19">
        <v>0.39600000000000002</v>
      </c>
      <c r="P2327" s="19">
        <v>0.55100000000000005</v>
      </c>
      <c r="Q2327" s="19"/>
      <c r="R2327" s="20">
        <v>38503</v>
      </c>
      <c r="S2327" s="21" t="str">
        <f>HYPERLINK("https://collegeportraits.org/LA/UL-Lafayette/estimator/agree", "$28238")</f>
        <v>$28238</v>
      </c>
      <c r="T2327" s="20">
        <v>32253</v>
      </c>
      <c r="U2327" s="20">
        <v>33710</v>
      </c>
      <c r="V2327" s="20">
        <v>4593</v>
      </c>
      <c r="W2327" s="20">
        <v>23645.82636655949</v>
      </c>
      <c r="Y2327" s="19">
        <v>0.33119999999999999</v>
      </c>
      <c r="Z2327" s="19">
        <v>0.34830000000000011</v>
      </c>
      <c r="AB2327" s="18">
        <v>14753</v>
      </c>
      <c r="AC2327" s="18">
        <v>4</v>
      </c>
    </row>
    <row r="2328" spans="1:29" ht="15.75" customHeight="1" x14ac:dyDescent="0.2">
      <c r="A2328" s="36" t="str">
        <f>HYPERLINK("https://www.ulm.edu", "University of Louisiana at Monroe")</f>
        <v>University of Louisiana at Monroe</v>
      </c>
      <c r="B2328" s="18" t="s">
        <v>49</v>
      </c>
      <c r="C2328" s="18" t="s">
        <v>158</v>
      </c>
      <c r="D2328" s="18" t="s">
        <v>1282</v>
      </c>
      <c r="E2328" s="18">
        <v>1124</v>
      </c>
      <c r="F2328" s="18" t="s">
        <v>35</v>
      </c>
      <c r="J2328" s="19"/>
      <c r="K2328" s="19">
        <v>0.40899999999999997</v>
      </c>
      <c r="L2328" s="19">
        <v>0.36137440799999998</v>
      </c>
      <c r="M2328" s="19">
        <v>0.44090000000000001</v>
      </c>
      <c r="N2328" s="19">
        <v>0.33979999999999999</v>
      </c>
      <c r="O2328" s="19">
        <v>0.32</v>
      </c>
      <c r="P2328" s="19">
        <v>0.35709999999999997</v>
      </c>
      <c r="Q2328" s="19"/>
      <c r="R2328" s="20">
        <v>33093</v>
      </c>
      <c r="S2328" s="21" t="str">
        <f>HYPERLINK("https://webservices.ulm.edu/price_calculator/npcalc.htm", "$23917")</f>
        <v>$23917</v>
      </c>
      <c r="T2328" s="20">
        <v>25401</v>
      </c>
      <c r="U2328" s="20">
        <v>28623</v>
      </c>
      <c r="V2328" s="20">
        <v>4673</v>
      </c>
      <c r="W2328" s="20">
        <v>19244.53623188406</v>
      </c>
      <c r="Y2328" s="19">
        <v>0.40789999999999998</v>
      </c>
      <c r="Z2328" s="19">
        <v>0.38460000000000011</v>
      </c>
      <c r="AB2328" s="18">
        <v>6121</v>
      </c>
      <c r="AC2328" s="18">
        <v>4</v>
      </c>
    </row>
    <row r="2329" spans="1:29" ht="15.75" customHeight="1" x14ac:dyDescent="0.2">
      <c r="A2329" s="36" t="str">
        <f>HYPERLINK("https://www.louisville.edu", "University of Louisville")</f>
        <v>University of Louisville</v>
      </c>
      <c r="B2329" s="18" t="s">
        <v>49</v>
      </c>
      <c r="C2329" s="18" t="s">
        <v>205</v>
      </c>
      <c r="D2329" s="18" t="s">
        <v>306</v>
      </c>
      <c r="E2329" s="18">
        <v>1211</v>
      </c>
      <c r="F2329" s="18" t="s">
        <v>35</v>
      </c>
      <c r="J2329" s="19"/>
      <c r="K2329" s="19">
        <v>0.54410000000000003</v>
      </c>
      <c r="L2329" s="19">
        <v>0.42915309499999998</v>
      </c>
      <c r="M2329" s="19">
        <v>0.55489999999999995</v>
      </c>
      <c r="N2329" s="19">
        <v>0.4965</v>
      </c>
      <c r="O2329" s="19">
        <v>0.42109999999999997</v>
      </c>
      <c r="P2329" s="19">
        <v>0.63639999999999997</v>
      </c>
      <c r="Q2329" s="19"/>
      <c r="R2329" s="20">
        <v>41472</v>
      </c>
      <c r="S2329" s="21" t="str">
        <f>HYPERLINK("https://louisville.studentaidcalculator.com/survey.aspx", "$28366")</f>
        <v>$28366</v>
      </c>
      <c r="T2329" s="20">
        <v>32811</v>
      </c>
      <c r="U2329" s="20">
        <v>36220</v>
      </c>
      <c r="V2329" s="20">
        <v>6812</v>
      </c>
      <c r="W2329" s="20">
        <v>21554.592013888891</v>
      </c>
      <c r="Y2329" s="19">
        <v>0.26989999999999997</v>
      </c>
      <c r="Z2329" s="19">
        <v>0.26859999999999989</v>
      </c>
      <c r="AB2329" s="18">
        <v>14550</v>
      </c>
      <c r="AC2329" s="18">
        <v>3</v>
      </c>
    </row>
    <row r="2330" spans="1:29" ht="15.75" customHeight="1" x14ac:dyDescent="0.2">
      <c r="A2330" s="36" t="str">
        <f>HYPERLINK("https://www.lynchburg.edu", "Lynchburg College")</f>
        <v>Lynchburg College</v>
      </c>
      <c r="B2330" s="18" t="s">
        <v>32</v>
      </c>
      <c r="C2330" s="18" t="s">
        <v>83</v>
      </c>
      <c r="D2330" s="18" t="s">
        <v>449</v>
      </c>
      <c r="E2330" s="18">
        <v>1089</v>
      </c>
      <c r="F2330" s="18" t="s">
        <v>35</v>
      </c>
      <c r="J2330" s="19"/>
      <c r="K2330" s="19">
        <v>0.58809999999999996</v>
      </c>
      <c r="L2330" s="19">
        <v>0.26865671600000002</v>
      </c>
      <c r="M2330" s="19">
        <v>0.6139</v>
      </c>
      <c r="N2330" s="19">
        <v>0.52380000000000004</v>
      </c>
      <c r="O2330" s="19">
        <v>0.29170000000000001</v>
      </c>
      <c r="P2330" s="19">
        <v>0.625</v>
      </c>
      <c r="Q2330" s="19"/>
      <c r="R2330" s="20">
        <v>50720</v>
      </c>
      <c r="S2330" s="21" t="str">
        <f>HYPERLINK("https://www.lynchburg.edu/admission/financial-aid/net-price-calculator/", "$18797")</f>
        <v>$18797</v>
      </c>
      <c r="T2330" s="20">
        <v>20317</v>
      </c>
      <c r="U2330" s="20">
        <v>23118</v>
      </c>
      <c r="V2330" s="20">
        <v>2350</v>
      </c>
      <c r="W2330" s="20">
        <v>16447</v>
      </c>
      <c r="Y2330" s="19">
        <v>0.30349999999999999</v>
      </c>
      <c r="Z2330" s="19">
        <v>0.24199999999999999</v>
      </c>
      <c r="AB2330" s="18">
        <v>1979</v>
      </c>
      <c r="AC2330" s="18">
        <v>4</v>
      </c>
    </row>
    <row r="2331" spans="1:29" ht="15.75" customHeight="1" x14ac:dyDescent="0.2">
      <c r="A2331" s="36" t="str">
        <f>HYPERLINK("https://www.umaine.edu/", "University of Maine")</f>
        <v>University of Maine</v>
      </c>
      <c r="B2331" s="18" t="s">
        <v>49</v>
      </c>
      <c r="C2331" s="18" t="s">
        <v>43</v>
      </c>
      <c r="D2331" s="18" t="s">
        <v>1284</v>
      </c>
      <c r="E2331" s="18">
        <v>1157</v>
      </c>
      <c r="F2331" s="18" t="s">
        <v>35</v>
      </c>
      <c r="J2331" s="19"/>
      <c r="K2331" s="19">
        <v>0.57579999999999998</v>
      </c>
      <c r="L2331" s="19">
        <v>0.45632798600000002</v>
      </c>
      <c r="M2331" s="19">
        <v>0.57609999999999995</v>
      </c>
      <c r="N2331" s="19">
        <v>0.59260000000000002</v>
      </c>
      <c r="O2331" s="19">
        <v>0.57140000000000002</v>
      </c>
      <c r="P2331" s="19">
        <v>0.64290000000000003</v>
      </c>
      <c r="Q2331" s="19"/>
      <c r="R2331" s="20">
        <v>43618</v>
      </c>
      <c r="S2331" s="21" t="str">
        <f>HYPERLINK("https://www.umaine.edu/netpricecalculator/", "$33762")</f>
        <v>$33762</v>
      </c>
      <c r="T2331" s="20">
        <v>36638</v>
      </c>
      <c r="U2331" s="20">
        <v>39430</v>
      </c>
      <c r="V2331" s="20">
        <v>3200</v>
      </c>
      <c r="W2331" s="20">
        <v>30562.64846416382</v>
      </c>
      <c r="Y2331" s="19">
        <v>0.30099999999999999</v>
      </c>
      <c r="Z2331" s="19">
        <v>0.1575</v>
      </c>
      <c r="AB2331" s="18">
        <v>8836</v>
      </c>
      <c r="AC2331" s="18">
        <v>4</v>
      </c>
    </row>
    <row r="2332" spans="1:29" ht="15.75" customHeight="1" x14ac:dyDescent="0.2">
      <c r="A2332" s="36" t="str">
        <f>HYPERLINK("https://www.uma.edu/", "University of Maine at Augusta")</f>
        <v>University of Maine at Augusta</v>
      </c>
      <c r="B2332" s="18" t="s">
        <v>49</v>
      </c>
      <c r="C2332" s="18" t="s">
        <v>43</v>
      </c>
      <c r="D2332" s="18" t="s">
        <v>805</v>
      </c>
      <c r="E2332" s="18" t="s">
        <v>36</v>
      </c>
      <c r="F2332" s="18" t="s">
        <v>36</v>
      </c>
      <c r="J2332" s="19"/>
      <c r="K2332" s="19">
        <v>0.17050000000000001</v>
      </c>
      <c r="L2332" s="19">
        <v>0.20854527</v>
      </c>
      <c r="M2332" s="19">
        <v>0.17610000000000001</v>
      </c>
      <c r="N2332" s="19">
        <v>0</v>
      </c>
      <c r="O2332" s="19">
        <v>0.18179999999999999</v>
      </c>
      <c r="P2332" s="19">
        <v>0</v>
      </c>
      <c r="Q2332" s="19"/>
      <c r="R2332" s="20">
        <v>29498</v>
      </c>
      <c r="S2332" s="21" t="str">
        <f>HYPERLINK("https://www.uma.edu/financial/costs/net-cost-calculator/", "$23393")</f>
        <v>$23393</v>
      </c>
      <c r="T2332" s="20">
        <v>25199</v>
      </c>
      <c r="U2332" s="20">
        <v>28340</v>
      </c>
      <c r="V2332" s="20">
        <v>4800</v>
      </c>
      <c r="W2332" s="20">
        <v>18593.71428571429</v>
      </c>
      <c r="Y2332" s="19">
        <v>0.46150000000000002</v>
      </c>
      <c r="Z2332" s="19">
        <v>0.14119999999999999</v>
      </c>
      <c r="AB2332" s="18">
        <v>3244</v>
      </c>
      <c r="AC2332" s="18">
        <v>4</v>
      </c>
    </row>
    <row r="2333" spans="1:29" ht="15.75" customHeight="1" x14ac:dyDescent="0.2">
      <c r="A2333" s="36" t="str">
        <f>HYPERLINK("https://www.umf.maine.edu", "University of Maine at Farmington")</f>
        <v>University of Maine at Farmington</v>
      </c>
      <c r="B2333" s="18" t="s">
        <v>49</v>
      </c>
      <c r="C2333" s="18" t="s">
        <v>43</v>
      </c>
      <c r="D2333" s="18" t="s">
        <v>1286</v>
      </c>
      <c r="E2333" s="18" t="s">
        <v>36</v>
      </c>
      <c r="F2333" s="18" t="s">
        <v>45</v>
      </c>
      <c r="J2333" s="19"/>
      <c r="K2333" s="19">
        <v>0.50729999999999997</v>
      </c>
      <c r="L2333" s="19">
        <v>0.52083333300000001</v>
      </c>
      <c r="M2333" s="19">
        <v>0.51239999999999997</v>
      </c>
      <c r="N2333" s="19">
        <v>0.2727</v>
      </c>
      <c r="O2333" s="19">
        <v>0.1429</v>
      </c>
      <c r="P2333" s="19">
        <v>0.66669999999999996</v>
      </c>
      <c r="Q2333" s="19"/>
      <c r="R2333" s="20">
        <v>32114</v>
      </c>
      <c r="S2333" s="21" t="str">
        <f>HYPERLINK("https://www.umf.maine.edu/admission/umf-net-price-calculator/", "$22522")</f>
        <v>$22522</v>
      </c>
      <c r="T2333" s="20">
        <v>24596</v>
      </c>
      <c r="U2333" s="20">
        <v>28196</v>
      </c>
      <c r="V2333" s="20">
        <v>3754</v>
      </c>
      <c r="W2333" s="20">
        <v>18768.82608695652</v>
      </c>
      <c r="Y2333" s="19">
        <v>0.46300000000000002</v>
      </c>
      <c r="Z2333" s="19">
        <v>0.10630000000000001</v>
      </c>
      <c r="AB2333" s="18">
        <v>1741</v>
      </c>
      <c r="AC2333" s="18">
        <v>4</v>
      </c>
    </row>
    <row r="2334" spans="1:29" ht="15.75" customHeight="1" x14ac:dyDescent="0.2">
      <c r="A2334" s="36" t="str">
        <f>HYPERLINK("https://www.umfk.maine.edu", "University of Maine at Fort Kent")</f>
        <v>University of Maine at Fort Kent</v>
      </c>
      <c r="B2334" s="18" t="s">
        <v>49</v>
      </c>
      <c r="C2334" s="18" t="s">
        <v>43</v>
      </c>
      <c r="D2334" s="18" t="s">
        <v>894</v>
      </c>
      <c r="E2334" s="18">
        <v>996</v>
      </c>
      <c r="F2334" s="18" t="s">
        <v>35</v>
      </c>
      <c r="J2334" s="19"/>
      <c r="K2334" s="19">
        <v>0.34589999999999999</v>
      </c>
      <c r="L2334" s="19">
        <v>0.39506172799999989</v>
      </c>
      <c r="M2334" s="19">
        <v>0.41799999999999998</v>
      </c>
      <c r="N2334" s="19">
        <v>0</v>
      </c>
      <c r="O2334" s="19">
        <v>0</v>
      </c>
      <c r="P2334" s="19" t="s">
        <v>36</v>
      </c>
      <c r="Q2334" s="19"/>
      <c r="R2334" s="20">
        <v>23485</v>
      </c>
      <c r="S2334" s="21" t="str">
        <f>HYPERLINK("https://www.umfk.maine.edu/admissions/financial_aid/", "$15539")</f>
        <v>$15539</v>
      </c>
      <c r="T2334" s="20">
        <v>20868</v>
      </c>
      <c r="U2334" s="20">
        <v>21964</v>
      </c>
      <c r="V2334" s="20">
        <v>3500</v>
      </c>
      <c r="W2334" s="20">
        <v>12039.571428571429</v>
      </c>
      <c r="Y2334" s="19">
        <v>0.22739999999999999</v>
      </c>
      <c r="Z2334" s="19">
        <v>0.21429999999999999</v>
      </c>
      <c r="AB2334" s="18">
        <v>1036</v>
      </c>
      <c r="AC2334" s="18">
        <v>5</v>
      </c>
    </row>
    <row r="2335" spans="1:29" ht="15.75" customHeight="1" x14ac:dyDescent="0.2">
      <c r="A2335" s="36" t="str">
        <f>HYPERLINK("https://machias.edu", "University of Maine at Machias")</f>
        <v>University of Maine at Machias</v>
      </c>
      <c r="B2335" s="18" t="s">
        <v>49</v>
      </c>
      <c r="C2335" s="18" t="s">
        <v>43</v>
      </c>
      <c r="D2335" s="18" t="s">
        <v>1288</v>
      </c>
      <c r="E2335" s="18" t="s">
        <v>36</v>
      </c>
      <c r="F2335" s="18" t="s">
        <v>36</v>
      </c>
      <c r="J2335" s="19"/>
      <c r="K2335" s="19">
        <v>0.31540000000000001</v>
      </c>
      <c r="L2335" s="19">
        <v>0.233333333</v>
      </c>
      <c r="M2335" s="19">
        <v>0.3019</v>
      </c>
      <c r="N2335" s="19">
        <v>0.66669999999999996</v>
      </c>
      <c r="O2335" s="19">
        <v>0.1429</v>
      </c>
      <c r="P2335" s="19" t="s">
        <v>36</v>
      </c>
      <c r="Q2335" s="19"/>
      <c r="R2335" s="20">
        <v>31106</v>
      </c>
      <c r="S2335" s="21" t="str">
        <f>HYPERLINK("https://machias.edu/admissions/tuition-fees/", "$21090")</f>
        <v>$21090</v>
      </c>
      <c r="T2335" s="20">
        <v>21697</v>
      </c>
      <c r="U2335" s="20">
        <v>26643</v>
      </c>
      <c r="V2335" s="20">
        <v>3300</v>
      </c>
      <c r="W2335" s="20">
        <v>17790.833333333339</v>
      </c>
      <c r="Y2335" s="19">
        <v>0.42820000000000003</v>
      </c>
      <c r="Z2335" s="19">
        <v>0.18970000000000001</v>
      </c>
      <c r="AB2335" s="18">
        <v>522</v>
      </c>
      <c r="AC2335" s="18">
        <v>4</v>
      </c>
    </row>
    <row r="2336" spans="1:29" ht="15.75" customHeight="1" x14ac:dyDescent="0.2">
      <c r="A2336" s="36" t="str">
        <f>HYPERLINK("https://www.umpi.edu/", "University of Maine at Presque Isle")</f>
        <v>University of Maine at Presque Isle</v>
      </c>
      <c r="B2336" s="18" t="s">
        <v>49</v>
      </c>
      <c r="C2336" s="18" t="s">
        <v>43</v>
      </c>
      <c r="D2336" s="18" t="s">
        <v>896</v>
      </c>
      <c r="E2336" s="18" t="s">
        <v>36</v>
      </c>
      <c r="F2336" s="18" t="s">
        <v>90</v>
      </c>
      <c r="J2336" s="19"/>
      <c r="K2336" s="19">
        <v>0.28960000000000002</v>
      </c>
      <c r="L2336" s="19">
        <v>0.28148148200000001</v>
      </c>
      <c r="M2336" s="19">
        <v>0.27039999999999997</v>
      </c>
      <c r="N2336" s="19">
        <v>0.66669999999999996</v>
      </c>
      <c r="O2336" s="19">
        <v>0.33329999999999999</v>
      </c>
      <c r="P2336" s="19" t="s">
        <v>36</v>
      </c>
      <c r="Q2336" s="19"/>
      <c r="R2336" s="20">
        <v>23659</v>
      </c>
      <c r="S2336" s="21" t="str">
        <f>HYPERLINK("https://www.umpi.edu/app/tuition-fees-estimator/", "$15154")</f>
        <v>$15154</v>
      </c>
      <c r="T2336" s="20">
        <v>18046</v>
      </c>
      <c r="U2336" s="20">
        <v>20898</v>
      </c>
      <c r="V2336" s="20">
        <v>3400</v>
      </c>
      <c r="W2336" s="20">
        <v>11754.056338028169</v>
      </c>
      <c r="Y2336" s="19">
        <v>0.3175</v>
      </c>
      <c r="Z2336" s="19">
        <v>0.20369999999999999</v>
      </c>
      <c r="AB2336" s="18">
        <v>800</v>
      </c>
      <c r="AC2336" s="18">
        <v>5</v>
      </c>
    </row>
    <row r="2337" spans="1:29" ht="15.75" customHeight="1" x14ac:dyDescent="0.2">
      <c r="A2337" s="36" t="str">
        <f>HYPERLINK("https://go.umhb.edu/", "University of Mary Hardin-Baylor")</f>
        <v>University of Mary Hardin-Baylor</v>
      </c>
      <c r="B2337" s="18" t="s">
        <v>32</v>
      </c>
      <c r="C2337" s="18" t="s">
        <v>146</v>
      </c>
      <c r="D2337" s="18" t="s">
        <v>1289</v>
      </c>
      <c r="E2337" s="18">
        <v>1108</v>
      </c>
      <c r="F2337" s="18" t="s">
        <v>35</v>
      </c>
      <c r="J2337" s="19"/>
      <c r="K2337" s="19">
        <v>0.48330000000000001</v>
      </c>
      <c r="L2337" s="19">
        <v>0.38043478299999989</v>
      </c>
      <c r="M2337" s="19">
        <v>0.55720000000000003</v>
      </c>
      <c r="N2337" s="19">
        <v>0.22470000000000001</v>
      </c>
      <c r="O2337" s="19">
        <v>0.42420000000000002</v>
      </c>
      <c r="P2337" s="19">
        <v>0.625</v>
      </c>
      <c r="Q2337" s="19"/>
      <c r="R2337" s="20">
        <v>39824</v>
      </c>
      <c r="S2337" s="21" t="str">
        <f>HYPERLINK("https://financialaid.umhb.edu/estimator-0", "$20555")</f>
        <v>$20555</v>
      </c>
      <c r="T2337" s="20">
        <v>22002</v>
      </c>
      <c r="U2337" s="20">
        <v>25022</v>
      </c>
      <c r="V2337" s="20">
        <v>4330</v>
      </c>
      <c r="W2337" s="20">
        <v>16225</v>
      </c>
      <c r="Y2337" s="19">
        <v>0.40329999999999999</v>
      </c>
      <c r="Z2337" s="19">
        <v>0.44180000000000003</v>
      </c>
      <c r="AB2337" s="18">
        <v>3275</v>
      </c>
      <c r="AC2337" s="18">
        <v>4</v>
      </c>
    </row>
    <row r="2338" spans="1:29" ht="15.75" customHeight="1" x14ac:dyDescent="0.2">
      <c r="A2338" s="36" t="str">
        <f>HYPERLINK("https://www.umw.edu", "University of Mary Washington")</f>
        <v>University of Mary Washington</v>
      </c>
      <c r="B2338" s="18" t="s">
        <v>49</v>
      </c>
      <c r="C2338" s="18" t="s">
        <v>83</v>
      </c>
      <c r="D2338" s="18" t="s">
        <v>512</v>
      </c>
      <c r="E2338" s="18">
        <v>1178</v>
      </c>
      <c r="F2338" s="18" t="s">
        <v>35</v>
      </c>
      <c r="J2338" s="19"/>
      <c r="K2338" s="19">
        <v>0.70650000000000002</v>
      </c>
      <c r="L2338" s="19">
        <v>0.67073170700000007</v>
      </c>
      <c r="M2338" s="19">
        <v>0.71740000000000004</v>
      </c>
      <c r="N2338" s="19">
        <v>0.69769999999999999</v>
      </c>
      <c r="O2338" s="19">
        <v>0.625</v>
      </c>
      <c r="P2338" s="19">
        <v>0.8</v>
      </c>
      <c r="Q2338" s="19"/>
      <c r="R2338" s="20">
        <v>42716</v>
      </c>
      <c r="S2338" s="21" t="str">
        <f>HYPERLINK("https://adminfinance.umw.edu/umwstatic/financialaid/NetPriceCalculator/npcalc.htm", "$30377")</f>
        <v>$30377</v>
      </c>
      <c r="T2338" s="20">
        <v>37756</v>
      </c>
      <c r="U2338" s="20">
        <v>42330</v>
      </c>
      <c r="V2338" s="20">
        <v>4431</v>
      </c>
      <c r="W2338" s="20">
        <v>25946.391304347821</v>
      </c>
      <c r="Y2338" s="19">
        <v>0.18729999999999999</v>
      </c>
      <c r="Z2338" s="19">
        <v>0.30599999999999988</v>
      </c>
      <c r="AB2338" s="18">
        <v>4366</v>
      </c>
      <c r="AC2338" s="18">
        <v>3</v>
      </c>
    </row>
    <row r="2339" spans="1:29" ht="15.75" customHeight="1" x14ac:dyDescent="0.2">
      <c r="A2339" s="36" t="str">
        <f>HYPERLINK("https://www.umaryland.edu", "University of Maryland  Baltimore")</f>
        <v>University of Maryland  Baltimore</v>
      </c>
      <c r="B2339" s="18" t="s">
        <v>49</v>
      </c>
      <c r="C2339" s="18" t="s">
        <v>124</v>
      </c>
      <c r="D2339" s="18" t="s">
        <v>125</v>
      </c>
      <c r="E2339" s="18" t="s">
        <v>36</v>
      </c>
      <c r="F2339" s="18" t="s">
        <v>36</v>
      </c>
      <c r="J2339" s="19"/>
      <c r="K2339" s="19" t="s">
        <v>36</v>
      </c>
      <c r="L2339" s="19">
        <v>0.92338709699999999</v>
      </c>
      <c r="M2339" s="19" t="s">
        <v>36</v>
      </c>
      <c r="N2339" s="19" t="s">
        <v>36</v>
      </c>
      <c r="O2339" s="19" t="s">
        <v>36</v>
      </c>
      <c r="P2339" s="19" t="s">
        <v>36</v>
      </c>
      <c r="Q2339" s="19"/>
      <c r="R2339" s="20" t="s">
        <v>36</v>
      </c>
      <c r="S2339" s="21" t="str">
        <f>HYPERLINK("https://www.umaryland.edu/oac/student-right-to-know/", "Not reported")</f>
        <v>Not reported</v>
      </c>
      <c r="T2339" s="20" t="s">
        <v>36</v>
      </c>
      <c r="U2339" s="20" t="s">
        <v>36</v>
      </c>
      <c r="V2339" s="20" t="s">
        <v>36</v>
      </c>
      <c r="W2339" s="20" t="s">
        <v>36</v>
      </c>
      <c r="Y2339" s="19">
        <v>0.19339999999999999</v>
      </c>
      <c r="Z2339" s="19">
        <v>0.5131</v>
      </c>
      <c r="AB2339" s="18">
        <v>918</v>
      </c>
      <c r="AC2339" s="18">
        <v>3</v>
      </c>
    </row>
    <row r="2340" spans="1:29" ht="15.75" customHeight="1" x14ac:dyDescent="0.2">
      <c r="A2340" s="36" t="str">
        <f>HYPERLINK("https://www.umes.edu", "University of Maryland Eastern Shore")</f>
        <v>University of Maryland Eastern Shore</v>
      </c>
      <c r="B2340" s="18" t="s">
        <v>49</v>
      </c>
      <c r="C2340" s="18" t="s">
        <v>124</v>
      </c>
      <c r="D2340" s="18" t="s">
        <v>1290</v>
      </c>
      <c r="E2340" s="18">
        <v>950</v>
      </c>
      <c r="F2340" s="18" t="s">
        <v>35</v>
      </c>
      <c r="J2340" s="19"/>
      <c r="K2340" s="19">
        <v>0.38240000000000002</v>
      </c>
      <c r="L2340" s="19">
        <v>0.30599999999999999</v>
      </c>
      <c r="M2340" s="19">
        <v>0.41299999999999998</v>
      </c>
      <c r="N2340" s="19">
        <v>0.39069999999999999</v>
      </c>
      <c r="O2340" s="19">
        <v>0.1875</v>
      </c>
      <c r="P2340" s="19">
        <v>0.33329999999999999</v>
      </c>
      <c r="Q2340" s="19"/>
      <c r="R2340" s="20">
        <v>33721</v>
      </c>
      <c r="S2340" s="21" t="str">
        <f>HYPERLINK("https://www.umes.edu/NetPriceCalculator/npcalc.htm", "$24775")</f>
        <v>$24775</v>
      </c>
      <c r="T2340" s="20">
        <v>30434</v>
      </c>
      <c r="U2340" s="20">
        <v>31981</v>
      </c>
      <c r="V2340" s="20">
        <v>6050</v>
      </c>
      <c r="W2340" s="20">
        <v>18725.676156583631</v>
      </c>
      <c r="Y2340" s="19">
        <v>0.52410000000000001</v>
      </c>
      <c r="Z2340" s="19">
        <v>0.90249999999999997</v>
      </c>
      <c r="AB2340" s="18">
        <v>2799</v>
      </c>
      <c r="AC2340" s="18">
        <v>4</v>
      </c>
    </row>
    <row r="2341" spans="1:29" ht="15.75" customHeight="1" x14ac:dyDescent="0.2">
      <c r="A2341" s="36" t="str">
        <f>HYPERLINK("https://umbc.edu", "University of Maryland-Baltimore County")</f>
        <v>University of Maryland-Baltimore County</v>
      </c>
      <c r="B2341" s="18" t="s">
        <v>49</v>
      </c>
      <c r="C2341" s="18" t="s">
        <v>124</v>
      </c>
      <c r="D2341" s="18" t="s">
        <v>125</v>
      </c>
      <c r="E2341" s="18">
        <v>1255</v>
      </c>
      <c r="F2341" s="18" t="s">
        <v>35</v>
      </c>
      <c r="J2341" s="19"/>
      <c r="K2341" s="19">
        <v>0.63419999999999999</v>
      </c>
      <c r="L2341" s="19">
        <v>0.48340548300000002</v>
      </c>
      <c r="M2341" s="19">
        <v>0.65629999999999999</v>
      </c>
      <c r="N2341" s="19">
        <v>0.62360000000000004</v>
      </c>
      <c r="O2341" s="19">
        <v>0.57450000000000001</v>
      </c>
      <c r="P2341" s="19">
        <v>0.65700000000000003</v>
      </c>
      <c r="Q2341" s="19"/>
      <c r="R2341" s="20">
        <v>41674</v>
      </c>
      <c r="S2341" s="21" t="str">
        <f>HYPERLINK("https://ofas.umbc.edu/netprice/", "$30815")</f>
        <v>$30815</v>
      </c>
      <c r="T2341" s="20">
        <v>37892</v>
      </c>
      <c r="U2341" s="20">
        <v>41103</v>
      </c>
      <c r="V2341" s="20">
        <v>4184</v>
      </c>
      <c r="W2341" s="20">
        <v>26631.76497695853</v>
      </c>
      <c r="Y2341" s="19">
        <v>0.28470000000000001</v>
      </c>
      <c r="Z2341" s="19">
        <v>0.58909999999999996</v>
      </c>
      <c r="AB2341" s="18">
        <v>11130</v>
      </c>
      <c r="AC2341" s="18">
        <v>3</v>
      </c>
    </row>
    <row r="2342" spans="1:29" ht="15.75" customHeight="1" x14ac:dyDescent="0.2">
      <c r="A2342" s="36" t="str">
        <f>HYPERLINK("https://www.umd.edu", "University of Maryland-College Park")</f>
        <v>University of Maryland-College Park</v>
      </c>
      <c r="B2342" s="18" t="s">
        <v>49</v>
      </c>
      <c r="C2342" s="18" t="s">
        <v>124</v>
      </c>
      <c r="D2342" s="18" t="s">
        <v>280</v>
      </c>
      <c r="E2342" s="18">
        <v>1396</v>
      </c>
      <c r="F2342" s="18" t="s">
        <v>35</v>
      </c>
      <c r="J2342" s="19"/>
      <c r="K2342" s="19">
        <v>0.85289999999999999</v>
      </c>
      <c r="L2342" s="19">
        <v>0.65678776299999997</v>
      </c>
      <c r="M2342" s="19">
        <v>0.85770000000000002</v>
      </c>
      <c r="N2342" s="19">
        <v>0.79510000000000003</v>
      </c>
      <c r="O2342" s="19">
        <v>0.84960000000000002</v>
      </c>
      <c r="P2342" s="19">
        <v>0.90439999999999998</v>
      </c>
      <c r="Q2342" s="19"/>
      <c r="R2342" s="20">
        <v>49698</v>
      </c>
      <c r="S2342" s="21" t="str">
        <f>HYPERLINK("https://www.financialaid.umd.edu/NetPriceCalculator/index.html", "$33931")</f>
        <v>$33931</v>
      </c>
      <c r="T2342" s="20">
        <v>41268</v>
      </c>
      <c r="U2342" s="20">
        <v>46386</v>
      </c>
      <c r="V2342" s="20">
        <v>3690</v>
      </c>
      <c r="W2342" s="20">
        <v>30241.494845360819</v>
      </c>
      <c r="Y2342" s="19">
        <v>0.18629999999999999</v>
      </c>
      <c r="Z2342" s="19">
        <v>0.49609999999999999</v>
      </c>
      <c r="AB2342" s="18">
        <v>29273</v>
      </c>
      <c r="AC2342" s="18">
        <v>2</v>
      </c>
    </row>
    <row r="2343" spans="1:29" ht="15.75" customHeight="1" x14ac:dyDescent="0.2">
      <c r="A2343" s="36" t="str">
        <f>HYPERLINK("https://www.umuc.edu", "University of Maryland-University College")</f>
        <v>University of Maryland-University College</v>
      </c>
      <c r="B2343" s="18" t="s">
        <v>49</v>
      </c>
      <c r="C2343" s="18" t="s">
        <v>124</v>
      </c>
      <c r="D2343" s="18" t="s">
        <v>1291</v>
      </c>
      <c r="E2343" s="18" t="s">
        <v>36</v>
      </c>
      <c r="F2343" s="18" t="s">
        <v>36</v>
      </c>
      <c r="J2343" s="19"/>
      <c r="K2343" s="19">
        <v>8.8099999999999998E-2</v>
      </c>
      <c r="L2343" s="19">
        <v>0.196258615</v>
      </c>
      <c r="M2343" s="19">
        <v>6.8199999999999997E-2</v>
      </c>
      <c r="N2343" s="19">
        <v>7.2300000000000003E-2</v>
      </c>
      <c r="O2343" s="19">
        <v>0</v>
      </c>
      <c r="P2343" s="19">
        <v>0.28570000000000001</v>
      </c>
      <c r="Q2343" s="19"/>
      <c r="R2343" s="20">
        <v>33616</v>
      </c>
      <c r="S2343" s="21" t="str">
        <f>HYPERLINK("https://www.umuc.edu/students/aid/applyforaid/netpricecalc.cfm", "Not reported")</f>
        <v>Not reported</v>
      </c>
      <c r="T2343" s="20" t="s">
        <v>36</v>
      </c>
      <c r="U2343" s="20" t="s">
        <v>36</v>
      </c>
      <c r="V2343" s="20">
        <v>5850</v>
      </c>
      <c r="W2343" s="20" t="s">
        <v>36</v>
      </c>
      <c r="Y2343" s="19">
        <v>0.2477</v>
      </c>
      <c r="Z2343" s="19">
        <v>0.6</v>
      </c>
      <c r="AB2343" s="18">
        <v>42289</v>
      </c>
      <c r="AC2343" s="18">
        <v>4</v>
      </c>
    </row>
    <row r="2344" spans="1:29" ht="15.75" customHeight="1" x14ac:dyDescent="0.2">
      <c r="A2344" s="36" t="str">
        <f>HYPERLINK("https://www.umass.edu", "University of Massachusetts-Amherst")</f>
        <v>University of Massachusetts-Amherst</v>
      </c>
      <c r="B2344" s="18" t="s">
        <v>49</v>
      </c>
      <c r="C2344" s="18" t="s">
        <v>33</v>
      </c>
      <c r="D2344" s="18" t="s">
        <v>34</v>
      </c>
      <c r="E2344" s="18">
        <v>1288</v>
      </c>
      <c r="F2344" s="18" t="s">
        <v>35</v>
      </c>
      <c r="J2344" s="19"/>
      <c r="K2344" s="19">
        <v>0.77180000000000004</v>
      </c>
      <c r="L2344" s="19">
        <v>0.66358595200000003</v>
      </c>
      <c r="M2344" s="19">
        <v>0.77659999999999996</v>
      </c>
      <c r="N2344" s="19">
        <v>0.71220000000000006</v>
      </c>
      <c r="O2344" s="19">
        <v>0.67810000000000004</v>
      </c>
      <c r="P2344" s="19">
        <v>0.79669999999999996</v>
      </c>
      <c r="Q2344" s="19"/>
      <c r="R2344" s="20">
        <v>48135</v>
      </c>
      <c r="S2344" s="21" t="str">
        <f>HYPERLINK("https://www.umass.edu/umfa/sites/default/files/netprice/npcalc.htm", "$31101")</f>
        <v>$31101</v>
      </c>
      <c r="T2344" s="20">
        <v>35893</v>
      </c>
      <c r="U2344" s="20">
        <v>42094</v>
      </c>
      <c r="V2344" s="20">
        <v>2400</v>
      </c>
      <c r="W2344" s="20">
        <v>28701.611510791368</v>
      </c>
      <c r="Y2344" s="19">
        <v>0.22500000000000001</v>
      </c>
      <c r="Z2344" s="19">
        <v>0.35580000000000001</v>
      </c>
      <c r="AB2344" s="18">
        <v>23010</v>
      </c>
      <c r="AC2344" s="18">
        <v>3</v>
      </c>
    </row>
    <row r="2345" spans="1:29" ht="15.75" customHeight="1" x14ac:dyDescent="0.2">
      <c r="A2345" s="36" t="str">
        <f>HYPERLINK("https://www.umb.edu", "University of Massachusetts-Boston")</f>
        <v>University of Massachusetts-Boston</v>
      </c>
      <c r="B2345" s="18" t="s">
        <v>49</v>
      </c>
      <c r="C2345" s="18" t="s">
        <v>33</v>
      </c>
      <c r="D2345" s="18" t="s">
        <v>136</v>
      </c>
      <c r="E2345" s="18">
        <v>1134</v>
      </c>
      <c r="F2345" s="18" t="s">
        <v>115</v>
      </c>
      <c r="J2345" s="19"/>
      <c r="K2345" s="19">
        <v>0.4803</v>
      </c>
      <c r="L2345" s="19">
        <v>0.146622735</v>
      </c>
      <c r="M2345" s="19">
        <v>0.46989999999999998</v>
      </c>
      <c r="N2345" s="19">
        <v>0.44299999999999989</v>
      </c>
      <c r="O2345" s="19">
        <v>0.41880000000000001</v>
      </c>
      <c r="P2345" s="19">
        <v>0.55220000000000002</v>
      </c>
      <c r="Q2345" s="19"/>
      <c r="R2345" s="20">
        <v>46941</v>
      </c>
      <c r="S2345" s="21" t="str">
        <f>HYPERLINK("https://umb.studentaidcalculator.com/survey.aspx", "$34090")</f>
        <v>$34090</v>
      </c>
      <c r="T2345" s="20">
        <v>37427</v>
      </c>
      <c r="U2345" s="20">
        <v>43137</v>
      </c>
      <c r="V2345" s="20">
        <v>3756</v>
      </c>
      <c r="W2345" s="20">
        <v>30334.066298342539</v>
      </c>
      <c r="Y2345" s="19">
        <v>0.40300000000000002</v>
      </c>
      <c r="Z2345" s="19">
        <v>0.66290000000000004</v>
      </c>
      <c r="AB2345" s="18">
        <v>12159</v>
      </c>
      <c r="AC2345" s="18">
        <v>4</v>
      </c>
    </row>
    <row r="2346" spans="1:29" ht="15.75" customHeight="1" x14ac:dyDescent="0.2">
      <c r="A2346" s="36" t="str">
        <f>HYPERLINK("https://www.umassd.edu", "University of Massachusetts-Dartmouth")</f>
        <v>University of Massachusetts-Dartmouth</v>
      </c>
      <c r="B2346" s="18" t="s">
        <v>49</v>
      </c>
      <c r="C2346" s="18" t="s">
        <v>33</v>
      </c>
      <c r="D2346" s="18" t="s">
        <v>1293</v>
      </c>
      <c r="E2346" s="18">
        <v>1097</v>
      </c>
      <c r="F2346" s="18" t="s">
        <v>35</v>
      </c>
      <c r="J2346" s="19"/>
      <c r="K2346" s="19">
        <v>0.48470000000000002</v>
      </c>
      <c r="L2346" s="19">
        <v>0.33219178100000002</v>
      </c>
      <c r="M2346" s="19">
        <v>0.4929</v>
      </c>
      <c r="N2346" s="19">
        <v>0.4556</v>
      </c>
      <c r="O2346" s="19">
        <v>0.4037</v>
      </c>
      <c r="P2346" s="19">
        <v>0.56600000000000006</v>
      </c>
      <c r="Q2346" s="19"/>
      <c r="R2346" s="20">
        <v>43993</v>
      </c>
      <c r="S2346" s="21" t="str">
        <f>HYPERLINK("https://umassd.studentaidcalculator.com/survey.aspx", "$31961")</f>
        <v>$31961</v>
      </c>
      <c r="T2346" s="20">
        <v>34918</v>
      </c>
      <c r="U2346" s="20">
        <v>39992</v>
      </c>
      <c r="V2346" s="20">
        <v>2772</v>
      </c>
      <c r="W2346" s="20">
        <v>29189.78554216868</v>
      </c>
      <c r="Y2346" s="19">
        <v>0.37530000000000002</v>
      </c>
      <c r="Z2346" s="19">
        <v>0.38950000000000001</v>
      </c>
      <c r="AB2346" s="18">
        <v>6559</v>
      </c>
      <c r="AC2346" s="18">
        <v>4</v>
      </c>
    </row>
    <row r="2347" spans="1:29" ht="15.75" customHeight="1" x14ac:dyDescent="0.2">
      <c r="A2347" s="36" t="str">
        <f>HYPERLINK("https://www.uml.edu", "University of Massachusetts-Lowell")</f>
        <v>University of Massachusetts-Lowell</v>
      </c>
      <c r="B2347" s="18" t="s">
        <v>49</v>
      </c>
      <c r="C2347" s="18" t="s">
        <v>33</v>
      </c>
      <c r="D2347" s="18" t="s">
        <v>1296</v>
      </c>
      <c r="E2347" s="18">
        <v>1227</v>
      </c>
      <c r="F2347" s="18" t="s">
        <v>35</v>
      </c>
      <c r="J2347" s="19"/>
      <c r="K2347" s="19">
        <v>0.6008</v>
      </c>
      <c r="L2347" s="19">
        <v>0.52474108200000003</v>
      </c>
      <c r="M2347" s="19">
        <v>0.63339999999999996</v>
      </c>
      <c r="N2347" s="19">
        <v>0.52459999999999996</v>
      </c>
      <c r="O2347" s="19">
        <v>0.42059999999999997</v>
      </c>
      <c r="P2347" s="19">
        <v>0.60160000000000002</v>
      </c>
      <c r="Q2347" s="19"/>
      <c r="R2347" s="20">
        <v>46983</v>
      </c>
      <c r="S2347" s="21" t="str">
        <f>HYPERLINK("https://uml.studentaidcalculator.com/welcome.aspx", "$31630")</f>
        <v>$31630</v>
      </c>
      <c r="T2347" s="20">
        <v>36005</v>
      </c>
      <c r="U2347" s="20">
        <v>40434</v>
      </c>
      <c r="V2347" s="20">
        <v>2622</v>
      </c>
      <c r="W2347" s="20">
        <v>29008.586206896551</v>
      </c>
      <c r="Y2347" s="19">
        <v>0.26050000000000001</v>
      </c>
      <c r="Z2347" s="19">
        <v>0.38350000000000001</v>
      </c>
      <c r="AB2347" s="18">
        <v>13284</v>
      </c>
      <c r="AC2347" s="18">
        <v>4</v>
      </c>
    </row>
    <row r="2348" spans="1:29" ht="15.75" customHeight="1" x14ac:dyDescent="0.2">
      <c r="A2348" s="36" t="str">
        <f>HYPERLINK("https://www.memphis.edu", "University of Memphis")</f>
        <v>University of Memphis</v>
      </c>
      <c r="B2348" s="18" t="s">
        <v>49</v>
      </c>
      <c r="C2348" s="18" t="s">
        <v>174</v>
      </c>
      <c r="D2348" s="18" t="s">
        <v>207</v>
      </c>
      <c r="E2348" s="18">
        <v>1106</v>
      </c>
      <c r="F2348" s="18" t="s">
        <v>35</v>
      </c>
      <c r="J2348" s="19"/>
      <c r="K2348" s="19">
        <v>0.43209999999999998</v>
      </c>
      <c r="L2348" s="19">
        <v>0.39674152400000001</v>
      </c>
      <c r="M2348" s="19">
        <v>0.53890000000000005</v>
      </c>
      <c r="N2348" s="19">
        <v>0.2918</v>
      </c>
      <c r="O2348" s="19">
        <v>0.46150000000000002</v>
      </c>
      <c r="P2348" s="19">
        <v>0.66669999999999996</v>
      </c>
      <c r="Q2348" s="19"/>
      <c r="R2348" s="20">
        <v>36372</v>
      </c>
      <c r="S2348" s="21" t="str">
        <f>HYPERLINK("https://www.memphis.edu/financialaid/net_price_calculator/npc.php", "$26213")</f>
        <v>$26213</v>
      </c>
      <c r="T2348" s="20">
        <v>30166</v>
      </c>
      <c r="U2348" s="20">
        <v>32105</v>
      </c>
      <c r="V2348" s="20">
        <v>5977</v>
      </c>
      <c r="W2348" s="20">
        <v>20236.04843049328</v>
      </c>
      <c r="Y2348" s="19">
        <v>0.45519999999999999</v>
      </c>
      <c r="Z2348" s="19">
        <v>0.52129999999999999</v>
      </c>
      <c r="AB2348" s="18">
        <v>15901</v>
      </c>
      <c r="AC2348" s="18">
        <v>4</v>
      </c>
    </row>
    <row r="2349" spans="1:29" ht="15.75" customHeight="1" x14ac:dyDescent="0.2">
      <c r="A2349" s="36" t="str">
        <f>HYPERLINK("https://www.miami.edu/", "University of Miami")</f>
        <v>University of Miami</v>
      </c>
      <c r="B2349" s="18" t="s">
        <v>32</v>
      </c>
      <c r="C2349" s="18" t="s">
        <v>162</v>
      </c>
      <c r="D2349" s="18" t="s">
        <v>163</v>
      </c>
      <c r="E2349" s="18">
        <v>1366</v>
      </c>
      <c r="F2349" s="18" t="s">
        <v>35</v>
      </c>
      <c r="J2349" s="19"/>
      <c r="K2349" s="19">
        <v>0.83720000000000006</v>
      </c>
      <c r="L2349" s="19">
        <v>0.67870036099999997</v>
      </c>
      <c r="M2349" s="19">
        <v>0.83930000000000005</v>
      </c>
      <c r="N2349" s="19">
        <v>0.74809999999999999</v>
      </c>
      <c r="O2349" s="19">
        <v>0.87599999999999989</v>
      </c>
      <c r="P2349" s="19">
        <v>0.82779999999999998</v>
      </c>
      <c r="Q2349" s="19"/>
      <c r="R2349" s="20">
        <v>66274</v>
      </c>
      <c r="S2349" s="21" t="str">
        <f>HYPERLINK("https://public.cgcent.miami.edu/AttendanceCalculator/", "$19787")</f>
        <v>$19787</v>
      </c>
      <c r="T2349" s="20">
        <v>19779</v>
      </c>
      <c r="U2349" s="20">
        <v>25551</v>
      </c>
      <c r="V2349" s="20">
        <v>4124</v>
      </c>
      <c r="W2349" s="20">
        <v>15663</v>
      </c>
      <c r="Y2349" s="19">
        <v>0.14069999999999999</v>
      </c>
      <c r="Z2349" s="19">
        <v>0.57979999999999998</v>
      </c>
      <c r="AB2349" s="18">
        <v>10613</v>
      </c>
      <c r="AC2349" s="18">
        <v>1</v>
      </c>
    </row>
    <row r="2350" spans="1:29" ht="15.75" customHeight="1" x14ac:dyDescent="0.2">
      <c r="A2350" s="36" t="str">
        <f>HYPERLINK("https://www.umich.edu", "University of Michigan-Ann Arbor")</f>
        <v>University of Michigan-Ann Arbor</v>
      </c>
      <c r="B2350" s="18" t="s">
        <v>49</v>
      </c>
      <c r="C2350" s="18" t="s">
        <v>226</v>
      </c>
      <c r="D2350" s="18" t="s">
        <v>282</v>
      </c>
      <c r="E2350" s="18">
        <v>1436</v>
      </c>
      <c r="F2350" s="18" t="s">
        <v>35</v>
      </c>
      <c r="J2350" s="19"/>
      <c r="K2350" s="19">
        <v>0.91590000000000005</v>
      </c>
      <c r="L2350" s="19">
        <v>0.70327102799999996</v>
      </c>
      <c r="M2350" s="19">
        <v>0.92420000000000002</v>
      </c>
      <c r="N2350" s="19">
        <v>0.84250000000000003</v>
      </c>
      <c r="O2350" s="19">
        <v>0.87170000000000003</v>
      </c>
      <c r="P2350" s="19">
        <v>0.93679999999999997</v>
      </c>
      <c r="Q2350" s="19"/>
      <c r="R2350" s="20">
        <v>62176</v>
      </c>
      <c r="S2350" s="21" t="str">
        <f>HYPERLINK("https://npc.collegeboard.org/student/app/umich", "$37641")</f>
        <v>$37641</v>
      </c>
      <c r="T2350" s="20">
        <v>43419</v>
      </c>
      <c r="U2350" s="20">
        <v>51229</v>
      </c>
      <c r="V2350" s="20">
        <v>3502</v>
      </c>
      <c r="W2350" s="20">
        <v>34139.251473477401</v>
      </c>
      <c r="Y2350" s="19">
        <v>0.1535</v>
      </c>
      <c r="Z2350" s="19">
        <v>0.39489999999999997</v>
      </c>
      <c r="AB2350" s="18">
        <v>29550</v>
      </c>
      <c r="AC2350" s="18">
        <v>2</v>
      </c>
    </row>
    <row r="2351" spans="1:29" ht="15.75" customHeight="1" x14ac:dyDescent="0.2">
      <c r="A2351" s="36" t="str">
        <f>HYPERLINK("https://umdearborn.edu/", "University of Michigan-Dearborn")</f>
        <v>University of Michigan-Dearborn</v>
      </c>
      <c r="B2351" s="18" t="s">
        <v>49</v>
      </c>
      <c r="C2351" s="18" t="s">
        <v>226</v>
      </c>
      <c r="D2351" s="18" t="s">
        <v>513</v>
      </c>
      <c r="E2351" s="18">
        <v>1187</v>
      </c>
      <c r="F2351" s="18" t="s">
        <v>35</v>
      </c>
      <c r="J2351" s="19"/>
      <c r="K2351" s="19">
        <v>0.5444</v>
      </c>
      <c r="L2351" s="19">
        <v>0.47279792799999998</v>
      </c>
      <c r="M2351" s="19">
        <v>0.55830000000000002</v>
      </c>
      <c r="N2351" s="19">
        <v>0.49020000000000002</v>
      </c>
      <c r="O2351" s="19">
        <v>0.44640000000000002</v>
      </c>
      <c r="P2351" s="19">
        <v>0.57350000000000001</v>
      </c>
      <c r="Q2351" s="19"/>
      <c r="R2351" s="20">
        <v>37470</v>
      </c>
      <c r="S2351" s="21" t="str">
        <f>HYPERLINK("https://umdearborn.edu/students/financial-aid/calculators/net-price-calculator", "$25934")</f>
        <v>$25934</v>
      </c>
      <c r="T2351" s="20">
        <v>29594</v>
      </c>
      <c r="U2351" s="20">
        <v>30724</v>
      </c>
      <c r="V2351" s="20">
        <v>4492</v>
      </c>
      <c r="W2351" s="20">
        <v>21442.641160949868</v>
      </c>
      <c r="Y2351" s="19">
        <v>0.41670000000000001</v>
      </c>
      <c r="Z2351" s="19">
        <v>0.30790000000000001</v>
      </c>
      <c r="AB2351" s="18">
        <v>6961</v>
      </c>
      <c r="AC2351" s="18">
        <v>3</v>
      </c>
    </row>
    <row r="2352" spans="1:29" ht="15.75" customHeight="1" x14ac:dyDescent="0.2">
      <c r="A2352" s="36" t="str">
        <f>HYPERLINK("https://www.umflint.edu", "University of Michigan-Flint")</f>
        <v>University of Michigan-Flint</v>
      </c>
      <c r="B2352" s="18" t="s">
        <v>49</v>
      </c>
      <c r="C2352" s="18" t="s">
        <v>226</v>
      </c>
      <c r="D2352" s="18" t="s">
        <v>228</v>
      </c>
      <c r="E2352" s="18">
        <v>1092</v>
      </c>
      <c r="F2352" s="18" t="s">
        <v>35</v>
      </c>
      <c r="J2352" s="19"/>
      <c r="K2352" s="19">
        <v>0.4405</v>
      </c>
      <c r="L2352" s="19">
        <v>0.37567861000000002</v>
      </c>
      <c r="M2352" s="19">
        <v>0.44340000000000002</v>
      </c>
      <c r="N2352" s="19">
        <v>0.33900000000000002</v>
      </c>
      <c r="O2352" s="19">
        <v>0.29170000000000001</v>
      </c>
      <c r="P2352" s="19">
        <v>0.625</v>
      </c>
      <c r="Q2352" s="19"/>
      <c r="R2352" s="20">
        <v>34501</v>
      </c>
      <c r="S2352" s="21" t="str">
        <f>HYPERLINK("https://www.umflint.edu/finaid/net-price-calculator", "$22565")</f>
        <v>$22565</v>
      </c>
      <c r="T2352" s="20">
        <v>27513</v>
      </c>
      <c r="U2352" s="20">
        <v>30935</v>
      </c>
      <c r="V2352" s="20">
        <v>4950</v>
      </c>
      <c r="W2352" s="20">
        <v>17615.308411214952</v>
      </c>
      <c r="Y2352" s="19">
        <v>0.39100000000000001</v>
      </c>
      <c r="Z2352" s="19">
        <v>0.29649999999999999</v>
      </c>
      <c r="AB2352" s="18">
        <v>5669</v>
      </c>
      <c r="AC2352" s="18">
        <v>4</v>
      </c>
    </row>
    <row r="2353" spans="1:29" ht="15.75" customHeight="1" x14ac:dyDescent="0.2">
      <c r="A2353" s="36" t="str">
        <f>HYPERLINK("https://www.crk.umn.edu/", "University of Minnesota-Crookston")</f>
        <v>University of Minnesota-Crookston</v>
      </c>
      <c r="B2353" s="18" t="s">
        <v>49</v>
      </c>
      <c r="C2353" s="18" t="s">
        <v>72</v>
      </c>
      <c r="D2353" s="18" t="s">
        <v>898</v>
      </c>
      <c r="E2353" s="18">
        <v>1082</v>
      </c>
      <c r="F2353" s="18" t="s">
        <v>35</v>
      </c>
      <c r="J2353" s="19"/>
      <c r="K2353" s="19">
        <v>0.53559999999999997</v>
      </c>
      <c r="L2353" s="19">
        <v>0.28125</v>
      </c>
      <c r="M2353" s="19">
        <v>0.55149999999999999</v>
      </c>
      <c r="N2353" s="19">
        <v>0.5</v>
      </c>
      <c r="O2353" s="19">
        <v>0.45450000000000002</v>
      </c>
      <c r="P2353" s="19">
        <v>0.33329999999999999</v>
      </c>
      <c r="Q2353" s="19"/>
      <c r="R2353" s="20">
        <v>23866</v>
      </c>
      <c r="S2353" s="21" t="str">
        <f>HYPERLINK("https://npc.collegeboard.org/student/app/dumn", "$8286")</f>
        <v>$8286</v>
      </c>
      <c r="T2353" s="20">
        <v>10608</v>
      </c>
      <c r="U2353" s="20">
        <v>17498</v>
      </c>
      <c r="V2353" s="20">
        <v>3492</v>
      </c>
      <c r="W2353" s="20">
        <v>4794.7586206896558</v>
      </c>
      <c r="Y2353" s="19">
        <v>0.20699999999999999</v>
      </c>
      <c r="Z2353" s="19">
        <v>0.23760000000000001</v>
      </c>
      <c r="AB2353" s="18">
        <v>1797</v>
      </c>
      <c r="AC2353" s="18">
        <v>5</v>
      </c>
    </row>
    <row r="2354" spans="1:29" ht="15.75" customHeight="1" x14ac:dyDescent="0.2">
      <c r="A2354" s="36" t="str">
        <f>HYPERLINK("https://www.d.umn.edu/", "University of Minnesota-Duluth")</f>
        <v>University of Minnesota-Duluth</v>
      </c>
      <c r="B2354" s="18" t="s">
        <v>49</v>
      </c>
      <c r="C2354" s="18" t="s">
        <v>72</v>
      </c>
      <c r="D2354" s="18" t="s">
        <v>1222</v>
      </c>
      <c r="E2354" s="18">
        <v>1185</v>
      </c>
      <c r="F2354" s="18" t="s">
        <v>35</v>
      </c>
      <c r="J2354" s="19"/>
      <c r="K2354" s="19">
        <v>0.59240000000000004</v>
      </c>
      <c r="L2354" s="19">
        <v>0.48113207600000002</v>
      </c>
      <c r="M2354" s="19">
        <v>0.60940000000000005</v>
      </c>
      <c r="N2354" s="19">
        <v>0.5</v>
      </c>
      <c r="O2354" s="19">
        <v>0.39129999999999998</v>
      </c>
      <c r="P2354" s="19">
        <v>0.45450000000000002</v>
      </c>
      <c r="Q2354" s="19"/>
      <c r="R2354" s="20">
        <v>29542</v>
      </c>
      <c r="S2354" s="21" t="str">
        <f>HYPERLINK("https://npc.collegeboard.org/student/app/dumn", "$13477")</f>
        <v>$13477</v>
      </c>
      <c r="T2354" s="20">
        <v>17637</v>
      </c>
      <c r="U2354" s="20">
        <v>24552</v>
      </c>
      <c r="V2354" s="20">
        <v>3472</v>
      </c>
      <c r="W2354" s="20">
        <v>10005.25</v>
      </c>
      <c r="Y2354" s="19">
        <v>0.21709999999999999</v>
      </c>
      <c r="Z2354" s="19">
        <v>0.15010000000000001</v>
      </c>
      <c r="AB2354" s="18">
        <v>9199</v>
      </c>
      <c r="AC2354" s="18">
        <v>4</v>
      </c>
    </row>
    <row r="2355" spans="1:29" ht="15.75" customHeight="1" x14ac:dyDescent="0.2">
      <c r="A2355" s="36" t="str">
        <f>HYPERLINK("https://www4.morris.umn.edu/", "University of Minnesota-Morris")</f>
        <v>University of Minnesota-Morris</v>
      </c>
      <c r="B2355" s="18" t="s">
        <v>49</v>
      </c>
      <c r="C2355" s="18" t="s">
        <v>72</v>
      </c>
      <c r="D2355" s="18" t="s">
        <v>514</v>
      </c>
      <c r="E2355" s="18">
        <v>1219</v>
      </c>
      <c r="F2355" s="18" t="s">
        <v>35</v>
      </c>
      <c r="J2355" s="19"/>
      <c r="K2355" s="19">
        <v>0.58660000000000001</v>
      </c>
      <c r="L2355" s="19">
        <v>0.404255319</v>
      </c>
      <c r="M2355" s="19">
        <v>0.63190000000000002</v>
      </c>
      <c r="N2355" s="19">
        <v>0.4</v>
      </c>
      <c r="O2355" s="19">
        <v>0.25</v>
      </c>
      <c r="P2355" s="19">
        <v>0.375</v>
      </c>
      <c r="Q2355" s="19"/>
      <c r="R2355" s="20">
        <v>25942</v>
      </c>
      <c r="S2355" s="21" t="str">
        <f>HYPERLINK("https://npc.collegeboard.org/student/app/dumn?iframe=true", "$5484")</f>
        <v>$5484</v>
      </c>
      <c r="T2355" s="20">
        <v>10530</v>
      </c>
      <c r="U2355" s="20">
        <v>16946</v>
      </c>
      <c r="V2355" s="20">
        <v>2700</v>
      </c>
      <c r="W2355" s="20">
        <v>2784.9166666666679</v>
      </c>
      <c r="Y2355" s="19">
        <v>0.30099999999999999</v>
      </c>
      <c r="Z2355" s="19">
        <v>0.42080000000000001</v>
      </c>
      <c r="AB2355" s="18">
        <v>1554</v>
      </c>
      <c r="AC2355" s="18">
        <v>3</v>
      </c>
    </row>
    <row r="2356" spans="1:29" ht="15.75" customHeight="1" x14ac:dyDescent="0.2">
      <c r="A2356" s="36" t="str">
        <f>HYPERLINK("https://r.umn.edu", "University of Minnesota-Rochester")</f>
        <v>University of Minnesota-Rochester</v>
      </c>
      <c r="B2356" s="18" t="s">
        <v>49</v>
      </c>
      <c r="C2356" s="18" t="s">
        <v>72</v>
      </c>
      <c r="D2356" s="18" t="s">
        <v>170</v>
      </c>
      <c r="E2356" s="18">
        <v>1186</v>
      </c>
      <c r="F2356" s="18" t="s">
        <v>35</v>
      </c>
      <c r="J2356" s="19"/>
      <c r="K2356" s="19">
        <v>0.61260000000000003</v>
      </c>
      <c r="L2356" s="19">
        <v>0.61793260999999999</v>
      </c>
      <c r="M2356" s="19">
        <v>0.64200000000000002</v>
      </c>
      <c r="N2356" s="19">
        <v>0.7</v>
      </c>
      <c r="O2356" s="19">
        <v>0.33329999999999999</v>
      </c>
      <c r="P2356" s="19">
        <v>0.28570000000000001</v>
      </c>
      <c r="Q2356" s="19"/>
      <c r="R2356" s="20">
        <v>25940</v>
      </c>
      <c r="S2356" s="21" t="str">
        <f>HYPERLINK("https://npc.collegeboard.org/student/app/tcumn", "$6273")</f>
        <v>$6273</v>
      </c>
      <c r="T2356" s="20">
        <v>12103</v>
      </c>
      <c r="U2356" s="20">
        <v>20703</v>
      </c>
      <c r="V2356" s="20">
        <v>3200</v>
      </c>
      <c r="W2356" s="20">
        <v>3073.6956521739121</v>
      </c>
      <c r="Y2356" s="19">
        <v>0.33100000000000002</v>
      </c>
      <c r="Z2356" s="19">
        <v>0.29630000000000001</v>
      </c>
      <c r="AB2356" s="18">
        <v>459</v>
      </c>
      <c r="AC2356" s="18">
        <v>2</v>
      </c>
    </row>
    <row r="2357" spans="1:29" ht="15.75" customHeight="1" x14ac:dyDescent="0.2">
      <c r="A2357" s="36" t="str">
        <f>HYPERLINK("https://twin-cities.umn.edu", "University of Minnesota-Twin Cities")</f>
        <v>University of Minnesota-Twin Cities</v>
      </c>
      <c r="B2357" s="18" t="s">
        <v>49</v>
      </c>
      <c r="C2357" s="18" t="s">
        <v>72</v>
      </c>
      <c r="D2357" s="18" t="s">
        <v>283</v>
      </c>
      <c r="E2357" s="18">
        <v>1349</v>
      </c>
      <c r="F2357" s="18" t="s">
        <v>35</v>
      </c>
      <c r="J2357" s="19"/>
      <c r="K2357" s="19">
        <v>0.80099999999999993</v>
      </c>
      <c r="L2357" s="19">
        <v>0.61793260999999999</v>
      </c>
      <c r="M2357" s="19">
        <v>0.81220000000000003</v>
      </c>
      <c r="N2357" s="19">
        <v>0.71609999999999996</v>
      </c>
      <c r="O2357" s="19">
        <v>0.755</v>
      </c>
      <c r="P2357" s="19">
        <v>0.73009999999999997</v>
      </c>
      <c r="Q2357" s="19"/>
      <c r="R2357" s="20">
        <v>39655</v>
      </c>
      <c r="S2357" s="21" t="str">
        <f>HYPERLINK("https://npc.collegeboard.org/student/app/tcumn", "$21858")</f>
        <v>$21858</v>
      </c>
      <c r="T2357" s="20">
        <v>26430</v>
      </c>
      <c r="U2357" s="20">
        <v>33523</v>
      </c>
      <c r="V2357" s="20">
        <v>3200</v>
      </c>
      <c r="W2357" s="20">
        <v>18658.127659574471</v>
      </c>
      <c r="Y2357" s="19">
        <v>0.189</v>
      </c>
      <c r="Z2357" s="19">
        <v>0.32300000000000001</v>
      </c>
      <c r="AB2357" s="18">
        <v>31535</v>
      </c>
      <c r="AC2357" s="18">
        <v>2</v>
      </c>
    </row>
    <row r="2358" spans="1:29" ht="15.75" customHeight="1" x14ac:dyDescent="0.2">
      <c r="A2358" s="36" t="str">
        <f>HYPERLINK("https://www.olemiss.edu", "University of Mississippi")</f>
        <v>University of Mississippi</v>
      </c>
      <c r="B2358" s="18" t="s">
        <v>49</v>
      </c>
      <c r="C2358" s="18" t="s">
        <v>59</v>
      </c>
      <c r="D2358" s="18" t="s">
        <v>1300</v>
      </c>
      <c r="E2358" s="18">
        <v>1225</v>
      </c>
      <c r="F2358" s="18" t="s">
        <v>35</v>
      </c>
      <c r="J2358" s="19"/>
      <c r="K2358" s="19">
        <v>0.60070000000000001</v>
      </c>
      <c r="L2358" s="19">
        <v>0.53323593899999999</v>
      </c>
      <c r="M2358" s="19">
        <v>0.64249999999999996</v>
      </c>
      <c r="N2358" s="19">
        <v>0.42449999999999999</v>
      </c>
      <c r="O2358" s="19">
        <v>0.54869999999999997</v>
      </c>
      <c r="P2358" s="19">
        <v>0.76190000000000002</v>
      </c>
      <c r="Q2358" s="19"/>
      <c r="R2358" s="20">
        <v>40086</v>
      </c>
      <c r="S2358" s="21" t="str">
        <f>HYPERLINK("https://finaid.olemiss.edu/calculator/", "$27441")</f>
        <v>$27441</v>
      </c>
      <c r="T2358" s="20">
        <v>32613</v>
      </c>
      <c r="U2358" s="20">
        <v>34271</v>
      </c>
      <c r="V2358" s="20">
        <v>6020</v>
      </c>
      <c r="W2358" s="20">
        <v>21421.72759226714</v>
      </c>
      <c r="Y2358" s="19">
        <v>0.24879999999999999</v>
      </c>
      <c r="Z2358" s="19">
        <v>0.22159999999999999</v>
      </c>
      <c r="AB2358" s="18">
        <v>18537</v>
      </c>
      <c r="AC2358" s="18">
        <v>4</v>
      </c>
    </row>
    <row r="2359" spans="1:29" ht="15.75" customHeight="1" x14ac:dyDescent="0.2">
      <c r="A2359" s="36" t="str">
        <f>HYPERLINK("https://missouri.edu/", "University of Missouri-Columbia")</f>
        <v>University of Missouri-Columbia</v>
      </c>
      <c r="B2359" s="18" t="s">
        <v>49</v>
      </c>
      <c r="C2359" s="18" t="s">
        <v>164</v>
      </c>
      <c r="D2359" s="18" t="s">
        <v>165</v>
      </c>
      <c r="E2359" s="18">
        <v>1249</v>
      </c>
      <c r="F2359" s="18" t="s">
        <v>35</v>
      </c>
      <c r="J2359" s="19"/>
      <c r="K2359" s="19">
        <v>0.68230000000000002</v>
      </c>
      <c r="L2359" s="19">
        <v>0.54722222200000004</v>
      </c>
      <c r="M2359" s="19">
        <v>0.70860000000000001</v>
      </c>
      <c r="N2359" s="19">
        <v>0.51329999999999998</v>
      </c>
      <c r="O2359" s="19">
        <v>0.6351</v>
      </c>
      <c r="P2359" s="19">
        <v>0.64</v>
      </c>
      <c r="Q2359" s="19"/>
      <c r="R2359" s="20">
        <v>43330</v>
      </c>
      <c r="S2359" s="21" t="str">
        <f>HYPERLINK("https://financialaid.missouri.edu/cost-of-attendance/net-price-calculator.php", "$31260")</f>
        <v>$31260</v>
      </c>
      <c r="T2359" s="20">
        <v>34419</v>
      </c>
      <c r="U2359" s="20">
        <v>37874</v>
      </c>
      <c r="V2359" s="20">
        <v>6148</v>
      </c>
      <c r="W2359" s="20">
        <v>25112.058823529409</v>
      </c>
      <c r="Y2359" s="19">
        <v>0.18909999999999999</v>
      </c>
      <c r="Z2359" s="19">
        <v>0.2157</v>
      </c>
      <c r="AB2359" s="18">
        <v>23455</v>
      </c>
      <c r="AC2359" s="18">
        <v>1</v>
      </c>
    </row>
    <row r="2360" spans="1:29" ht="15.75" customHeight="1" x14ac:dyDescent="0.2">
      <c r="A2360" s="36" t="str">
        <f>HYPERLINK("https://www.umkc.edu/", "University of Missouri-Kansas City")</f>
        <v>University of Missouri-Kansas City</v>
      </c>
      <c r="B2360" s="18" t="s">
        <v>49</v>
      </c>
      <c r="C2360" s="18" t="s">
        <v>164</v>
      </c>
      <c r="D2360" s="18" t="s">
        <v>515</v>
      </c>
      <c r="E2360" s="18">
        <v>1197</v>
      </c>
      <c r="F2360" s="18" t="s">
        <v>35</v>
      </c>
      <c r="J2360" s="19"/>
      <c r="K2360" s="19">
        <v>0.48470000000000002</v>
      </c>
      <c r="L2360" s="19">
        <v>0.44882629099999999</v>
      </c>
      <c r="M2360" s="19">
        <v>0.51990000000000003</v>
      </c>
      <c r="N2360" s="19">
        <v>0.2833</v>
      </c>
      <c r="O2360" s="19">
        <v>0.57889999999999997</v>
      </c>
      <c r="P2360" s="19">
        <v>0.65710000000000002</v>
      </c>
      <c r="Q2360" s="19"/>
      <c r="R2360" s="20">
        <v>35311</v>
      </c>
      <c r="S2360" s="21" t="str">
        <f>HYPERLINK("https://finaid.umkc.edu/cost/net-price-calculator/", "$26713")</f>
        <v>$26713</v>
      </c>
      <c r="T2360" s="20">
        <v>29377</v>
      </c>
      <c r="U2360" s="20">
        <v>31825</v>
      </c>
      <c r="V2360" s="20">
        <v>4492</v>
      </c>
      <c r="W2360" s="20">
        <v>22221.09523809524</v>
      </c>
      <c r="Y2360" s="19">
        <v>0.24379999999999999</v>
      </c>
      <c r="Z2360" s="19">
        <v>0.43440000000000001</v>
      </c>
      <c r="AB2360" s="18">
        <v>7854</v>
      </c>
      <c r="AC2360" s="18">
        <v>3</v>
      </c>
    </row>
    <row r="2361" spans="1:29" ht="15.75" customHeight="1" x14ac:dyDescent="0.2">
      <c r="A2361" s="36" t="str">
        <f>HYPERLINK("https://www.umsl.edu/", "University of Missouri-St Louis")</f>
        <v>University of Missouri-St Louis</v>
      </c>
      <c r="B2361" s="18" t="s">
        <v>49</v>
      </c>
      <c r="C2361" s="18" t="s">
        <v>164</v>
      </c>
      <c r="D2361" s="18" t="s">
        <v>179</v>
      </c>
      <c r="E2361" s="18">
        <v>1197</v>
      </c>
      <c r="F2361" s="18" t="s">
        <v>35</v>
      </c>
      <c r="J2361" s="19"/>
      <c r="K2361" s="19">
        <v>0.55649999999999999</v>
      </c>
      <c r="L2361" s="19">
        <v>0.45519429</v>
      </c>
      <c r="M2361" s="19">
        <v>0.58660000000000001</v>
      </c>
      <c r="N2361" s="19">
        <v>0.4632</v>
      </c>
      <c r="O2361" s="19">
        <v>0.3846</v>
      </c>
      <c r="P2361" s="19">
        <v>0.58620000000000005</v>
      </c>
      <c r="Q2361" s="19"/>
      <c r="R2361" s="20">
        <v>40607</v>
      </c>
      <c r="S2361" s="21" t="str">
        <f>HYPERLINK("https://www.umsl.edu/services/finaid/npc/index.html", "$26493")</f>
        <v>$26493</v>
      </c>
      <c r="T2361" s="20">
        <v>29975</v>
      </c>
      <c r="U2361" s="20">
        <v>33305</v>
      </c>
      <c r="V2361" s="20">
        <v>4962</v>
      </c>
      <c r="W2361" s="20">
        <v>21531.54545454546</v>
      </c>
      <c r="Y2361" s="19">
        <v>0.2354</v>
      </c>
      <c r="Z2361" s="19">
        <v>0.36380000000000001</v>
      </c>
      <c r="AB2361" s="18">
        <v>7362</v>
      </c>
      <c r="AC2361" s="18">
        <v>3</v>
      </c>
    </row>
    <row r="2362" spans="1:29" ht="15.75" customHeight="1" x14ac:dyDescent="0.2">
      <c r="A2362" s="36" t="str">
        <f>HYPERLINK("https://www.umobile.edu", "University of Mobile")</f>
        <v>University of Mobile</v>
      </c>
      <c r="B2362" s="18" t="s">
        <v>32</v>
      </c>
      <c r="C2362" s="18" t="s">
        <v>300</v>
      </c>
      <c r="D2362" s="18" t="s">
        <v>1190</v>
      </c>
      <c r="E2362" s="18">
        <v>1113</v>
      </c>
      <c r="F2362" s="18" t="s">
        <v>35</v>
      </c>
      <c r="J2362" s="19"/>
      <c r="K2362" s="19">
        <v>0.4476</v>
      </c>
      <c r="L2362" s="19">
        <v>0.40157480299999998</v>
      </c>
      <c r="M2362" s="19">
        <v>0.51670000000000005</v>
      </c>
      <c r="N2362" s="19">
        <v>0.125</v>
      </c>
      <c r="O2362" s="19">
        <v>0</v>
      </c>
      <c r="P2362" s="19">
        <v>0</v>
      </c>
      <c r="Q2362" s="19"/>
      <c r="R2362" s="20">
        <v>38354</v>
      </c>
      <c r="S2362" s="21" t="str">
        <f>HYPERLINK("https://umobile.edu/financial-aid/cost-calculator/", "$14179")</f>
        <v>$14179</v>
      </c>
      <c r="T2362" s="20">
        <v>19386</v>
      </c>
      <c r="U2362" s="20">
        <v>23266</v>
      </c>
      <c r="V2362" s="20">
        <v>6544</v>
      </c>
      <c r="W2362" s="20">
        <v>7635</v>
      </c>
      <c r="Y2362" s="19">
        <v>0.46660000000000001</v>
      </c>
      <c r="Z2362" s="19">
        <v>0.38319999999999999</v>
      </c>
      <c r="AB2362" s="18">
        <v>1276</v>
      </c>
      <c r="AC2362" s="18">
        <v>4</v>
      </c>
    </row>
    <row r="2363" spans="1:29" ht="15.75" customHeight="1" x14ac:dyDescent="0.2">
      <c r="A2363" s="36" t="str">
        <f>HYPERLINK("https://www.montevallo.edu", "University of Montevallo")</f>
        <v>University of Montevallo</v>
      </c>
      <c r="B2363" s="18" t="s">
        <v>49</v>
      </c>
      <c r="C2363" s="18" t="s">
        <v>300</v>
      </c>
      <c r="D2363" s="18" t="s">
        <v>1304</v>
      </c>
      <c r="E2363" s="18">
        <v>1143</v>
      </c>
      <c r="F2363" s="18" t="s">
        <v>35</v>
      </c>
      <c r="J2363" s="19"/>
      <c r="K2363" s="19">
        <v>0.503</v>
      </c>
      <c r="L2363" s="19">
        <v>0.41869918699999997</v>
      </c>
      <c r="M2363" s="19">
        <v>0.53080000000000005</v>
      </c>
      <c r="N2363" s="19">
        <v>0.3382</v>
      </c>
      <c r="O2363" s="19">
        <v>0.625</v>
      </c>
      <c r="P2363" s="19">
        <v>0.33329999999999999</v>
      </c>
      <c r="Q2363" s="19"/>
      <c r="R2363" s="20">
        <v>38260</v>
      </c>
      <c r="S2363" s="21" t="str">
        <f>HYPERLINK("https://www.montevallo.edu/NetPriceCalculator/", "$28684")</f>
        <v>$28684</v>
      </c>
      <c r="T2363" s="20">
        <v>32389</v>
      </c>
      <c r="U2363" s="20">
        <v>34308</v>
      </c>
      <c r="V2363" s="20">
        <v>4200</v>
      </c>
      <c r="W2363" s="20">
        <v>24484.47368421053</v>
      </c>
      <c r="Y2363" s="19">
        <v>0.3881</v>
      </c>
      <c r="Z2363" s="19">
        <v>0.31340000000000001</v>
      </c>
      <c r="AB2363" s="18">
        <v>2329</v>
      </c>
      <c r="AC2363" s="18">
        <v>4</v>
      </c>
    </row>
    <row r="2364" spans="1:29" ht="15.75" customHeight="1" x14ac:dyDescent="0.2">
      <c r="A2364" s="36" t="str">
        <f>HYPERLINK("https://www.umo.edu", "University of Mount Olive")</f>
        <v>University of Mount Olive</v>
      </c>
      <c r="B2364" s="18" t="s">
        <v>32</v>
      </c>
      <c r="C2364" s="18" t="s">
        <v>103</v>
      </c>
      <c r="D2364" s="18" t="s">
        <v>1305</v>
      </c>
      <c r="E2364" s="18">
        <v>988</v>
      </c>
      <c r="F2364" s="18" t="s">
        <v>35</v>
      </c>
      <c r="J2364" s="19"/>
      <c r="K2364" s="19">
        <v>0.42080000000000001</v>
      </c>
      <c r="L2364" s="19">
        <v>0.44428969400000001</v>
      </c>
      <c r="M2364" s="19">
        <v>0.44550000000000001</v>
      </c>
      <c r="N2364" s="19">
        <v>0.38240000000000002</v>
      </c>
      <c r="O2364" s="19">
        <v>0.44440000000000002</v>
      </c>
      <c r="P2364" s="19" t="s">
        <v>36</v>
      </c>
      <c r="Q2364" s="19"/>
      <c r="R2364" s="20">
        <v>31200</v>
      </c>
      <c r="S2364" s="21" t="str">
        <f>HYPERLINK("https://umo.edu/cost-calculator/", "$13523")</f>
        <v>$13523</v>
      </c>
      <c r="T2364" s="20">
        <v>14247</v>
      </c>
      <c r="U2364" s="20">
        <v>16810</v>
      </c>
      <c r="V2364" s="20">
        <v>3350</v>
      </c>
      <c r="W2364" s="20">
        <v>10173</v>
      </c>
      <c r="Y2364" s="19">
        <v>0.50119999999999998</v>
      </c>
      <c r="Z2364" s="19">
        <v>0.47960000000000003</v>
      </c>
      <c r="AB2364" s="18">
        <v>3061</v>
      </c>
      <c r="AC2364" s="18">
        <v>4</v>
      </c>
    </row>
    <row r="2365" spans="1:29" ht="15.75" customHeight="1" x14ac:dyDescent="0.2">
      <c r="A2365" s="36" t="str">
        <f>HYPERLINK("https://www.mountunion.edu", "University of Mount Union")</f>
        <v>University of Mount Union</v>
      </c>
      <c r="B2365" s="18" t="s">
        <v>32</v>
      </c>
      <c r="C2365" s="18" t="s">
        <v>75</v>
      </c>
      <c r="D2365" s="18" t="s">
        <v>1306</v>
      </c>
      <c r="E2365" s="18">
        <v>1121</v>
      </c>
      <c r="F2365" s="18" t="s">
        <v>35</v>
      </c>
      <c r="J2365" s="19"/>
      <c r="K2365" s="19">
        <v>0.61809999999999998</v>
      </c>
      <c r="L2365" s="19">
        <v>0.39495798300000001</v>
      </c>
      <c r="M2365" s="19">
        <v>0.63580000000000003</v>
      </c>
      <c r="N2365" s="19">
        <v>0.44679999999999997</v>
      </c>
      <c r="O2365" s="19">
        <v>0.375</v>
      </c>
      <c r="P2365" s="19">
        <v>1</v>
      </c>
      <c r="Q2365" s="19"/>
      <c r="R2365" s="20">
        <v>42725</v>
      </c>
      <c r="S2365" s="21" t="str">
        <f>HYPERLINK("https://admission.mountunion.edu/apply/", "$18613")</f>
        <v>$18613</v>
      </c>
      <c r="T2365" s="20">
        <v>21072</v>
      </c>
      <c r="U2365" s="20">
        <v>22995</v>
      </c>
      <c r="V2365" s="20">
        <v>2735</v>
      </c>
      <c r="W2365" s="20">
        <v>15878</v>
      </c>
      <c r="Y2365" s="19">
        <v>0.29809999999999998</v>
      </c>
      <c r="Z2365" s="19">
        <v>0.1918</v>
      </c>
      <c r="AB2365" s="18">
        <v>2049</v>
      </c>
      <c r="AC2365" s="18">
        <v>4</v>
      </c>
    </row>
    <row r="2366" spans="1:29" ht="15.75" customHeight="1" x14ac:dyDescent="0.2">
      <c r="A2366" s="36" t="str">
        <f>HYPERLINK("https://www.unk.edu", "University of Nebraska at Kearney")</f>
        <v>University of Nebraska at Kearney</v>
      </c>
      <c r="B2366" s="18" t="s">
        <v>49</v>
      </c>
      <c r="C2366" s="18" t="s">
        <v>341</v>
      </c>
      <c r="D2366" s="18" t="s">
        <v>1307</v>
      </c>
      <c r="E2366" s="18">
        <v>1105</v>
      </c>
      <c r="F2366" s="18" t="s">
        <v>35</v>
      </c>
      <c r="J2366" s="19"/>
      <c r="K2366" s="19">
        <v>0.61329999999999996</v>
      </c>
      <c r="L2366" s="19">
        <v>0.48870056499999998</v>
      </c>
      <c r="M2366" s="19">
        <v>0.66390000000000005</v>
      </c>
      <c r="N2366" s="19">
        <v>7.6899999999999996E-2</v>
      </c>
      <c r="O2366" s="19">
        <v>0.48420000000000002</v>
      </c>
      <c r="P2366" s="19">
        <v>0.71430000000000005</v>
      </c>
      <c r="Q2366" s="19"/>
      <c r="R2366" s="20">
        <v>28486</v>
      </c>
      <c r="S2366" s="21" t="str">
        <f>HYPERLINK("https://www.unk.edu/NetPriceCalculator/npcalc.htm", "$20088")</f>
        <v>$20088</v>
      </c>
      <c r="T2366" s="20">
        <v>22702</v>
      </c>
      <c r="U2366" s="20">
        <v>26110</v>
      </c>
      <c r="V2366" s="20">
        <v>5242</v>
      </c>
      <c r="W2366" s="20">
        <v>14846.671361502349</v>
      </c>
      <c r="Y2366" s="19">
        <v>0.31840000000000002</v>
      </c>
      <c r="Z2366" s="19">
        <v>0.21959999999999999</v>
      </c>
      <c r="AB2366" s="18">
        <v>4440</v>
      </c>
      <c r="AC2366" s="18">
        <v>4</v>
      </c>
    </row>
    <row r="2367" spans="1:29" ht="15.75" customHeight="1" x14ac:dyDescent="0.2">
      <c r="A2367" s="36" t="str">
        <f>HYPERLINK("https://www.unomaha.edu", "University of Nebraska at Omaha")</f>
        <v>University of Nebraska at Omaha</v>
      </c>
      <c r="B2367" s="18" t="s">
        <v>49</v>
      </c>
      <c r="C2367" s="18" t="s">
        <v>341</v>
      </c>
      <c r="D2367" s="18" t="s">
        <v>345</v>
      </c>
      <c r="E2367" s="18">
        <v>1125</v>
      </c>
      <c r="F2367" s="18" t="s">
        <v>35</v>
      </c>
      <c r="J2367" s="19"/>
      <c r="K2367" s="19">
        <v>0.4708</v>
      </c>
      <c r="L2367" s="19">
        <v>0.41590909100000001</v>
      </c>
      <c r="M2367" s="19">
        <v>0.4793</v>
      </c>
      <c r="N2367" s="19">
        <v>0.35709999999999997</v>
      </c>
      <c r="O2367" s="19">
        <v>0.37930000000000003</v>
      </c>
      <c r="P2367" s="19">
        <v>0.48720000000000002</v>
      </c>
      <c r="Q2367" s="19"/>
      <c r="R2367" s="20">
        <v>34522</v>
      </c>
      <c r="S2367" s="21" t="str">
        <f>HYPERLINK("https://webapp.unomaha.edu/net-price-calculator/", "$26726")</f>
        <v>$26726</v>
      </c>
      <c r="T2367" s="20">
        <v>29678</v>
      </c>
      <c r="U2367" s="20">
        <v>32378</v>
      </c>
      <c r="V2367" s="20">
        <v>4796</v>
      </c>
      <c r="W2367" s="20">
        <v>21930.169960474312</v>
      </c>
      <c r="Y2367" s="19">
        <v>0.32</v>
      </c>
      <c r="Z2367" s="19">
        <v>0.33169999999999999</v>
      </c>
      <c r="AB2367" s="18">
        <v>12424</v>
      </c>
      <c r="AC2367" s="18">
        <v>4</v>
      </c>
    </row>
    <row r="2368" spans="1:29" ht="15.75" customHeight="1" x14ac:dyDescent="0.2">
      <c r="A2368" s="36" t="str">
        <f>HYPERLINK("https://www.unl.edu/", "University of Nebraska-Lincoln")</f>
        <v>University of Nebraska-Lincoln</v>
      </c>
      <c r="B2368" s="18" t="s">
        <v>49</v>
      </c>
      <c r="C2368" s="18" t="s">
        <v>341</v>
      </c>
      <c r="D2368" s="18" t="s">
        <v>516</v>
      </c>
      <c r="E2368" s="18">
        <v>1235</v>
      </c>
      <c r="F2368" s="18" t="s">
        <v>35</v>
      </c>
      <c r="J2368" s="19"/>
      <c r="K2368" s="19">
        <v>0.67949999999999999</v>
      </c>
      <c r="L2368" s="19">
        <v>0.52961672500000001</v>
      </c>
      <c r="M2368" s="19">
        <v>0.69700000000000006</v>
      </c>
      <c r="N2368" s="19">
        <v>0.51519999999999999</v>
      </c>
      <c r="O2368" s="19">
        <v>0.5766</v>
      </c>
      <c r="P2368" s="19">
        <v>0.6905</v>
      </c>
      <c r="Q2368" s="19"/>
      <c r="R2368" s="20">
        <v>40182</v>
      </c>
      <c r="S2368" s="21" t="str">
        <f>HYPERLINK("https://wam.unl.edu/cost/calculator.jsp", "$30167")</f>
        <v>$30167</v>
      </c>
      <c r="T2368" s="20">
        <v>33172</v>
      </c>
      <c r="U2368" s="20">
        <v>37149</v>
      </c>
      <c r="V2368" s="20">
        <v>5040</v>
      </c>
      <c r="W2368" s="20">
        <v>25127.007800312011</v>
      </c>
      <c r="Y2368" s="19">
        <v>0.21529999999999999</v>
      </c>
      <c r="Z2368" s="19">
        <v>0.25249999999999989</v>
      </c>
      <c r="AB2368" s="18">
        <v>20954</v>
      </c>
      <c r="AC2368" s="18">
        <v>3</v>
      </c>
    </row>
    <row r="2369" spans="1:29" ht="15.75" customHeight="1" x14ac:dyDescent="0.2">
      <c r="A2369" s="36" t="str">
        <f>HYPERLINK("https://www.unlv.edu/", "University of Nevada-Las Vegas")</f>
        <v>University of Nevada-Las Vegas</v>
      </c>
      <c r="B2369" s="18" t="s">
        <v>49</v>
      </c>
      <c r="C2369" s="18" t="s">
        <v>476</v>
      </c>
      <c r="D2369" s="18" t="s">
        <v>796</v>
      </c>
      <c r="E2369" s="18">
        <v>1100</v>
      </c>
      <c r="F2369" s="18" t="s">
        <v>35</v>
      </c>
      <c r="J2369" s="19"/>
      <c r="K2369" s="19">
        <v>0.41570000000000001</v>
      </c>
      <c r="L2369" s="19">
        <v>0.43540916099999999</v>
      </c>
      <c r="M2369" s="19">
        <v>0.42809999999999998</v>
      </c>
      <c r="N2369" s="19">
        <v>0.2465</v>
      </c>
      <c r="O2369" s="19">
        <v>0.39539999999999997</v>
      </c>
      <c r="P2369" s="19">
        <v>0.48330000000000001</v>
      </c>
      <c r="Q2369" s="19"/>
      <c r="R2369" s="20">
        <v>37639</v>
      </c>
      <c r="S2369" s="21" t="str">
        <f>HYPERLINK("https://cashiering.unlv.edu/undergrad_calc.html", "$29444")</f>
        <v>$29444</v>
      </c>
      <c r="T2369" s="20">
        <v>32288</v>
      </c>
      <c r="U2369" s="20">
        <v>34908</v>
      </c>
      <c r="V2369" s="20">
        <v>4980</v>
      </c>
      <c r="W2369" s="20">
        <v>24464.613019891502</v>
      </c>
      <c r="Y2369" s="19">
        <v>0.35759999999999997</v>
      </c>
      <c r="Z2369" s="19">
        <v>0.68320000000000003</v>
      </c>
      <c r="AB2369" s="18">
        <v>24783</v>
      </c>
      <c r="AC2369" s="18">
        <v>4</v>
      </c>
    </row>
    <row r="2370" spans="1:29" ht="15.75" customHeight="1" x14ac:dyDescent="0.2">
      <c r="A2370" s="36" t="str">
        <f>HYPERLINK("https://www.unr.edu/", "University of Nevada-Reno")</f>
        <v>University of Nevada-Reno</v>
      </c>
      <c r="B2370" s="18" t="s">
        <v>49</v>
      </c>
      <c r="C2370" s="18" t="s">
        <v>476</v>
      </c>
      <c r="D2370" s="18" t="s">
        <v>900</v>
      </c>
      <c r="E2370" s="18">
        <v>1165</v>
      </c>
      <c r="F2370" s="18" t="s">
        <v>35</v>
      </c>
      <c r="J2370" s="19"/>
      <c r="K2370" s="19">
        <v>0.54990000000000006</v>
      </c>
      <c r="L2370" s="19">
        <v>0.56820744099999998</v>
      </c>
      <c r="M2370" s="19">
        <v>0.56820000000000004</v>
      </c>
      <c r="N2370" s="19">
        <v>0.4219</v>
      </c>
      <c r="O2370" s="19">
        <v>0.46410000000000001</v>
      </c>
      <c r="P2370" s="19">
        <v>0.71650000000000003</v>
      </c>
      <c r="Q2370" s="19"/>
      <c r="R2370" s="20">
        <v>38398</v>
      </c>
      <c r="S2370" s="21" t="str">
        <f>HYPERLINK("https://www.unr.edu/financial-aid/cost-estimates/net-price-calculator", "$28685")</f>
        <v>$28685</v>
      </c>
      <c r="T2370" s="20">
        <v>32272</v>
      </c>
      <c r="U2370" s="20">
        <v>35057</v>
      </c>
      <c r="V2370" s="20">
        <v>5670</v>
      </c>
      <c r="W2370" s="20">
        <v>23015.456558773429</v>
      </c>
      <c r="Y2370" s="19">
        <v>0.26450000000000001</v>
      </c>
      <c r="Z2370" s="19">
        <v>0.42409999999999998</v>
      </c>
      <c r="AB2370" s="18">
        <v>17930</v>
      </c>
      <c r="AC2370" s="18">
        <v>5</v>
      </c>
    </row>
    <row r="2371" spans="1:29" ht="15.75" customHeight="1" x14ac:dyDescent="0.2">
      <c r="A2371" s="36" t="str">
        <f>HYPERLINK("https://www.une.edu/", "University of New England")</f>
        <v>University of New England</v>
      </c>
      <c r="B2371" s="18" t="s">
        <v>32</v>
      </c>
      <c r="C2371" s="18" t="s">
        <v>43</v>
      </c>
      <c r="D2371" s="18" t="s">
        <v>1310</v>
      </c>
      <c r="E2371" s="18">
        <v>1128</v>
      </c>
      <c r="F2371" s="18" t="s">
        <v>35</v>
      </c>
      <c r="J2371" s="19"/>
      <c r="K2371" s="19">
        <v>0.59</v>
      </c>
      <c r="L2371" s="19">
        <v>0.48</v>
      </c>
      <c r="M2371" s="19">
        <v>0.59760000000000002</v>
      </c>
      <c r="N2371" s="19">
        <v>0.42859999999999998</v>
      </c>
      <c r="O2371" s="19" t="s">
        <v>36</v>
      </c>
      <c r="P2371" s="19">
        <v>0.54549999999999998</v>
      </c>
      <c r="Q2371" s="19"/>
      <c r="R2371" s="20">
        <v>54260</v>
      </c>
      <c r="S2371" s="21" t="str">
        <f>HYPERLINK("https://www.une.edu/sfs/undergraduate/costs", "$27172")</f>
        <v>$27172</v>
      </c>
      <c r="T2371" s="20">
        <v>29442</v>
      </c>
      <c r="U2371" s="20">
        <v>36717</v>
      </c>
      <c r="V2371" s="20">
        <v>4150</v>
      </c>
      <c r="W2371" s="20">
        <v>23022</v>
      </c>
      <c r="Y2371" s="19">
        <v>0.12690000000000001</v>
      </c>
      <c r="Z2371" s="19">
        <v>0.11950000000000011</v>
      </c>
      <c r="AB2371" s="18">
        <v>2360</v>
      </c>
      <c r="AC2371" s="18">
        <v>4</v>
      </c>
    </row>
    <row r="2372" spans="1:29" ht="15.75" customHeight="1" x14ac:dyDescent="0.2">
      <c r="A2372" s="36" t="str">
        <f>HYPERLINK("https://manchester.unh.edu", "University of New Hampshire at Manchester")</f>
        <v>University of New Hampshire at Manchester</v>
      </c>
      <c r="B2372" s="18" t="s">
        <v>49</v>
      </c>
      <c r="C2372" s="18" t="s">
        <v>101</v>
      </c>
      <c r="D2372" s="18" t="s">
        <v>466</v>
      </c>
      <c r="E2372" s="18">
        <v>1135</v>
      </c>
      <c r="F2372" s="18" t="s">
        <v>35</v>
      </c>
      <c r="J2372" s="19"/>
      <c r="K2372" s="19">
        <v>0.4</v>
      </c>
      <c r="L2372" s="19">
        <v>0.66</v>
      </c>
      <c r="M2372" s="19">
        <v>0.44</v>
      </c>
      <c r="N2372" s="19">
        <v>0</v>
      </c>
      <c r="O2372" s="19">
        <v>0</v>
      </c>
      <c r="P2372" s="19">
        <v>0</v>
      </c>
      <c r="Q2372" s="19"/>
      <c r="R2372" s="20">
        <v>48559</v>
      </c>
      <c r="S2372" s="21" t="str">
        <f>HYPERLINK("https://npc.collegeboard.org/student/app/unh", "$41011")</f>
        <v>$41011</v>
      </c>
      <c r="T2372" s="20">
        <v>45146</v>
      </c>
      <c r="U2372" s="20">
        <v>48559</v>
      </c>
      <c r="V2372" s="20">
        <v>8251</v>
      </c>
      <c r="W2372" s="20">
        <v>32760.76923076923</v>
      </c>
      <c r="Y2372" s="19">
        <v>0.25659999999999999</v>
      </c>
      <c r="Z2372" s="19">
        <v>0.26019999999999999</v>
      </c>
      <c r="AB2372" s="18">
        <v>711</v>
      </c>
      <c r="AC2372" s="18">
        <v>3</v>
      </c>
    </row>
    <row r="2373" spans="1:29" ht="15.75" customHeight="1" x14ac:dyDescent="0.2">
      <c r="A2373" s="36" t="str">
        <f>HYPERLINK("https://www.unh.edu", "University of New Hampshire-Main Campus")</f>
        <v>University of New Hampshire-Main Campus</v>
      </c>
      <c r="B2373" s="18" t="s">
        <v>49</v>
      </c>
      <c r="C2373" s="18" t="s">
        <v>101</v>
      </c>
      <c r="D2373" s="18" t="s">
        <v>106</v>
      </c>
      <c r="E2373" s="18">
        <v>1177</v>
      </c>
      <c r="F2373" s="18" t="s">
        <v>35</v>
      </c>
      <c r="J2373" s="19"/>
      <c r="K2373" s="19">
        <v>0.77769999999999995</v>
      </c>
      <c r="L2373" s="19">
        <v>0.66</v>
      </c>
      <c r="M2373" s="19">
        <v>0.78979999999999995</v>
      </c>
      <c r="N2373" s="19">
        <v>0.67569999999999997</v>
      </c>
      <c r="O2373" s="19">
        <v>0.72150000000000003</v>
      </c>
      <c r="P2373" s="19">
        <v>0.77029999999999998</v>
      </c>
      <c r="Q2373" s="19"/>
      <c r="R2373" s="20">
        <v>47570</v>
      </c>
      <c r="S2373" s="21" t="str">
        <f>HYPERLINK("https://npc.collegeboard.org/student/app/unh", "$32218")</f>
        <v>$32218</v>
      </c>
      <c r="T2373" s="20">
        <v>37624</v>
      </c>
      <c r="U2373" s="20">
        <v>42458</v>
      </c>
      <c r="V2373" s="20">
        <v>3667</v>
      </c>
      <c r="W2373" s="20">
        <v>28551.127753303961</v>
      </c>
      <c r="Y2373" s="19">
        <v>0.2026</v>
      </c>
      <c r="Z2373" s="19">
        <v>0.17330000000000001</v>
      </c>
      <c r="AB2373" s="18">
        <v>12847</v>
      </c>
      <c r="AC2373" s="18">
        <v>3</v>
      </c>
    </row>
    <row r="2374" spans="1:29" ht="15.75" customHeight="1" x14ac:dyDescent="0.2">
      <c r="A2374" s="36" t="str">
        <f>HYPERLINK("https://www.newhaven.edu", "University of New Haven")</f>
        <v>University of New Haven</v>
      </c>
      <c r="B2374" s="18" t="s">
        <v>32</v>
      </c>
      <c r="C2374" s="18" t="s">
        <v>94</v>
      </c>
      <c r="D2374" s="18" t="s">
        <v>1311</v>
      </c>
      <c r="E2374" s="18">
        <v>1124</v>
      </c>
      <c r="F2374" s="18" t="s">
        <v>35</v>
      </c>
      <c r="J2374" s="19"/>
      <c r="K2374" s="19">
        <v>0.60329999999999995</v>
      </c>
      <c r="L2374" s="19">
        <v>0.45484949800000002</v>
      </c>
      <c r="M2374" s="19">
        <v>0.65280000000000005</v>
      </c>
      <c r="N2374" s="19">
        <v>0.51649999999999996</v>
      </c>
      <c r="O2374" s="19">
        <v>1</v>
      </c>
      <c r="P2374" s="19">
        <v>0.54549999999999998</v>
      </c>
      <c r="Q2374" s="19"/>
      <c r="R2374" s="20">
        <v>56446</v>
      </c>
      <c r="S2374" s="21" t="str">
        <f>HYPERLINK("https://newhaven.studentaidcalculator.com/survey.aspx", "$28688")</f>
        <v>$28688</v>
      </c>
      <c r="T2374" s="20">
        <v>32294</v>
      </c>
      <c r="U2374" s="20">
        <v>34659</v>
      </c>
      <c r="V2374" s="20">
        <v>2666</v>
      </c>
      <c r="W2374" s="20">
        <v>26022</v>
      </c>
      <c r="Y2374" s="19">
        <v>0.25359999999999999</v>
      </c>
      <c r="Z2374" s="19">
        <v>0.38879999999999998</v>
      </c>
      <c r="AB2374" s="18">
        <v>5147</v>
      </c>
      <c r="AC2374" s="18">
        <v>4</v>
      </c>
    </row>
    <row r="2375" spans="1:29" ht="15.75" customHeight="1" x14ac:dyDescent="0.2">
      <c r="A2375" s="36" t="str">
        <f>HYPERLINK("https://www.gallup.unm.edu", "University of New Mexico-Gallup Campus")</f>
        <v>University of New Mexico-Gallup Campus</v>
      </c>
      <c r="B2375" s="18" t="s">
        <v>49</v>
      </c>
      <c r="C2375" s="18" t="s">
        <v>234</v>
      </c>
      <c r="D2375" s="18" t="s">
        <v>1744</v>
      </c>
      <c r="E2375" s="18" t="s">
        <v>36</v>
      </c>
      <c r="F2375" s="18" t="s">
        <v>36</v>
      </c>
      <c r="J2375" s="19"/>
      <c r="K2375" s="19">
        <v>0.12559999999999999</v>
      </c>
      <c r="L2375" s="19">
        <v>0.29735506299999998</v>
      </c>
      <c r="M2375" s="19">
        <v>0.33329999999999999</v>
      </c>
      <c r="N2375" s="19" t="s">
        <v>36</v>
      </c>
      <c r="O2375" s="19">
        <v>0.16669999999999999</v>
      </c>
      <c r="P2375" s="19">
        <v>0</v>
      </c>
      <c r="Q2375" s="19">
        <v>5.1956181999999997E-2</v>
      </c>
      <c r="R2375" s="20">
        <v>20728</v>
      </c>
      <c r="S2375" s="21" t="str">
        <f>HYPERLINK("https://npc.collegeboard.org/student/app/unm", "$15368")</f>
        <v>$15368</v>
      </c>
      <c r="T2375" s="20">
        <v>18053</v>
      </c>
      <c r="U2375" s="20">
        <v>19663</v>
      </c>
      <c r="V2375" s="20">
        <v>6358</v>
      </c>
      <c r="W2375" s="20">
        <v>9010.1392405063289</v>
      </c>
      <c r="Y2375" s="19">
        <v>0.58350000000000002</v>
      </c>
      <c r="Z2375" s="19">
        <v>0.95940000000000003</v>
      </c>
      <c r="AB2375" s="18">
        <v>1723</v>
      </c>
      <c r="AC2375" s="18">
        <v>6</v>
      </c>
    </row>
    <row r="2376" spans="1:29" ht="15.75" customHeight="1" x14ac:dyDescent="0.2">
      <c r="A2376" s="36" t="str">
        <f>HYPERLINK("https://losalamos.unm.edu", "University of New Mexico-Los Alamos Campus")</f>
        <v>University of New Mexico-Los Alamos Campus</v>
      </c>
      <c r="B2376" s="18" t="s">
        <v>49</v>
      </c>
      <c r="C2376" s="18" t="s">
        <v>234</v>
      </c>
      <c r="D2376" s="18" t="s">
        <v>1745</v>
      </c>
      <c r="E2376" s="18" t="s">
        <v>36</v>
      </c>
      <c r="F2376" s="18" t="s">
        <v>36</v>
      </c>
      <c r="J2376" s="19"/>
      <c r="K2376" s="19">
        <v>0.1077</v>
      </c>
      <c r="L2376" s="19">
        <v>0.29735506299999998</v>
      </c>
      <c r="M2376" s="19">
        <v>9.0899999999999995E-2</v>
      </c>
      <c r="N2376" s="19" t="s">
        <v>36</v>
      </c>
      <c r="O2376" s="19">
        <v>0.14710000000000001</v>
      </c>
      <c r="P2376" s="19">
        <v>0</v>
      </c>
      <c r="Q2376" s="19">
        <v>5.1956181999999997E-2</v>
      </c>
      <c r="R2376" s="20">
        <v>20286</v>
      </c>
      <c r="S2376" s="21" t="str">
        <f>HYPERLINK("https://npc.collegeboard.org/student/app/unm", "$15101")</f>
        <v>$15101</v>
      </c>
      <c r="T2376" s="20">
        <v>18654</v>
      </c>
      <c r="U2376" s="20">
        <v>20286</v>
      </c>
      <c r="V2376" s="20">
        <v>5036</v>
      </c>
      <c r="W2376" s="20">
        <v>10065.296296296299</v>
      </c>
      <c r="Y2376" s="19">
        <v>0.36280000000000001</v>
      </c>
      <c r="Z2376" s="19">
        <v>0.70819999999999994</v>
      </c>
      <c r="AB2376" s="18">
        <v>682</v>
      </c>
      <c r="AC2376" s="18">
        <v>6</v>
      </c>
    </row>
    <row r="2377" spans="1:29" ht="15.75" customHeight="1" x14ac:dyDescent="0.2">
      <c r="A2377" s="36" t="str">
        <f>HYPERLINK("https://www.unm.edu", "University of New Mexico-Main Campus")</f>
        <v>University of New Mexico-Main Campus</v>
      </c>
      <c r="B2377" s="18" t="s">
        <v>49</v>
      </c>
      <c r="C2377" s="18" t="s">
        <v>234</v>
      </c>
      <c r="D2377" s="18" t="s">
        <v>993</v>
      </c>
      <c r="E2377" s="18">
        <v>1103</v>
      </c>
      <c r="F2377" s="18" t="s">
        <v>35</v>
      </c>
      <c r="J2377" s="19"/>
      <c r="K2377" s="19">
        <v>0.48680000000000001</v>
      </c>
      <c r="L2377" s="19">
        <v>0.29735506299999998</v>
      </c>
      <c r="M2377" s="19">
        <v>0.54020000000000001</v>
      </c>
      <c r="N2377" s="19">
        <v>0.36899999999999999</v>
      </c>
      <c r="O2377" s="19">
        <v>0.45490000000000003</v>
      </c>
      <c r="P2377" s="19">
        <v>0.69569999999999999</v>
      </c>
      <c r="Q2377" s="19"/>
      <c r="R2377" s="20">
        <v>36736</v>
      </c>
      <c r="S2377" s="21" t="str">
        <f>HYPERLINK("https://npc.collegeboard.org/student/app/unm", "$31431")</f>
        <v>$31431</v>
      </c>
      <c r="T2377" s="20">
        <v>34038</v>
      </c>
      <c r="U2377" s="20">
        <v>35108</v>
      </c>
      <c r="V2377" s="20">
        <v>5036</v>
      </c>
      <c r="W2377" s="20">
        <v>26395.59016393443</v>
      </c>
      <c r="Y2377" s="19">
        <v>0.37959999999999999</v>
      </c>
      <c r="Z2377" s="19">
        <v>0.67510000000000003</v>
      </c>
      <c r="AA2377" s="18" t="s">
        <v>37</v>
      </c>
      <c r="AB2377" s="18">
        <v>18912</v>
      </c>
      <c r="AC2377" s="18">
        <v>4</v>
      </c>
    </row>
    <row r="2378" spans="1:29" ht="15.75" customHeight="1" x14ac:dyDescent="0.2">
      <c r="A2378" s="36" t="str">
        <f>HYPERLINK("https://taos.unm.edu/index.html", "University of New Mexico-Taos Campus")</f>
        <v>University of New Mexico-Taos Campus</v>
      </c>
      <c r="B2378" s="18" t="s">
        <v>49</v>
      </c>
      <c r="C2378" s="18" t="s">
        <v>234</v>
      </c>
      <c r="D2378" s="18" t="s">
        <v>1746</v>
      </c>
      <c r="E2378" s="18" t="s">
        <v>36</v>
      </c>
      <c r="F2378" s="18" t="s">
        <v>36</v>
      </c>
      <c r="J2378" s="19"/>
      <c r="K2378" s="19">
        <v>0.27839999999999998</v>
      </c>
      <c r="L2378" s="19">
        <v>0.29735506299999998</v>
      </c>
      <c r="M2378" s="19">
        <v>0.35289999999999999</v>
      </c>
      <c r="N2378" s="19">
        <v>0</v>
      </c>
      <c r="O2378" s="19">
        <v>0.25369999999999998</v>
      </c>
      <c r="P2378" s="19" t="s">
        <v>36</v>
      </c>
      <c r="Q2378" s="19">
        <v>5.1956181999999997E-2</v>
      </c>
      <c r="R2378" s="20">
        <v>20874</v>
      </c>
      <c r="S2378" s="21" t="str">
        <f>HYPERLINK("https://npc.collegeboard.org/student/app/unm", "$15709")</f>
        <v>$15709</v>
      </c>
      <c r="T2378" s="20">
        <v>18501</v>
      </c>
      <c r="U2378" s="20" t="s">
        <v>36</v>
      </c>
      <c r="V2378" s="20">
        <v>6358</v>
      </c>
      <c r="W2378" s="20">
        <v>9351.9166666666679</v>
      </c>
      <c r="Y2378" s="19">
        <v>0.35160000000000002</v>
      </c>
      <c r="Z2378" s="19">
        <v>0.73470000000000002</v>
      </c>
      <c r="AB2378" s="18">
        <v>671</v>
      </c>
      <c r="AC2378" s="18">
        <v>6</v>
      </c>
    </row>
    <row r="2379" spans="1:29" ht="15.75" customHeight="1" x14ac:dyDescent="0.2">
      <c r="A2379" s="36" t="str">
        <f>HYPERLINK("https://valencia.unm.edu/", "University of New Mexico-Valencia County Campus")</f>
        <v>University of New Mexico-Valencia County Campus</v>
      </c>
      <c r="B2379" s="18" t="s">
        <v>49</v>
      </c>
      <c r="C2379" s="18" t="s">
        <v>234</v>
      </c>
      <c r="D2379" s="18" t="s">
        <v>1313</v>
      </c>
      <c r="E2379" s="18" t="s">
        <v>36</v>
      </c>
      <c r="F2379" s="18" t="s">
        <v>36</v>
      </c>
      <c r="J2379" s="19"/>
      <c r="K2379" s="19">
        <v>0.1163</v>
      </c>
      <c r="L2379" s="19">
        <v>0.29735506299999998</v>
      </c>
      <c r="M2379" s="19">
        <v>8.1600000000000006E-2</v>
      </c>
      <c r="N2379" s="19">
        <v>0</v>
      </c>
      <c r="O2379" s="19">
        <v>0.12570000000000001</v>
      </c>
      <c r="P2379" s="19" t="s">
        <v>36</v>
      </c>
      <c r="Q2379" s="19"/>
      <c r="R2379" s="20">
        <v>21150</v>
      </c>
      <c r="S2379" s="21" t="str">
        <f>HYPERLINK("https://npc.collegeboard.org/student/app/unm", "$15846")</f>
        <v>$15846</v>
      </c>
      <c r="T2379" s="20">
        <v>17836</v>
      </c>
      <c r="U2379" s="20">
        <v>19678</v>
      </c>
      <c r="V2379" s="20">
        <v>6358</v>
      </c>
      <c r="W2379" s="20">
        <v>9488.3277310924368</v>
      </c>
      <c r="Y2379" s="19">
        <v>0.42270000000000002</v>
      </c>
      <c r="Z2379" s="19">
        <v>0.74790000000000001</v>
      </c>
      <c r="AB2379" s="18">
        <v>1341</v>
      </c>
      <c r="AC2379" s="18">
        <v>4</v>
      </c>
    </row>
    <row r="2380" spans="1:29" ht="15.75" customHeight="1" x14ac:dyDescent="0.2">
      <c r="A2380" s="36" t="str">
        <f>HYPERLINK("https://www.uno.edu", "University of New Orleans")</f>
        <v>University of New Orleans</v>
      </c>
      <c r="B2380" s="18" t="s">
        <v>49</v>
      </c>
      <c r="C2380" s="18" t="s">
        <v>158</v>
      </c>
      <c r="D2380" s="18" t="s">
        <v>159</v>
      </c>
      <c r="E2380" s="18">
        <v>1126</v>
      </c>
      <c r="F2380" s="18" t="s">
        <v>35</v>
      </c>
      <c r="J2380" s="19"/>
      <c r="K2380" s="19">
        <v>0.32279999999999998</v>
      </c>
      <c r="L2380" s="19">
        <v>0.37167199200000001</v>
      </c>
      <c r="M2380" s="19">
        <v>0.34110000000000001</v>
      </c>
      <c r="N2380" s="19">
        <v>0.26429999999999998</v>
      </c>
      <c r="O2380" s="19">
        <v>0.30630000000000002</v>
      </c>
      <c r="P2380" s="19">
        <v>0.30769999999999997</v>
      </c>
      <c r="Q2380" s="19"/>
      <c r="R2380" s="20">
        <v>28568</v>
      </c>
      <c r="S2380" s="21" t="str">
        <f>HYPERLINK("https://www.uno.edu/admissions/npcalc.htm", "$19703")</f>
        <v>$19703</v>
      </c>
      <c r="T2380" s="20">
        <v>22571</v>
      </c>
      <c r="U2380" s="20">
        <v>23797</v>
      </c>
      <c r="V2380" s="20">
        <v>4673</v>
      </c>
      <c r="W2380" s="20">
        <v>15030.30985915493</v>
      </c>
      <c r="Y2380" s="19">
        <v>0.36280000000000001</v>
      </c>
      <c r="Z2380" s="19">
        <v>0.48470000000000002</v>
      </c>
      <c r="AB2380" s="18">
        <v>5917</v>
      </c>
      <c r="AC2380" s="18">
        <v>3</v>
      </c>
    </row>
    <row r="2381" spans="1:29" ht="15.75" customHeight="1" x14ac:dyDescent="0.2">
      <c r="A2381" s="36" t="str">
        <f>HYPERLINK("https://www.una.edu", "University of North Alabama")</f>
        <v>University of North Alabama</v>
      </c>
      <c r="B2381" s="18" t="s">
        <v>49</v>
      </c>
      <c r="C2381" s="18" t="s">
        <v>300</v>
      </c>
      <c r="D2381" s="18" t="s">
        <v>772</v>
      </c>
      <c r="E2381" s="18">
        <v>1104</v>
      </c>
      <c r="F2381" s="18" t="s">
        <v>35</v>
      </c>
      <c r="J2381" s="19"/>
      <c r="K2381" s="19">
        <v>0.44540000000000002</v>
      </c>
      <c r="L2381" s="19">
        <v>0.33020134200000001</v>
      </c>
      <c r="M2381" s="19">
        <v>0.48120000000000002</v>
      </c>
      <c r="N2381" s="19">
        <v>0.35260000000000002</v>
      </c>
      <c r="O2381" s="19">
        <v>0.42109999999999997</v>
      </c>
      <c r="P2381" s="19">
        <v>0</v>
      </c>
      <c r="Q2381" s="19"/>
      <c r="R2381" s="20">
        <v>26912</v>
      </c>
      <c r="S2381" s="21" t="str">
        <f>HYPERLINK("https://studentnpc.collegeboard.org/", "$19753")</f>
        <v>$19753</v>
      </c>
      <c r="T2381" s="20">
        <v>21954</v>
      </c>
      <c r="U2381" s="20">
        <v>23028</v>
      </c>
      <c r="V2381" s="20">
        <v>4300</v>
      </c>
      <c r="W2381" s="20">
        <v>15453.11940298507</v>
      </c>
      <c r="Y2381" s="19">
        <v>0.40339999999999998</v>
      </c>
      <c r="Z2381" s="19">
        <v>0.27</v>
      </c>
      <c r="AB2381" s="18">
        <v>5771</v>
      </c>
      <c r="AC2381" s="18">
        <v>4</v>
      </c>
    </row>
    <row r="2382" spans="1:29" ht="15.75" customHeight="1" x14ac:dyDescent="0.2">
      <c r="A2382" s="36" t="str">
        <f>HYPERLINK("https://www.uncsa.edu/", "University of North Carolina School of the Arts")</f>
        <v>University of North Carolina School of the Arts</v>
      </c>
      <c r="B2382" s="18" t="s">
        <v>49</v>
      </c>
      <c r="C2382" s="18" t="s">
        <v>103</v>
      </c>
      <c r="D2382" s="18" t="s">
        <v>178</v>
      </c>
      <c r="E2382" s="18">
        <v>1198</v>
      </c>
      <c r="F2382" s="18" t="s">
        <v>35</v>
      </c>
      <c r="J2382" s="19"/>
      <c r="K2382" s="19">
        <v>0.70220000000000005</v>
      </c>
      <c r="L2382" s="19">
        <v>0.68181818199999999</v>
      </c>
      <c r="M2382" s="19">
        <v>0.74619999999999997</v>
      </c>
      <c r="N2382" s="19">
        <v>0.5625</v>
      </c>
      <c r="O2382" s="19">
        <v>0.55000000000000004</v>
      </c>
      <c r="P2382" s="19">
        <v>0.5</v>
      </c>
      <c r="Q2382" s="19"/>
      <c r="R2382" s="20">
        <v>37677</v>
      </c>
      <c r="S2382" s="21" t="str">
        <f>HYPERLINK("https://www.uncsa.edu/financialaid/netpricecalculator/npcalc.html", "$23351")</f>
        <v>$23351</v>
      </c>
      <c r="T2382" s="20">
        <v>27899</v>
      </c>
      <c r="U2382" s="20">
        <v>34877</v>
      </c>
      <c r="V2382" s="20">
        <v>3619</v>
      </c>
      <c r="W2382" s="20">
        <v>19732.967741935481</v>
      </c>
      <c r="Y2382" s="19">
        <v>0.2944</v>
      </c>
      <c r="Z2382" s="19">
        <v>0.28720000000000001</v>
      </c>
      <c r="AB2382" s="18">
        <v>867</v>
      </c>
      <c r="AC2382" s="18">
        <v>4</v>
      </c>
    </row>
    <row r="2383" spans="1:29" ht="15.75" customHeight="1" x14ac:dyDescent="0.2">
      <c r="A2383" s="36" t="str">
        <f>HYPERLINK("https://www.uncw.edu", "University of North Carolina Wilmington")</f>
        <v>University of North Carolina Wilmington</v>
      </c>
      <c r="B2383" s="18" t="s">
        <v>49</v>
      </c>
      <c r="C2383" s="18" t="s">
        <v>103</v>
      </c>
      <c r="D2383" s="18" t="s">
        <v>517</v>
      </c>
      <c r="E2383" s="18">
        <v>1225</v>
      </c>
      <c r="F2383" s="18" t="s">
        <v>35</v>
      </c>
      <c r="J2383" s="19"/>
      <c r="K2383" s="19">
        <v>0.7248</v>
      </c>
      <c r="L2383" s="19">
        <v>0.59254658399999993</v>
      </c>
      <c r="M2383" s="19">
        <v>0.72689999999999999</v>
      </c>
      <c r="N2383" s="19">
        <v>0.75260000000000005</v>
      </c>
      <c r="O2383" s="19">
        <v>0.71200000000000008</v>
      </c>
      <c r="P2383" s="19">
        <v>0.78949999999999998</v>
      </c>
      <c r="Q2383" s="19"/>
      <c r="R2383" s="20">
        <v>38678</v>
      </c>
      <c r="S2383" s="21" t="str">
        <f>HYPERLINK("https://www.uncw.edu/finaid/includes/npcalc_003.html", "$28984")</f>
        <v>$28984</v>
      </c>
      <c r="T2383" s="20">
        <v>33844</v>
      </c>
      <c r="U2383" s="20">
        <v>37003</v>
      </c>
      <c r="V2383" s="20">
        <v>7123</v>
      </c>
      <c r="W2383" s="20">
        <v>21861.652777777781</v>
      </c>
      <c r="Y2383" s="19">
        <v>0.26900000000000002</v>
      </c>
      <c r="Z2383" s="19">
        <v>0.2167</v>
      </c>
      <c r="AB2383" s="18">
        <v>14183</v>
      </c>
      <c r="AC2383" s="18">
        <v>3</v>
      </c>
    </row>
    <row r="2384" spans="1:29" ht="15.75" customHeight="1" x14ac:dyDescent="0.2">
      <c r="A2384" s="36" t="str">
        <f>HYPERLINK("https://www.unca.edu", "University of North Carolina at Asheville")</f>
        <v>University of North Carolina at Asheville</v>
      </c>
      <c r="B2384" s="18" t="s">
        <v>49</v>
      </c>
      <c r="C2384" s="18" t="s">
        <v>103</v>
      </c>
      <c r="D2384" s="18" t="s">
        <v>518</v>
      </c>
      <c r="E2384" s="18">
        <v>1191</v>
      </c>
      <c r="F2384" s="18" t="s">
        <v>35</v>
      </c>
      <c r="J2384" s="19"/>
      <c r="K2384" s="19">
        <v>0.61639999999999995</v>
      </c>
      <c r="L2384" s="19">
        <v>0.56333333299999999</v>
      </c>
      <c r="M2384" s="19">
        <v>0.61899999999999999</v>
      </c>
      <c r="N2384" s="19">
        <v>0.56520000000000004</v>
      </c>
      <c r="O2384" s="19">
        <v>0.64</v>
      </c>
      <c r="P2384" s="19">
        <v>0.875</v>
      </c>
      <c r="Q2384" s="19"/>
      <c r="R2384" s="20">
        <v>36638</v>
      </c>
      <c r="S2384" s="21" t="str">
        <f>HYPERLINK("https://www3.unca.edu/npcalc/npcalc.htm", "$26056")</f>
        <v>$26056</v>
      </c>
      <c r="T2384" s="20">
        <v>30375</v>
      </c>
      <c r="U2384" s="20">
        <v>33807</v>
      </c>
      <c r="V2384" s="20">
        <v>3664</v>
      </c>
      <c r="W2384" s="20">
        <v>22392.24324324324</v>
      </c>
      <c r="Y2384" s="19">
        <v>0.32779999999999998</v>
      </c>
      <c r="Z2384" s="19">
        <v>0.22370000000000001</v>
      </c>
      <c r="AB2384" s="18">
        <v>3496</v>
      </c>
      <c r="AC2384" s="18">
        <v>3</v>
      </c>
    </row>
    <row r="2385" spans="1:29" ht="15.75" customHeight="1" x14ac:dyDescent="0.2">
      <c r="A2385" s="36" t="str">
        <f>HYPERLINK("https://www.unc.edu", "University of North Carolina at Chapel Hill")</f>
        <v>University of North Carolina at Chapel Hill</v>
      </c>
      <c r="B2385" s="18" t="s">
        <v>49</v>
      </c>
      <c r="C2385" s="18" t="s">
        <v>103</v>
      </c>
      <c r="D2385" s="18" t="s">
        <v>166</v>
      </c>
      <c r="E2385" s="18">
        <v>1393</v>
      </c>
      <c r="F2385" s="18" t="s">
        <v>35</v>
      </c>
      <c r="J2385" s="19"/>
      <c r="K2385" s="19">
        <v>0.90869999999999995</v>
      </c>
      <c r="L2385" s="19">
        <v>0.794366197</v>
      </c>
      <c r="M2385" s="19">
        <v>0.92259999999999998</v>
      </c>
      <c r="N2385" s="19">
        <v>0.86699999999999999</v>
      </c>
      <c r="O2385" s="19">
        <v>0.89329999999999998</v>
      </c>
      <c r="P2385" s="19">
        <v>0.9012</v>
      </c>
      <c r="Q2385" s="19"/>
      <c r="R2385" s="20">
        <v>51152</v>
      </c>
      <c r="S2385" s="21" t="str">
        <f>HYPERLINK("https://npc.collegeboard.org/student/app/unc", "$31298")</f>
        <v>$31298</v>
      </c>
      <c r="T2385" s="20">
        <v>38727</v>
      </c>
      <c r="U2385" s="20">
        <v>45288</v>
      </c>
      <c r="V2385" s="20">
        <v>5008</v>
      </c>
      <c r="W2385" s="20">
        <v>26290.487001733101</v>
      </c>
      <c r="X2385" s="18" t="s">
        <v>37</v>
      </c>
      <c r="Y2385" s="19">
        <v>0.21629999999999999</v>
      </c>
      <c r="Z2385" s="19">
        <v>0.37830000000000003</v>
      </c>
      <c r="AB2385" s="18">
        <v>18658</v>
      </c>
      <c r="AC2385" s="18">
        <v>1</v>
      </c>
    </row>
    <row r="2386" spans="1:29" ht="15.75" customHeight="1" x14ac:dyDescent="0.2">
      <c r="A2386" s="36" t="str">
        <f>HYPERLINK("https://www.uncc.edu", "University of North Carolina at Charlotte")</f>
        <v>University of North Carolina at Charlotte</v>
      </c>
      <c r="B2386" s="18" t="s">
        <v>49</v>
      </c>
      <c r="C2386" s="18" t="s">
        <v>103</v>
      </c>
      <c r="D2386" s="18" t="s">
        <v>447</v>
      </c>
      <c r="E2386" s="18">
        <v>1187</v>
      </c>
      <c r="F2386" s="18" t="s">
        <v>35</v>
      </c>
      <c r="J2386" s="19"/>
      <c r="K2386" s="19">
        <v>0.53979999999999995</v>
      </c>
      <c r="L2386" s="19">
        <v>0.49886234400000001</v>
      </c>
      <c r="M2386" s="19">
        <v>0.53069999999999995</v>
      </c>
      <c r="N2386" s="19">
        <v>0.57730000000000004</v>
      </c>
      <c r="O2386" s="19">
        <v>0.52070000000000005</v>
      </c>
      <c r="P2386" s="19">
        <v>0.59379999999999999</v>
      </c>
      <c r="Q2386" s="19"/>
      <c r="R2386" s="20">
        <v>37081</v>
      </c>
      <c r="S2386" s="21" t="str">
        <f>HYPERLINK("https://calculator.uncc.edu/1516/npcalc.htm", "$27146")</f>
        <v>$27146</v>
      </c>
      <c r="T2386" s="20">
        <v>30708</v>
      </c>
      <c r="U2386" s="20">
        <v>34643</v>
      </c>
      <c r="V2386" s="20">
        <v>4407</v>
      </c>
      <c r="W2386" s="20">
        <v>22739.870229007629</v>
      </c>
      <c r="Y2386" s="19">
        <v>0.37309999999999999</v>
      </c>
      <c r="Z2386" s="19">
        <v>0.42309999999999998</v>
      </c>
      <c r="AB2386" s="18">
        <v>23622</v>
      </c>
      <c r="AC2386" s="18">
        <v>4</v>
      </c>
    </row>
    <row r="2387" spans="1:29" ht="15.75" customHeight="1" x14ac:dyDescent="0.2">
      <c r="A2387" s="36" t="str">
        <f>HYPERLINK("https://www.uncg.edu", "University of North Carolina at Greensboro")</f>
        <v>University of North Carolina at Greensboro</v>
      </c>
      <c r="B2387" s="18" t="s">
        <v>49</v>
      </c>
      <c r="C2387" s="18" t="s">
        <v>103</v>
      </c>
      <c r="D2387" s="18" t="s">
        <v>643</v>
      </c>
      <c r="E2387" s="18">
        <v>1114</v>
      </c>
      <c r="F2387" s="18" t="s">
        <v>35</v>
      </c>
      <c r="J2387" s="19"/>
      <c r="K2387" s="19">
        <v>0.54290000000000005</v>
      </c>
      <c r="L2387" s="19">
        <v>0.53278122799999994</v>
      </c>
      <c r="M2387" s="19">
        <v>0.54579999999999995</v>
      </c>
      <c r="N2387" s="19">
        <v>0.53969999999999996</v>
      </c>
      <c r="O2387" s="19">
        <v>0.55759999999999998</v>
      </c>
      <c r="P2387" s="19">
        <v>0.57950000000000002</v>
      </c>
      <c r="Q2387" s="19"/>
      <c r="R2387" s="20">
        <v>35818</v>
      </c>
      <c r="S2387" s="21" t="str">
        <f>HYPERLINK("https://fia.uncg.edu/net-price-calculator/", "$25179")</f>
        <v>$25179</v>
      </c>
      <c r="T2387" s="20">
        <v>30187</v>
      </c>
      <c r="U2387" s="20">
        <v>34227</v>
      </c>
      <c r="V2387" s="20">
        <v>3226</v>
      </c>
      <c r="W2387" s="20">
        <v>21953.366336633659</v>
      </c>
      <c r="Y2387" s="19">
        <v>0.4662</v>
      </c>
      <c r="Z2387" s="19">
        <v>0.51079999999999992</v>
      </c>
      <c r="AB2387" s="18">
        <v>15988</v>
      </c>
      <c r="AC2387" s="18">
        <v>4</v>
      </c>
    </row>
    <row r="2388" spans="1:29" ht="15.75" customHeight="1" x14ac:dyDescent="0.2">
      <c r="A2388" s="36" t="str">
        <f>HYPERLINK("https://www.uncp.edu", "University of North Carolina at Pembroke")</f>
        <v>University of North Carolina at Pembroke</v>
      </c>
      <c r="B2388" s="18" t="s">
        <v>49</v>
      </c>
      <c r="C2388" s="18" t="s">
        <v>103</v>
      </c>
      <c r="D2388" s="18" t="s">
        <v>903</v>
      </c>
      <c r="E2388" s="18">
        <v>999</v>
      </c>
      <c r="F2388" s="18" t="s">
        <v>35</v>
      </c>
      <c r="J2388" s="19"/>
      <c r="K2388" s="19">
        <v>0.3972</v>
      </c>
      <c r="L2388" s="19">
        <v>0.32363213000000002</v>
      </c>
      <c r="M2388" s="19">
        <v>0.3805</v>
      </c>
      <c r="N2388" s="19">
        <v>0.46589999999999998</v>
      </c>
      <c r="O2388" s="19">
        <v>0.33850000000000002</v>
      </c>
      <c r="P2388" s="19">
        <v>0.28000000000000003</v>
      </c>
      <c r="Q2388" s="19"/>
      <c r="R2388" s="20">
        <v>31275</v>
      </c>
      <c r="S2388" s="21" t="str">
        <f>HYPERLINK("https://www.uncp.edu/sites/default/files/netcalc/npcalc.htm", "$22965")</f>
        <v>$22965</v>
      </c>
      <c r="T2388" s="20">
        <v>27165</v>
      </c>
      <c r="U2388" s="20">
        <v>29215</v>
      </c>
      <c r="V2388" s="20">
        <v>4746</v>
      </c>
      <c r="W2388" s="20">
        <v>18219.557761732849</v>
      </c>
      <c r="Y2388" s="19">
        <v>0.55100000000000005</v>
      </c>
      <c r="Z2388" s="19">
        <v>0.63149999999999995</v>
      </c>
      <c r="AB2388" s="18">
        <v>5308</v>
      </c>
      <c r="AC2388" s="18">
        <v>5</v>
      </c>
    </row>
    <row r="2389" spans="1:29" ht="15.75" customHeight="1" x14ac:dyDescent="0.2">
      <c r="A2389" s="36" t="str">
        <f>HYPERLINK("https://und.edu", "University of North Dakota")</f>
        <v>University of North Dakota</v>
      </c>
      <c r="B2389" s="18" t="s">
        <v>49</v>
      </c>
      <c r="C2389" s="18" t="s">
        <v>730</v>
      </c>
      <c r="D2389" s="18" t="s">
        <v>1316</v>
      </c>
      <c r="E2389" s="18">
        <v>1165</v>
      </c>
      <c r="F2389" s="18" t="s">
        <v>35</v>
      </c>
      <c r="J2389" s="19"/>
      <c r="K2389" s="19">
        <v>0.53620000000000001</v>
      </c>
      <c r="L2389" s="19">
        <v>0.43045112800000002</v>
      </c>
      <c r="M2389" s="19">
        <v>0.54869999999999997</v>
      </c>
      <c r="N2389" s="19">
        <v>0.2273</v>
      </c>
      <c r="O2389" s="19">
        <v>0.4783</v>
      </c>
      <c r="P2389" s="19">
        <v>0.56000000000000005</v>
      </c>
      <c r="Q2389" s="19"/>
      <c r="R2389" s="20">
        <v>33017</v>
      </c>
      <c r="S2389" s="21" t="str">
        <f>HYPERLINK("https://und.edu/admissions/cost-and-aid/calculator.html", "$24090")</f>
        <v>$24090</v>
      </c>
      <c r="T2389" s="20">
        <v>26752</v>
      </c>
      <c r="U2389" s="20">
        <v>29226</v>
      </c>
      <c r="V2389" s="20">
        <v>4422</v>
      </c>
      <c r="W2389" s="20">
        <v>19668.442105263159</v>
      </c>
      <c r="Y2389" s="19">
        <v>0.1812</v>
      </c>
      <c r="Z2389" s="19">
        <v>0.18640000000000001</v>
      </c>
      <c r="AB2389" s="18">
        <v>10351</v>
      </c>
      <c r="AC2389" s="18">
        <v>4</v>
      </c>
    </row>
    <row r="2390" spans="1:29" ht="15.75" customHeight="1" x14ac:dyDescent="0.2">
      <c r="A2390" s="36" t="str">
        <f>HYPERLINK("https://www.unf.edu", "University of North Florida")</f>
        <v>University of North Florida</v>
      </c>
      <c r="B2390" s="18" t="s">
        <v>49</v>
      </c>
      <c r="C2390" s="18" t="s">
        <v>162</v>
      </c>
      <c r="D2390" s="18" t="s">
        <v>382</v>
      </c>
      <c r="E2390" s="18">
        <v>1176</v>
      </c>
      <c r="F2390" s="18" t="s">
        <v>35</v>
      </c>
      <c r="J2390" s="19"/>
      <c r="K2390" s="19">
        <v>0.57279999999999998</v>
      </c>
      <c r="L2390" s="19">
        <v>0.55766621399999994</v>
      </c>
      <c r="M2390" s="19">
        <v>0.58560000000000001</v>
      </c>
      <c r="N2390" s="19">
        <v>0.52429999999999999</v>
      </c>
      <c r="O2390" s="19">
        <v>0.48549999999999999</v>
      </c>
      <c r="P2390" s="19">
        <v>0.66149999999999998</v>
      </c>
      <c r="Q2390" s="19"/>
      <c r="R2390" s="20">
        <v>35614</v>
      </c>
      <c r="S2390" s="21" t="str">
        <f>HYPERLINK("https://www.unf.edu/info/calculator/index.htm", "$24297")</f>
        <v>$24297</v>
      </c>
      <c r="T2390" s="20">
        <v>28276</v>
      </c>
      <c r="U2390" s="20">
        <v>32134</v>
      </c>
      <c r="V2390" s="20">
        <v>5044</v>
      </c>
      <c r="W2390" s="20">
        <v>19253.15890410959</v>
      </c>
      <c r="Y2390" s="19">
        <v>0.28999999999999998</v>
      </c>
      <c r="Z2390" s="19">
        <v>0.32950000000000002</v>
      </c>
      <c r="AB2390" s="18">
        <v>13962</v>
      </c>
      <c r="AC2390" s="18">
        <v>3</v>
      </c>
    </row>
    <row r="2391" spans="1:29" ht="15.75" customHeight="1" x14ac:dyDescent="0.2">
      <c r="A2391" s="36" t="str">
        <f>HYPERLINK("https://www.ung.edu", "University of North Georgia")</f>
        <v>University of North Georgia</v>
      </c>
      <c r="B2391" s="18" t="s">
        <v>49</v>
      </c>
      <c r="C2391" s="18" t="s">
        <v>107</v>
      </c>
      <c r="D2391" s="18" t="s">
        <v>1317</v>
      </c>
      <c r="E2391" s="18">
        <v>1058</v>
      </c>
      <c r="F2391" s="18" t="s">
        <v>35</v>
      </c>
      <c r="J2391" s="19"/>
      <c r="K2391" s="19">
        <v>0.28599999999999998</v>
      </c>
      <c r="L2391" s="19">
        <v>0.330917874</v>
      </c>
      <c r="M2391" s="19">
        <v>0.30570000000000003</v>
      </c>
      <c r="N2391" s="19">
        <v>0.1827</v>
      </c>
      <c r="O2391" s="19">
        <v>0.19700000000000001</v>
      </c>
      <c r="P2391" s="19">
        <v>0.2651</v>
      </c>
      <c r="Q2391" s="19"/>
      <c r="R2391" s="20">
        <v>28094</v>
      </c>
      <c r="S2391" s="21" t="str">
        <f>HYPERLINK("https://ung.edu/financial-aid/net-calculator.php", "$20623")</f>
        <v>$20623</v>
      </c>
      <c r="T2391" s="20">
        <v>22992</v>
      </c>
      <c r="U2391" s="20">
        <v>24659</v>
      </c>
      <c r="V2391" s="20">
        <v>4820</v>
      </c>
      <c r="W2391" s="20">
        <v>15803.37188208617</v>
      </c>
      <c r="Y2391" s="19">
        <v>0.33139999999999997</v>
      </c>
      <c r="Z2391" s="19">
        <v>0.26</v>
      </c>
      <c r="AB2391" s="18">
        <v>17067</v>
      </c>
      <c r="AC2391" s="18">
        <v>4</v>
      </c>
    </row>
    <row r="2392" spans="1:29" ht="15.75" customHeight="1" x14ac:dyDescent="0.2">
      <c r="A2392" s="36" t="str">
        <f>HYPERLINK("https://www.unt.edu", "University of North Texas")</f>
        <v>University of North Texas</v>
      </c>
      <c r="B2392" s="18" t="s">
        <v>49</v>
      </c>
      <c r="C2392" s="18" t="s">
        <v>146</v>
      </c>
      <c r="D2392" s="18" t="s">
        <v>865</v>
      </c>
      <c r="E2392" s="18">
        <v>1167</v>
      </c>
      <c r="F2392" s="18" t="s">
        <v>35</v>
      </c>
      <c r="J2392" s="19"/>
      <c r="K2392" s="19">
        <v>0.54310000000000003</v>
      </c>
      <c r="L2392" s="19">
        <v>0.513705945</v>
      </c>
      <c r="M2392" s="19">
        <v>0.54649999999999999</v>
      </c>
      <c r="N2392" s="19">
        <v>0.47810000000000002</v>
      </c>
      <c r="O2392" s="19">
        <v>0.5101</v>
      </c>
      <c r="P2392" s="19">
        <v>0.60980000000000001</v>
      </c>
      <c r="Q2392" s="19"/>
      <c r="R2392" s="20">
        <v>33908</v>
      </c>
      <c r="S2392" s="21" t="str">
        <f>HYPERLINK("https://www.collegeforalltexans.com/apps/CollegeMoney/", "$22268")</f>
        <v>$22268</v>
      </c>
      <c r="T2392" s="20">
        <v>26591</v>
      </c>
      <c r="U2392" s="20">
        <v>31595</v>
      </c>
      <c r="V2392" s="20">
        <v>4136</v>
      </c>
      <c r="W2392" s="20">
        <v>18132.918309859149</v>
      </c>
      <c r="Y2392" s="19">
        <v>0.35659999999999997</v>
      </c>
      <c r="Z2392" s="19">
        <v>0.55069999999999997</v>
      </c>
      <c r="AB2392" s="18">
        <v>31448</v>
      </c>
      <c r="AC2392" s="18">
        <v>4</v>
      </c>
    </row>
    <row r="2393" spans="1:29" ht="15.75" customHeight="1" x14ac:dyDescent="0.2">
      <c r="A2393" s="36" t="str">
        <f>HYPERLINK("https://www.unco.edu", "University of Northern Colorado")</f>
        <v>University of Northern Colorado</v>
      </c>
      <c r="B2393" s="18" t="s">
        <v>49</v>
      </c>
      <c r="C2393" s="18" t="s">
        <v>87</v>
      </c>
      <c r="D2393" s="18" t="s">
        <v>1318</v>
      </c>
      <c r="E2393" s="18">
        <v>1107</v>
      </c>
      <c r="F2393" s="18" t="s">
        <v>35</v>
      </c>
      <c r="J2393" s="19"/>
      <c r="K2393" s="19">
        <v>0.47749999999999998</v>
      </c>
      <c r="L2393" s="19">
        <v>0.50610583499999995</v>
      </c>
      <c r="M2393" s="19">
        <v>0.50509999999999999</v>
      </c>
      <c r="N2393" s="19">
        <v>0.40570000000000001</v>
      </c>
      <c r="O2393" s="19">
        <v>0.42030000000000001</v>
      </c>
      <c r="P2393" s="19">
        <v>0.5</v>
      </c>
      <c r="Q2393" s="19"/>
      <c r="R2393" s="20">
        <v>35653</v>
      </c>
      <c r="S2393" s="21" t="str">
        <f>HYPERLINK("https://www.unco.edu/financial-aid/resources/net-price-calculator.aspx", "$31088")</f>
        <v>$31088</v>
      </c>
      <c r="T2393" s="20">
        <v>33675</v>
      </c>
      <c r="U2393" s="20">
        <v>35219</v>
      </c>
      <c r="V2393" s="20">
        <v>3541</v>
      </c>
      <c r="W2393" s="20">
        <v>27547.513402061861</v>
      </c>
      <c r="Y2393" s="19">
        <v>0.2923</v>
      </c>
      <c r="Z2393" s="19">
        <v>0.38850000000000001</v>
      </c>
      <c r="AB2393" s="18">
        <v>9104</v>
      </c>
      <c r="AC2393" s="18">
        <v>4</v>
      </c>
    </row>
    <row r="2394" spans="1:29" ht="15.75" customHeight="1" x14ac:dyDescent="0.2">
      <c r="A2394" s="36" t="str">
        <f>HYPERLINK("https://www.uni.edu", "University of Northern Iowa")</f>
        <v>University of Northern Iowa</v>
      </c>
      <c r="B2394" s="18" t="s">
        <v>49</v>
      </c>
      <c r="C2394" s="18" t="s">
        <v>211</v>
      </c>
      <c r="D2394" s="18" t="s">
        <v>1320</v>
      </c>
      <c r="E2394" s="18">
        <v>1166</v>
      </c>
      <c r="F2394" s="18" t="s">
        <v>35</v>
      </c>
      <c r="J2394" s="19"/>
      <c r="K2394" s="19">
        <v>0.67530000000000001</v>
      </c>
      <c r="L2394" s="19">
        <v>0.54640980700000008</v>
      </c>
      <c r="M2394" s="19">
        <v>0.67900000000000005</v>
      </c>
      <c r="N2394" s="19">
        <v>0.56000000000000005</v>
      </c>
      <c r="O2394" s="19">
        <v>0.73680000000000001</v>
      </c>
      <c r="P2394" s="19">
        <v>0.66669999999999996</v>
      </c>
      <c r="Q2394" s="19"/>
      <c r="R2394" s="20">
        <v>31872</v>
      </c>
      <c r="S2394" s="21" t="str">
        <f>HYPERLINK("https://cgi.access.uni.edu/cgi-bin/calc_aid/calc_aid.cgi", "$23051")</f>
        <v>$23051</v>
      </c>
      <c r="T2394" s="20">
        <v>27205</v>
      </c>
      <c r="U2394" s="20">
        <v>29770</v>
      </c>
      <c r="V2394" s="20">
        <v>3850</v>
      </c>
      <c r="W2394" s="20">
        <v>19201.87074829932</v>
      </c>
      <c r="Y2394" s="19">
        <v>0.26250000000000001</v>
      </c>
      <c r="Z2394" s="19">
        <v>0.1772</v>
      </c>
      <c r="AB2394" s="18">
        <v>9686</v>
      </c>
      <c r="AC2394" s="18">
        <v>4</v>
      </c>
    </row>
    <row r="2395" spans="1:29" ht="15.75" customHeight="1" x14ac:dyDescent="0.2">
      <c r="A2395" s="36" t="str">
        <f>HYPERLINK("https://www.unoh.edu", "University of Northwestern Ohio")</f>
        <v>University of Northwestern Ohio</v>
      </c>
      <c r="B2395" s="18" t="s">
        <v>32</v>
      </c>
      <c r="C2395" s="18" t="s">
        <v>75</v>
      </c>
      <c r="D2395" s="18" t="s">
        <v>1442</v>
      </c>
      <c r="E2395" s="18" t="s">
        <v>36</v>
      </c>
      <c r="F2395" s="18" t="s">
        <v>36</v>
      </c>
      <c r="J2395" s="19"/>
      <c r="K2395" s="19">
        <v>0.56659999999999999</v>
      </c>
      <c r="L2395" s="19">
        <v>0.37906976700000011</v>
      </c>
      <c r="M2395" s="19">
        <v>0.55520000000000003</v>
      </c>
      <c r="N2395" s="19">
        <v>0.2</v>
      </c>
      <c r="O2395" s="19">
        <v>0.5</v>
      </c>
      <c r="P2395" s="19">
        <v>1</v>
      </c>
      <c r="Q2395" s="19">
        <v>1.1038635E-2</v>
      </c>
      <c r="R2395" s="20">
        <v>23600</v>
      </c>
      <c r="S2395" s="21" t="str">
        <f>HYPERLINK("https://www.unoh.edu/offices/financial-aid/npcalc.shtml", "$15247")</f>
        <v>$15247</v>
      </c>
      <c r="T2395" s="20">
        <v>19407</v>
      </c>
      <c r="U2395" s="20">
        <v>21396</v>
      </c>
      <c r="V2395" s="20">
        <v>5700</v>
      </c>
      <c r="W2395" s="20">
        <v>9547</v>
      </c>
      <c r="Y2395" s="19">
        <v>0.41039999999999999</v>
      </c>
      <c r="Z2395" s="19">
        <v>0.34039999999999998</v>
      </c>
      <c r="AB2395" s="18">
        <v>3625</v>
      </c>
      <c r="AC2395" s="18">
        <v>6</v>
      </c>
    </row>
    <row r="2396" spans="1:29" ht="15.75" customHeight="1" x14ac:dyDescent="0.2">
      <c r="A2396" s="36" t="str">
        <f>HYPERLINK("https://www.unwsp.edu", "University of Northwestern-St Paul")</f>
        <v>University of Northwestern-St Paul</v>
      </c>
      <c r="B2396" s="18" t="s">
        <v>32</v>
      </c>
      <c r="C2396" s="18" t="s">
        <v>72</v>
      </c>
      <c r="D2396" s="18" t="s">
        <v>131</v>
      </c>
      <c r="E2396" s="18">
        <v>1174</v>
      </c>
      <c r="F2396" s="18" t="s">
        <v>35</v>
      </c>
      <c r="J2396" s="19"/>
      <c r="K2396" s="19">
        <v>0.62029999999999996</v>
      </c>
      <c r="L2396" s="19">
        <v>0.42028985499999999</v>
      </c>
      <c r="M2396" s="19">
        <v>0.64459999999999995</v>
      </c>
      <c r="N2396" s="19">
        <v>0.3846</v>
      </c>
      <c r="O2396" s="19">
        <v>0.57889999999999997</v>
      </c>
      <c r="P2396" s="19">
        <v>0.42859999999999998</v>
      </c>
      <c r="Q2396" s="19"/>
      <c r="R2396" s="20">
        <v>43404</v>
      </c>
      <c r="S2396" s="21" t="str">
        <f>HYPERLINK("https://unwsp.edu/become-a-student/financial-aid/undergraduate-net-price-calculator", "$19076")</f>
        <v>$19076</v>
      </c>
      <c r="T2396" s="20">
        <v>20531</v>
      </c>
      <c r="U2396" s="20">
        <v>22550</v>
      </c>
      <c r="V2396" s="20">
        <v>3340</v>
      </c>
      <c r="W2396" s="20">
        <v>15736</v>
      </c>
      <c r="Y2396" s="19">
        <v>0.2046</v>
      </c>
      <c r="Z2396" s="19">
        <v>0.17190000000000011</v>
      </c>
      <c r="AB2396" s="18">
        <v>1827</v>
      </c>
      <c r="AC2396" s="18">
        <v>4</v>
      </c>
    </row>
    <row r="2397" spans="1:29" ht="15.75" customHeight="1" x14ac:dyDescent="0.2">
      <c r="A2397" s="36" t="str">
        <f>HYPERLINK("https://www.nd.edu", "University of Notre Dame")</f>
        <v>University of Notre Dame</v>
      </c>
      <c r="B2397" s="18" t="s">
        <v>32</v>
      </c>
      <c r="C2397" s="18" t="s">
        <v>148</v>
      </c>
      <c r="D2397" s="18" t="s">
        <v>167</v>
      </c>
      <c r="E2397" s="18">
        <v>1486</v>
      </c>
      <c r="F2397" s="18" t="s">
        <v>35</v>
      </c>
      <c r="J2397" s="19"/>
      <c r="K2397" s="19">
        <v>0.95240000000000002</v>
      </c>
      <c r="L2397" s="19">
        <v>0.86131386900000007</v>
      </c>
      <c r="M2397" s="19">
        <v>0.96350000000000002</v>
      </c>
      <c r="N2397" s="19">
        <v>0.86150000000000004</v>
      </c>
      <c r="O2397" s="19">
        <v>0.95209999999999995</v>
      </c>
      <c r="P2397" s="19">
        <v>0.93599999999999994</v>
      </c>
      <c r="Q2397" s="19"/>
      <c r="R2397" s="20">
        <v>69395</v>
      </c>
      <c r="S2397" s="21" t="str">
        <f>HYPERLINK("https://financialaid.nd.edu", "$10673")</f>
        <v>$10673</v>
      </c>
      <c r="T2397" s="20">
        <v>13979</v>
      </c>
      <c r="U2397" s="20">
        <v>21732</v>
      </c>
      <c r="V2397" s="20">
        <v>3000</v>
      </c>
      <c r="W2397" s="20">
        <v>7673</v>
      </c>
      <c r="X2397" s="18" t="s">
        <v>37</v>
      </c>
      <c r="Y2397" s="19">
        <v>0.1043</v>
      </c>
      <c r="Z2397" s="19">
        <v>0.31090000000000001</v>
      </c>
      <c r="AA2397" s="18" t="s">
        <v>37</v>
      </c>
      <c r="AB2397" s="18">
        <v>8527</v>
      </c>
      <c r="AC2397" s="18">
        <v>1</v>
      </c>
    </row>
    <row r="2398" spans="1:29" ht="15.75" customHeight="1" x14ac:dyDescent="0.2">
      <c r="A2398" s="36" t="str">
        <f>HYPERLINK("https://ouhsc.edu", "University of Oklahoma-Health Sciences Center")</f>
        <v>University of Oklahoma-Health Sciences Center</v>
      </c>
      <c r="B2398" s="18" t="s">
        <v>49</v>
      </c>
      <c r="C2398" s="18" t="s">
        <v>290</v>
      </c>
      <c r="D2398" s="18" t="s">
        <v>438</v>
      </c>
      <c r="E2398" s="18" t="s">
        <v>36</v>
      </c>
      <c r="F2398" s="18" t="s">
        <v>36</v>
      </c>
      <c r="J2398" s="19"/>
      <c r="K2398" s="19" t="s">
        <v>36</v>
      </c>
      <c r="L2398" s="19">
        <v>0.51782111600000003</v>
      </c>
      <c r="M2398" s="19" t="s">
        <v>36</v>
      </c>
      <c r="N2398" s="19" t="s">
        <v>36</v>
      </c>
      <c r="O2398" s="19" t="s">
        <v>36</v>
      </c>
      <c r="P2398" s="19" t="s">
        <v>36</v>
      </c>
      <c r="Q2398" s="19"/>
      <c r="R2398" s="20" t="s">
        <v>36</v>
      </c>
      <c r="S2398" s="21" t="str">
        <f>HYPERLINK("https://ouhsc.edu/financialservices/SFA/OUHSCCosts.asp", "Not reported")</f>
        <v>Not reported</v>
      </c>
      <c r="T2398" s="20" t="s">
        <v>36</v>
      </c>
      <c r="U2398" s="20" t="s">
        <v>36</v>
      </c>
      <c r="V2398" s="20" t="s">
        <v>36</v>
      </c>
      <c r="W2398" s="20" t="s">
        <v>36</v>
      </c>
      <c r="Y2398" s="19">
        <v>0</v>
      </c>
      <c r="Z2398" s="19">
        <v>0.32700000000000012</v>
      </c>
      <c r="AB2398" s="18">
        <v>786</v>
      </c>
      <c r="AC2398" s="18">
        <v>3</v>
      </c>
    </row>
    <row r="2399" spans="1:29" ht="15.75" customHeight="1" x14ac:dyDescent="0.2">
      <c r="A2399" s="36" t="str">
        <f>HYPERLINK("https://www.ou.edu", "University of Oklahoma-Norman Campus")</f>
        <v>University of Oklahoma-Norman Campus</v>
      </c>
      <c r="B2399" s="18" t="s">
        <v>49</v>
      </c>
      <c r="C2399" s="18" t="s">
        <v>290</v>
      </c>
      <c r="D2399" s="18" t="s">
        <v>519</v>
      </c>
      <c r="E2399" s="18">
        <v>1254</v>
      </c>
      <c r="F2399" s="18" t="s">
        <v>35</v>
      </c>
      <c r="J2399" s="19"/>
      <c r="K2399" s="19">
        <v>0.67269999999999996</v>
      </c>
      <c r="L2399" s="19">
        <v>0.51782111600000003</v>
      </c>
      <c r="M2399" s="19">
        <v>0.68959999999999999</v>
      </c>
      <c r="N2399" s="19">
        <v>0.58860000000000001</v>
      </c>
      <c r="O2399" s="19">
        <v>0.61219999999999997</v>
      </c>
      <c r="P2399" s="19">
        <v>0.7107</v>
      </c>
      <c r="Q2399" s="19"/>
      <c r="R2399" s="20">
        <v>43764</v>
      </c>
      <c r="S2399" s="21" t="str">
        <f>HYPERLINK("https://netprice.ou.edu/", "$31784")</f>
        <v>$31784</v>
      </c>
      <c r="T2399" s="20">
        <v>35863</v>
      </c>
      <c r="U2399" s="20">
        <v>39756</v>
      </c>
      <c r="V2399" s="20">
        <v>6257</v>
      </c>
      <c r="W2399" s="20">
        <v>25527.719202898548</v>
      </c>
      <c r="Y2399" s="19">
        <v>0.2172</v>
      </c>
      <c r="Z2399" s="19">
        <v>0.39119999999999999</v>
      </c>
      <c r="AB2399" s="18">
        <v>21536</v>
      </c>
      <c r="AC2399" s="18">
        <v>3</v>
      </c>
    </row>
    <row r="2400" spans="1:29" ht="15.75" customHeight="1" x14ac:dyDescent="0.2">
      <c r="A2400" s="36" t="str">
        <f>HYPERLINK("https://www.uoregon.edu", "University of Oregon")</f>
        <v>University of Oregon</v>
      </c>
      <c r="B2400" s="18" t="s">
        <v>49</v>
      </c>
      <c r="C2400" s="18" t="s">
        <v>143</v>
      </c>
      <c r="D2400" s="18" t="s">
        <v>520</v>
      </c>
      <c r="E2400" s="18">
        <v>1193</v>
      </c>
      <c r="F2400" s="18" t="s">
        <v>35</v>
      </c>
      <c r="J2400" s="19"/>
      <c r="K2400" s="19">
        <v>0.72</v>
      </c>
      <c r="L2400" s="19">
        <v>0.66476345799999992</v>
      </c>
      <c r="M2400" s="19">
        <v>0.7268</v>
      </c>
      <c r="N2400" s="19">
        <v>0.60440000000000005</v>
      </c>
      <c r="O2400" s="19">
        <v>0.65980000000000005</v>
      </c>
      <c r="P2400" s="19">
        <v>0.79820000000000002</v>
      </c>
      <c r="Q2400" s="19"/>
      <c r="R2400" s="20">
        <v>49542</v>
      </c>
      <c r="S2400" s="21" t="str">
        <f>HYPERLINK("https://financialaid.uoregon.edu/net_price_calculator", "$37122")</f>
        <v>$37122</v>
      </c>
      <c r="T2400" s="20">
        <v>39736</v>
      </c>
      <c r="U2400" s="20">
        <v>44873</v>
      </c>
      <c r="V2400" s="20">
        <v>3481</v>
      </c>
      <c r="W2400" s="20">
        <v>33641.789674952197</v>
      </c>
      <c r="Y2400" s="19">
        <v>0.24579999999999999</v>
      </c>
      <c r="Z2400" s="19">
        <v>0.41760000000000003</v>
      </c>
      <c r="AB2400" s="18">
        <v>19163</v>
      </c>
      <c r="AC2400" s="18">
        <v>3</v>
      </c>
    </row>
    <row r="2401" spans="1:29" ht="15.75" customHeight="1" x14ac:dyDescent="0.2">
      <c r="A2401" s="36" t="str">
        <f>HYPERLINK("https://www.upenn.edu", "University of Pennsylvania")</f>
        <v>University of Pennsylvania</v>
      </c>
      <c r="B2401" s="18" t="s">
        <v>32</v>
      </c>
      <c r="C2401" s="18" t="s">
        <v>65</v>
      </c>
      <c r="D2401" s="18" t="s">
        <v>168</v>
      </c>
      <c r="E2401" s="18">
        <v>1506</v>
      </c>
      <c r="F2401" s="18" t="s">
        <v>35</v>
      </c>
      <c r="J2401" s="19"/>
      <c r="K2401" s="19">
        <v>0.95720000000000005</v>
      </c>
      <c r="L2401" s="19">
        <v>0.85370370400000006</v>
      </c>
      <c r="M2401" s="19">
        <v>0.96409999999999996</v>
      </c>
      <c r="N2401" s="19">
        <v>0.92779999999999996</v>
      </c>
      <c r="O2401" s="19">
        <v>0.95589999999999997</v>
      </c>
      <c r="P2401" s="19">
        <v>0.97400000000000009</v>
      </c>
      <c r="Q2401" s="19"/>
      <c r="R2401" s="20">
        <v>71715</v>
      </c>
      <c r="S2401" s="21" t="str">
        <f>HYPERLINK("https://npc.collegeboard.org/student/app/upenn", "$6347")</f>
        <v>$6347</v>
      </c>
      <c r="T2401" s="20">
        <v>12968</v>
      </c>
      <c r="U2401" s="20">
        <v>20979</v>
      </c>
      <c r="V2401" s="20">
        <v>3115</v>
      </c>
      <c r="W2401" s="20">
        <v>3232</v>
      </c>
      <c r="X2401" s="18" t="s">
        <v>37</v>
      </c>
      <c r="Y2401" s="19">
        <v>0.12609999999999999</v>
      </c>
      <c r="Z2401" s="19">
        <v>0.56309999999999993</v>
      </c>
      <c r="AA2401" s="18" t="s">
        <v>37</v>
      </c>
      <c r="AB2401" s="18">
        <v>10660</v>
      </c>
      <c r="AC2401" s="18">
        <v>1</v>
      </c>
    </row>
    <row r="2402" spans="1:29" ht="15.75" customHeight="1" x14ac:dyDescent="0.2">
      <c r="A2402" s="36" t="str">
        <f>HYPERLINK("https://www.upike.edu", "University of Pikeville")</f>
        <v>University of Pikeville</v>
      </c>
      <c r="B2402" s="18" t="s">
        <v>32</v>
      </c>
      <c r="C2402" s="18" t="s">
        <v>205</v>
      </c>
      <c r="D2402" s="18" t="s">
        <v>905</v>
      </c>
      <c r="E2402" s="18">
        <v>1038</v>
      </c>
      <c r="F2402" s="18" t="s">
        <v>35</v>
      </c>
      <c r="J2402" s="19"/>
      <c r="K2402" s="19">
        <v>0.2994</v>
      </c>
      <c r="L2402" s="19">
        <v>0.28125</v>
      </c>
      <c r="M2402" s="19">
        <v>0.32750000000000001</v>
      </c>
      <c r="N2402" s="19">
        <v>0.15</v>
      </c>
      <c r="O2402" s="19">
        <v>0</v>
      </c>
      <c r="P2402" s="19" t="s">
        <v>36</v>
      </c>
      <c r="Q2402" s="19"/>
      <c r="R2402" s="20">
        <v>36838</v>
      </c>
      <c r="S2402" s="21" t="str">
        <f>HYPERLINK("https://www.upike.edu/NetPriceCalculator/npcalc.htm", "$16377")</f>
        <v>$16377</v>
      </c>
      <c r="T2402" s="20">
        <v>20512</v>
      </c>
      <c r="U2402" s="20">
        <v>20584</v>
      </c>
      <c r="V2402" s="20">
        <v>9000</v>
      </c>
      <c r="W2402" s="20">
        <v>7377</v>
      </c>
      <c r="Y2402" s="19">
        <v>0.4602</v>
      </c>
      <c r="Z2402" s="19">
        <v>0.13880000000000001</v>
      </c>
      <c r="AB2402" s="18">
        <v>1088</v>
      </c>
      <c r="AC2402" s="18">
        <v>5</v>
      </c>
    </row>
    <row r="2403" spans="1:29" ht="15.75" customHeight="1" x14ac:dyDescent="0.2">
      <c r="A2403" s="36" t="str">
        <f>HYPERLINK("https://www.upb.pitt.edu/", "University of Pittsburgh-Bradford")</f>
        <v>University of Pittsburgh-Bradford</v>
      </c>
      <c r="B2403" s="18" t="s">
        <v>49</v>
      </c>
      <c r="C2403" s="18" t="s">
        <v>65</v>
      </c>
      <c r="D2403" s="18" t="s">
        <v>1322</v>
      </c>
      <c r="E2403" s="18">
        <v>1077</v>
      </c>
      <c r="F2403" s="18" t="s">
        <v>35</v>
      </c>
      <c r="J2403" s="19"/>
      <c r="K2403" s="19">
        <v>0.44629999999999997</v>
      </c>
      <c r="L2403" s="19">
        <v>0.53456221199999998</v>
      </c>
      <c r="M2403" s="19">
        <v>0.47189999999999999</v>
      </c>
      <c r="N2403" s="19">
        <v>0.25580000000000003</v>
      </c>
      <c r="O2403" s="19">
        <v>0.69230000000000003</v>
      </c>
      <c r="P2403" s="19">
        <v>0.18179999999999999</v>
      </c>
      <c r="Q2403" s="19"/>
      <c r="R2403" s="20">
        <v>39355</v>
      </c>
      <c r="S2403" s="21" t="str">
        <f>HYPERLINK("https://npc.collegeboard.org/student/app/pitt", "$28518")</f>
        <v>$28518</v>
      </c>
      <c r="T2403" s="20">
        <v>31829</v>
      </c>
      <c r="U2403" s="20">
        <v>33085</v>
      </c>
      <c r="V2403" s="20">
        <v>5153</v>
      </c>
      <c r="W2403" s="20">
        <v>23365.772727272732</v>
      </c>
      <c r="Y2403" s="19">
        <v>0.44440000000000002</v>
      </c>
      <c r="Z2403" s="19">
        <v>0.31169999999999998</v>
      </c>
      <c r="AB2403" s="18">
        <v>1296</v>
      </c>
      <c r="AC2403" s="18">
        <v>4</v>
      </c>
    </row>
    <row r="2404" spans="1:29" ht="15.75" customHeight="1" x14ac:dyDescent="0.2">
      <c r="A2404" s="36" t="str">
        <f>HYPERLINK("https://www.greensburg.pitt.edu/", "University of Pittsburgh-Greensburg")</f>
        <v>University of Pittsburgh-Greensburg</v>
      </c>
      <c r="B2404" s="18" t="s">
        <v>49</v>
      </c>
      <c r="C2404" s="18" t="s">
        <v>65</v>
      </c>
      <c r="D2404" s="18" t="s">
        <v>1150</v>
      </c>
      <c r="E2404" s="18">
        <v>1101</v>
      </c>
      <c r="F2404" s="18" t="s">
        <v>35</v>
      </c>
      <c r="J2404" s="19"/>
      <c r="K2404" s="19">
        <v>0.3145</v>
      </c>
      <c r="L2404" s="19">
        <v>0.53456221199999998</v>
      </c>
      <c r="M2404" s="19">
        <v>0.34150000000000003</v>
      </c>
      <c r="N2404" s="19">
        <v>0.1905</v>
      </c>
      <c r="O2404" s="19">
        <v>0.1</v>
      </c>
      <c r="P2404" s="19">
        <v>0.30769999999999997</v>
      </c>
      <c r="Q2404" s="19"/>
      <c r="R2404" s="20">
        <v>40537</v>
      </c>
      <c r="S2404" s="21" t="str">
        <f>HYPERLINK("https://npc.collegeboard.org/student/app/pitt", "$28101")</f>
        <v>$28101</v>
      </c>
      <c r="T2404" s="20">
        <v>31243</v>
      </c>
      <c r="U2404" s="20">
        <v>33831</v>
      </c>
      <c r="V2404" s="20">
        <v>5153</v>
      </c>
      <c r="W2404" s="20">
        <v>22948.50943396227</v>
      </c>
      <c r="Y2404" s="19">
        <v>0.34610000000000002</v>
      </c>
      <c r="Z2404" s="19">
        <v>0.2452</v>
      </c>
      <c r="AB2404" s="18">
        <v>1521</v>
      </c>
      <c r="AC2404" s="18">
        <v>4</v>
      </c>
    </row>
    <row r="2405" spans="1:29" ht="15.75" customHeight="1" x14ac:dyDescent="0.2">
      <c r="A2405" s="36" t="str">
        <f>HYPERLINK("https://www.upj.pitt.edu", "University of Pittsburgh-Johnstown")</f>
        <v>University of Pittsburgh-Johnstown</v>
      </c>
      <c r="B2405" s="18" t="s">
        <v>49</v>
      </c>
      <c r="C2405" s="18" t="s">
        <v>65</v>
      </c>
      <c r="D2405" s="18" t="s">
        <v>907</v>
      </c>
      <c r="E2405" s="18">
        <v>1105</v>
      </c>
      <c r="F2405" s="18" t="s">
        <v>35</v>
      </c>
      <c r="J2405" s="19"/>
      <c r="K2405" s="19">
        <v>0.46750000000000003</v>
      </c>
      <c r="L2405" s="19">
        <v>0.53456221199999998</v>
      </c>
      <c r="M2405" s="19">
        <v>0.49320000000000003</v>
      </c>
      <c r="N2405" s="19">
        <v>0.375</v>
      </c>
      <c r="O2405" s="19">
        <v>0.33329999999999999</v>
      </c>
      <c r="P2405" s="19">
        <v>0.25</v>
      </c>
      <c r="Q2405" s="19"/>
      <c r="R2405" s="20">
        <v>39933</v>
      </c>
      <c r="S2405" s="21" t="str">
        <f>HYPERLINK("https://npc.collegeboard.org/student/app/pitt", "$30024")</f>
        <v>$30024</v>
      </c>
      <c r="T2405" s="20">
        <v>33594</v>
      </c>
      <c r="U2405" s="20">
        <v>35457</v>
      </c>
      <c r="V2405" s="20">
        <v>5153</v>
      </c>
      <c r="W2405" s="20">
        <v>24871.61486486487</v>
      </c>
      <c r="Y2405" s="19">
        <v>0.30259999999999998</v>
      </c>
      <c r="Z2405" s="19">
        <v>0.16969999999999999</v>
      </c>
      <c r="AB2405" s="18">
        <v>2776</v>
      </c>
      <c r="AC2405" s="18">
        <v>5</v>
      </c>
    </row>
    <row r="2406" spans="1:29" ht="15.75" customHeight="1" x14ac:dyDescent="0.2">
      <c r="A2406" s="36" t="str">
        <f>HYPERLINK("https://www.pitt.edu", "University of Pittsburgh-Pittsburgh Campus")</f>
        <v>University of Pittsburgh-Pittsburgh Campus</v>
      </c>
      <c r="B2406" s="18" t="s">
        <v>49</v>
      </c>
      <c r="C2406" s="18" t="s">
        <v>65</v>
      </c>
      <c r="D2406" s="18" t="s">
        <v>74</v>
      </c>
      <c r="E2406" s="18">
        <v>1349</v>
      </c>
      <c r="F2406" s="18" t="s">
        <v>35</v>
      </c>
      <c r="J2406" s="19"/>
      <c r="K2406" s="19">
        <v>0.82489999999999997</v>
      </c>
      <c r="L2406" s="19">
        <v>0.53456221199999998</v>
      </c>
      <c r="M2406" s="19">
        <v>0.83509999999999995</v>
      </c>
      <c r="N2406" s="19">
        <v>0.65149999999999997</v>
      </c>
      <c r="O2406" s="19">
        <v>0.82140000000000002</v>
      </c>
      <c r="P2406" s="19">
        <v>0.83279999999999998</v>
      </c>
      <c r="Q2406" s="19"/>
      <c r="R2406" s="20">
        <v>44812</v>
      </c>
      <c r="S2406" s="21" t="str">
        <f>HYPERLINK("https://npc.collegeboard.org/student/app/pitt", "$33808")</f>
        <v>$33808</v>
      </c>
      <c r="T2406" s="20">
        <v>38424</v>
      </c>
      <c r="U2406" s="20">
        <v>41050</v>
      </c>
      <c r="V2406" s="20">
        <v>3220</v>
      </c>
      <c r="W2406" s="20">
        <v>30588.620817843868</v>
      </c>
      <c r="Y2406" s="19">
        <v>0.15690000000000001</v>
      </c>
      <c r="Z2406" s="19">
        <v>0.28239999999999998</v>
      </c>
      <c r="AB2406" s="18">
        <v>19134</v>
      </c>
      <c r="AC2406" s="18">
        <v>2</v>
      </c>
    </row>
    <row r="2407" spans="1:29" ht="15.75" customHeight="1" x14ac:dyDescent="0.2">
      <c r="A2407" s="36" t="str">
        <f>HYPERLINK("https://www.upt.pitt.edu", "University of Pittsburgh-Titusville")</f>
        <v>University of Pittsburgh-Titusville</v>
      </c>
      <c r="B2407" s="18" t="s">
        <v>49</v>
      </c>
      <c r="C2407" s="18" t="s">
        <v>65</v>
      </c>
      <c r="D2407" s="18" t="s">
        <v>1747</v>
      </c>
      <c r="E2407" s="18">
        <v>955</v>
      </c>
      <c r="F2407" s="18" t="s">
        <v>35</v>
      </c>
      <c r="J2407" s="19"/>
      <c r="K2407" s="19">
        <v>0.22220000000000001</v>
      </c>
      <c r="L2407" s="19">
        <v>0.53456221199999998</v>
      </c>
      <c r="M2407" s="19">
        <v>0.22</v>
      </c>
      <c r="N2407" s="19">
        <v>0.25</v>
      </c>
      <c r="O2407" s="19">
        <v>0.2</v>
      </c>
      <c r="P2407" s="19">
        <v>0.2</v>
      </c>
      <c r="Q2407" s="19">
        <v>8.5339943000000001E-2</v>
      </c>
      <c r="R2407" s="20">
        <v>37265</v>
      </c>
      <c r="S2407" s="21" t="str">
        <f>HYPERLINK("https://npc.collegeboard.org/student/app/pitt", "$27330")</f>
        <v>$27330</v>
      </c>
      <c r="T2407" s="20">
        <v>30337</v>
      </c>
      <c r="U2407" s="20">
        <v>34048</v>
      </c>
      <c r="V2407" s="20">
        <v>5153</v>
      </c>
      <c r="W2407" s="20">
        <v>22177.5</v>
      </c>
      <c r="Y2407" s="19">
        <v>0.62050000000000005</v>
      </c>
      <c r="Z2407" s="19">
        <v>0.30819999999999997</v>
      </c>
      <c r="AB2407" s="18">
        <v>292</v>
      </c>
      <c r="AC2407" s="18">
        <v>6</v>
      </c>
    </row>
    <row r="2408" spans="1:29" ht="15.75" customHeight="1" x14ac:dyDescent="0.2">
      <c r="A2408" s="36" t="str">
        <f>HYPERLINK("https://www.up.edu", "University of Portland")</f>
        <v>University of Portland</v>
      </c>
      <c r="B2408" s="18" t="s">
        <v>32</v>
      </c>
      <c r="C2408" s="18" t="s">
        <v>143</v>
      </c>
      <c r="D2408" s="18" t="s">
        <v>144</v>
      </c>
      <c r="E2408" s="18">
        <v>1239</v>
      </c>
      <c r="F2408" s="18" t="s">
        <v>35</v>
      </c>
      <c r="J2408" s="19"/>
      <c r="K2408" s="19">
        <v>0.81530000000000002</v>
      </c>
      <c r="L2408" s="19">
        <v>0.78125</v>
      </c>
      <c r="M2408" s="19">
        <v>0.83009999999999995</v>
      </c>
      <c r="N2408" s="19">
        <v>1</v>
      </c>
      <c r="O2408" s="19">
        <v>0.82609999999999995</v>
      </c>
      <c r="P2408" s="19">
        <v>0.81130000000000002</v>
      </c>
      <c r="Q2408" s="19"/>
      <c r="R2408" s="20">
        <v>59236</v>
      </c>
      <c r="S2408" s="21" t="str">
        <f>HYPERLINK("https://www.up.edu/finaid/costs/net-price-calculator.html", "$28075")</f>
        <v>$28075</v>
      </c>
      <c r="T2408" s="20">
        <v>30641</v>
      </c>
      <c r="U2408" s="20">
        <v>36291</v>
      </c>
      <c r="V2408" s="20">
        <v>2552</v>
      </c>
      <c r="W2408" s="20">
        <v>25523</v>
      </c>
      <c r="Y2408" s="19">
        <v>0.16350000000000001</v>
      </c>
      <c r="Z2408" s="19">
        <v>0.42459999999999998</v>
      </c>
      <c r="AB2408" s="18">
        <v>3851</v>
      </c>
      <c r="AC2408" s="18">
        <v>3</v>
      </c>
    </row>
    <row r="2409" spans="1:29" ht="15.75" customHeight="1" x14ac:dyDescent="0.2">
      <c r="A2409" s="36" t="str">
        <f>HYPERLINK("https://www.uprovidence.edu", "University of Great Falls")</f>
        <v>University of Great Falls</v>
      </c>
      <c r="B2409" s="18" t="s">
        <v>32</v>
      </c>
      <c r="C2409" s="18" t="s">
        <v>421</v>
      </c>
      <c r="D2409" s="18" t="s">
        <v>1325</v>
      </c>
      <c r="E2409" s="18" t="s">
        <v>36</v>
      </c>
      <c r="F2409" s="18" t="s">
        <v>90</v>
      </c>
      <c r="J2409" s="19"/>
      <c r="K2409" s="19">
        <v>0.45400000000000001</v>
      </c>
      <c r="L2409" s="19">
        <v>0.30534351199999998</v>
      </c>
      <c r="M2409" s="19">
        <v>0.4526</v>
      </c>
      <c r="N2409" s="19">
        <v>1</v>
      </c>
      <c r="O2409" s="19">
        <v>0.57140000000000002</v>
      </c>
      <c r="P2409" s="19">
        <v>0.6</v>
      </c>
      <c r="Q2409" s="19"/>
      <c r="R2409" s="20">
        <v>37890</v>
      </c>
      <c r="S2409" s="21" t="str">
        <f>HYPERLINK("https://www.uprovidence.edu/become-a-student/financial-aid/", "$18402")</f>
        <v>$18402</v>
      </c>
      <c r="T2409" s="20">
        <v>21592</v>
      </c>
      <c r="U2409" s="20">
        <v>19649</v>
      </c>
      <c r="V2409" s="20">
        <v>4950</v>
      </c>
      <c r="W2409" s="20">
        <v>13452</v>
      </c>
      <c r="Y2409" s="19">
        <v>0.26390000000000002</v>
      </c>
      <c r="Z2409" s="19">
        <v>0.32829999999999998</v>
      </c>
      <c r="AB2409" s="18">
        <v>923</v>
      </c>
      <c r="AC2409" s="18">
        <v>4</v>
      </c>
    </row>
    <row r="2410" spans="1:29" ht="15.75" customHeight="1" x14ac:dyDescent="0.2">
      <c r="A2410" s="36" t="str">
        <f>HYPERLINK("https://www.uprag.edu", "University of Puerto Rico-Aguadilla")</f>
        <v>University of Puerto Rico-Aguadilla</v>
      </c>
      <c r="B2410" s="18" t="s">
        <v>49</v>
      </c>
      <c r="C2410" s="18" t="s">
        <v>284</v>
      </c>
      <c r="D2410" s="18" t="s">
        <v>1327</v>
      </c>
      <c r="E2410" s="18">
        <v>1049</v>
      </c>
      <c r="F2410" s="18" t="s">
        <v>35</v>
      </c>
      <c r="J2410" s="19"/>
      <c r="K2410" s="19">
        <v>0.41810000000000003</v>
      </c>
      <c r="L2410" s="19">
        <v>0.34285714299999998</v>
      </c>
      <c r="M2410" s="19">
        <v>1</v>
      </c>
      <c r="N2410" s="19" t="s">
        <v>36</v>
      </c>
      <c r="O2410" s="19">
        <v>0.4345</v>
      </c>
      <c r="P2410" s="19" t="s">
        <v>36</v>
      </c>
      <c r="Q2410" s="19"/>
      <c r="R2410" s="20">
        <v>19924</v>
      </c>
      <c r="S2410" s="21" t="str">
        <f>HYPERLINK("https://www.uprag.edu/opei_old/NPC/npcalc.htm", "$14161")</f>
        <v>$14161</v>
      </c>
      <c r="T2410" s="20">
        <v>16854</v>
      </c>
      <c r="U2410" s="20">
        <v>18693</v>
      </c>
      <c r="V2410" s="20">
        <v>4693</v>
      </c>
      <c r="W2410" s="20">
        <v>9468.1523809523806</v>
      </c>
      <c r="Y2410" s="19">
        <v>0.82010000000000005</v>
      </c>
      <c r="Z2410" s="19">
        <v>0.96750000000000003</v>
      </c>
      <c r="AB2410" s="18">
        <v>3385</v>
      </c>
      <c r="AC2410" s="18">
        <v>4</v>
      </c>
    </row>
    <row r="2411" spans="1:29" ht="15.75" customHeight="1" x14ac:dyDescent="0.2">
      <c r="A2411" s="36" t="str">
        <f>HYPERLINK("https://www.uprc.edu/", "University of Puerto Rico-Carolina")</f>
        <v>University of Puerto Rico-Carolina</v>
      </c>
      <c r="B2411" s="18" t="s">
        <v>49</v>
      </c>
      <c r="C2411" s="18" t="s">
        <v>284</v>
      </c>
      <c r="D2411" s="18" t="s">
        <v>1328</v>
      </c>
      <c r="E2411" s="18">
        <v>1021</v>
      </c>
      <c r="F2411" s="18" t="s">
        <v>35</v>
      </c>
      <c r="J2411" s="19"/>
      <c r="K2411" s="19">
        <v>0.46389999999999998</v>
      </c>
      <c r="L2411" s="19">
        <v>0.2</v>
      </c>
      <c r="M2411" s="19">
        <v>0</v>
      </c>
      <c r="N2411" s="19" t="s">
        <v>36</v>
      </c>
      <c r="O2411" s="19">
        <v>0.46800000000000003</v>
      </c>
      <c r="P2411" s="19" t="s">
        <v>36</v>
      </c>
      <c r="Q2411" s="19"/>
      <c r="R2411" s="20">
        <v>23056</v>
      </c>
      <c r="S2411" s="21" t="str">
        <f>HYPERLINK("https://home.uprc.upr.edu/info//NetPrice/npcalc.htm", "$17150")</f>
        <v>$17150</v>
      </c>
      <c r="T2411" s="20">
        <v>20029</v>
      </c>
      <c r="U2411" s="20" t="s">
        <v>36</v>
      </c>
      <c r="V2411" s="20">
        <v>5705</v>
      </c>
      <c r="W2411" s="20">
        <v>11445.895716946001</v>
      </c>
      <c r="Y2411" s="19">
        <v>0.72240000000000004</v>
      </c>
      <c r="Z2411" s="19">
        <v>1</v>
      </c>
      <c r="AB2411" s="18">
        <v>3532</v>
      </c>
      <c r="AC2411" s="18">
        <v>4</v>
      </c>
    </row>
    <row r="2412" spans="1:29" ht="15.75" customHeight="1" x14ac:dyDescent="0.2">
      <c r="A2412" s="36" t="str">
        <f>HYPERLINK("https://www.uprh.edu", "University of Puerto Rico-Humacao")</f>
        <v>University of Puerto Rico-Humacao</v>
      </c>
      <c r="B2412" s="18" t="s">
        <v>49</v>
      </c>
      <c r="C2412" s="18" t="s">
        <v>284</v>
      </c>
      <c r="D2412" s="18" t="s">
        <v>1050</v>
      </c>
      <c r="E2412" s="18" t="s">
        <v>36</v>
      </c>
      <c r="F2412" s="18" t="s">
        <v>45</v>
      </c>
      <c r="J2412" s="19"/>
      <c r="K2412" s="19">
        <v>0.51919999999999999</v>
      </c>
      <c r="L2412" s="19" t="s">
        <v>36</v>
      </c>
      <c r="M2412" s="19">
        <v>0.33329999999999999</v>
      </c>
      <c r="N2412" s="19">
        <v>0</v>
      </c>
      <c r="O2412" s="19">
        <v>0.54110000000000003</v>
      </c>
      <c r="P2412" s="19" t="s">
        <v>36</v>
      </c>
      <c r="Q2412" s="19"/>
      <c r="R2412" s="20">
        <v>19920</v>
      </c>
      <c r="S2412" s="21" t="str">
        <f>HYPERLINK("https://www.uprh.edu/npcalc.htm", "$14212")</f>
        <v>$14212</v>
      </c>
      <c r="T2412" s="20">
        <v>17353</v>
      </c>
      <c r="U2412" s="20">
        <v>18500</v>
      </c>
      <c r="V2412" s="20">
        <v>4621</v>
      </c>
      <c r="W2412" s="20">
        <v>9591.3287292817677</v>
      </c>
      <c r="Y2412" s="19">
        <v>0.77729999999999999</v>
      </c>
      <c r="Z2412" s="19">
        <v>0.99199999999999999</v>
      </c>
      <c r="AB2412" s="18">
        <v>3626</v>
      </c>
      <c r="AC2412" s="18">
        <v>4</v>
      </c>
    </row>
    <row r="2413" spans="1:29" ht="15.75" customHeight="1" x14ac:dyDescent="0.2">
      <c r="A2413" s="36" t="str">
        <f>HYPERLINK("https://www.uprm.edu", "University of Puerto Rico-Mayaguez")</f>
        <v>University of Puerto Rico-Mayaguez</v>
      </c>
      <c r="B2413" s="18" t="s">
        <v>49</v>
      </c>
      <c r="C2413" s="18" t="s">
        <v>284</v>
      </c>
      <c r="D2413" s="18" t="s">
        <v>1052</v>
      </c>
      <c r="E2413" s="18" t="s">
        <v>36</v>
      </c>
      <c r="F2413" s="18" t="s">
        <v>45</v>
      </c>
      <c r="J2413" s="19"/>
      <c r="K2413" s="19">
        <v>0.47260000000000002</v>
      </c>
      <c r="L2413" s="19">
        <v>0.49058219199999997</v>
      </c>
      <c r="M2413" s="19" t="s">
        <v>36</v>
      </c>
      <c r="N2413" s="19" t="s">
        <v>36</v>
      </c>
      <c r="O2413" s="19">
        <v>0.47220000000000001</v>
      </c>
      <c r="P2413" s="19" t="s">
        <v>36</v>
      </c>
      <c r="Q2413" s="19"/>
      <c r="R2413" s="20">
        <v>19887</v>
      </c>
      <c r="S2413" s="21" t="str">
        <f>HYPERLINK("https://www.uprm.edu/netpricecalculator", "$13887")</f>
        <v>$13887</v>
      </c>
      <c r="T2413" s="20">
        <v>16887</v>
      </c>
      <c r="U2413" s="20">
        <v>18831</v>
      </c>
      <c r="V2413" s="20">
        <v>4621</v>
      </c>
      <c r="W2413" s="20">
        <v>9266.6962855061902</v>
      </c>
      <c r="Y2413" s="19">
        <v>0.63500000000000001</v>
      </c>
      <c r="Z2413" s="19">
        <v>1</v>
      </c>
      <c r="AB2413" s="18">
        <v>12208</v>
      </c>
      <c r="AC2413" s="18">
        <v>4</v>
      </c>
    </row>
    <row r="2414" spans="1:29" ht="15.75" customHeight="1" x14ac:dyDescent="0.2">
      <c r="A2414" s="36" t="str">
        <f>HYPERLINK("https://www.uprp.edu", "University of Puerto Rico-Ponce")</f>
        <v>University of Puerto Rico-Ponce</v>
      </c>
      <c r="B2414" s="18" t="s">
        <v>49</v>
      </c>
      <c r="C2414" s="18" t="s">
        <v>284</v>
      </c>
      <c r="D2414" s="18" t="s">
        <v>1332</v>
      </c>
      <c r="E2414" s="18" t="s">
        <v>36</v>
      </c>
      <c r="F2414" s="18" t="s">
        <v>45</v>
      </c>
      <c r="J2414" s="19"/>
      <c r="K2414" s="19">
        <v>0.40949999999999998</v>
      </c>
      <c r="L2414" s="19" t="s">
        <v>36</v>
      </c>
      <c r="M2414" s="19" t="s">
        <v>36</v>
      </c>
      <c r="N2414" s="19" t="s">
        <v>36</v>
      </c>
      <c r="O2414" s="19">
        <v>0.40949999999999998</v>
      </c>
      <c r="P2414" s="19" t="s">
        <v>36</v>
      </c>
      <c r="Q2414" s="19"/>
      <c r="R2414" s="20">
        <v>19920</v>
      </c>
      <c r="S2414" s="21" t="str">
        <f>HYPERLINK("https://www.uprp.edu/index.php?option=com_content&amp;view=article&amp;id=460:net-price-calculator&amp;catid=73:opei&amp;Itemid=441", "$14017")</f>
        <v>$14017</v>
      </c>
      <c r="T2414" s="20">
        <v>17044</v>
      </c>
      <c r="U2414" s="20">
        <v>18788</v>
      </c>
      <c r="V2414" s="20">
        <v>4621</v>
      </c>
      <c r="W2414" s="20">
        <v>9396.3924914675772</v>
      </c>
      <c r="Y2414" s="19">
        <v>0.80799999999999994</v>
      </c>
      <c r="Z2414" s="19">
        <v>1</v>
      </c>
      <c r="AB2414" s="18">
        <v>3150</v>
      </c>
      <c r="AC2414" s="18">
        <v>4</v>
      </c>
    </row>
    <row r="2415" spans="1:29" ht="15.75" customHeight="1" x14ac:dyDescent="0.2">
      <c r="A2415" s="36" t="str">
        <f>HYPERLINK("https://www.uprrp.edu", "University of Puerto Rico-Rio Piedras")</f>
        <v>University of Puerto Rico-Rio Piedras</v>
      </c>
      <c r="B2415" s="18" t="s">
        <v>49</v>
      </c>
      <c r="C2415" s="18" t="s">
        <v>284</v>
      </c>
      <c r="D2415" s="18" t="s">
        <v>285</v>
      </c>
      <c r="E2415" s="18" t="s">
        <v>36</v>
      </c>
      <c r="F2415" s="18" t="s">
        <v>45</v>
      </c>
      <c r="J2415" s="19"/>
      <c r="K2415" s="19">
        <v>0.57840000000000003</v>
      </c>
      <c r="L2415" s="19">
        <v>0.43540669900000001</v>
      </c>
      <c r="M2415" s="19">
        <v>0.1429</v>
      </c>
      <c r="N2415" s="19">
        <v>1</v>
      </c>
      <c r="O2415" s="19">
        <v>0.58250000000000002</v>
      </c>
      <c r="P2415" s="19">
        <v>0</v>
      </c>
      <c r="Q2415" s="19"/>
      <c r="R2415" s="20">
        <v>20434</v>
      </c>
      <c r="S2415" s="21" t="str">
        <f>HYPERLINK("https://www.uprrp.edu/", "$14591")</f>
        <v>$14591</v>
      </c>
      <c r="T2415" s="20">
        <v>17383</v>
      </c>
      <c r="U2415" s="20">
        <v>19072</v>
      </c>
      <c r="V2415" s="20">
        <v>4621</v>
      </c>
      <c r="W2415" s="20">
        <v>9970.2165841584156</v>
      </c>
      <c r="Y2415" s="19">
        <v>0.60919999999999996</v>
      </c>
      <c r="Z2415" s="19">
        <v>0.99129999999999996</v>
      </c>
      <c r="AB2415" s="18">
        <v>11763</v>
      </c>
      <c r="AC2415" s="18">
        <v>2</v>
      </c>
    </row>
    <row r="2416" spans="1:29" ht="15.75" customHeight="1" x14ac:dyDescent="0.2">
      <c r="A2416" s="36" t="str">
        <f>HYPERLINK("https://www.uprutuado.edu", "University of Puerto Rico-Utuado")</f>
        <v>University of Puerto Rico-Utuado</v>
      </c>
      <c r="B2416" s="18" t="s">
        <v>49</v>
      </c>
      <c r="C2416" s="18" t="s">
        <v>284</v>
      </c>
      <c r="D2416" s="18" t="s">
        <v>1333</v>
      </c>
      <c r="E2416" s="18" t="s">
        <v>36</v>
      </c>
      <c r="F2416" s="18" t="s">
        <v>45</v>
      </c>
      <c r="J2416" s="19"/>
      <c r="K2416" s="19">
        <v>0.2135</v>
      </c>
      <c r="L2416" s="19" t="s">
        <v>36</v>
      </c>
      <c r="M2416" s="19">
        <v>0</v>
      </c>
      <c r="N2416" s="19">
        <v>0</v>
      </c>
      <c r="O2416" s="19">
        <v>0.22420000000000001</v>
      </c>
      <c r="P2416" s="19" t="s">
        <v>36</v>
      </c>
      <c r="Q2416" s="19"/>
      <c r="R2416" s="20">
        <v>19920</v>
      </c>
      <c r="S2416" s="21" t="str">
        <f>HYPERLINK("https://www.uprutuado.edu/sites/default/files/documents/asec/NetPriceCalculator18/npcalc.htm", "$14250")</f>
        <v>$14250</v>
      </c>
      <c r="T2416" s="20">
        <v>16884</v>
      </c>
      <c r="U2416" s="20">
        <v>16980</v>
      </c>
      <c r="V2416" s="20">
        <v>4621</v>
      </c>
      <c r="W2416" s="20">
        <v>9629.5862676056349</v>
      </c>
      <c r="Y2416" s="19">
        <v>0.86660000000000004</v>
      </c>
      <c r="Z2416" s="19">
        <v>0.99299999999999999</v>
      </c>
      <c r="AB2416" s="18">
        <v>1136</v>
      </c>
      <c r="AC2416" s="18">
        <v>4</v>
      </c>
    </row>
    <row r="2417" spans="1:29" ht="15.75" customHeight="1" x14ac:dyDescent="0.2">
      <c r="A2417" s="36" t="str">
        <f>HYPERLINK("https://www.pugetsound.edu", "University of Puget Sound")</f>
        <v>University of Puget Sound</v>
      </c>
      <c r="B2417" s="18" t="s">
        <v>32</v>
      </c>
      <c r="C2417" s="18" t="s">
        <v>184</v>
      </c>
      <c r="D2417" s="18" t="s">
        <v>286</v>
      </c>
      <c r="E2417" s="18" t="s">
        <v>36</v>
      </c>
      <c r="F2417" s="18" t="s">
        <v>45</v>
      </c>
      <c r="J2417" s="19"/>
      <c r="K2417" s="19">
        <v>0.78069999999999995</v>
      </c>
      <c r="L2417" s="19">
        <v>0.72649572699999998</v>
      </c>
      <c r="M2417" s="19">
        <v>0.7903</v>
      </c>
      <c r="N2417" s="19">
        <v>0.66669999999999996</v>
      </c>
      <c r="O2417" s="19">
        <v>0.75509999999999999</v>
      </c>
      <c r="P2417" s="19">
        <v>0.84850000000000003</v>
      </c>
      <c r="Q2417" s="19"/>
      <c r="R2417" s="20">
        <v>63510</v>
      </c>
      <c r="S2417" s="21" t="str">
        <f>HYPERLINK("https://www.collegecostcalculator.org/pugetsound", "$30336")</f>
        <v>$30336</v>
      </c>
      <c r="T2417" s="20">
        <v>33678</v>
      </c>
      <c r="U2417" s="20">
        <v>35680</v>
      </c>
      <c r="V2417" s="20">
        <v>3300</v>
      </c>
      <c r="W2417" s="20">
        <v>27036</v>
      </c>
      <c r="Y2417" s="19">
        <v>0.1356</v>
      </c>
      <c r="Z2417" s="19">
        <v>0.28970000000000001</v>
      </c>
      <c r="AB2417" s="18">
        <v>2413</v>
      </c>
      <c r="AC2417" s="18">
        <v>2</v>
      </c>
    </row>
    <row r="2418" spans="1:29" ht="15.75" customHeight="1" x14ac:dyDescent="0.2">
      <c r="A2418" s="36" t="str">
        <f>HYPERLINK("https://www.redlands.edu", "University of Redlands")</f>
        <v>University of Redlands</v>
      </c>
      <c r="B2418" s="18" t="s">
        <v>32</v>
      </c>
      <c r="C2418" s="18" t="s">
        <v>68</v>
      </c>
      <c r="D2418" s="18" t="s">
        <v>521</v>
      </c>
      <c r="E2418" s="18">
        <v>1182</v>
      </c>
      <c r="F2418" s="18" t="s">
        <v>35</v>
      </c>
      <c r="J2418" s="19"/>
      <c r="K2418" s="19">
        <v>0.77029999999999998</v>
      </c>
      <c r="L2418" s="19">
        <v>0.51291512900000003</v>
      </c>
      <c r="M2418" s="19">
        <v>0.7994</v>
      </c>
      <c r="N2418" s="19">
        <v>0.625</v>
      </c>
      <c r="O2418" s="19">
        <v>0.75</v>
      </c>
      <c r="P2418" s="19">
        <v>0.68179999999999996</v>
      </c>
      <c r="Q2418" s="19"/>
      <c r="R2418" s="20">
        <v>67024</v>
      </c>
      <c r="S2418" s="21" t="str">
        <f>HYPERLINK("https://www.redlands.edu/npc", "$23291")</f>
        <v>$23291</v>
      </c>
      <c r="T2418" s="20">
        <v>25929</v>
      </c>
      <c r="U2418" s="20">
        <v>31969</v>
      </c>
      <c r="V2418" s="20">
        <v>5090</v>
      </c>
      <c r="W2418" s="20">
        <v>18201</v>
      </c>
      <c r="Y2418" s="19">
        <v>0.27800000000000002</v>
      </c>
      <c r="Z2418" s="19">
        <v>0.5615</v>
      </c>
      <c r="AB2418" s="18">
        <v>3042</v>
      </c>
      <c r="AC2418" s="18">
        <v>3</v>
      </c>
    </row>
    <row r="2419" spans="1:29" ht="15.75" customHeight="1" x14ac:dyDescent="0.2">
      <c r="A2419" s="36" t="str">
        <f>HYPERLINK("https://web.uri.edu/", "University of Rhode Island")</f>
        <v>University of Rhode Island</v>
      </c>
      <c r="B2419" s="18" t="s">
        <v>49</v>
      </c>
      <c r="C2419" s="18" t="s">
        <v>63</v>
      </c>
      <c r="D2419" s="18" t="s">
        <v>1334</v>
      </c>
      <c r="E2419" s="18">
        <v>1152</v>
      </c>
      <c r="F2419" s="18" t="s">
        <v>35</v>
      </c>
      <c r="J2419" s="19"/>
      <c r="K2419" s="19">
        <v>0.65599999999999992</v>
      </c>
      <c r="L2419" s="19">
        <v>0.51646706600000003</v>
      </c>
      <c r="M2419" s="19">
        <v>0.67700000000000005</v>
      </c>
      <c r="N2419" s="19">
        <v>0.64929999999999999</v>
      </c>
      <c r="O2419" s="19">
        <v>0.56410000000000005</v>
      </c>
      <c r="P2419" s="19">
        <v>0.57140000000000002</v>
      </c>
      <c r="Q2419" s="19"/>
      <c r="R2419" s="20">
        <v>45735</v>
      </c>
      <c r="S2419" s="21" t="str">
        <f>HYPERLINK("https://web.uri.edu/ir/netprice-2/", "$31419")</f>
        <v>$31419</v>
      </c>
      <c r="T2419" s="20">
        <v>37534</v>
      </c>
      <c r="U2419" s="20">
        <v>40624</v>
      </c>
      <c r="V2419" s="20">
        <v>3241</v>
      </c>
      <c r="W2419" s="20">
        <v>28178.931914893619</v>
      </c>
      <c r="Y2419" s="19">
        <v>0.23330000000000001</v>
      </c>
      <c r="Z2419" s="19">
        <v>0.27339999999999998</v>
      </c>
      <c r="AB2419" s="18">
        <v>14008</v>
      </c>
      <c r="AC2419" s="18">
        <v>4</v>
      </c>
    </row>
    <row r="2420" spans="1:29" ht="15.75" customHeight="1" x14ac:dyDescent="0.2">
      <c r="A2420" s="36" t="str">
        <f>HYPERLINK("https://www.richmond.edu", "University of Richmond")</f>
        <v>University of Richmond</v>
      </c>
      <c r="B2420" s="18" t="s">
        <v>32</v>
      </c>
      <c r="C2420" s="18" t="s">
        <v>83</v>
      </c>
      <c r="D2420" s="18" t="s">
        <v>169</v>
      </c>
      <c r="E2420" s="18">
        <v>1394</v>
      </c>
      <c r="F2420" s="18" t="s">
        <v>35</v>
      </c>
      <c r="J2420" s="19"/>
      <c r="K2420" s="19">
        <v>0.8821</v>
      </c>
      <c r="L2420" s="19">
        <v>0.79245283</v>
      </c>
      <c r="M2420" s="19">
        <v>0.88749999999999996</v>
      </c>
      <c r="N2420" s="19">
        <v>0.81130000000000002</v>
      </c>
      <c r="O2420" s="19">
        <v>0.85419999999999996</v>
      </c>
      <c r="P2420" s="19">
        <v>0.94589999999999996</v>
      </c>
      <c r="Q2420" s="19"/>
      <c r="R2420" s="20">
        <v>64890</v>
      </c>
      <c r="S2420" s="21" t="str">
        <f>HYPERLINK("https://npc.collegeboard.org/student/app/richmond", "$10536")</f>
        <v>$10536</v>
      </c>
      <c r="T2420" s="20">
        <v>14921</v>
      </c>
      <c r="U2420" s="20">
        <v>23302</v>
      </c>
      <c r="V2420" s="20">
        <v>2160</v>
      </c>
      <c r="W2420" s="20">
        <v>8376</v>
      </c>
      <c r="X2420" s="18" t="s">
        <v>37</v>
      </c>
      <c r="Y2420" s="19">
        <v>0.15840000000000001</v>
      </c>
      <c r="Z2420" s="19">
        <v>0.42149999999999999</v>
      </c>
      <c r="AB2420" s="18">
        <v>3165</v>
      </c>
      <c r="AC2420" s="18">
        <v>1</v>
      </c>
    </row>
    <row r="2421" spans="1:29" ht="15.75" customHeight="1" x14ac:dyDescent="0.2">
      <c r="A2421" s="36" t="str">
        <f>HYPERLINK("https://www.rio.edu", "University of Rio Grande")</f>
        <v>University of Rio Grande</v>
      </c>
      <c r="B2421" s="18" t="s">
        <v>32</v>
      </c>
      <c r="C2421" s="18" t="s">
        <v>75</v>
      </c>
      <c r="D2421" s="18" t="s">
        <v>1539</v>
      </c>
      <c r="E2421" s="18" t="s">
        <v>36</v>
      </c>
      <c r="F2421" s="18" t="s">
        <v>36</v>
      </c>
      <c r="J2421" s="19"/>
      <c r="K2421" s="19">
        <v>0.38629999999999998</v>
      </c>
      <c r="L2421" s="19">
        <v>5.0485437000000001E-2</v>
      </c>
      <c r="M2421" s="19">
        <v>0.39290000000000003</v>
      </c>
      <c r="N2421" s="19">
        <v>0.31580000000000003</v>
      </c>
      <c r="O2421" s="19">
        <v>0</v>
      </c>
      <c r="P2421" s="19">
        <v>0</v>
      </c>
      <c r="Q2421" s="19">
        <v>7.8280044000000007E-2</v>
      </c>
      <c r="R2421" s="20">
        <v>42033</v>
      </c>
      <c r="S2421" s="21" t="str">
        <f>HYPERLINK("https://hope.rio.edu/NetPriceCalculator/npcalc.htm", "$31007")</f>
        <v>$31007</v>
      </c>
      <c r="T2421" s="20">
        <v>33049</v>
      </c>
      <c r="U2421" s="20">
        <v>35763</v>
      </c>
      <c r="V2421" s="20">
        <v>5228</v>
      </c>
      <c r="W2421" s="20">
        <v>25779</v>
      </c>
      <c r="Y2421" s="19">
        <v>0.53349999999999997</v>
      </c>
      <c r="Z2421" s="19">
        <v>0.21930000000000011</v>
      </c>
      <c r="AB2421" s="18">
        <v>935</v>
      </c>
      <c r="AC2421" s="18">
        <v>6</v>
      </c>
    </row>
    <row r="2422" spans="1:29" ht="15.75" customHeight="1" x14ac:dyDescent="0.2">
      <c r="A2422" s="36" t="str">
        <f>HYPERLINK("https://www.rochester.edu", "University of Rochester")</f>
        <v>University of Rochester</v>
      </c>
      <c r="B2422" s="18" t="s">
        <v>32</v>
      </c>
      <c r="C2422" s="18" t="s">
        <v>38</v>
      </c>
      <c r="D2422" s="18" t="s">
        <v>170</v>
      </c>
      <c r="E2422" s="18">
        <v>1410</v>
      </c>
      <c r="F2422" s="18" t="s">
        <v>115</v>
      </c>
      <c r="G2422" s="18" t="s">
        <v>40</v>
      </c>
      <c r="H2422" s="18" t="s">
        <v>171</v>
      </c>
      <c r="I2422" s="18" t="s">
        <v>172</v>
      </c>
      <c r="J2422" s="19"/>
      <c r="K2422" s="19">
        <v>0.85250000000000004</v>
      </c>
      <c r="L2422" s="19">
        <v>0.79130434799999994</v>
      </c>
      <c r="M2422" s="19">
        <v>0.86629999999999996</v>
      </c>
      <c r="N2422" s="19">
        <v>0.80430000000000001</v>
      </c>
      <c r="O2422" s="19">
        <v>0.79690000000000005</v>
      </c>
      <c r="P2422" s="19">
        <v>0.91490000000000005</v>
      </c>
      <c r="Q2422" s="19"/>
      <c r="R2422" s="20">
        <v>70108</v>
      </c>
      <c r="S2422" s="21" t="str">
        <f>HYPERLINK("https://enrollment.rochester.edu/financial-aid/estimator/", "$18104")</f>
        <v>$18104</v>
      </c>
      <c r="T2422" s="20">
        <v>22561</v>
      </c>
      <c r="U2422" s="20">
        <v>30068</v>
      </c>
      <c r="V2422" s="20">
        <v>2690</v>
      </c>
      <c r="W2422" s="20">
        <v>15414</v>
      </c>
      <c r="X2422" s="18" t="s">
        <v>37</v>
      </c>
      <c r="Y2422" s="19">
        <v>0.1782</v>
      </c>
      <c r="Z2422" s="19">
        <v>0.55279999999999996</v>
      </c>
      <c r="AB2422" s="18">
        <v>6320</v>
      </c>
      <c r="AC2422" s="18">
        <v>1</v>
      </c>
    </row>
    <row r="2423" spans="1:29" ht="15.75" customHeight="1" x14ac:dyDescent="0.2">
      <c r="A2423" s="36" t="str">
        <f>HYPERLINK("https://www.sf.edu", "University of Saint Francis-Fort Wayne")</f>
        <v>University of Saint Francis-Fort Wayne</v>
      </c>
      <c r="B2423" s="18" t="s">
        <v>32</v>
      </c>
      <c r="C2423" s="18" t="s">
        <v>148</v>
      </c>
      <c r="D2423" s="18" t="s">
        <v>815</v>
      </c>
      <c r="E2423" s="18">
        <v>1062</v>
      </c>
      <c r="F2423" s="18" t="s">
        <v>35</v>
      </c>
      <c r="J2423" s="19"/>
      <c r="K2423" s="19">
        <v>0.57530000000000003</v>
      </c>
      <c r="L2423" s="19">
        <v>0.46859903400000003</v>
      </c>
      <c r="M2423" s="19">
        <v>0.6159</v>
      </c>
      <c r="N2423" s="19">
        <v>0.25</v>
      </c>
      <c r="O2423" s="19">
        <v>0.66669999999999996</v>
      </c>
      <c r="P2423" s="19">
        <v>0</v>
      </c>
      <c r="Q2423" s="19"/>
      <c r="R2423" s="20">
        <v>42140</v>
      </c>
      <c r="S2423" s="21" t="str">
        <f>HYPERLINK("https://financialaid.sf.edu/paying-for-college/net-price-calculator/", "$15422")</f>
        <v>$15422</v>
      </c>
      <c r="T2423" s="20">
        <v>18786</v>
      </c>
      <c r="U2423" s="20">
        <v>21172</v>
      </c>
      <c r="V2423" s="20">
        <v>3700</v>
      </c>
      <c r="W2423" s="20">
        <v>11722</v>
      </c>
      <c r="Y2423" s="19">
        <v>0.38840000000000002</v>
      </c>
      <c r="Z2423" s="19">
        <v>0.2147</v>
      </c>
      <c r="AB2423" s="18">
        <v>1840</v>
      </c>
      <c r="AC2423" s="18">
        <v>4</v>
      </c>
    </row>
    <row r="2424" spans="1:29" ht="15.75" customHeight="1" x14ac:dyDescent="0.2">
      <c r="A2424" s="36" t="str">
        <f>HYPERLINK("https://www.usj.edu", "University of Saint Joseph")</f>
        <v>University of Saint Joseph</v>
      </c>
      <c r="B2424" s="18" t="s">
        <v>32</v>
      </c>
      <c r="C2424" s="18" t="s">
        <v>94</v>
      </c>
      <c r="D2424" s="18" t="s">
        <v>909</v>
      </c>
      <c r="E2424" s="18">
        <v>1064</v>
      </c>
      <c r="F2424" s="18" t="s">
        <v>115</v>
      </c>
      <c r="J2424" s="19"/>
      <c r="K2424" s="19">
        <v>0.68149999999999999</v>
      </c>
      <c r="L2424" s="19">
        <v>0.48543689299999998</v>
      </c>
      <c r="M2424" s="19">
        <v>0.70450000000000002</v>
      </c>
      <c r="N2424" s="19">
        <v>0.61899999999999999</v>
      </c>
      <c r="O2424" s="19">
        <v>0.5</v>
      </c>
      <c r="P2424" s="19">
        <v>1</v>
      </c>
      <c r="Q2424" s="19"/>
      <c r="R2424" s="20">
        <v>51404</v>
      </c>
      <c r="S2424" s="21" t="str">
        <f>HYPERLINK("https://www.usj.edu/admissions-financial-aid/tuition-and-financial-aid/net-price-calculator/", "$24124")</f>
        <v>$24124</v>
      </c>
      <c r="T2424" s="20">
        <v>25032</v>
      </c>
      <c r="U2424" s="20">
        <v>25910</v>
      </c>
      <c r="V2424" s="20">
        <v>2276</v>
      </c>
      <c r="W2424" s="20">
        <v>21848</v>
      </c>
      <c r="Y2424" s="19">
        <v>0.38030000000000003</v>
      </c>
      <c r="Z2424" s="19">
        <v>0.44529999999999997</v>
      </c>
      <c r="AB2424" s="18">
        <v>759</v>
      </c>
      <c r="AC2424" s="18">
        <v>5</v>
      </c>
    </row>
    <row r="2425" spans="1:29" ht="15.75" customHeight="1" x14ac:dyDescent="0.2">
      <c r="A2425" s="36" t="str">
        <f>HYPERLINK("https://www.stmary.edu", "University of Saint Mary")</f>
        <v>University of Saint Mary</v>
      </c>
      <c r="B2425" s="18" t="s">
        <v>32</v>
      </c>
      <c r="C2425" s="18" t="s">
        <v>307</v>
      </c>
      <c r="D2425" s="18" t="s">
        <v>1337</v>
      </c>
      <c r="E2425" s="18">
        <v>1078</v>
      </c>
      <c r="F2425" s="18" t="s">
        <v>35</v>
      </c>
      <c r="J2425" s="19"/>
      <c r="K2425" s="19">
        <v>0.43690000000000001</v>
      </c>
      <c r="L2425" s="19">
        <v>0.4375</v>
      </c>
      <c r="M2425" s="19">
        <v>0.57689999999999997</v>
      </c>
      <c r="N2425" s="19">
        <v>0.2273</v>
      </c>
      <c r="O2425" s="19">
        <v>0.66669999999999996</v>
      </c>
      <c r="P2425" s="19">
        <v>0</v>
      </c>
      <c r="Q2425" s="19"/>
      <c r="R2425" s="20">
        <v>41040</v>
      </c>
      <c r="S2425" s="21" t="str">
        <f>HYPERLINK("https://www.stmary.edu/Admissions/Net-Price-Calculator.aspx", "$15026")</f>
        <v>$15026</v>
      </c>
      <c r="T2425" s="20">
        <v>19031</v>
      </c>
      <c r="U2425" s="20">
        <v>18054</v>
      </c>
      <c r="V2425" s="20">
        <v>4520</v>
      </c>
      <c r="W2425" s="20">
        <v>10506</v>
      </c>
      <c r="Y2425" s="19">
        <v>0.34410000000000002</v>
      </c>
      <c r="Z2425" s="19">
        <v>0.4476</v>
      </c>
      <c r="AB2425" s="18">
        <v>744</v>
      </c>
      <c r="AC2425" s="18">
        <v>4</v>
      </c>
    </row>
    <row r="2426" spans="1:29" ht="15.75" customHeight="1" x14ac:dyDescent="0.2">
      <c r="A2426" s="36" t="str">
        <f>HYPERLINK("https://www.sandiego.edu", "University of San Diego")</f>
        <v>University of San Diego</v>
      </c>
      <c r="B2426" s="18" t="s">
        <v>32</v>
      </c>
      <c r="C2426" s="18" t="s">
        <v>68</v>
      </c>
      <c r="D2426" s="18" t="s">
        <v>288</v>
      </c>
      <c r="E2426" s="18">
        <v>1302</v>
      </c>
      <c r="F2426" s="18" t="s">
        <v>35</v>
      </c>
      <c r="J2426" s="19"/>
      <c r="K2426" s="19">
        <v>0.8175</v>
      </c>
      <c r="L2426" s="19">
        <v>0.8152173909999999</v>
      </c>
      <c r="M2426" s="19">
        <v>0.8135</v>
      </c>
      <c r="N2426" s="19">
        <v>0.65710000000000002</v>
      </c>
      <c r="O2426" s="19">
        <v>0.87719999999999998</v>
      </c>
      <c r="P2426" s="19">
        <v>0.80599999999999994</v>
      </c>
      <c r="Q2426" s="19"/>
      <c r="R2426" s="20">
        <v>65426</v>
      </c>
      <c r="S2426" s="21" t="str">
        <f>HYPERLINK("https://www.sandiego.edu/admissions/undergraduate/tuition-financial-aid/net-price-calculator.php", "$24800")</f>
        <v>$24800</v>
      </c>
      <c r="T2426" s="20">
        <v>27916</v>
      </c>
      <c r="U2426" s="20">
        <v>33504</v>
      </c>
      <c r="V2426" s="20">
        <v>5088</v>
      </c>
      <c r="W2426" s="20">
        <v>19712</v>
      </c>
      <c r="Y2426" s="19">
        <v>0.1535</v>
      </c>
      <c r="Z2426" s="19">
        <v>0.48140000000000011</v>
      </c>
      <c r="AB2426" s="18">
        <v>5677</v>
      </c>
      <c r="AC2426" s="18">
        <v>2</v>
      </c>
    </row>
    <row r="2427" spans="1:29" ht="15.75" customHeight="1" x14ac:dyDescent="0.2">
      <c r="A2427" s="36" t="str">
        <f>HYPERLINK("https://www.usfca.edu", "University of San Francisco")</f>
        <v>University of San Francisco</v>
      </c>
      <c r="B2427" s="18" t="s">
        <v>32</v>
      </c>
      <c r="C2427" s="18" t="s">
        <v>68</v>
      </c>
      <c r="D2427" s="18" t="s">
        <v>522</v>
      </c>
      <c r="E2427" s="18">
        <v>1203</v>
      </c>
      <c r="F2427" s="18" t="s">
        <v>35</v>
      </c>
      <c r="J2427" s="19"/>
      <c r="K2427" s="19">
        <v>0.77229999999999999</v>
      </c>
      <c r="L2427" s="19">
        <v>0.41573033700000001</v>
      </c>
      <c r="M2427" s="19">
        <v>0.73780000000000001</v>
      </c>
      <c r="N2427" s="19">
        <v>0.71879999999999999</v>
      </c>
      <c r="O2427" s="19">
        <v>0.83120000000000005</v>
      </c>
      <c r="P2427" s="19">
        <v>0.85370000000000001</v>
      </c>
      <c r="Q2427" s="19"/>
      <c r="R2427" s="20">
        <v>65980</v>
      </c>
      <c r="S2427" s="21" t="str">
        <f>HYPERLINK("https://www.usfca.edu/admission/financial-aid/net-price-calculator", "$21261")</f>
        <v>$21261</v>
      </c>
      <c r="T2427" s="20">
        <v>26530</v>
      </c>
      <c r="U2427" s="20">
        <v>33598</v>
      </c>
      <c r="V2427" s="20">
        <v>5400</v>
      </c>
      <c r="W2427" s="20">
        <v>15861</v>
      </c>
      <c r="Y2427" s="19">
        <v>0.24390000000000001</v>
      </c>
      <c r="Z2427" s="19">
        <v>0.74340000000000006</v>
      </c>
      <c r="AB2427" s="18">
        <v>6796</v>
      </c>
      <c r="AC2427" s="18">
        <v>3</v>
      </c>
    </row>
    <row r="2428" spans="1:29" ht="15.75" customHeight="1" x14ac:dyDescent="0.2">
      <c r="A2428" s="36" t="str">
        <f>HYPERLINK("https://www.usao.edu", "University of Science and Arts of Oklahoma")</f>
        <v>University of Science and Arts of Oklahoma</v>
      </c>
      <c r="B2428" s="18" t="s">
        <v>49</v>
      </c>
      <c r="C2428" s="18" t="s">
        <v>290</v>
      </c>
      <c r="D2428" s="18" t="s">
        <v>523</v>
      </c>
      <c r="E2428" s="18">
        <v>1063</v>
      </c>
      <c r="F2428" s="18" t="s">
        <v>115</v>
      </c>
      <c r="J2428" s="19"/>
      <c r="K2428" s="19">
        <v>0.31409999999999999</v>
      </c>
      <c r="L2428" s="19">
        <v>0.31012658199999998</v>
      </c>
      <c r="M2428" s="19">
        <v>0.34089999999999998</v>
      </c>
      <c r="N2428" s="19">
        <v>0.2</v>
      </c>
      <c r="O2428" s="19">
        <v>0.18179999999999999</v>
      </c>
      <c r="P2428" s="19">
        <v>0</v>
      </c>
      <c r="Q2428" s="19"/>
      <c r="R2428" s="20">
        <v>28710</v>
      </c>
      <c r="S2428" s="21" t="str">
        <f>HYPERLINK("https://usao.studentaidcalculator.com/survey.aspx", "$16350")</f>
        <v>$16350</v>
      </c>
      <c r="T2428" s="20">
        <v>18916</v>
      </c>
      <c r="U2428" s="20">
        <v>22906</v>
      </c>
      <c r="V2428" s="20">
        <v>5130</v>
      </c>
      <c r="W2428" s="20">
        <v>11220.49230769231</v>
      </c>
      <c r="Y2428" s="19">
        <v>0.42649999999999999</v>
      </c>
      <c r="Z2428" s="19">
        <v>0.41549999999999998</v>
      </c>
      <c r="AB2428" s="18">
        <v>852</v>
      </c>
      <c r="AC2428" s="18">
        <v>3</v>
      </c>
    </row>
    <row r="2429" spans="1:29" ht="15.75" customHeight="1" x14ac:dyDescent="0.2">
      <c r="A2429" s="36" t="str">
        <f>HYPERLINK("https://www.scranton.edu", "University of Scranton")</f>
        <v>University of Scranton</v>
      </c>
      <c r="B2429" s="18" t="s">
        <v>32</v>
      </c>
      <c r="C2429" s="18" t="s">
        <v>65</v>
      </c>
      <c r="D2429" s="18" t="s">
        <v>524</v>
      </c>
      <c r="E2429" s="18">
        <v>1198</v>
      </c>
      <c r="F2429" s="18" t="s">
        <v>35</v>
      </c>
      <c r="J2429" s="19"/>
      <c r="K2429" s="19">
        <v>0.76859999999999995</v>
      </c>
      <c r="L2429" s="19">
        <v>0.65217391299999994</v>
      </c>
      <c r="M2429" s="19">
        <v>0.78599999999999992</v>
      </c>
      <c r="N2429" s="19">
        <v>0.5</v>
      </c>
      <c r="O2429" s="19">
        <v>0.6744</v>
      </c>
      <c r="P2429" s="19">
        <v>0.76919999999999999</v>
      </c>
      <c r="Q2429" s="19"/>
      <c r="R2429" s="20">
        <v>61096</v>
      </c>
      <c r="S2429" s="21" t="str">
        <f>HYPERLINK("https://www.aidcalc.com/scranton/", "$25427")</f>
        <v>$25427</v>
      </c>
      <c r="T2429" s="20">
        <v>29836</v>
      </c>
      <c r="U2429" s="20">
        <v>34824</v>
      </c>
      <c r="V2429" s="20">
        <v>3168</v>
      </c>
      <c r="W2429" s="20">
        <v>22259</v>
      </c>
      <c r="Y2429" s="19">
        <v>0.18049999999999999</v>
      </c>
      <c r="Z2429" s="19">
        <v>0.2</v>
      </c>
      <c r="AB2429" s="18">
        <v>3695</v>
      </c>
      <c r="AC2429" s="18">
        <v>3</v>
      </c>
    </row>
    <row r="2430" spans="1:29" ht="15.75" customHeight="1" x14ac:dyDescent="0.2">
      <c r="A2430" s="36" t="str">
        <f>HYPERLINK("https://www.usiouxfalls.edu/", "University of Sioux Falls")</f>
        <v>University of Sioux Falls</v>
      </c>
      <c r="B2430" s="18" t="s">
        <v>32</v>
      </c>
      <c r="C2430" s="18" t="s">
        <v>302</v>
      </c>
      <c r="D2430" s="18" t="s">
        <v>303</v>
      </c>
      <c r="E2430" s="18">
        <v>1124</v>
      </c>
      <c r="F2430" s="18" t="s">
        <v>35</v>
      </c>
      <c r="J2430" s="19"/>
      <c r="K2430" s="19">
        <v>0.49440000000000001</v>
      </c>
      <c r="L2430" s="19">
        <v>0.42452830200000002</v>
      </c>
      <c r="M2430" s="19">
        <v>0.50309999999999999</v>
      </c>
      <c r="N2430" s="19">
        <v>0.4</v>
      </c>
      <c r="O2430" s="19">
        <v>0.42859999999999998</v>
      </c>
      <c r="P2430" s="19" t="s">
        <v>36</v>
      </c>
      <c r="Q2430" s="19"/>
      <c r="R2430" s="20">
        <v>39865</v>
      </c>
      <c r="S2430" s="21" t="str">
        <f>HYPERLINK("https://apps.usiouxfalls.edu/npc?ref=fa", "$16669")</f>
        <v>$16669</v>
      </c>
      <c r="T2430" s="20">
        <v>17976</v>
      </c>
      <c r="U2430" s="20">
        <v>21888</v>
      </c>
      <c r="V2430" s="20">
        <v>4535</v>
      </c>
      <c r="W2430" s="20">
        <v>12134</v>
      </c>
      <c r="Y2430" s="19">
        <v>0.3034</v>
      </c>
      <c r="Z2430" s="19">
        <v>0.15759999999999999</v>
      </c>
      <c r="AB2430" s="18">
        <v>1174</v>
      </c>
      <c r="AC2430" s="18">
        <v>4</v>
      </c>
    </row>
    <row r="2431" spans="1:29" ht="15.75" customHeight="1" x14ac:dyDescent="0.2">
      <c r="A2431" s="36" t="str">
        <f>HYPERLINK("https://www.southalabama.edu", "University of South Alabama")</f>
        <v>University of South Alabama</v>
      </c>
      <c r="B2431" s="18" t="s">
        <v>49</v>
      </c>
      <c r="C2431" s="18" t="s">
        <v>300</v>
      </c>
      <c r="D2431" s="18" t="s">
        <v>1190</v>
      </c>
      <c r="E2431" s="18">
        <v>1142</v>
      </c>
      <c r="F2431" s="18" t="s">
        <v>35</v>
      </c>
      <c r="J2431" s="19"/>
      <c r="K2431" s="19">
        <v>0.4007</v>
      </c>
      <c r="L2431" s="19">
        <v>0.330375427</v>
      </c>
      <c r="M2431" s="19">
        <v>0.44950000000000001</v>
      </c>
      <c r="N2431" s="19">
        <v>0.31440000000000001</v>
      </c>
      <c r="O2431" s="19">
        <v>0.34689999999999999</v>
      </c>
      <c r="P2431" s="19">
        <v>0.54390000000000005</v>
      </c>
      <c r="Q2431" s="19"/>
      <c r="R2431" s="20">
        <v>28210</v>
      </c>
      <c r="S2431" s="21" t="str">
        <f>HYPERLINK("https://usadev.southalabama.edu/npc/", "$20100")</f>
        <v>$20100</v>
      </c>
      <c r="T2431" s="20">
        <v>24803</v>
      </c>
      <c r="U2431" s="20">
        <v>27909</v>
      </c>
      <c r="V2431" s="20">
        <v>5396</v>
      </c>
      <c r="W2431" s="20">
        <v>14704.614711033269</v>
      </c>
      <c r="Y2431" s="19">
        <v>0.37230000000000002</v>
      </c>
      <c r="Z2431" s="19">
        <v>0.4073</v>
      </c>
      <c r="AB2431" s="18">
        <v>10712</v>
      </c>
      <c r="AC2431" s="18">
        <v>4</v>
      </c>
    </row>
    <row r="2432" spans="1:29" ht="15.75" customHeight="1" x14ac:dyDescent="0.2">
      <c r="A2432" s="36" t="str">
        <f>HYPERLINK("https://www.usca.edu", "University of South Carolina-Aiken")</f>
        <v>University of South Carolina-Aiken</v>
      </c>
      <c r="B2432" s="18" t="s">
        <v>49</v>
      </c>
      <c r="C2432" s="18" t="s">
        <v>208</v>
      </c>
      <c r="D2432" s="18" t="s">
        <v>1339</v>
      </c>
      <c r="E2432" s="18">
        <v>1033</v>
      </c>
      <c r="F2432" s="18" t="s">
        <v>35</v>
      </c>
      <c r="J2432" s="19"/>
      <c r="K2432" s="19">
        <v>0.4073</v>
      </c>
      <c r="L2432" s="19">
        <v>0.413793103</v>
      </c>
      <c r="M2432" s="19">
        <v>0.44119999999999998</v>
      </c>
      <c r="N2432" s="19">
        <v>0.32579999999999998</v>
      </c>
      <c r="O2432" s="19">
        <v>0.5333</v>
      </c>
      <c r="P2432" s="19">
        <v>0.8</v>
      </c>
      <c r="Q2432" s="19"/>
      <c r="R2432" s="20">
        <v>34586</v>
      </c>
      <c r="S2432" s="21" t="str">
        <f>HYPERLINK("https://ie.usca.edu/NetPrice/npcalc.htm", "$25349")</f>
        <v>$25349</v>
      </c>
      <c r="T2432" s="20">
        <v>29086</v>
      </c>
      <c r="U2432" s="20">
        <v>30228</v>
      </c>
      <c r="V2432" s="20">
        <v>6292</v>
      </c>
      <c r="W2432" s="20">
        <v>19057.351931330471</v>
      </c>
      <c r="Y2432" s="19">
        <v>0.40639999999999998</v>
      </c>
      <c r="Z2432" s="19">
        <v>0.42820000000000003</v>
      </c>
      <c r="AB2432" s="18">
        <v>3029</v>
      </c>
      <c r="AC2432" s="18">
        <v>4</v>
      </c>
    </row>
    <row r="2433" spans="1:29" ht="15.75" customHeight="1" x14ac:dyDescent="0.2">
      <c r="A2433" s="36" t="str">
        <f>HYPERLINK("https://www.uscb.edu", "University of South Carolina-Beaufort")</f>
        <v>University of South Carolina-Beaufort</v>
      </c>
      <c r="B2433" s="18" t="s">
        <v>49</v>
      </c>
      <c r="C2433" s="18" t="s">
        <v>208</v>
      </c>
      <c r="D2433" s="18" t="s">
        <v>582</v>
      </c>
      <c r="E2433" s="18">
        <v>1010</v>
      </c>
      <c r="F2433" s="18" t="s">
        <v>35</v>
      </c>
      <c r="J2433" s="19"/>
      <c r="K2433" s="19">
        <v>0.2727</v>
      </c>
      <c r="L2433" s="19">
        <v>0.29955947100000002</v>
      </c>
      <c r="M2433" s="19">
        <v>0.28789999999999999</v>
      </c>
      <c r="N2433" s="19">
        <v>0.21779999999999999</v>
      </c>
      <c r="O2433" s="19">
        <v>0.44440000000000002</v>
      </c>
      <c r="P2433" s="19">
        <v>0.1429</v>
      </c>
      <c r="Q2433" s="19"/>
      <c r="R2433" s="20">
        <v>35087</v>
      </c>
      <c r="S2433" s="21" t="str">
        <f>HYPERLINK("https://www.uscb.edu/institutional_effectiveness/net-price-calculator.html", "$26017")</f>
        <v>$26017</v>
      </c>
      <c r="T2433" s="20">
        <v>30319</v>
      </c>
      <c r="U2433" s="20">
        <v>31291</v>
      </c>
      <c r="V2433" s="20">
        <v>5080</v>
      </c>
      <c r="W2433" s="20">
        <v>20937.29896907217</v>
      </c>
      <c r="Y2433" s="19">
        <v>0.44190000000000002</v>
      </c>
      <c r="Z2433" s="19">
        <v>0.41670000000000001</v>
      </c>
      <c r="AB2433" s="18">
        <v>2011</v>
      </c>
      <c r="AC2433" s="18">
        <v>4</v>
      </c>
    </row>
    <row r="2434" spans="1:29" ht="15.75" customHeight="1" x14ac:dyDescent="0.2">
      <c r="A2434" s="36" t="str">
        <f>HYPERLINK("https://www.sc.edu/", "University of South Carolina-Columbia")</f>
        <v>University of South Carolina-Columbia</v>
      </c>
      <c r="B2434" s="18" t="s">
        <v>49</v>
      </c>
      <c r="C2434" s="18" t="s">
        <v>208</v>
      </c>
      <c r="D2434" s="18" t="s">
        <v>165</v>
      </c>
      <c r="E2434" s="18">
        <v>1282</v>
      </c>
      <c r="F2434" s="18" t="s">
        <v>35</v>
      </c>
      <c r="J2434" s="19"/>
      <c r="K2434" s="19">
        <v>0.75019999999999998</v>
      </c>
      <c r="L2434" s="19">
        <v>0.61219512200000004</v>
      </c>
      <c r="M2434" s="19">
        <v>0.75370000000000004</v>
      </c>
      <c r="N2434" s="19">
        <v>0.73350000000000004</v>
      </c>
      <c r="O2434" s="19">
        <v>0.75149999999999995</v>
      </c>
      <c r="P2434" s="19">
        <v>0.80169999999999997</v>
      </c>
      <c r="Q2434" s="19"/>
      <c r="R2434" s="20">
        <v>47162</v>
      </c>
      <c r="S2434" s="21" t="str">
        <f>HYPERLINK("https://npc.collegeboard.org/student/app/sc", "$34828")</f>
        <v>$34828</v>
      </c>
      <c r="T2434" s="20">
        <v>40675</v>
      </c>
      <c r="U2434" s="20">
        <v>41819</v>
      </c>
      <c r="V2434" s="20">
        <v>5192</v>
      </c>
      <c r="W2434" s="20">
        <v>29636.206504065041</v>
      </c>
      <c r="Y2434" s="19">
        <v>0.20100000000000001</v>
      </c>
      <c r="Z2434" s="19">
        <v>0.2366</v>
      </c>
      <c r="AB2434" s="18">
        <v>25550</v>
      </c>
      <c r="AC2434" s="18">
        <v>3</v>
      </c>
    </row>
    <row r="2435" spans="1:29" ht="15.75" customHeight="1" x14ac:dyDescent="0.2">
      <c r="A2435" s="36" t="str">
        <f>HYPERLINK("https://usclancaster.sc.edu/", "University of South Carolina-Lancaster")</f>
        <v>University of South Carolina-Lancaster</v>
      </c>
      <c r="B2435" s="18" t="s">
        <v>49</v>
      </c>
      <c r="C2435" s="18" t="s">
        <v>208</v>
      </c>
      <c r="D2435" s="18" t="s">
        <v>112</v>
      </c>
      <c r="E2435" s="18">
        <v>991</v>
      </c>
      <c r="F2435" s="18" t="s">
        <v>35</v>
      </c>
      <c r="J2435" s="19"/>
      <c r="K2435" s="19">
        <v>0.2276</v>
      </c>
      <c r="L2435" s="19">
        <v>0.61219512200000004</v>
      </c>
      <c r="M2435" s="19">
        <v>0.21859999999999999</v>
      </c>
      <c r="N2435" s="19">
        <v>0.18640000000000001</v>
      </c>
      <c r="O2435" s="19">
        <v>0.2</v>
      </c>
      <c r="P2435" s="19">
        <v>0</v>
      </c>
      <c r="Q2435" s="19">
        <v>7.84604E-2</v>
      </c>
      <c r="R2435" s="20">
        <v>32683</v>
      </c>
      <c r="S2435" s="21" t="str">
        <f>HYPERLINK("https://sc.edu/pcnetprice/lancaster/", "$24437")</f>
        <v>$24437</v>
      </c>
      <c r="T2435" s="20">
        <v>27408</v>
      </c>
      <c r="U2435" s="20">
        <v>28099</v>
      </c>
      <c r="V2435" s="20">
        <v>8515</v>
      </c>
      <c r="W2435" s="20">
        <v>15922.21008403361</v>
      </c>
      <c r="Y2435" s="19">
        <v>0.2369</v>
      </c>
      <c r="Z2435" s="19">
        <v>0.35920000000000002</v>
      </c>
      <c r="AB2435" s="18">
        <v>813</v>
      </c>
      <c r="AC2435" s="18">
        <v>6</v>
      </c>
    </row>
    <row r="2436" spans="1:29" ht="15.75" customHeight="1" x14ac:dyDescent="0.2">
      <c r="A2436" s="36" t="str">
        <f>HYPERLINK("https://uscsalkehatchie.sc.edu/", "University of South Carolina-Salkehatchie")</f>
        <v>University of South Carolina-Salkehatchie</v>
      </c>
      <c r="B2436" s="18" t="s">
        <v>49</v>
      </c>
      <c r="C2436" s="18" t="s">
        <v>208</v>
      </c>
      <c r="D2436" s="18" t="s">
        <v>370</v>
      </c>
      <c r="E2436" s="18">
        <v>875</v>
      </c>
      <c r="F2436" s="18" t="s">
        <v>35</v>
      </c>
      <c r="J2436" s="19"/>
      <c r="K2436" s="19">
        <v>0.22320000000000001</v>
      </c>
      <c r="L2436" s="19">
        <v>0.108761329</v>
      </c>
      <c r="M2436" s="19">
        <v>0.31069999999999998</v>
      </c>
      <c r="N2436" s="19">
        <v>0.1154</v>
      </c>
      <c r="O2436" s="19">
        <v>0.125</v>
      </c>
      <c r="P2436" s="19" t="s">
        <v>36</v>
      </c>
      <c r="Q2436" s="19">
        <v>0.12636165599999999</v>
      </c>
      <c r="R2436" s="20">
        <v>32683</v>
      </c>
      <c r="S2436" s="21" t="str">
        <f>HYPERLINK("https://sc.edu/pcnetprice/salkehatchie/", "$25248")</f>
        <v>$25248</v>
      </c>
      <c r="T2436" s="20">
        <v>27153</v>
      </c>
      <c r="U2436" s="20">
        <v>28907</v>
      </c>
      <c r="V2436" s="20">
        <v>8515</v>
      </c>
      <c r="W2436" s="20">
        <v>16733.514285714289</v>
      </c>
      <c r="Y2436" s="19">
        <v>0.38350000000000001</v>
      </c>
      <c r="Z2436" s="19">
        <v>0.54830000000000001</v>
      </c>
      <c r="AB2436" s="18">
        <v>549</v>
      </c>
      <c r="AC2436" s="18">
        <v>6</v>
      </c>
    </row>
    <row r="2437" spans="1:29" ht="15.75" customHeight="1" x14ac:dyDescent="0.2">
      <c r="A2437" s="36" t="str">
        <f>HYPERLINK("https://www.uscsumter.edu/", "University of South Carolina-Sumter")</f>
        <v>University of South Carolina-Sumter</v>
      </c>
      <c r="B2437" s="18" t="s">
        <v>49</v>
      </c>
      <c r="C2437" s="18" t="s">
        <v>208</v>
      </c>
      <c r="D2437" s="18" t="s">
        <v>787</v>
      </c>
      <c r="E2437" s="18">
        <v>984</v>
      </c>
      <c r="F2437" s="18" t="s">
        <v>35</v>
      </c>
      <c r="J2437" s="19"/>
      <c r="K2437" s="19">
        <v>0.25869999999999999</v>
      </c>
      <c r="L2437" s="19">
        <v>7.9754600999999994E-2</v>
      </c>
      <c r="M2437" s="19">
        <v>0.20449999999999999</v>
      </c>
      <c r="N2437" s="19">
        <v>0.35289999999999999</v>
      </c>
      <c r="O2437" s="19">
        <v>0.25</v>
      </c>
      <c r="P2437" s="19">
        <v>0.33329999999999999</v>
      </c>
      <c r="Q2437" s="19">
        <v>0.29483282700000002</v>
      </c>
      <c r="R2437" s="20">
        <v>32683</v>
      </c>
      <c r="S2437" s="21" t="str">
        <f>HYPERLINK("https://sc.edu/pcnetprice/sumter/", "$23326")</f>
        <v>$23326</v>
      </c>
      <c r="T2437" s="20">
        <v>26401</v>
      </c>
      <c r="U2437" s="20">
        <v>27884</v>
      </c>
      <c r="V2437" s="20">
        <v>8515</v>
      </c>
      <c r="W2437" s="20">
        <v>14811.695121951219</v>
      </c>
      <c r="Y2437" s="19">
        <v>0.33960000000000001</v>
      </c>
      <c r="Z2437" s="19">
        <v>0.46760000000000002</v>
      </c>
      <c r="AB2437" s="18">
        <v>633</v>
      </c>
      <c r="AC2437" s="18">
        <v>6</v>
      </c>
    </row>
    <row r="2438" spans="1:29" ht="15.75" customHeight="1" x14ac:dyDescent="0.2">
      <c r="A2438" s="36" t="str">
        <f>HYPERLINK("https://uscunion.sc.edu/", "University of South Carolina-Union")</f>
        <v>University of South Carolina-Union</v>
      </c>
      <c r="B2438" s="18" t="s">
        <v>49</v>
      </c>
      <c r="C2438" s="18" t="s">
        <v>208</v>
      </c>
      <c r="D2438" s="18" t="s">
        <v>870</v>
      </c>
      <c r="E2438" s="18">
        <v>887</v>
      </c>
      <c r="F2438" s="18" t="s">
        <v>35</v>
      </c>
      <c r="J2438" s="19"/>
      <c r="K2438" s="19">
        <v>0.1298</v>
      </c>
      <c r="L2438" s="19">
        <v>0.20740740699999999</v>
      </c>
      <c r="M2438" s="19">
        <v>0.26669999999999999</v>
      </c>
      <c r="N2438" s="19">
        <v>0</v>
      </c>
      <c r="O2438" s="19">
        <v>0</v>
      </c>
      <c r="P2438" s="19">
        <v>0</v>
      </c>
      <c r="Q2438" s="19">
        <v>0.10810810799999999</v>
      </c>
      <c r="R2438" s="20">
        <v>32683</v>
      </c>
      <c r="S2438" s="21" t="str">
        <f>HYPERLINK("https://sc.edu/pcnetprice/union/", "$23092")</f>
        <v>$23092</v>
      </c>
      <c r="T2438" s="20">
        <v>28707</v>
      </c>
      <c r="U2438" s="20">
        <v>28012</v>
      </c>
      <c r="V2438" s="20">
        <v>8515</v>
      </c>
      <c r="W2438" s="20">
        <v>14577.50769230769</v>
      </c>
      <c r="Y2438" s="19">
        <v>0.1681</v>
      </c>
      <c r="Z2438" s="19">
        <v>0.46129999999999999</v>
      </c>
      <c r="AB2438" s="18">
        <v>284</v>
      </c>
      <c r="AC2438" s="18">
        <v>6</v>
      </c>
    </row>
    <row r="2439" spans="1:29" ht="15.75" customHeight="1" x14ac:dyDescent="0.2">
      <c r="A2439" s="36" t="str">
        <f>HYPERLINK("https://www.uscupstate.edu", "University of South Carolina-Upstate")</f>
        <v>University of South Carolina-Upstate</v>
      </c>
      <c r="B2439" s="18" t="s">
        <v>49</v>
      </c>
      <c r="C2439" s="18" t="s">
        <v>208</v>
      </c>
      <c r="D2439" s="18" t="s">
        <v>542</v>
      </c>
      <c r="E2439" s="18">
        <v>1010</v>
      </c>
      <c r="F2439" s="18" t="s">
        <v>35</v>
      </c>
      <c r="J2439" s="19"/>
      <c r="K2439" s="19">
        <v>0.43280000000000002</v>
      </c>
      <c r="L2439" s="19">
        <v>0.46242774599999997</v>
      </c>
      <c r="M2439" s="19">
        <v>0.4415</v>
      </c>
      <c r="N2439" s="19">
        <v>0.43090000000000001</v>
      </c>
      <c r="O2439" s="19">
        <v>0.48720000000000002</v>
      </c>
      <c r="P2439" s="19">
        <v>0.25</v>
      </c>
      <c r="Q2439" s="19"/>
      <c r="R2439" s="20">
        <v>36246</v>
      </c>
      <c r="S2439" s="21" t="str">
        <f>HYPERLINK("https://www.uscupstate.edu/admissions-and-financial-aid/application-faq/student-consumer-information/", "$26302")</f>
        <v>$26302</v>
      </c>
      <c r="T2439" s="20">
        <v>29311</v>
      </c>
      <c r="U2439" s="20">
        <v>32089</v>
      </c>
      <c r="V2439" s="20">
        <v>5064</v>
      </c>
      <c r="W2439" s="20">
        <v>21238.845921450149</v>
      </c>
      <c r="Y2439" s="19">
        <v>0.4466</v>
      </c>
      <c r="Z2439" s="19">
        <v>0.46750000000000003</v>
      </c>
      <c r="AB2439" s="18">
        <v>5149</v>
      </c>
      <c r="AC2439" s="18">
        <v>4</v>
      </c>
    </row>
    <row r="2440" spans="1:29" ht="15.75" customHeight="1" x14ac:dyDescent="0.2">
      <c r="A2440" s="36" t="str">
        <f>HYPERLINK("https://WWW.USD.EDU", "University of South Dakota")</f>
        <v>University of South Dakota</v>
      </c>
      <c r="B2440" s="18" t="s">
        <v>49</v>
      </c>
      <c r="C2440" s="18" t="s">
        <v>302</v>
      </c>
      <c r="D2440" s="18" t="s">
        <v>1342</v>
      </c>
      <c r="E2440" s="18">
        <v>1125</v>
      </c>
      <c r="F2440" s="18" t="s">
        <v>35</v>
      </c>
      <c r="J2440" s="19"/>
      <c r="K2440" s="19">
        <v>0.55189999999999995</v>
      </c>
      <c r="L2440" s="19">
        <v>0.422185431</v>
      </c>
      <c r="M2440" s="19">
        <v>0.59419999999999995</v>
      </c>
      <c r="N2440" s="19">
        <v>0</v>
      </c>
      <c r="O2440" s="19">
        <v>0.31430000000000002</v>
      </c>
      <c r="P2440" s="19">
        <v>0.33329999999999999</v>
      </c>
      <c r="Q2440" s="19"/>
      <c r="R2440" s="20">
        <v>25521</v>
      </c>
      <c r="S2440" s="21" t="str">
        <f>HYPERLINK("https://admissions.usd.edu/cost-and-aid/coyote-cost-estimator.cfm", "$18341")</f>
        <v>$18341</v>
      </c>
      <c r="T2440" s="20">
        <v>21666</v>
      </c>
      <c r="U2440" s="20">
        <v>23388</v>
      </c>
      <c r="V2440" s="20">
        <v>5472</v>
      </c>
      <c r="W2440" s="20">
        <v>12869.86301369863</v>
      </c>
      <c r="Y2440" s="19">
        <v>0.23169999999999999</v>
      </c>
      <c r="Z2440" s="19">
        <v>0.16220000000000001</v>
      </c>
      <c r="AB2440" s="18">
        <v>6171</v>
      </c>
      <c r="AC2440" s="18">
        <v>4</v>
      </c>
    </row>
    <row r="2441" spans="1:29" ht="15.75" customHeight="1" x14ac:dyDescent="0.2">
      <c r="A2441" s="36" t="str">
        <f>HYPERLINK("https://www.usf.edu", "University of South Florida-Main Campus")</f>
        <v>University of South Florida-Main Campus</v>
      </c>
      <c r="B2441" s="18" t="s">
        <v>49</v>
      </c>
      <c r="C2441" s="18" t="s">
        <v>162</v>
      </c>
      <c r="D2441" s="18" t="s">
        <v>1230</v>
      </c>
      <c r="E2441" s="18">
        <v>1246</v>
      </c>
      <c r="F2441" s="18" t="s">
        <v>35</v>
      </c>
      <c r="J2441" s="19"/>
      <c r="K2441" s="19">
        <v>0.70920000000000005</v>
      </c>
      <c r="L2441" s="19">
        <v>0.59780712700000005</v>
      </c>
      <c r="M2441" s="19">
        <v>0.68110000000000004</v>
      </c>
      <c r="N2441" s="19">
        <v>0.73650000000000004</v>
      </c>
      <c r="O2441" s="19">
        <v>0.72009999999999996</v>
      </c>
      <c r="P2441" s="19">
        <v>0.87450000000000006</v>
      </c>
      <c r="Q2441" s="19"/>
      <c r="R2441" s="20">
        <v>32324</v>
      </c>
      <c r="S2441" s="21" t="str">
        <f>HYPERLINK("https://usfweb2.usf.edu/finaid/npc/npcalc.htm", "$20569")</f>
        <v>$20569</v>
      </c>
      <c r="T2441" s="20">
        <v>25001</v>
      </c>
      <c r="U2441" s="20">
        <v>28884</v>
      </c>
      <c r="V2441" s="20">
        <v>5300</v>
      </c>
      <c r="W2441" s="20">
        <v>15269.17366412214</v>
      </c>
      <c r="Y2441" s="19">
        <v>0.37509999999999999</v>
      </c>
      <c r="Z2441" s="19">
        <v>0.5161</v>
      </c>
      <c r="AB2441" s="18">
        <v>30918</v>
      </c>
      <c r="AC2441" s="18">
        <v>4</v>
      </c>
    </row>
    <row r="2442" spans="1:29" ht="15.75" customHeight="1" x14ac:dyDescent="0.2">
      <c r="A2442" s="36" t="str">
        <f>HYPERLINK("https://usfsm.edu/", "University of South Florida-Sarasota-Manatee")</f>
        <v>University of South Florida-Sarasota-Manatee</v>
      </c>
      <c r="B2442" s="18" t="s">
        <v>49</v>
      </c>
      <c r="C2442" s="18" t="s">
        <v>162</v>
      </c>
      <c r="D2442" s="18" t="s">
        <v>233</v>
      </c>
      <c r="E2442" s="18">
        <v>1177</v>
      </c>
      <c r="F2442" s="18" t="s">
        <v>35</v>
      </c>
      <c r="J2442" s="19"/>
      <c r="K2442" s="19" t="s">
        <v>36</v>
      </c>
      <c r="L2442" s="19">
        <v>0.59780712700000005</v>
      </c>
      <c r="M2442" s="19" t="s">
        <v>36</v>
      </c>
      <c r="N2442" s="19" t="s">
        <v>36</v>
      </c>
      <c r="O2442" s="19" t="s">
        <v>36</v>
      </c>
      <c r="P2442" s="19" t="s">
        <v>36</v>
      </c>
      <c r="Q2442" s="19"/>
      <c r="R2442" s="20">
        <v>31501</v>
      </c>
      <c r="S2442" s="21" t="str">
        <f>HYPERLINK("https://usfweb2.usf.edu/finaid/npc/npc.aspx", "$23363")</f>
        <v>$23363</v>
      </c>
      <c r="T2442" s="20">
        <v>28429</v>
      </c>
      <c r="U2442" s="20">
        <v>30376</v>
      </c>
      <c r="V2442" s="20">
        <v>5300</v>
      </c>
      <c r="W2442" s="20">
        <v>18063.84615384616</v>
      </c>
      <c r="Y2442" s="19">
        <v>0.38779999999999998</v>
      </c>
      <c r="Z2442" s="19">
        <v>0.30299999999999988</v>
      </c>
      <c r="AB2442" s="18">
        <v>1868</v>
      </c>
      <c r="AC2442" s="18">
        <v>4</v>
      </c>
    </row>
    <row r="2443" spans="1:29" ht="15.75" customHeight="1" x14ac:dyDescent="0.2">
      <c r="A2443" s="36" t="str">
        <f>HYPERLINK("https://www.usfsp.edu", "University of South Florida-St Petersburg")</f>
        <v>University of South Florida-St Petersburg</v>
      </c>
      <c r="B2443" s="18" t="s">
        <v>49</v>
      </c>
      <c r="C2443" s="18" t="s">
        <v>162</v>
      </c>
      <c r="D2443" s="18" t="s">
        <v>1344</v>
      </c>
      <c r="E2443" s="18">
        <v>1165</v>
      </c>
      <c r="F2443" s="18" t="s">
        <v>35</v>
      </c>
      <c r="J2443" s="19"/>
      <c r="K2443" s="19">
        <v>0.35589999999999999</v>
      </c>
      <c r="L2443" s="19">
        <v>0.59780712700000005</v>
      </c>
      <c r="M2443" s="19">
        <v>0.39219999999999999</v>
      </c>
      <c r="N2443" s="19">
        <v>0.37780000000000002</v>
      </c>
      <c r="O2443" s="19">
        <v>0.25619999999999998</v>
      </c>
      <c r="P2443" s="19">
        <v>0.4</v>
      </c>
      <c r="Q2443" s="19"/>
      <c r="R2443" s="20">
        <v>32843</v>
      </c>
      <c r="S2443" s="21" t="str">
        <f>HYPERLINK("https://www.usfsp.edu/USFSP-Net-Price-Calculator/npcalc.htm", "$22608")</f>
        <v>$22608</v>
      </c>
      <c r="T2443" s="20">
        <v>27481</v>
      </c>
      <c r="U2443" s="20">
        <v>31082</v>
      </c>
      <c r="V2443" s="20">
        <v>5300</v>
      </c>
      <c r="W2443" s="20">
        <v>17308.38095238095</v>
      </c>
      <c r="Y2443" s="19">
        <v>0.4027</v>
      </c>
      <c r="Z2443" s="19">
        <v>0.37190000000000001</v>
      </c>
      <c r="AB2443" s="18">
        <v>4162</v>
      </c>
      <c r="AC2443" s="18">
        <v>4</v>
      </c>
    </row>
    <row r="2444" spans="1:29" ht="15.75" customHeight="1" x14ac:dyDescent="0.2">
      <c r="A2444" s="36" t="str">
        <f>HYPERLINK("https://www.usc.edu/", "University of Southern California")</f>
        <v>University of Southern California</v>
      </c>
      <c r="B2444" s="18" t="s">
        <v>32</v>
      </c>
      <c r="C2444" s="18" t="s">
        <v>68</v>
      </c>
      <c r="D2444" s="18" t="s">
        <v>140</v>
      </c>
      <c r="E2444" s="18">
        <v>1437</v>
      </c>
      <c r="F2444" s="18" t="s">
        <v>35</v>
      </c>
      <c r="J2444" s="19"/>
      <c r="K2444" s="19">
        <v>0.91710000000000003</v>
      </c>
      <c r="L2444" s="19">
        <v>0.82268578900000011</v>
      </c>
      <c r="M2444" s="19">
        <v>0.91669999999999996</v>
      </c>
      <c r="N2444" s="19">
        <v>0.91159999999999997</v>
      </c>
      <c r="O2444" s="19">
        <v>0.89829999999999999</v>
      </c>
      <c r="P2444" s="19">
        <v>0.94089999999999996</v>
      </c>
      <c r="Q2444" s="19"/>
      <c r="R2444" s="20">
        <v>72209</v>
      </c>
      <c r="S2444" s="21" t="str">
        <f>HYPERLINK("https://financialaid.usc.edu/undergraduates/prospective/net-price-calculator.html", "$15636")</f>
        <v>$15636</v>
      </c>
      <c r="T2444" s="20">
        <v>22445</v>
      </c>
      <c r="U2444" s="20">
        <v>30084</v>
      </c>
      <c r="V2444" s="20">
        <v>3064</v>
      </c>
      <c r="W2444" s="20">
        <v>12572</v>
      </c>
      <c r="X2444" s="18" t="s">
        <v>37</v>
      </c>
      <c r="Y2444" s="19">
        <v>0.20960000000000001</v>
      </c>
      <c r="Z2444" s="19">
        <v>0.60289999999999999</v>
      </c>
      <c r="AB2444" s="18">
        <v>18942</v>
      </c>
      <c r="AC2444" s="18">
        <v>1</v>
      </c>
    </row>
    <row r="2445" spans="1:29" ht="15.75" customHeight="1" x14ac:dyDescent="0.2">
      <c r="A2445" s="36" t="str">
        <f>HYPERLINK("https://www.usi.edu", "University of Southern Indiana")</f>
        <v>University of Southern Indiana</v>
      </c>
      <c r="B2445" s="18" t="s">
        <v>49</v>
      </c>
      <c r="C2445" s="18" t="s">
        <v>148</v>
      </c>
      <c r="D2445" s="18" t="s">
        <v>509</v>
      </c>
      <c r="E2445" s="18">
        <v>1084</v>
      </c>
      <c r="F2445" s="18" t="s">
        <v>35</v>
      </c>
      <c r="J2445" s="19"/>
      <c r="K2445" s="19">
        <v>0.40670000000000001</v>
      </c>
      <c r="L2445" s="19">
        <v>0.23536737199999999</v>
      </c>
      <c r="M2445" s="19">
        <v>0.43120000000000003</v>
      </c>
      <c r="N2445" s="19">
        <v>0.2185</v>
      </c>
      <c r="O2445" s="19">
        <v>0.25</v>
      </c>
      <c r="P2445" s="19">
        <v>0.5</v>
      </c>
      <c r="Q2445" s="19"/>
      <c r="R2445" s="20">
        <v>30861</v>
      </c>
      <c r="S2445" s="21" t="str">
        <f>HYPERLINK("https://usi.studentaidcalculator.com/survey.aspx", "$21507")</f>
        <v>$21507</v>
      </c>
      <c r="T2445" s="20">
        <v>26494</v>
      </c>
      <c r="U2445" s="20">
        <v>28654</v>
      </c>
      <c r="V2445" s="20">
        <v>3397</v>
      </c>
      <c r="W2445" s="20">
        <v>18110.365079365081</v>
      </c>
      <c r="Y2445" s="19">
        <v>0.2631</v>
      </c>
      <c r="Z2445" s="19">
        <v>0.1359999999999999</v>
      </c>
      <c r="AB2445" s="18">
        <v>7554</v>
      </c>
      <c r="AC2445" s="18">
        <v>4</v>
      </c>
    </row>
    <row r="2446" spans="1:29" ht="15.75" customHeight="1" x14ac:dyDescent="0.2">
      <c r="A2446" s="36" t="str">
        <f>HYPERLINK("https://www.usm.maine.edu", "University of Southern Maine")</f>
        <v>University of Southern Maine</v>
      </c>
      <c r="B2446" s="18" t="s">
        <v>49</v>
      </c>
      <c r="C2446" s="18" t="s">
        <v>43</v>
      </c>
      <c r="D2446" s="18" t="s">
        <v>144</v>
      </c>
      <c r="E2446" s="18">
        <v>1059</v>
      </c>
      <c r="F2446" s="18" t="s">
        <v>35</v>
      </c>
      <c r="J2446" s="19"/>
      <c r="K2446" s="19">
        <v>0.32929999999999998</v>
      </c>
      <c r="L2446" s="19">
        <v>0.43206106900000002</v>
      </c>
      <c r="M2446" s="19">
        <v>0.34289999999999998</v>
      </c>
      <c r="N2446" s="19">
        <v>0.3</v>
      </c>
      <c r="O2446" s="19">
        <v>0.21740000000000001</v>
      </c>
      <c r="P2446" s="19">
        <v>0.4</v>
      </c>
      <c r="Q2446" s="19"/>
      <c r="R2446" s="20">
        <v>34568</v>
      </c>
      <c r="S2446" s="21" t="str">
        <f>HYPERLINK("https://usm.maine.edu/student-financial-services/net-price-calculator", "$23935")</f>
        <v>$23935</v>
      </c>
      <c r="T2446" s="20">
        <v>27871</v>
      </c>
      <c r="U2446" s="20">
        <v>31461</v>
      </c>
      <c r="V2446" s="20">
        <v>4200</v>
      </c>
      <c r="W2446" s="20">
        <v>19735.167364016739</v>
      </c>
      <c r="Y2446" s="19">
        <v>0.35510000000000003</v>
      </c>
      <c r="Z2446" s="19">
        <v>0.20309999999999989</v>
      </c>
      <c r="AB2446" s="18">
        <v>5248</v>
      </c>
      <c r="AC2446" s="18">
        <v>4</v>
      </c>
    </row>
    <row r="2447" spans="1:29" ht="15.75" customHeight="1" x14ac:dyDescent="0.2">
      <c r="A2447" s="36" t="str">
        <f>HYPERLINK("https://www.usm.edu", "University of Southern Mississippi")</f>
        <v>University of Southern Mississippi</v>
      </c>
      <c r="B2447" s="18" t="s">
        <v>49</v>
      </c>
      <c r="C2447" s="18" t="s">
        <v>59</v>
      </c>
      <c r="D2447" s="18" t="s">
        <v>939</v>
      </c>
      <c r="E2447" s="18">
        <v>1125</v>
      </c>
      <c r="F2447" s="18" t="s">
        <v>35</v>
      </c>
      <c r="J2447" s="19"/>
      <c r="K2447" s="19">
        <v>0.46739999999999998</v>
      </c>
      <c r="L2447" s="19">
        <v>0.36751691800000003</v>
      </c>
      <c r="M2447" s="19">
        <v>0.58989999999999998</v>
      </c>
      <c r="N2447" s="19">
        <v>0.31569999999999998</v>
      </c>
      <c r="O2447" s="19">
        <v>0.3947</v>
      </c>
      <c r="P2447" s="19">
        <v>0.5</v>
      </c>
      <c r="Q2447" s="19"/>
      <c r="R2447" s="20">
        <v>24883</v>
      </c>
      <c r="S2447" s="21" t="str">
        <f>HYPERLINK("https://www.usm.edu/financial-aid/net-price-calculator", "$15904")</f>
        <v>$15904</v>
      </c>
      <c r="T2447" s="20">
        <v>18469</v>
      </c>
      <c r="U2447" s="20">
        <v>19999</v>
      </c>
      <c r="V2447" s="20">
        <v>5034</v>
      </c>
      <c r="W2447" s="20">
        <v>10870.18007662835</v>
      </c>
      <c r="Y2447" s="19">
        <v>0.46860000000000002</v>
      </c>
      <c r="Z2447" s="19">
        <v>0.39019999999999999</v>
      </c>
      <c r="AB2447" s="18">
        <v>11747</v>
      </c>
      <c r="AC2447" s="18">
        <v>4</v>
      </c>
    </row>
    <row r="2448" spans="1:29" ht="15.75" customHeight="1" x14ac:dyDescent="0.2">
      <c r="A2448" s="36" t="str">
        <f>HYPERLINK("https://www.stfrancis.edu", "University of St Francis")</f>
        <v>University of St Francis</v>
      </c>
      <c r="B2448" s="18" t="s">
        <v>32</v>
      </c>
      <c r="C2448" s="18" t="s">
        <v>137</v>
      </c>
      <c r="D2448" s="18" t="s">
        <v>1346</v>
      </c>
      <c r="E2448" s="18">
        <v>1126</v>
      </c>
      <c r="F2448" s="18" t="s">
        <v>35</v>
      </c>
      <c r="J2448" s="19"/>
      <c r="K2448" s="19">
        <v>0.62780000000000002</v>
      </c>
      <c r="L2448" s="19">
        <v>0.51282051299999998</v>
      </c>
      <c r="M2448" s="19">
        <v>0.70909999999999995</v>
      </c>
      <c r="N2448" s="19">
        <v>0.5333</v>
      </c>
      <c r="O2448" s="19">
        <v>0.4884</v>
      </c>
      <c r="P2448" s="19">
        <v>1</v>
      </c>
      <c r="Q2448" s="19"/>
      <c r="R2448" s="20">
        <v>44628</v>
      </c>
      <c r="S2448" s="21" t="str">
        <f>HYPERLINK("https://www.stfrancis.edu/admissions/financial-aid/np-calculator/", "$15072")</f>
        <v>$15072</v>
      </c>
      <c r="T2448" s="20">
        <v>16924</v>
      </c>
      <c r="U2448" s="20">
        <v>20051</v>
      </c>
      <c r="V2448" s="20">
        <v>3800</v>
      </c>
      <c r="W2448" s="20">
        <v>11272</v>
      </c>
      <c r="Y2448" s="19">
        <v>0.34200000000000003</v>
      </c>
      <c r="Z2448" s="19">
        <v>0.37619999999999998</v>
      </c>
      <c r="AB2448" s="18">
        <v>1563</v>
      </c>
      <c r="AC2448" s="18">
        <v>4</v>
      </c>
    </row>
    <row r="2449" spans="1:29" ht="15.75" customHeight="1" x14ac:dyDescent="0.2">
      <c r="A2449" s="36" t="str">
        <f>HYPERLINK("https://www.stthomas.edu", "University of St Thomas")</f>
        <v>University of St Thomas</v>
      </c>
      <c r="B2449" s="18" t="s">
        <v>32</v>
      </c>
      <c r="C2449" s="18" t="s">
        <v>72</v>
      </c>
      <c r="D2449" s="18" t="s">
        <v>131</v>
      </c>
      <c r="E2449" s="18">
        <v>1267</v>
      </c>
      <c r="F2449" s="18" t="s">
        <v>35</v>
      </c>
      <c r="J2449" s="19"/>
      <c r="K2449" s="19">
        <v>0.76849999999999996</v>
      </c>
      <c r="L2449" s="19">
        <v>0.68859649099999998</v>
      </c>
      <c r="M2449" s="19">
        <v>0.78490000000000004</v>
      </c>
      <c r="N2449" s="19">
        <v>0.66669999999999996</v>
      </c>
      <c r="O2449" s="19">
        <v>0.78790000000000004</v>
      </c>
      <c r="P2449" s="19">
        <v>0.61699999999999999</v>
      </c>
      <c r="Q2449" s="19"/>
      <c r="R2449" s="20">
        <v>54647</v>
      </c>
      <c r="S2449" s="21" t="str">
        <f>HYPERLINK("https://www.stthomas.edu/financialaid/undergraduate/resources/netpricecalculator/", "$23271")</f>
        <v>$23271</v>
      </c>
      <c r="T2449" s="20">
        <v>26266</v>
      </c>
      <c r="U2449" s="20">
        <v>30731</v>
      </c>
      <c r="V2449" s="20">
        <v>3460</v>
      </c>
      <c r="W2449" s="20">
        <v>19811</v>
      </c>
      <c r="Y2449" s="19">
        <v>0.17199999999999999</v>
      </c>
      <c r="Z2449" s="19">
        <v>0.1993</v>
      </c>
      <c r="AB2449" s="18">
        <v>6085</v>
      </c>
      <c r="AC2449" s="18">
        <v>3</v>
      </c>
    </row>
    <row r="2450" spans="1:29" ht="15.75" customHeight="1" x14ac:dyDescent="0.2">
      <c r="A2450" s="36" t="str">
        <f>HYPERLINK("https://www.stthom.edu", "University of St Thomas")</f>
        <v>University of St Thomas</v>
      </c>
      <c r="B2450" s="18" t="s">
        <v>32</v>
      </c>
      <c r="C2450" s="18" t="s">
        <v>146</v>
      </c>
      <c r="D2450" s="18" t="s">
        <v>147</v>
      </c>
      <c r="E2450" s="18">
        <v>1160</v>
      </c>
      <c r="F2450" s="18" t="s">
        <v>35</v>
      </c>
      <c r="J2450" s="19"/>
      <c r="K2450" s="19">
        <v>0.5726</v>
      </c>
      <c r="L2450" s="19">
        <v>0.56390977399999997</v>
      </c>
      <c r="M2450" s="19">
        <v>0.62319999999999998</v>
      </c>
      <c r="N2450" s="19">
        <v>0.2</v>
      </c>
      <c r="O2450" s="19">
        <v>0.60229999999999995</v>
      </c>
      <c r="P2450" s="19">
        <v>0.59379999999999999</v>
      </c>
      <c r="Q2450" s="19"/>
      <c r="R2450" s="20">
        <v>46506</v>
      </c>
      <c r="S2450" s="21" t="str">
        <f>HYPERLINK("https://tcc.noellevitz.com/universityofstthomas/transferstudents", "$15818")</f>
        <v>$15818</v>
      </c>
      <c r="T2450" s="20">
        <v>15734</v>
      </c>
      <c r="U2450" s="20">
        <v>19709</v>
      </c>
      <c r="V2450" s="20">
        <v>4996</v>
      </c>
      <c r="W2450" s="20">
        <v>10822</v>
      </c>
      <c r="Y2450" s="19">
        <v>0.3538</v>
      </c>
      <c r="Z2450" s="19">
        <v>0.77049999999999996</v>
      </c>
      <c r="AB2450" s="18">
        <v>1765</v>
      </c>
      <c r="AC2450" s="18">
        <v>3</v>
      </c>
    </row>
    <row r="2451" spans="1:29" ht="15.75" customHeight="1" x14ac:dyDescent="0.2">
      <c r="A2451" s="36" t="str">
        <f>HYPERLINK("https://www.utoledo.edu/", "University of Toledo")</f>
        <v>University of Toledo</v>
      </c>
      <c r="B2451" s="18" t="s">
        <v>49</v>
      </c>
      <c r="C2451" s="18" t="s">
        <v>75</v>
      </c>
      <c r="D2451" s="18" t="s">
        <v>1256</v>
      </c>
      <c r="E2451" s="18">
        <v>1142</v>
      </c>
      <c r="F2451" s="18" t="s">
        <v>35</v>
      </c>
      <c r="J2451" s="19"/>
      <c r="K2451" s="19">
        <v>0.40749999999999997</v>
      </c>
      <c r="L2451" s="19">
        <v>0.27509778400000001</v>
      </c>
      <c r="M2451" s="19">
        <v>0.52410000000000001</v>
      </c>
      <c r="N2451" s="19">
        <v>0.1356</v>
      </c>
      <c r="O2451" s="19">
        <v>0.34620000000000001</v>
      </c>
      <c r="P2451" s="19">
        <v>0.65149999999999997</v>
      </c>
      <c r="Q2451" s="19"/>
      <c r="R2451" s="20">
        <v>34375</v>
      </c>
      <c r="S2451" s="21" t="str">
        <f>HYPERLINK("https://utoledo.studentaidcalculator.com/survey.aspx", "$23398")</f>
        <v>$23398</v>
      </c>
      <c r="T2451" s="20">
        <v>26314</v>
      </c>
      <c r="U2451" s="20">
        <v>28266</v>
      </c>
      <c r="V2451" s="20">
        <v>4486</v>
      </c>
      <c r="W2451" s="20">
        <v>18912.626936829562</v>
      </c>
      <c r="Y2451" s="19">
        <v>0.2974</v>
      </c>
      <c r="Z2451" s="19">
        <v>0.31609999999999999</v>
      </c>
      <c r="AB2451" s="18">
        <v>15109</v>
      </c>
      <c r="AC2451" s="18">
        <v>4</v>
      </c>
    </row>
    <row r="2452" spans="1:29" ht="15.75" customHeight="1" x14ac:dyDescent="0.2">
      <c r="A2452" s="36" t="str">
        <f>HYPERLINK("https://utulsa.edu", "University of Tulsa")</f>
        <v>University of Tulsa</v>
      </c>
      <c r="B2452" s="18" t="s">
        <v>32</v>
      </c>
      <c r="C2452" s="18" t="s">
        <v>290</v>
      </c>
      <c r="D2452" s="18" t="s">
        <v>291</v>
      </c>
      <c r="E2452" s="18">
        <v>1335</v>
      </c>
      <c r="F2452" s="18" t="s">
        <v>35</v>
      </c>
      <c r="J2452" s="19"/>
      <c r="K2452" s="19">
        <v>0.68520000000000003</v>
      </c>
      <c r="L2452" s="19">
        <v>0.46218487400000002</v>
      </c>
      <c r="M2452" s="19">
        <v>0.71309999999999996</v>
      </c>
      <c r="N2452" s="19">
        <v>0.625</v>
      </c>
      <c r="O2452" s="19">
        <v>0.4783</v>
      </c>
      <c r="P2452" s="19">
        <v>0.72729999999999995</v>
      </c>
      <c r="Q2452" s="19"/>
      <c r="R2452" s="20">
        <v>59435</v>
      </c>
      <c r="S2452" s="21" t="str">
        <f>HYPERLINK("https://utulsa.studentaidcalculator.com", "$19880")</f>
        <v>$19880</v>
      </c>
      <c r="T2452" s="20">
        <v>23227</v>
      </c>
      <c r="U2452" s="20">
        <v>26044</v>
      </c>
      <c r="V2452" s="20">
        <v>6810</v>
      </c>
      <c r="W2452" s="20">
        <v>13070</v>
      </c>
      <c r="Y2452" s="19">
        <v>0.15179999999999999</v>
      </c>
      <c r="Z2452" s="19">
        <v>0.43240000000000001</v>
      </c>
      <c r="AB2452" s="18">
        <v>3316</v>
      </c>
      <c r="AC2452" s="18">
        <v>2</v>
      </c>
    </row>
    <row r="2453" spans="1:29" ht="15.75" customHeight="1" x14ac:dyDescent="0.2">
      <c r="A2453" s="36" t="str">
        <f>HYPERLINK("https://www.utah.edu", "University of Utah")</f>
        <v>University of Utah</v>
      </c>
      <c r="B2453" s="18" t="s">
        <v>49</v>
      </c>
      <c r="C2453" s="18" t="s">
        <v>199</v>
      </c>
      <c r="D2453" s="18" t="s">
        <v>525</v>
      </c>
      <c r="E2453" s="18">
        <v>1234</v>
      </c>
      <c r="F2453" s="18" t="s">
        <v>35</v>
      </c>
      <c r="J2453" s="19"/>
      <c r="K2453" s="19">
        <v>0.67400000000000004</v>
      </c>
      <c r="L2453" s="19">
        <v>0.54927234899999999</v>
      </c>
      <c r="M2453" s="19">
        <v>0.68099999999999994</v>
      </c>
      <c r="N2453" s="19">
        <v>0.39290000000000003</v>
      </c>
      <c r="O2453" s="19">
        <v>0.62350000000000005</v>
      </c>
      <c r="P2453" s="19">
        <v>0.77080000000000004</v>
      </c>
      <c r="Q2453" s="19"/>
      <c r="R2453" s="20">
        <v>42916</v>
      </c>
      <c r="S2453" s="21" t="str">
        <f>HYPERLINK("https://financialaid.utah.edu/tuition-and-fees/cost-calculator.php", "$34581")</f>
        <v>$34581</v>
      </c>
      <c r="T2453" s="20">
        <v>37585</v>
      </c>
      <c r="U2453" s="20">
        <v>40427</v>
      </c>
      <c r="V2453" s="20">
        <v>4922</v>
      </c>
      <c r="W2453" s="20">
        <v>29659.772925764191</v>
      </c>
      <c r="Y2453" s="19">
        <v>0.27250000000000002</v>
      </c>
      <c r="Z2453" s="19">
        <v>0.31430000000000002</v>
      </c>
      <c r="AB2453" s="18">
        <v>23402</v>
      </c>
      <c r="AC2453" s="18">
        <v>3</v>
      </c>
    </row>
    <row r="2454" spans="1:29" ht="15.75" customHeight="1" x14ac:dyDescent="0.2">
      <c r="A2454" s="36" t="str">
        <f>HYPERLINK("https://www.valleyforge.edu", "University of Valley Forge")</f>
        <v>University of Valley Forge</v>
      </c>
      <c r="B2454" s="18" t="s">
        <v>32</v>
      </c>
      <c r="C2454" s="18" t="s">
        <v>65</v>
      </c>
      <c r="D2454" s="18" t="s">
        <v>1348</v>
      </c>
      <c r="E2454" s="18" t="s">
        <v>36</v>
      </c>
      <c r="F2454" s="18" t="s">
        <v>90</v>
      </c>
      <c r="J2454" s="19"/>
      <c r="K2454" s="19">
        <v>0.4491</v>
      </c>
      <c r="L2454" s="19">
        <v>0.26168224299999998</v>
      </c>
      <c r="M2454" s="19">
        <v>0.52480000000000004</v>
      </c>
      <c r="N2454" s="19">
        <v>6.6699999999999995E-2</v>
      </c>
      <c r="O2454" s="19">
        <v>0.4375</v>
      </c>
      <c r="P2454" s="19">
        <v>0.25</v>
      </c>
      <c r="Q2454" s="19"/>
      <c r="R2454" s="20">
        <v>34176</v>
      </c>
      <c r="S2454" s="21" t="str">
        <f>HYPERLINK("https://npc.collegeboard.org/app/valleyforge", "$19939")</f>
        <v>$19939</v>
      </c>
      <c r="T2454" s="20">
        <v>20143</v>
      </c>
      <c r="U2454" s="20">
        <v>24478</v>
      </c>
      <c r="V2454" s="20">
        <v>4196</v>
      </c>
      <c r="W2454" s="20">
        <v>15743</v>
      </c>
      <c r="Y2454" s="19">
        <v>0.38640000000000002</v>
      </c>
      <c r="Z2454" s="19">
        <v>0.4395</v>
      </c>
      <c r="AB2454" s="18">
        <v>669</v>
      </c>
      <c r="AC2454" s="18">
        <v>4</v>
      </c>
    </row>
    <row r="2455" spans="1:29" ht="15.75" customHeight="1" x14ac:dyDescent="0.2">
      <c r="A2455" s="36" t="str">
        <f>HYPERLINK("https://www.uvm.edu", "University of Vermont")</f>
        <v>University of Vermont</v>
      </c>
      <c r="B2455" s="18" t="s">
        <v>49</v>
      </c>
      <c r="C2455" s="18" t="s">
        <v>47</v>
      </c>
      <c r="D2455" s="18" t="s">
        <v>327</v>
      </c>
      <c r="E2455" s="18">
        <v>1280</v>
      </c>
      <c r="F2455" s="18" t="s">
        <v>35</v>
      </c>
      <c r="J2455" s="19"/>
      <c r="K2455" s="19">
        <v>0.74950000000000006</v>
      </c>
      <c r="L2455" s="19">
        <v>0.69539078200000004</v>
      </c>
      <c r="M2455" s="19">
        <v>0.75949999999999995</v>
      </c>
      <c r="N2455" s="19">
        <v>0.59089999999999998</v>
      </c>
      <c r="O2455" s="19">
        <v>0.62109999999999999</v>
      </c>
      <c r="P2455" s="19">
        <v>0.7419</v>
      </c>
      <c r="Q2455" s="19"/>
      <c r="R2455" s="20">
        <v>56890</v>
      </c>
      <c r="S2455" s="21" t="str">
        <f>HYPERLINK("https://www.uvm.edu/studentfinancialservices/net_price_calculator", "$38158")</f>
        <v>$38158</v>
      </c>
      <c r="T2455" s="20">
        <v>40363</v>
      </c>
      <c r="U2455" s="20">
        <v>46713</v>
      </c>
      <c r="V2455" s="20">
        <v>3512</v>
      </c>
      <c r="W2455" s="20">
        <v>34646.302752293574</v>
      </c>
      <c r="Y2455" s="19">
        <v>0.15079999999999999</v>
      </c>
      <c r="Z2455" s="19">
        <v>0.1913</v>
      </c>
      <c r="AB2455" s="18">
        <v>10513</v>
      </c>
      <c r="AC2455" s="18">
        <v>3</v>
      </c>
    </row>
    <row r="2456" spans="1:29" ht="15.75" customHeight="1" x14ac:dyDescent="0.2">
      <c r="A2456" s="36" t="str">
        <f>HYPERLINK("https://www.virginia.edu", "University of Virginia-Main Campus")</f>
        <v>University of Virginia-Main Campus</v>
      </c>
      <c r="B2456" s="18" t="s">
        <v>49</v>
      </c>
      <c r="C2456" s="18" t="s">
        <v>83</v>
      </c>
      <c r="D2456" s="18" t="s">
        <v>173</v>
      </c>
      <c r="E2456" s="18">
        <v>1415</v>
      </c>
      <c r="F2456" s="18" t="s">
        <v>35</v>
      </c>
      <c r="J2456" s="19"/>
      <c r="K2456" s="19">
        <v>0.94579999999999997</v>
      </c>
      <c r="L2456" s="19">
        <v>0.80412371099999991</v>
      </c>
      <c r="M2456" s="19">
        <v>0.94920000000000004</v>
      </c>
      <c r="N2456" s="19">
        <v>0.91710000000000003</v>
      </c>
      <c r="O2456" s="19">
        <v>0.92720000000000002</v>
      </c>
      <c r="P2456" s="19">
        <v>0.96099999999999997</v>
      </c>
      <c r="Q2456" s="19"/>
      <c r="R2456" s="20">
        <v>62633</v>
      </c>
      <c r="S2456" s="21" t="str">
        <f>HYPERLINK("https://npc.collegeboard.org/student/app/virginia", "$41085")</f>
        <v>$41085</v>
      </c>
      <c r="T2456" s="20">
        <v>45782</v>
      </c>
      <c r="U2456" s="20">
        <v>53546</v>
      </c>
      <c r="V2456" s="20">
        <v>4140</v>
      </c>
      <c r="W2456" s="20">
        <v>36945.180180180178</v>
      </c>
      <c r="X2456" s="18" t="s">
        <v>37</v>
      </c>
      <c r="Y2456" s="19">
        <v>0.1249</v>
      </c>
      <c r="Z2456" s="19">
        <v>0.41839999999999999</v>
      </c>
      <c r="AB2456" s="18">
        <v>16207</v>
      </c>
      <c r="AC2456" s="18">
        <v>1</v>
      </c>
    </row>
    <row r="2457" spans="1:29" ht="15.75" customHeight="1" x14ac:dyDescent="0.2">
      <c r="A2457" s="36" t="str">
        <f>HYPERLINK("https://www.uwb.edu", "University of Washington-Bothell Campus")</f>
        <v>University of Washington-Bothell Campus</v>
      </c>
      <c r="B2457" s="18" t="s">
        <v>49</v>
      </c>
      <c r="C2457" s="18" t="s">
        <v>184</v>
      </c>
      <c r="D2457" s="18" t="s">
        <v>1084</v>
      </c>
      <c r="E2457" s="18">
        <v>1129</v>
      </c>
      <c r="F2457" s="18" t="s">
        <v>35</v>
      </c>
      <c r="J2457" s="19"/>
      <c r="K2457" s="19">
        <v>0.63619999999999999</v>
      </c>
      <c r="L2457" s="19">
        <v>0.74704761900000005</v>
      </c>
      <c r="M2457" s="19">
        <v>0.61650000000000005</v>
      </c>
      <c r="N2457" s="19">
        <v>0.44440000000000002</v>
      </c>
      <c r="O2457" s="19">
        <v>0.58209999999999995</v>
      </c>
      <c r="P2457" s="19">
        <v>0.71609999999999996</v>
      </c>
      <c r="Q2457" s="19"/>
      <c r="R2457" s="20">
        <v>51348</v>
      </c>
      <c r="S2457" s="21" t="str">
        <f>HYPERLINK("https://www.washington.edu/students/osfa/prospectiveug/aid.est.1.html", "$36145")</f>
        <v>$36145</v>
      </c>
      <c r="T2457" s="20">
        <v>37727</v>
      </c>
      <c r="U2457" s="20">
        <v>45515</v>
      </c>
      <c r="V2457" s="20">
        <v>4614</v>
      </c>
      <c r="W2457" s="20">
        <v>31531.259615384621</v>
      </c>
      <c r="Y2457" s="19">
        <v>0.31790000000000002</v>
      </c>
      <c r="Z2457" s="19">
        <v>0.61470000000000002</v>
      </c>
      <c r="AB2457" s="18">
        <v>5329</v>
      </c>
      <c r="AC2457" s="18">
        <v>4</v>
      </c>
    </row>
    <row r="2458" spans="1:29" ht="15.75" customHeight="1" x14ac:dyDescent="0.2">
      <c r="A2458" s="36" t="str">
        <f>HYPERLINK("https://www.washington.edu", "University of Washington-Seattle Campus")</f>
        <v>University of Washington-Seattle Campus</v>
      </c>
      <c r="B2458" s="18" t="s">
        <v>49</v>
      </c>
      <c r="C2458" s="18" t="s">
        <v>184</v>
      </c>
      <c r="D2458" s="18" t="s">
        <v>472</v>
      </c>
      <c r="E2458" s="18">
        <v>1331</v>
      </c>
      <c r="F2458" s="18" t="s">
        <v>35</v>
      </c>
      <c r="J2458" s="19"/>
      <c r="K2458" s="19">
        <v>0.84389999999999998</v>
      </c>
      <c r="L2458" s="19">
        <v>0.74704761900000005</v>
      </c>
      <c r="M2458" s="19">
        <v>0.84789999999999999</v>
      </c>
      <c r="N2458" s="19">
        <v>0.70089999999999997</v>
      </c>
      <c r="O2458" s="19">
        <v>0.77599999999999991</v>
      </c>
      <c r="P2458" s="19">
        <v>0.87609999999999999</v>
      </c>
      <c r="Q2458" s="19"/>
      <c r="R2458" s="20">
        <v>51159</v>
      </c>
      <c r="S2458" s="21" t="str">
        <f>HYPERLINK("https://www.washington.edu/students/osfa/prospectiveug/aid.est.1.html", "$33295")</f>
        <v>$33295</v>
      </c>
      <c r="T2458" s="20">
        <v>34816</v>
      </c>
      <c r="U2458" s="20">
        <v>43706</v>
      </c>
      <c r="V2458" s="20">
        <v>3504</v>
      </c>
      <c r="W2458" s="20">
        <v>29791.71812080537</v>
      </c>
      <c r="Y2458" s="19">
        <v>0.21310000000000001</v>
      </c>
      <c r="Z2458" s="19">
        <v>0.59519999999999995</v>
      </c>
      <c r="AB2458" s="18">
        <v>30295</v>
      </c>
      <c r="AC2458" s="18">
        <v>3</v>
      </c>
    </row>
    <row r="2459" spans="1:29" ht="15.75" customHeight="1" x14ac:dyDescent="0.2">
      <c r="A2459" s="36" t="str">
        <f>HYPERLINK("https://www.tacoma.uw.edu/", "University of Washington-Tacoma Campus")</f>
        <v>University of Washington-Tacoma Campus</v>
      </c>
      <c r="B2459" s="18" t="s">
        <v>49</v>
      </c>
      <c r="C2459" s="18" t="s">
        <v>184</v>
      </c>
      <c r="D2459" s="18" t="s">
        <v>286</v>
      </c>
      <c r="E2459" s="18">
        <v>1083</v>
      </c>
      <c r="F2459" s="18" t="s">
        <v>35</v>
      </c>
      <c r="J2459" s="19"/>
      <c r="K2459" s="19">
        <v>0.58450000000000002</v>
      </c>
      <c r="L2459" s="19">
        <v>0.74704761900000005</v>
      </c>
      <c r="M2459" s="19">
        <v>0.5595</v>
      </c>
      <c r="N2459" s="19">
        <v>0.5</v>
      </c>
      <c r="O2459" s="19">
        <v>0.51719999999999999</v>
      </c>
      <c r="P2459" s="19">
        <v>0.67310000000000003</v>
      </c>
      <c r="Q2459" s="19"/>
      <c r="R2459" s="20">
        <v>50874</v>
      </c>
      <c r="S2459" s="21" t="str">
        <f>HYPERLINK("https://www.washington.edu/students/osfa/prospectiveug/aid.est.1.html", "$35564")</f>
        <v>$35564</v>
      </c>
      <c r="T2459" s="20">
        <v>37161</v>
      </c>
      <c r="U2459" s="20">
        <v>45375</v>
      </c>
      <c r="V2459" s="20">
        <v>4614</v>
      </c>
      <c r="W2459" s="20">
        <v>30950.449367088611</v>
      </c>
      <c r="Y2459" s="19">
        <v>0.44219999999999998</v>
      </c>
      <c r="Z2459" s="19">
        <v>0.59319999999999995</v>
      </c>
      <c r="AB2459" s="18">
        <v>4412</v>
      </c>
      <c r="AC2459" s="18">
        <v>4</v>
      </c>
    </row>
    <row r="2460" spans="1:29" ht="15.75" customHeight="1" x14ac:dyDescent="0.2">
      <c r="A2460" s="36" t="str">
        <f>HYPERLINK("https://www.uwa.edu", "University of West Alabama")</f>
        <v>University of West Alabama</v>
      </c>
      <c r="B2460" s="18" t="s">
        <v>49</v>
      </c>
      <c r="C2460" s="18" t="s">
        <v>300</v>
      </c>
      <c r="D2460" s="18" t="s">
        <v>1349</v>
      </c>
      <c r="E2460" s="18">
        <v>1041</v>
      </c>
      <c r="F2460" s="18" t="s">
        <v>35</v>
      </c>
      <c r="J2460" s="19"/>
      <c r="K2460" s="19">
        <v>0.33239999999999997</v>
      </c>
      <c r="L2460" s="19">
        <v>0.24318658300000001</v>
      </c>
      <c r="M2460" s="19">
        <v>0.39129999999999998</v>
      </c>
      <c r="N2460" s="19">
        <v>0.2215</v>
      </c>
      <c r="O2460" s="19">
        <v>0.7</v>
      </c>
      <c r="P2460" s="19" t="s">
        <v>36</v>
      </c>
      <c r="Q2460" s="19"/>
      <c r="R2460" s="20">
        <v>28619</v>
      </c>
      <c r="S2460" s="21" t="str">
        <f>HYPERLINK("https://secure.uwa.edu/calculator/npcalc.htm", "$21501")</f>
        <v>$21501</v>
      </c>
      <c r="T2460" s="20">
        <v>24254</v>
      </c>
      <c r="U2460" s="20">
        <v>23200</v>
      </c>
      <c r="V2460" s="20">
        <v>4721</v>
      </c>
      <c r="W2460" s="20">
        <v>16780.8</v>
      </c>
      <c r="Y2460" s="19">
        <v>0.53080000000000005</v>
      </c>
      <c r="Z2460" s="19">
        <v>0.57689999999999997</v>
      </c>
      <c r="AB2460" s="18">
        <v>2106</v>
      </c>
      <c r="AC2460" s="18">
        <v>4</v>
      </c>
    </row>
    <row r="2461" spans="1:29" ht="15.75" customHeight="1" x14ac:dyDescent="0.2">
      <c r="A2461" s="36" t="str">
        <f>HYPERLINK("https://www.westga.edu", "University of West Georgia")</f>
        <v>University of West Georgia</v>
      </c>
      <c r="B2461" s="18" t="s">
        <v>49</v>
      </c>
      <c r="C2461" s="18" t="s">
        <v>107</v>
      </c>
      <c r="D2461" s="18" t="s">
        <v>1351</v>
      </c>
      <c r="E2461" s="18">
        <v>1016</v>
      </c>
      <c r="F2461" s="18" t="s">
        <v>35</v>
      </c>
      <c r="J2461" s="19"/>
      <c r="K2461" s="19">
        <v>0.40489999999999998</v>
      </c>
      <c r="L2461" s="19">
        <v>0.42919964799999999</v>
      </c>
      <c r="M2461" s="19">
        <v>0.39679999999999999</v>
      </c>
      <c r="N2461" s="19">
        <v>0.4163</v>
      </c>
      <c r="O2461" s="19">
        <v>0.35920000000000002</v>
      </c>
      <c r="P2461" s="19">
        <v>0.38100000000000001</v>
      </c>
      <c r="Q2461" s="19"/>
      <c r="R2461" s="20">
        <v>34854</v>
      </c>
      <c r="S2461" s="21" t="str">
        <f>HYPERLINK("https://www.westga.edu/finaid/npcalc/npcalc.htm", "$26870")</f>
        <v>$26870</v>
      </c>
      <c r="T2461" s="20">
        <v>29979</v>
      </c>
      <c r="U2461" s="20">
        <v>31651</v>
      </c>
      <c r="V2461" s="20">
        <v>8400</v>
      </c>
      <c r="W2461" s="20">
        <v>18470.717948717949</v>
      </c>
      <c r="Y2461" s="19">
        <v>0.4728</v>
      </c>
      <c r="Z2461" s="19">
        <v>0.53360000000000007</v>
      </c>
      <c r="AB2461" s="18">
        <v>10468</v>
      </c>
      <c r="AC2461" s="18">
        <v>4</v>
      </c>
    </row>
    <row r="2462" spans="1:29" ht="15.75" customHeight="1" x14ac:dyDescent="0.2">
      <c r="A2462" s="36" t="str">
        <f>HYPERLINK("https://uwc.edu", "University of Wisconsin Colleges")</f>
        <v>University of Wisconsin Colleges</v>
      </c>
      <c r="B2462" s="18" t="s">
        <v>49</v>
      </c>
      <c r="C2462" s="18" t="s">
        <v>196</v>
      </c>
      <c r="D2462" s="18" t="s">
        <v>295</v>
      </c>
      <c r="E2462" s="18">
        <v>1025</v>
      </c>
      <c r="F2462" s="18" t="s">
        <v>35</v>
      </c>
      <c r="J2462" s="19"/>
      <c r="K2462" s="19">
        <v>0.22539999999999999</v>
      </c>
      <c r="L2462" s="19">
        <v>0.20757097799999999</v>
      </c>
      <c r="M2462" s="19">
        <v>0.2417</v>
      </c>
      <c r="N2462" s="19">
        <v>3.7000000000000012E-2</v>
      </c>
      <c r="O2462" s="19">
        <v>0.12640000000000001</v>
      </c>
      <c r="P2462" s="19">
        <v>0.17780000000000001</v>
      </c>
      <c r="Q2462" s="19">
        <v>0.189399132</v>
      </c>
      <c r="R2462" s="20">
        <v>26513</v>
      </c>
      <c r="S2462" s="21" t="str">
        <f>HYPERLINK("https://uwc.edu/money-matters/fin-aid/cost-of-attendance/net-price-calculator", "$18647")</f>
        <v>$18647</v>
      </c>
      <c r="T2462" s="20">
        <v>22486</v>
      </c>
      <c r="U2462" s="20">
        <v>25733</v>
      </c>
      <c r="V2462" s="20">
        <v>5120</v>
      </c>
      <c r="W2462" s="20">
        <v>13527.79264214047</v>
      </c>
      <c r="Y2462" s="19">
        <v>0.24660000000000001</v>
      </c>
      <c r="Z2462" s="19">
        <v>0.2077</v>
      </c>
      <c r="AB2462" s="18">
        <v>9321</v>
      </c>
      <c r="AC2462" s="18">
        <v>6</v>
      </c>
    </row>
    <row r="2463" spans="1:29" ht="15.75" customHeight="1" x14ac:dyDescent="0.2">
      <c r="A2463" s="36" t="str">
        <f>HYPERLINK("https://flex.wisconsin.edu", "University of Wisconsin Colleges")</f>
        <v>University of Wisconsin Colleges</v>
      </c>
      <c r="B2463" s="18" t="s">
        <v>49</v>
      </c>
      <c r="C2463" s="18" t="s">
        <v>196</v>
      </c>
      <c r="D2463" s="18" t="s">
        <v>295</v>
      </c>
      <c r="E2463" s="18" t="s">
        <v>36</v>
      </c>
      <c r="F2463" s="18" t="s">
        <v>35</v>
      </c>
      <c r="J2463" s="19"/>
      <c r="K2463" s="19" t="s">
        <v>36</v>
      </c>
      <c r="L2463" s="19" t="s">
        <v>36</v>
      </c>
      <c r="M2463" s="19" t="s">
        <v>36</v>
      </c>
      <c r="N2463" s="19" t="s">
        <v>36</v>
      </c>
      <c r="O2463" s="19" t="s">
        <v>36</v>
      </c>
      <c r="P2463" s="19" t="s">
        <v>36</v>
      </c>
      <c r="Q2463" s="19" t="s">
        <v>36</v>
      </c>
      <c r="R2463" s="20">
        <v>20520</v>
      </c>
      <c r="S2463" s="21" t="str">
        <f>HYPERLINK("https://flex.wisconsin.edu/tuition-financial-aid/tuition/net-price-calculator/", "Not reported")</f>
        <v>Not reported</v>
      </c>
      <c r="T2463" s="20" t="s">
        <v>36</v>
      </c>
      <c r="U2463" s="20" t="s">
        <v>36</v>
      </c>
      <c r="V2463" s="20">
        <v>5120</v>
      </c>
      <c r="W2463" s="20" t="s">
        <v>36</v>
      </c>
      <c r="Y2463" s="19">
        <v>0</v>
      </c>
      <c r="Z2463" s="19">
        <v>0.12959999999999999</v>
      </c>
      <c r="AB2463" s="18">
        <v>54</v>
      </c>
      <c r="AC2463" s="18">
        <v>6</v>
      </c>
    </row>
    <row r="2464" spans="1:29" ht="15.75" customHeight="1" x14ac:dyDescent="0.2">
      <c r="A2464" s="36" t="str">
        <f>HYPERLINK("https://www.uwec.edu", "University of Wisconsin-Eau Claire")</f>
        <v>University of Wisconsin-Eau Claire</v>
      </c>
      <c r="B2464" s="18" t="s">
        <v>49</v>
      </c>
      <c r="C2464" s="18" t="s">
        <v>196</v>
      </c>
      <c r="D2464" s="18" t="s">
        <v>526</v>
      </c>
      <c r="E2464" s="18">
        <v>1165</v>
      </c>
      <c r="F2464" s="18" t="s">
        <v>35</v>
      </c>
      <c r="J2464" s="19"/>
      <c r="K2464" s="19">
        <v>0.66559999999999997</v>
      </c>
      <c r="L2464" s="19">
        <v>0.59210526299999999</v>
      </c>
      <c r="M2464" s="19">
        <v>0.68</v>
      </c>
      <c r="N2464" s="19">
        <v>0.31580000000000003</v>
      </c>
      <c r="O2464" s="19">
        <v>0.68420000000000003</v>
      </c>
      <c r="P2464" s="19">
        <v>0.55420000000000003</v>
      </c>
      <c r="Q2464" s="19"/>
      <c r="R2464" s="20">
        <v>27990</v>
      </c>
      <c r="S2464" s="21" t="str">
        <f>HYPERLINK("https://www.uwec.edu/tuition-financial-aid", "$18726")</f>
        <v>$18726</v>
      </c>
      <c r="T2464" s="20">
        <v>23318</v>
      </c>
      <c r="U2464" s="20">
        <v>26607</v>
      </c>
      <c r="V2464" s="20">
        <v>3748</v>
      </c>
      <c r="W2464" s="20">
        <v>14978.6974789916</v>
      </c>
      <c r="Y2464" s="19">
        <v>0.22900000000000001</v>
      </c>
      <c r="Z2464" s="19">
        <v>0.1188</v>
      </c>
      <c r="AB2464" s="18">
        <v>10070</v>
      </c>
      <c r="AC2464" s="18">
        <v>3</v>
      </c>
    </row>
    <row r="2465" spans="1:29" ht="15.75" customHeight="1" x14ac:dyDescent="0.2">
      <c r="A2465" s="36" t="str">
        <f>HYPERLINK("https://www.uwgb.edu", "University of Wisconsin-Green Bay")</f>
        <v>University of Wisconsin-Green Bay</v>
      </c>
      <c r="B2465" s="18" t="s">
        <v>49</v>
      </c>
      <c r="C2465" s="18" t="s">
        <v>196</v>
      </c>
      <c r="D2465" s="18" t="s">
        <v>1353</v>
      </c>
      <c r="E2465" s="18">
        <v>1125</v>
      </c>
      <c r="F2465" s="18" t="s">
        <v>35</v>
      </c>
      <c r="J2465" s="19"/>
      <c r="K2465" s="19">
        <v>0.51090000000000002</v>
      </c>
      <c r="L2465" s="19">
        <v>0.44567627500000001</v>
      </c>
      <c r="M2465" s="19">
        <v>0.51990000000000003</v>
      </c>
      <c r="N2465" s="19">
        <v>0.375</v>
      </c>
      <c r="O2465" s="19">
        <v>0.36670000000000003</v>
      </c>
      <c r="P2465" s="19">
        <v>0.63160000000000005</v>
      </c>
      <c r="Q2465" s="19"/>
      <c r="R2465" s="20">
        <v>27184</v>
      </c>
      <c r="S2465" s="21" t="str">
        <f>HYPERLINK("https://www.uwgb.edu/vsa/calculator/", "$17974")</f>
        <v>$17974</v>
      </c>
      <c r="T2465" s="20">
        <v>23280</v>
      </c>
      <c r="U2465" s="20">
        <v>25976</v>
      </c>
      <c r="V2465" s="20">
        <v>4150</v>
      </c>
      <c r="W2465" s="20">
        <v>13824.068965517239</v>
      </c>
      <c r="Y2465" s="19">
        <v>0.27100000000000002</v>
      </c>
      <c r="Z2465" s="19">
        <v>0.157</v>
      </c>
      <c r="AB2465" s="18">
        <v>5503</v>
      </c>
      <c r="AC2465" s="18">
        <v>4</v>
      </c>
    </row>
    <row r="2466" spans="1:29" ht="15.75" customHeight="1" x14ac:dyDescent="0.2">
      <c r="A2466" s="36" t="str">
        <f>HYPERLINK("https://www.uwlax.edu", "University of Wisconsin-La Crosse")</f>
        <v>University of Wisconsin-La Crosse</v>
      </c>
      <c r="B2466" s="18" t="s">
        <v>49</v>
      </c>
      <c r="C2466" s="18" t="s">
        <v>196</v>
      </c>
      <c r="D2466" s="18" t="s">
        <v>527</v>
      </c>
      <c r="E2466" s="18">
        <v>1185</v>
      </c>
      <c r="F2466" s="18" t="s">
        <v>35</v>
      </c>
      <c r="J2466" s="19"/>
      <c r="K2466" s="19">
        <v>0.70550000000000002</v>
      </c>
      <c r="L2466" s="19">
        <v>0.55789473700000003</v>
      </c>
      <c r="M2466" s="19">
        <v>0.71940000000000004</v>
      </c>
      <c r="N2466" s="19">
        <v>0.42859999999999998</v>
      </c>
      <c r="O2466" s="19">
        <v>0.58540000000000003</v>
      </c>
      <c r="P2466" s="19">
        <v>0.48149999999999998</v>
      </c>
      <c r="Q2466" s="19"/>
      <c r="R2466" s="20">
        <v>26055</v>
      </c>
      <c r="S2466" s="21" t="str">
        <f>HYPERLINK("https://www.uwlax.edu/finaid/resources/net-price-calculator/", "$17785")</f>
        <v>$17785</v>
      </c>
      <c r="T2466" s="20">
        <v>22183</v>
      </c>
      <c r="U2466" s="20">
        <v>24748</v>
      </c>
      <c r="V2466" s="20">
        <v>2084</v>
      </c>
      <c r="W2466" s="20">
        <v>15701.8</v>
      </c>
      <c r="Y2466" s="19">
        <v>0.20169999999999999</v>
      </c>
      <c r="Z2466" s="19">
        <v>0.1017</v>
      </c>
      <c r="AB2466" s="18">
        <v>9436</v>
      </c>
      <c r="AC2466" s="18">
        <v>3</v>
      </c>
    </row>
    <row r="2467" spans="1:29" ht="15.75" customHeight="1" x14ac:dyDescent="0.2">
      <c r="A2467" s="36" t="str">
        <f>HYPERLINK("https://www.wisc.edu", "University of Wisconsin-Madison")</f>
        <v>University of Wisconsin-Madison</v>
      </c>
      <c r="B2467" s="18" t="s">
        <v>49</v>
      </c>
      <c r="C2467" s="18" t="s">
        <v>196</v>
      </c>
      <c r="D2467" s="18" t="s">
        <v>295</v>
      </c>
      <c r="E2467" s="18">
        <v>1361</v>
      </c>
      <c r="F2467" s="18" t="s">
        <v>35</v>
      </c>
      <c r="J2467" s="19"/>
      <c r="K2467" s="19">
        <v>0.87229999999999996</v>
      </c>
      <c r="L2467" s="19">
        <v>0.68920676200000008</v>
      </c>
      <c r="M2467" s="19">
        <v>0.8821</v>
      </c>
      <c r="N2467" s="19">
        <v>0.76670000000000005</v>
      </c>
      <c r="O2467" s="19">
        <v>0.80769999999999997</v>
      </c>
      <c r="P2467" s="19">
        <v>0.85709999999999997</v>
      </c>
      <c r="Q2467" s="19"/>
      <c r="R2467" s="20">
        <v>49885</v>
      </c>
      <c r="S2467" s="21" t="str">
        <f>HYPERLINK("https://financialaid.wisc.edu/net-price-calculator/", "$33378")</f>
        <v>$33378</v>
      </c>
      <c r="T2467" s="20">
        <v>41852</v>
      </c>
      <c r="U2467" s="20">
        <v>46912</v>
      </c>
      <c r="V2467" s="20">
        <v>4260</v>
      </c>
      <c r="W2467" s="20">
        <v>29118.580645161292</v>
      </c>
      <c r="Y2467" s="19">
        <v>0.12570000000000001</v>
      </c>
      <c r="Z2467" s="19">
        <v>0.26819999999999999</v>
      </c>
      <c r="AB2467" s="18">
        <v>29930</v>
      </c>
      <c r="AC2467" s="18">
        <v>2</v>
      </c>
    </row>
    <row r="2468" spans="1:29" ht="15.75" customHeight="1" x14ac:dyDescent="0.2">
      <c r="A2468" s="36" t="str">
        <f>HYPERLINK("https://uwm.edu", "University of Wisconsin-Milwaukee")</f>
        <v>University of Wisconsin-Milwaukee</v>
      </c>
      <c r="B2468" s="18" t="s">
        <v>49</v>
      </c>
      <c r="C2468" s="18" t="s">
        <v>196</v>
      </c>
      <c r="D2468" s="18" t="s">
        <v>410</v>
      </c>
      <c r="E2468" s="18">
        <v>1125</v>
      </c>
      <c r="F2468" s="18" t="s">
        <v>35</v>
      </c>
      <c r="J2468" s="19"/>
      <c r="K2468" s="19">
        <v>0.4148</v>
      </c>
      <c r="L2468" s="19">
        <v>0.41033755300000002</v>
      </c>
      <c r="M2468" s="19">
        <v>0.45550000000000002</v>
      </c>
      <c r="N2468" s="19">
        <v>0.1608</v>
      </c>
      <c r="O2468" s="19">
        <v>0.27879999999999999</v>
      </c>
      <c r="P2468" s="19">
        <v>0.43799999999999989</v>
      </c>
      <c r="Q2468" s="19"/>
      <c r="R2468" s="20">
        <v>35510</v>
      </c>
      <c r="S2468" s="21" t="str">
        <f>HYPERLINK("https://uwm.edu/onestop/finances/net-price-calculator/", "$25531")</f>
        <v>$25531</v>
      </c>
      <c r="T2468" s="20">
        <v>30511</v>
      </c>
      <c r="U2468" s="20">
        <v>34169</v>
      </c>
      <c r="V2468" s="20">
        <v>4106</v>
      </c>
      <c r="W2468" s="20">
        <v>21425.936974789922</v>
      </c>
      <c r="Y2468" s="19">
        <v>0.34310000000000002</v>
      </c>
      <c r="Z2468" s="19">
        <v>0.34050000000000002</v>
      </c>
      <c r="AB2468" s="18">
        <v>19436</v>
      </c>
      <c r="AC2468" s="18">
        <v>4</v>
      </c>
    </row>
    <row r="2469" spans="1:29" ht="15.75" customHeight="1" x14ac:dyDescent="0.2">
      <c r="A2469" s="36" t="str">
        <f>HYPERLINK("https://flex.wisconsin.edu", "University of Wisconsin-Milwaukee")</f>
        <v>University of Wisconsin-Milwaukee</v>
      </c>
      <c r="B2469" s="18" t="s">
        <v>49</v>
      </c>
      <c r="C2469" s="18" t="s">
        <v>196</v>
      </c>
      <c r="D2469" s="18" t="s">
        <v>410</v>
      </c>
      <c r="E2469" s="18" t="s">
        <v>36</v>
      </c>
      <c r="F2469" s="18" t="s">
        <v>35</v>
      </c>
      <c r="J2469" s="19"/>
      <c r="K2469" s="19" t="s">
        <v>36</v>
      </c>
      <c r="L2469" s="19" t="s">
        <v>36</v>
      </c>
      <c r="M2469" s="19" t="s">
        <v>36</v>
      </c>
      <c r="N2469" s="19" t="s">
        <v>36</v>
      </c>
      <c r="O2469" s="19" t="s">
        <v>36</v>
      </c>
      <c r="P2469" s="19" t="s">
        <v>36</v>
      </c>
      <c r="Q2469" s="19"/>
      <c r="R2469" s="20">
        <v>19990</v>
      </c>
      <c r="S2469" s="21" t="str">
        <f>HYPERLINK("https://flex.wisconsin.edu/tuition-financial-aid/tuition/net-price-calculator/", "Not reported")</f>
        <v>Not reported</v>
      </c>
      <c r="T2469" s="20" t="s">
        <v>36</v>
      </c>
      <c r="U2469" s="20" t="s">
        <v>36</v>
      </c>
      <c r="V2469" s="20">
        <v>2500</v>
      </c>
      <c r="W2469" s="20" t="s">
        <v>36</v>
      </c>
      <c r="Y2469" s="19">
        <v>3.2899999999999999E-2</v>
      </c>
      <c r="Z2469" s="19">
        <v>0.44309999999999999</v>
      </c>
      <c r="AB2469" s="18">
        <v>501</v>
      </c>
      <c r="AC2469" s="18">
        <v>4</v>
      </c>
    </row>
    <row r="2470" spans="1:29" ht="15.75" customHeight="1" x14ac:dyDescent="0.2">
      <c r="A2470" s="36" t="str">
        <f>HYPERLINK("https://www.uwosh.edu", "University of Wisconsin-Oshkosh")</f>
        <v>University of Wisconsin-Oshkosh</v>
      </c>
      <c r="B2470" s="18" t="s">
        <v>49</v>
      </c>
      <c r="C2470" s="18" t="s">
        <v>196</v>
      </c>
      <c r="D2470" s="18" t="s">
        <v>910</v>
      </c>
      <c r="E2470" s="18">
        <v>1105</v>
      </c>
      <c r="F2470" s="18" t="s">
        <v>35</v>
      </c>
      <c r="J2470" s="19"/>
      <c r="K2470" s="19">
        <v>0.52339999999999998</v>
      </c>
      <c r="L2470" s="19">
        <v>0.46288209600000002</v>
      </c>
      <c r="M2470" s="19">
        <v>0.54820000000000002</v>
      </c>
      <c r="N2470" s="19">
        <v>0.26469999999999999</v>
      </c>
      <c r="O2470" s="19">
        <v>0.34689999999999999</v>
      </c>
      <c r="P2470" s="19">
        <v>0.39729999999999999</v>
      </c>
      <c r="Q2470" s="19"/>
      <c r="R2470" s="20">
        <v>26652</v>
      </c>
      <c r="S2470" s="21" t="str">
        <f>HYPERLINK("https://www.uwosh.edu/vsacalculator/financial-aid-award-estimator", "$18365")</f>
        <v>$18365</v>
      </c>
      <c r="T2470" s="20">
        <v>22833</v>
      </c>
      <c r="U2470" s="20">
        <v>25554</v>
      </c>
      <c r="V2470" s="20">
        <v>3700</v>
      </c>
      <c r="W2470" s="20">
        <v>14665.42790697674</v>
      </c>
      <c r="Y2470" s="19">
        <v>0.2208</v>
      </c>
      <c r="Z2470" s="19">
        <v>0.1515</v>
      </c>
      <c r="AB2470" s="18">
        <v>9162</v>
      </c>
      <c r="AC2470" s="18">
        <v>5</v>
      </c>
    </row>
    <row r="2471" spans="1:29" ht="15.75" customHeight="1" x14ac:dyDescent="0.2">
      <c r="A2471" s="36" t="str">
        <f>HYPERLINK("https://www.uwp.edu", "University of Wisconsin-Parkside")</f>
        <v>University of Wisconsin-Parkside</v>
      </c>
      <c r="B2471" s="18" t="s">
        <v>49</v>
      </c>
      <c r="C2471" s="18" t="s">
        <v>196</v>
      </c>
      <c r="D2471" s="18" t="s">
        <v>625</v>
      </c>
      <c r="E2471" s="18">
        <v>1045</v>
      </c>
      <c r="F2471" s="18" t="s">
        <v>35</v>
      </c>
      <c r="J2471" s="19"/>
      <c r="K2471" s="19">
        <v>0.3402</v>
      </c>
      <c r="L2471" s="19">
        <v>0.33333333300000001</v>
      </c>
      <c r="M2471" s="19">
        <v>0.37340000000000001</v>
      </c>
      <c r="N2471" s="19">
        <v>0.2432</v>
      </c>
      <c r="O2471" s="19">
        <v>0.30859999999999999</v>
      </c>
      <c r="P2471" s="19">
        <v>0.3846</v>
      </c>
      <c r="Q2471" s="19"/>
      <c r="R2471" s="20">
        <v>28072</v>
      </c>
      <c r="S2471" s="21" t="str">
        <f>HYPERLINK("https://www.uwp.edu/live/offices/financialaid/npcalculator.cfm", "$19577")</f>
        <v>$19577</v>
      </c>
      <c r="T2471" s="20">
        <v>23492</v>
      </c>
      <c r="U2471" s="20">
        <v>27143</v>
      </c>
      <c r="V2471" s="20">
        <v>5182</v>
      </c>
      <c r="W2471" s="20">
        <v>14395.974358974359</v>
      </c>
      <c r="Y2471" s="19">
        <v>0.39550000000000002</v>
      </c>
      <c r="Z2471" s="19">
        <v>0.35129999999999989</v>
      </c>
      <c r="AB2471" s="18">
        <v>4056</v>
      </c>
      <c r="AC2471" s="18">
        <v>5</v>
      </c>
    </row>
    <row r="2472" spans="1:29" ht="15.75" customHeight="1" x14ac:dyDescent="0.2">
      <c r="A2472" s="36" t="str">
        <f>HYPERLINK("https://flex.wisconsin.edu", "University of Wisconsin-Parkside")</f>
        <v>University of Wisconsin-Parkside</v>
      </c>
      <c r="B2472" s="18" t="s">
        <v>49</v>
      </c>
      <c r="C2472" s="18" t="s">
        <v>196</v>
      </c>
      <c r="D2472" s="18" t="s">
        <v>625</v>
      </c>
      <c r="E2472" s="18" t="s">
        <v>36</v>
      </c>
      <c r="F2472" s="18" t="s">
        <v>35</v>
      </c>
      <c r="J2472" s="19"/>
      <c r="K2472" s="19" t="s">
        <v>36</v>
      </c>
      <c r="L2472" s="19" t="s">
        <v>36</v>
      </c>
      <c r="M2472" s="19" t="s">
        <v>36</v>
      </c>
      <c r="N2472" s="19" t="s">
        <v>36</v>
      </c>
      <c r="O2472" s="19" t="s">
        <v>36</v>
      </c>
      <c r="P2472" s="19" t="s">
        <v>36</v>
      </c>
      <c r="Q2472" s="19"/>
      <c r="R2472" s="20" t="s">
        <v>36</v>
      </c>
      <c r="S2472" s="21" t="str">
        <f>HYPERLINK("https://flex.wisconsin.edu/tuition-financial-aid/tuition/net-price-calculator/", "Not reported")</f>
        <v>Not reported</v>
      </c>
      <c r="T2472" s="20" t="s">
        <v>36</v>
      </c>
      <c r="U2472" s="20" t="s">
        <v>36</v>
      </c>
      <c r="V2472" s="20" t="s">
        <v>36</v>
      </c>
      <c r="W2472" s="20" t="s">
        <v>36</v>
      </c>
      <c r="Y2472" s="19">
        <v>0</v>
      </c>
      <c r="Z2472" s="19">
        <v>0</v>
      </c>
      <c r="AB2472" s="18">
        <v>5</v>
      </c>
      <c r="AC2472" s="18">
        <v>5</v>
      </c>
    </row>
    <row r="2473" spans="1:29" ht="15.75" customHeight="1" x14ac:dyDescent="0.2">
      <c r="A2473" s="36" t="str">
        <f>HYPERLINK("https://www.uwplatt.edu", "University of Wisconsin-Platteville")</f>
        <v>University of Wisconsin-Platteville</v>
      </c>
      <c r="B2473" s="18" t="s">
        <v>49</v>
      </c>
      <c r="C2473" s="18" t="s">
        <v>196</v>
      </c>
      <c r="D2473" s="18" t="s">
        <v>1355</v>
      </c>
      <c r="E2473" s="18">
        <v>1165</v>
      </c>
      <c r="F2473" s="18" t="s">
        <v>35</v>
      </c>
      <c r="J2473" s="19"/>
      <c r="K2473" s="19">
        <v>0.52829999999999999</v>
      </c>
      <c r="L2473" s="19">
        <v>0.51212937999999997</v>
      </c>
      <c r="M2473" s="19">
        <v>0.54759999999999998</v>
      </c>
      <c r="N2473" s="19">
        <v>0.1351</v>
      </c>
      <c r="O2473" s="19">
        <v>0.42220000000000002</v>
      </c>
      <c r="P2473" s="19">
        <v>0.5</v>
      </c>
      <c r="Q2473" s="19"/>
      <c r="R2473" s="20">
        <v>26762</v>
      </c>
      <c r="S2473" s="21" t="str">
        <f>HYPERLINK("https://www.uwplatt.edu/financial-aid/net-price-calculator", "$18404")</f>
        <v>$18404</v>
      </c>
      <c r="T2473" s="20">
        <v>22719</v>
      </c>
      <c r="U2473" s="20">
        <v>25758</v>
      </c>
      <c r="V2473" s="20">
        <v>3850</v>
      </c>
      <c r="W2473" s="20">
        <v>14554.219512195121</v>
      </c>
      <c r="Y2473" s="19">
        <v>0.24340000000000001</v>
      </c>
      <c r="Z2473" s="19">
        <v>0.10329999999999991</v>
      </c>
      <c r="AB2473" s="18">
        <v>7496</v>
      </c>
      <c r="AC2473" s="18">
        <v>4</v>
      </c>
    </row>
    <row r="2474" spans="1:29" ht="15.75" customHeight="1" x14ac:dyDescent="0.2">
      <c r="A2474" s="36" t="str">
        <f>HYPERLINK("https://www.uwrf.edu", "University of Wisconsin-River Falls")</f>
        <v>University of Wisconsin-River Falls</v>
      </c>
      <c r="B2474" s="18" t="s">
        <v>49</v>
      </c>
      <c r="C2474" s="18" t="s">
        <v>196</v>
      </c>
      <c r="D2474" s="18" t="s">
        <v>916</v>
      </c>
      <c r="E2474" s="18">
        <v>1125</v>
      </c>
      <c r="F2474" s="18" t="s">
        <v>35</v>
      </c>
      <c r="J2474" s="19"/>
      <c r="K2474" s="19">
        <v>0.52910000000000001</v>
      </c>
      <c r="L2474" s="19">
        <v>0.50708215299999992</v>
      </c>
      <c r="M2474" s="19">
        <v>0.55600000000000005</v>
      </c>
      <c r="N2474" s="19">
        <v>0.20830000000000001</v>
      </c>
      <c r="O2474" s="19">
        <v>0.37040000000000001</v>
      </c>
      <c r="P2474" s="19">
        <v>0.27079999999999999</v>
      </c>
      <c r="Q2474" s="19"/>
      <c r="R2474" s="20">
        <v>27461</v>
      </c>
      <c r="S2474" s="21" t="str">
        <f>HYPERLINK("https://www.uwrf.edu/FinancialAid/NetPriceCalculator.cfm", "$19479")</f>
        <v>$19479</v>
      </c>
      <c r="T2474" s="20">
        <v>23768</v>
      </c>
      <c r="U2474" s="20">
        <v>26057</v>
      </c>
      <c r="V2474" s="20">
        <v>4115</v>
      </c>
      <c r="W2474" s="20">
        <v>15364</v>
      </c>
      <c r="Y2474" s="19">
        <v>0.28249999999999997</v>
      </c>
      <c r="Z2474" s="19">
        <v>0.1231</v>
      </c>
      <c r="AB2474" s="18">
        <v>5515</v>
      </c>
      <c r="AC2474" s="18">
        <v>5</v>
      </c>
    </row>
    <row r="2475" spans="1:29" ht="15.75" customHeight="1" x14ac:dyDescent="0.2">
      <c r="A2475" s="36" t="str">
        <f>HYPERLINK("https://www.uwsp.edu", "University of Wisconsin-Stevens Point")</f>
        <v>University of Wisconsin-Stevens Point</v>
      </c>
      <c r="B2475" s="18" t="s">
        <v>49</v>
      </c>
      <c r="C2475" s="18" t="s">
        <v>196</v>
      </c>
      <c r="D2475" s="18" t="s">
        <v>1356</v>
      </c>
      <c r="E2475" s="18">
        <v>1125</v>
      </c>
      <c r="F2475" s="18" t="s">
        <v>35</v>
      </c>
      <c r="J2475" s="19"/>
      <c r="K2475" s="19">
        <v>0.6502</v>
      </c>
      <c r="L2475" s="19">
        <v>0.52815533999999997</v>
      </c>
      <c r="M2475" s="19">
        <v>0.6613</v>
      </c>
      <c r="N2475" s="19">
        <v>0.52170000000000005</v>
      </c>
      <c r="O2475" s="19">
        <v>0.54349999999999998</v>
      </c>
      <c r="P2475" s="19">
        <v>0.61760000000000004</v>
      </c>
      <c r="Q2475" s="19"/>
      <c r="R2475" s="20">
        <v>27195</v>
      </c>
      <c r="S2475" s="21" t="str">
        <f>HYPERLINK("https://www.uwsp.edu/finaid/Pages/NetPriceCalculator/npcalc.htm", "$18592")</f>
        <v>$18592</v>
      </c>
      <c r="T2475" s="20">
        <v>22758</v>
      </c>
      <c r="U2475" s="20">
        <v>25969</v>
      </c>
      <c r="V2475" s="20">
        <v>3428</v>
      </c>
      <c r="W2475" s="20">
        <v>15164.69858156028</v>
      </c>
      <c r="Y2475" s="19">
        <v>0.32340000000000002</v>
      </c>
      <c r="Z2475" s="19">
        <v>0.1363</v>
      </c>
      <c r="AB2475" s="18">
        <v>7768</v>
      </c>
      <c r="AC2475" s="18">
        <v>4</v>
      </c>
    </row>
    <row r="2476" spans="1:29" ht="15.75" customHeight="1" x14ac:dyDescent="0.2">
      <c r="A2476" s="36" t="str">
        <f>HYPERLINK("https://www.uwstout.edu", "University of Wisconsin-Stout")</f>
        <v>University of Wisconsin-Stout</v>
      </c>
      <c r="B2476" s="18" t="s">
        <v>49</v>
      </c>
      <c r="C2476" s="18" t="s">
        <v>196</v>
      </c>
      <c r="D2476" s="18" t="s">
        <v>1357</v>
      </c>
      <c r="E2476" s="18">
        <v>1105</v>
      </c>
      <c r="F2476" s="18" t="s">
        <v>35</v>
      </c>
      <c r="J2476" s="19"/>
      <c r="K2476" s="19">
        <v>0.54249999999999998</v>
      </c>
      <c r="L2476" s="19">
        <v>0.521226415</v>
      </c>
      <c r="M2476" s="19">
        <v>0.55269999999999997</v>
      </c>
      <c r="N2476" s="19">
        <v>0.36840000000000001</v>
      </c>
      <c r="O2476" s="19">
        <v>0.55559999999999998</v>
      </c>
      <c r="P2476" s="19">
        <v>0.52080000000000004</v>
      </c>
      <c r="Q2476" s="19"/>
      <c r="R2476" s="20">
        <v>27687</v>
      </c>
      <c r="S2476" s="21" t="str">
        <f>HYPERLINK("https://www2.uwstout.edu/content/finaid/vsa/", "$19542")</f>
        <v>$19542</v>
      </c>
      <c r="T2476" s="20">
        <v>23510</v>
      </c>
      <c r="U2476" s="20">
        <v>26242</v>
      </c>
      <c r="V2476" s="20">
        <v>3550</v>
      </c>
      <c r="W2476" s="20">
        <v>15992.139303482591</v>
      </c>
      <c r="Y2476" s="19">
        <v>0.26240000000000002</v>
      </c>
      <c r="Z2476" s="19">
        <v>0.1283</v>
      </c>
      <c r="AB2476" s="18">
        <v>7955</v>
      </c>
      <c r="AC2476" s="18">
        <v>4</v>
      </c>
    </row>
    <row r="2477" spans="1:29" ht="15.75" customHeight="1" x14ac:dyDescent="0.2">
      <c r="A2477" s="36" t="str">
        <f>HYPERLINK("https://www.uwsuper.edu", "University of Wisconsin-Superior")</f>
        <v>University of Wisconsin-Superior</v>
      </c>
      <c r="B2477" s="18" t="s">
        <v>49</v>
      </c>
      <c r="C2477" s="18" t="s">
        <v>196</v>
      </c>
      <c r="D2477" s="18" t="s">
        <v>1359</v>
      </c>
      <c r="E2477" s="18">
        <v>1045</v>
      </c>
      <c r="F2477" s="18" t="s">
        <v>35</v>
      </c>
      <c r="J2477" s="19"/>
      <c r="K2477" s="19">
        <v>0.434</v>
      </c>
      <c r="L2477" s="19">
        <v>0.40802675599999999</v>
      </c>
      <c r="M2477" s="19">
        <v>0.44030000000000002</v>
      </c>
      <c r="N2477" s="19">
        <v>0.5</v>
      </c>
      <c r="O2477" s="19">
        <v>0</v>
      </c>
      <c r="P2477" s="19">
        <v>0.16669999999999999</v>
      </c>
      <c r="Q2477" s="19"/>
      <c r="R2477" s="20">
        <v>27412</v>
      </c>
      <c r="S2477" s="21" t="str">
        <f>HYPERLINK("https://www.uwsuper.edu/finaid/calculator", "$17517")</f>
        <v>$17517</v>
      </c>
      <c r="T2477" s="20">
        <v>22924</v>
      </c>
      <c r="U2477" s="20">
        <v>25242</v>
      </c>
      <c r="V2477" s="20">
        <v>5020</v>
      </c>
      <c r="W2477" s="20">
        <v>12497.64864864865</v>
      </c>
      <c r="Y2477" s="19">
        <v>0.35699999999999998</v>
      </c>
      <c r="Z2477" s="19">
        <v>0.2044</v>
      </c>
      <c r="AB2477" s="18">
        <v>2241</v>
      </c>
      <c r="AC2477" s="18">
        <v>4</v>
      </c>
    </row>
    <row r="2478" spans="1:29" ht="15.75" customHeight="1" x14ac:dyDescent="0.2">
      <c r="A2478" s="36" t="str">
        <f>HYPERLINK("https://www.uww.edu", "University of Wisconsin-Whitewater")</f>
        <v>University of Wisconsin-Whitewater</v>
      </c>
      <c r="B2478" s="18" t="s">
        <v>49</v>
      </c>
      <c r="C2478" s="18" t="s">
        <v>196</v>
      </c>
      <c r="D2478" s="18" t="s">
        <v>1360</v>
      </c>
      <c r="E2478" s="18">
        <v>1105</v>
      </c>
      <c r="F2478" s="18" t="s">
        <v>35</v>
      </c>
      <c r="J2478" s="19"/>
      <c r="K2478" s="19">
        <v>0.61670000000000003</v>
      </c>
      <c r="L2478" s="19">
        <v>0.46985815600000003</v>
      </c>
      <c r="M2478" s="19">
        <v>0.63500000000000001</v>
      </c>
      <c r="N2478" s="19">
        <v>0.37859999999999999</v>
      </c>
      <c r="O2478" s="19">
        <v>0.54759999999999998</v>
      </c>
      <c r="P2478" s="19">
        <v>0.59260000000000002</v>
      </c>
      <c r="Q2478" s="19"/>
      <c r="R2478" s="20">
        <v>26377</v>
      </c>
      <c r="S2478" s="21" t="str">
        <f>HYPERLINK("https://www.uww.edu/students/financial-aid-award-estimator", "$18251")</f>
        <v>$18251</v>
      </c>
      <c r="T2478" s="20">
        <v>22172</v>
      </c>
      <c r="U2478" s="20">
        <v>25339</v>
      </c>
      <c r="V2478" s="20">
        <v>3700</v>
      </c>
      <c r="W2478" s="20">
        <v>14551.76</v>
      </c>
      <c r="Y2478" s="19">
        <v>0.26300000000000001</v>
      </c>
      <c r="Z2478" s="19">
        <v>0.18129999999999999</v>
      </c>
      <c r="AB2478" s="18">
        <v>10543</v>
      </c>
      <c r="AC2478" s="18">
        <v>4</v>
      </c>
    </row>
    <row r="2479" spans="1:29" ht="15.75" customHeight="1" x14ac:dyDescent="0.2">
      <c r="A2479" s="36" t="str">
        <f>HYPERLINK("https://www.uwyo.edu", "University of Wyoming")</f>
        <v>University of Wyoming</v>
      </c>
      <c r="B2479" s="18" t="s">
        <v>49</v>
      </c>
      <c r="C2479" s="18" t="s">
        <v>1086</v>
      </c>
      <c r="D2479" s="18" t="s">
        <v>1361</v>
      </c>
      <c r="E2479" s="18">
        <v>1195</v>
      </c>
      <c r="F2479" s="18" t="s">
        <v>35</v>
      </c>
      <c r="J2479" s="19"/>
      <c r="K2479" s="19">
        <v>0.58200000000000007</v>
      </c>
      <c r="L2479" s="19">
        <v>0.47937411099999999</v>
      </c>
      <c r="M2479" s="19">
        <v>0.58809999999999996</v>
      </c>
      <c r="N2479" s="19">
        <v>0.46150000000000002</v>
      </c>
      <c r="O2479" s="19">
        <v>0.55649999999999999</v>
      </c>
      <c r="P2479" s="19">
        <v>0.72219999999999995</v>
      </c>
      <c r="Q2479" s="19"/>
      <c r="R2479" s="20">
        <v>31387</v>
      </c>
      <c r="S2479" s="21" t="str">
        <f>HYPERLINK("https://www.uwyo.edu/sfa/net-price-calculator/npcalc.htm", "$21104")</f>
        <v>$21104</v>
      </c>
      <c r="T2479" s="20">
        <v>24906</v>
      </c>
      <c r="U2479" s="20">
        <v>26763</v>
      </c>
      <c r="V2479" s="20">
        <v>4240</v>
      </c>
      <c r="W2479" s="20">
        <v>16864.15966386555</v>
      </c>
      <c r="Y2479" s="19">
        <v>0.21290000000000001</v>
      </c>
      <c r="Z2479" s="19">
        <v>0.28549999999999998</v>
      </c>
      <c r="AB2479" s="18">
        <v>9623</v>
      </c>
      <c r="AC2479" s="18">
        <v>4</v>
      </c>
    </row>
    <row r="2480" spans="1:29" ht="15.75" customHeight="1" x14ac:dyDescent="0.2">
      <c r="A2480" s="36" t="str">
        <f>HYPERLINK("https://www.ucumberlands.edu", "University of the Cumberlands")</f>
        <v>University of the Cumberlands</v>
      </c>
      <c r="B2480" s="18" t="s">
        <v>32</v>
      </c>
      <c r="C2480" s="18" t="s">
        <v>205</v>
      </c>
      <c r="D2480" s="18" t="s">
        <v>84</v>
      </c>
      <c r="E2480" s="18">
        <v>1092</v>
      </c>
      <c r="F2480" s="18" t="s">
        <v>35</v>
      </c>
      <c r="J2480" s="19"/>
      <c r="K2480" s="19">
        <v>0.40849999999999997</v>
      </c>
      <c r="L2480" s="19">
        <v>0.32978723399999998</v>
      </c>
      <c r="M2480" s="19">
        <v>0.43969999999999998</v>
      </c>
      <c r="N2480" s="19">
        <v>0.1429</v>
      </c>
      <c r="O2480" s="19">
        <v>9.0899999999999995E-2</v>
      </c>
      <c r="P2480" s="19">
        <v>0</v>
      </c>
      <c r="Q2480" s="19"/>
      <c r="R2480" s="20">
        <v>38400</v>
      </c>
      <c r="S2480" s="21" t="str">
        <f>HYPERLINK("https://ucumberlands.studentaidcalculator.com/survey.aspx", "$17439")</f>
        <v>$17439</v>
      </c>
      <c r="T2480" s="20">
        <v>20295</v>
      </c>
      <c r="U2480" s="20">
        <v>22069</v>
      </c>
      <c r="V2480" s="20">
        <v>6400</v>
      </c>
      <c r="W2480" s="20">
        <v>11039</v>
      </c>
      <c r="Y2480" s="19">
        <v>0.317</v>
      </c>
      <c r="Z2480" s="19">
        <v>0.47960000000000003</v>
      </c>
      <c r="AB2480" s="18">
        <v>2085</v>
      </c>
      <c r="AC2480" s="18">
        <v>4</v>
      </c>
    </row>
    <row r="2481" spans="1:29" ht="15.75" customHeight="1" x14ac:dyDescent="0.2">
      <c r="A2481" s="36" t="str">
        <f>HYPERLINK("https://www.udc.edu", "University of the District of Columbia")</f>
        <v>University of the District of Columbia</v>
      </c>
      <c r="B2481" s="18" t="s">
        <v>49</v>
      </c>
      <c r="C2481" s="18" t="s">
        <v>113</v>
      </c>
      <c r="D2481" s="18" t="s">
        <v>114</v>
      </c>
      <c r="E2481" s="18" t="s">
        <v>36</v>
      </c>
      <c r="F2481" s="18" t="s">
        <v>36</v>
      </c>
      <c r="J2481" s="19"/>
      <c r="K2481" s="19">
        <v>0.159</v>
      </c>
      <c r="L2481" s="19">
        <v>0.198984772</v>
      </c>
      <c r="M2481" s="19">
        <v>0.1111</v>
      </c>
      <c r="N2481" s="19">
        <v>0.1182</v>
      </c>
      <c r="O2481" s="19">
        <v>0.2</v>
      </c>
      <c r="P2481" s="19">
        <v>0</v>
      </c>
      <c r="Q2481" s="19"/>
      <c r="R2481" s="20">
        <v>34524</v>
      </c>
      <c r="S2481" s="21" t="str">
        <f>HYPERLINK("https://www.udc.edu/custom/cost_calculator/npcalc.htm", "$27820")</f>
        <v>$27820</v>
      </c>
      <c r="T2481" s="20">
        <v>28805</v>
      </c>
      <c r="U2481" s="20">
        <v>34524</v>
      </c>
      <c r="V2481" s="20">
        <v>6007</v>
      </c>
      <c r="W2481" s="20">
        <v>21813.01960784314</v>
      </c>
      <c r="Y2481" s="19">
        <v>0.47089999999999999</v>
      </c>
      <c r="Z2481" s="19">
        <v>0.96279999999999999</v>
      </c>
      <c r="AB2481" s="18">
        <v>3606</v>
      </c>
      <c r="AC2481" s="18">
        <v>5</v>
      </c>
    </row>
    <row r="2482" spans="1:29" ht="15.75" customHeight="1" x14ac:dyDescent="0.2">
      <c r="A2482" s="36" t="str">
        <f>HYPERLINK("https://www.uiw.edu", "University of the Incarnate Word")</f>
        <v>University of the Incarnate Word</v>
      </c>
      <c r="B2482" s="18" t="s">
        <v>32</v>
      </c>
      <c r="C2482" s="18" t="s">
        <v>146</v>
      </c>
      <c r="D2482" s="18" t="s">
        <v>268</v>
      </c>
      <c r="E2482" s="18">
        <v>1028</v>
      </c>
      <c r="F2482" s="18" t="s">
        <v>35</v>
      </c>
      <c r="J2482" s="19"/>
      <c r="K2482" s="19">
        <v>0.53420000000000001</v>
      </c>
      <c r="L2482" s="19">
        <v>0.53162393200000002</v>
      </c>
      <c r="M2482" s="19">
        <v>0.53939999999999999</v>
      </c>
      <c r="N2482" s="19">
        <v>0.375</v>
      </c>
      <c r="O2482" s="19">
        <v>0.54979999999999996</v>
      </c>
      <c r="P2482" s="19">
        <v>0.66669999999999996</v>
      </c>
      <c r="Q2482" s="19"/>
      <c r="R2482" s="20">
        <v>46766</v>
      </c>
      <c r="S2482" s="21" t="str">
        <f>HYPERLINK("https://www.uiw.edu/finaid/estimateyourcosts2.html", "$18427")</f>
        <v>$18427</v>
      </c>
      <c r="T2482" s="20">
        <v>22172</v>
      </c>
      <c r="U2482" s="20">
        <v>24837</v>
      </c>
      <c r="V2482" s="20">
        <v>4340</v>
      </c>
      <c r="W2482" s="20">
        <v>14087</v>
      </c>
      <c r="Y2482" s="19">
        <v>0.38769999999999999</v>
      </c>
      <c r="Z2482" s="19">
        <v>0.80630000000000002</v>
      </c>
      <c r="AB2482" s="18">
        <v>5807</v>
      </c>
      <c r="AC2482" s="18">
        <v>4</v>
      </c>
    </row>
    <row r="2483" spans="1:29" ht="15.75" customHeight="1" x14ac:dyDescent="0.2">
      <c r="A2483" s="36" t="str">
        <f>HYPERLINK("https://www.ozarks.edu", "University of the Ozarks")</f>
        <v>University of the Ozarks</v>
      </c>
      <c r="B2483" s="18" t="s">
        <v>32</v>
      </c>
      <c r="C2483" s="18" t="s">
        <v>371</v>
      </c>
      <c r="D2483" s="18" t="s">
        <v>564</v>
      </c>
      <c r="E2483" s="18">
        <v>1047</v>
      </c>
      <c r="F2483" s="18" t="s">
        <v>115</v>
      </c>
      <c r="J2483" s="19"/>
      <c r="K2483" s="19">
        <v>0.50539999999999996</v>
      </c>
      <c r="L2483" s="19">
        <v>0.28571428599999998</v>
      </c>
      <c r="M2483" s="19">
        <v>0.52339999999999998</v>
      </c>
      <c r="N2483" s="19">
        <v>0.1</v>
      </c>
      <c r="O2483" s="19">
        <v>0.5</v>
      </c>
      <c r="P2483" s="19" t="s">
        <v>36</v>
      </c>
      <c r="Q2483" s="19"/>
      <c r="R2483" s="20">
        <v>36435</v>
      </c>
      <c r="S2483" s="21" t="str">
        <f>HYPERLINK("https://ozarks.edu/new-student/cost-and-aid/applying-financial-aid/", "$13334")</f>
        <v>$13334</v>
      </c>
      <c r="T2483" s="20">
        <v>17021</v>
      </c>
      <c r="U2483" s="20">
        <v>21548</v>
      </c>
      <c r="V2483" s="20">
        <v>5385</v>
      </c>
      <c r="W2483" s="20">
        <v>7949</v>
      </c>
      <c r="Y2483" s="19">
        <v>0.42420000000000002</v>
      </c>
      <c r="Z2483" s="19">
        <v>0.46710000000000002</v>
      </c>
      <c r="AB2483" s="18">
        <v>745</v>
      </c>
      <c r="AC2483" s="18">
        <v>4</v>
      </c>
    </row>
    <row r="2484" spans="1:29" ht="15.75" customHeight="1" x14ac:dyDescent="0.2">
      <c r="A2484" s="36" t="str">
        <f>HYPERLINK("https://www.pacific.edu", "University of the Pacific")</f>
        <v>University of the Pacific</v>
      </c>
      <c r="B2484" s="18" t="s">
        <v>32</v>
      </c>
      <c r="C2484" s="18" t="s">
        <v>68</v>
      </c>
      <c r="D2484" s="18" t="s">
        <v>528</v>
      </c>
      <c r="E2484" s="18">
        <v>1220</v>
      </c>
      <c r="F2484" s="18" t="s">
        <v>35</v>
      </c>
      <c r="J2484" s="19"/>
      <c r="K2484" s="19">
        <v>0.70450000000000002</v>
      </c>
      <c r="L2484" s="19">
        <v>0.53873239399999995</v>
      </c>
      <c r="M2484" s="19">
        <v>0.69650000000000001</v>
      </c>
      <c r="N2484" s="19">
        <v>0.55000000000000004</v>
      </c>
      <c r="O2484" s="19">
        <v>0.6774</v>
      </c>
      <c r="P2484" s="19">
        <v>0.79679999999999995</v>
      </c>
      <c r="Q2484" s="19"/>
      <c r="R2484" s="20">
        <v>64796</v>
      </c>
      <c r="S2484" s="21" t="str">
        <f>HYPERLINK("https://pacific.studentaidcalculator.com/survey.aspx", "$22465")</f>
        <v>$22465</v>
      </c>
      <c r="T2484" s="20">
        <v>27755</v>
      </c>
      <c r="U2484" s="20">
        <v>31258</v>
      </c>
      <c r="V2484" s="20">
        <v>5094</v>
      </c>
      <c r="W2484" s="20">
        <v>17371</v>
      </c>
      <c r="Y2484" s="19">
        <v>0.3569</v>
      </c>
      <c r="Z2484" s="19">
        <v>0.7671</v>
      </c>
      <c r="AB2484" s="18">
        <v>3542</v>
      </c>
      <c r="AC2484" s="18">
        <v>3</v>
      </c>
    </row>
    <row r="2485" spans="1:29" ht="15.75" customHeight="1" x14ac:dyDescent="0.2">
      <c r="A2485" s="36" t="str">
        <f>HYPERLINK("https://www.usciences.edu", "University of the Sciences")</f>
        <v>University of the Sciences</v>
      </c>
      <c r="B2485" s="18" t="s">
        <v>32</v>
      </c>
      <c r="C2485" s="18" t="s">
        <v>65</v>
      </c>
      <c r="D2485" s="18" t="s">
        <v>168</v>
      </c>
      <c r="E2485" s="18">
        <v>1227</v>
      </c>
      <c r="F2485" s="18" t="s">
        <v>35</v>
      </c>
      <c r="J2485" s="19"/>
      <c r="K2485" s="19">
        <v>0.72670000000000001</v>
      </c>
      <c r="L2485" s="19">
        <v>0.57303370799999997</v>
      </c>
      <c r="M2485" s="19">
        <v>0.70350000000000001</v>
      </c>
      <c r="N2485" s="19">
        <v>0.6774</v>
      </c>
      <c r="O2485" s="19">
        <v>0.42109999999999997</v>
      </c>
      <c r="P2485" s="19">
        <v>0.77439999999999998</v>
      </c>
      <c r="Q2485" s="19"/>
      <c r="R2485" s="20">
        <v>60082</v>
      </c>
      <c r="S2485" s="21" t="str">
        <f>HYPERLINK("https://tcc.noellevitz.com/UniversityOfTheSciencesInPhiladelphia/FreshmanStudents", "$26948")</f>
        <v>$26948</v>
      </c>
      <c r="T2485" s="20">
        <v>28614</v>
      </c>
      <c r="U2485" s="20">
        <v>32404</v>
      </c>
      <c r="V2485" s="20">
        <v>4350</v>
      </c>
      <c r="W2485" s="20">
        <v>22598</v>
      </c>
      <c r="Y2485" s="19">
        <v>0.28129999999999999</v>
      </c>
      <c r="Z2485" s="19">
        <v>0.57569999999999999</v>
      </c>
      <c r="AB2485" s="18">
        <v>1268</v>
      </c>
      <c r="AC2485" s="18">
        <v>3</v>
      </c>
    </row>
    <row r="2486" spans="1:29" ht="15.75" customHeight="1" x14ac:dyDescent="0.2">
      <c r="A2486" s="36" t="str">
        <f>HYPERLINK("https://www.uiu.edu", "Upper Iowa University")</f>
        <v>Upper Iowa University</v>
      </c>
      <c r="B2486" s="18" t="s">
        <v>32</v>
      </c>
      <c r="C2486" s="18" t="s">
        <v>211</v>
      </c>
      <c r="D2486" s="18" t="s">
        <v>920</v>
      </c>
      <c r="E2486" s="18">
        <v>1041</v>
      </c>
      <c r="F2486" s="18" t="s">
        <v>35</v>
      </c>
      <c r="J2486" s="19"/>
      <c r="K2486" s="19">
        <v>0.4143</v>
      </c>
      <c r="L2486" s="19">
        <v>0.238870793</v>
      </c>
      <c r="M2486" s="19">
        <v>0.5</v>
      </c>
      <c r="N2486" s="19">
        <v>0.2414</v>
      </c>
      <c r="O2486" s="19">
        <v>0.1111</v>
      </c>
      <c r="P2486" s="19">
        <v>0</v>
      </c>
      <c r="Q2486" s="19"/>
      <c r="R2486" s="20">
        <v>44206</v>
      </c>
      <c r="S2486" s="21" t="str">
        <f>HYPERLINK("https://uiu.edu/financial-aid/net-price-calculator.html", "$24957")</f>
        <v>$24957</v>
      </c>
      <c r="T2486" s="20">
        <v>22352</v>
      </c>
      <c r="U2486" s="20">
        <v>27695</v>
      </c>
      <c r="V2486" s="20">
        <v>4846</v>
      </c>
      <c r="W2486" s="20">
        <v>20111</v>
      </c>
      <c r="Y2486" s="19">
        <v>0.43149999999999999</v>
      </c>
      <c r="Z2486" s="19">
        <v>0.42759999999999998</v>
      </c>
      <c r="AB2486" s="18">
        <v>4058</v>
      </c>
      <c r="AC2486" s="18">
        <v>5</v>
      </c>
    </row>
    <row r="2487" spans="1:29" ht="15.75" customHeight="1" x14ac:dyDescent="0.2">
      <c r="A2487" s="36" t="str">
        <f>HYPERLINK("https://www.urbancollege.edu", "Urban College of Boston")</f>
        <v>Urban College of Boston</v>
      </c>
      <c r="B2487" s="18" t="s">
        <v>32</v>
      </c>
      <c r="C2487" s="18" t="s">
        <v>33</v>
      </c>
      <c r="D2487" s="18" t="s">
        <v>136</v>
      </c>
      <c r="E2487" s="18" t="s">
        <v>36</v>
      </c>
      <c r="F2487" s="18" t="s">
        <v>36</v>
      </c>
      <c r="J2487" s="19"/>
      <c r="K2487" s="19" t="s">
        <v>36</v>
      </c>
      <c r="L2487" s="19" t="s">
        <v>36</v>
      </c>
      <c r="M2487" s="19" t="s">
        <v>36</v>
      </c>
      <c r="N2487" s="19" t="s">
        <v>36</v>
      </c>
      <c r="O2487" s="19" t="s">
        <v>36</v>
      </c>
      <c r="P2487" s="19" t="s">
        <v>36</v>
      </c>
      <c r="Q2487" s="19" t="s">
        <v>36</v>
      </c>
      <c r="R2487" s="20">
        <v>17774</v>
      </c>
      <c r="S2487" s="21" t="str">
        <f>HYPERLINK("https://nces.ed.gov/ipeds/netpricecalculator/", "$4203")</f>
        <v>$4203</v>
      </c>
      <c r="T2487" s="20" t="s">
        <v>36</v>
      </c>
      <c r="U2487" s="20" t="s">
        <v>36</v>
      </c>
      <c r="V2487" s="20">
        <v>4150</v>
      </c>
      <c r="W2487" s="20">
        <v>53</v>
      </c>
      <c r="Y2487" s="19">
        <v>0.49009999999999998</v>
      </c>
      <c r="Z2487" s="19">
        <v>0.9647</v>
      </c>
      <c r="AB2487" s="18">
        <v>623</v>
      </c>
      <c r="AC2487" s="18">
        <v>6</v>
      </c>
    </row>
    <row r="2488" spans="1:29" ht="15.75" customHeight="1" x14ac:dyDescent="0.2">
      <c r="A2488" s="36" t="str">
        <f>HYPERLINK("https://www.urbana.edu", "Urbana University")</f>
        <v>Urbana University</v>
      </c>
      <c r="B2488" s="18" t="s">
        <v>32</v>
      </c>
      <c r="C2488" s="18" t="s">
        <v>75</v>
      </c>
      <c r="D2488" s="18" t="s">
        <v>1364</v>
      </c>
      <c r="E2488" s="18">
        <v>1025</v>
      </c>
      <c r="F2488" s="18" t="s">
        <v>35</v>
      </c>
      <c r="J2488" s="19"/>
      <c r="K2488" s="19">
        <v>0.19009999999999999</v>
      </c>
      <c r="L2488" s="19">
        <v>0.40298507500000003</v>
      </c>
      <c r="M2488" s="19">
        <v>0.21740000000000001</v>
      </c>
      <c r="N2488" s="19">
        <v>0.125</v>
      </c>
      <c r="O2488" s="19">
        <v>0</v>
      </c>
      <c r="P2488" s="19">
        <v>0</v>
      </c>
      <c r="Q2488" s="19"/>
      <c r="R2488" s="20">
        <v>37118</v>
      </c>
      <c r="S2488" s="21" t="str">
        <f>HYPERLINK("https://www.urbana.edu/admissions/financial-aid/net-price-calculator.html", "$16672")</f>
        <v>$16672</v>
      </c>
      <c r="T2488" s="20">
        <v>16046</v>
      </c>
      <c r="U2488" s="20">
        <v>19585</v>
      </c>
      <c r="V2488" s="20">
        <v>4960</v>
      </c>
      <c r="W2488" s="20">
        <v>11712</v>
      </c>
      <c r="Y2488" s="19">
        <v>0.1118</v>
      </c>
      <c r="Z2488" s="19">
        <v>0.47989999999999999</v>
      </c>
      <c r="AB2488" s="18">
        <v>548</v>
      </c>
      <c r="AC2488" s="18">
        <v>4</v>
      </c>
    </row>
    <row r="2489" spans="1:29" ht="15.75" customHeight="1" x14ac:dyDescent="0.2">
      <c r="A2489" s="36" t="str">
        <f>HYPERLINK("https://www.ursinus.edu", "Ursinus College")</f>
        <v>Ursinus College</v>
      </c>
      <c r="B2489" s="18" t="s">
        <v>32</v>
      </c>
      <c r="C2489" s="18" t="s">
        <v>65</v>
      </c>
      <c r="D2489" s="18" t="s">
        <v>529</v>
      </c>
      <c r="E2489" s="18">
        <v>1234</v>
      </c>
      <c r="F2489" s="18" t="s">
        <v>115</v>
      </c>
      <c r="J2489" s="19"/>
      <c r="K2489" s="19">
        <v>0.7681</v>
      </c>
      <c r="L2489" s="19">
        <v>0.70370370400000004</v>
      </c>
      <c r="M2489" s="19">
        <v>0.78700000000000003</v>
      </c>
      <c r="N2489" s="19">
        <v>0.69440000000000002</v>
      </c>
      <c r="O2489" s="19">
        <v>0.73680000000000001</v>
      </c>
      <c r="P2489" s="19">
        <v>0.81820000000000004</v>
      </c>
      <c r="Q2489" s="19"/>
      <c r="R2489" s="20">
        <v>66242</v>
      </c>
      <c r="S2489" s="21" t="str">
        <f>HYPERLINK("https://www.ursinus.edu/offices/scholarships-and-financial-aid/tuition-and-cost/net-price-calculator/", "$24466")</f>
        <v>$24466</v>
      </c>
      <c r="T2489" s="20">
        <v>25853</v>
      </c>
      <c r="U2489" s="20">
        <v>28094</v>
      </c>
      <c r="V2489" s="20">
        <v>3322</v>
      </c>
      <c r="W2489" s="20">
        <v>21144</v>
      </c>
      <c r="Y2489" s="19">
        <v>0.1915</v>
      </c>
      <c r="Z2489" s="19">
        <v>0.25790000000000002</v>
      </c>
      <c r="AB2489" s="18">
        <v>1485</v>
      </c>
      <c r="AC2489" s="18">
        <v>3</v>
      </c>
    </row>
    <row r="2490" spans="1:29" ht="15.75" customHeight="1" x14ac:dyDescent="0.2">
      <c r="A2490" s="36" t="str">
        <f>HYPERLINK("https://www.ursuline.edu", "Ursuline College")</f>
        <v>Ursuline College</v>
      </c>
      <c r="B2490" s="18" t="s">
        <v>32</v>
      </c>
      <c r="C2490" s="18" t="s">
        <v>75</v>
      </c>
      <c r="D2490" s="18" t="s">
        <v>1365</v>
      </c>
      <c r="E2490" s="18">
        <v>1068</v>
      </c>
      <c r="F2490" s="18" t="s">
        <v>35</v>
      </c>
      <c r="J2490" s="19"/>
      <c r="K2490" s="19">
        <v>0.52559999999999996</v>
      </c>
      <c r="L2490" s="19">
        <v>0.306748466</v>
      </c>
      <c r="M2490" s="19">
        <v>0.6038</v>
      </c>
      <c r="N2490" s="19">
        <v>0.44440000000000002</v>
      </c>
      <c r="O2490" s="19">
        <v>0</v>
      </c>
      <c r="P2490" s="19">
        <v>0</v>
      </c>
      <c r="Q2490" s="19"/>
      <c r="R2490" s="20">
        <v>44512</v>
      </c>
      <c r="S2490" s="21" t="str">
        <f>HYPERLINK("https://www.ursuline.edu/netprice/", "$15754")</f>
        <v>$15754</v>
      </c>
      <c r="T2490" s="20">
        <v>16373</v>
      </c>
      <c r="U2490" s="20">
        <v>17364</v>
      </c>
      <c r="V2490" s="20">
        <v>3000</v>
      </c>
      <c r="W2490" s="20">
        <v>12754</v>
      </c>
      <c r="Y2490" s="19">
        <v>0.40620000000000001</v>
      </c>
      <c r="Z2490" s="19">
        <v>0.37890000000000001</v>
      </c>
      <c r="AB2490" s="18">
        <v>607</v>
      </c>
      <c r="AC2490" s="18">
        <v>4</v>
      </c>
    </row>
    <row r="2491" spans="1:29" ht="15.75" customHeight="1" x14ac:dyDescent="0.2">
      <c r="A2491" s="36" t="str">
        <f>HYPERLINK("https://www.usu.edu", "Utah State University")</f>
        <v>Utah State University</v>
      </c>
      <c r="B2491" s="18" t="s">
        <v>49</v>
      </c>
      <c r="C2491" s="18" t="s">
        <v>199</v>
      </c>
      <c r="D2491" s="18" t="s">
        <v>1367</v>
      </c>
      <c r="E2491" s="18">
        <v>1177</v>
      </c>
      <c r="F2491" s="18" t="s">
        <v>35</v>
      </c>
      <c r="J2491" s="19"/>
      <c r="K2491" s="19">
        <v>0.49780000000000002</v>
      </c>
      <c r="L2491" s="19">
        <v>0.40973236000000002</v>
      </c>
      <c r="M2491" s="19">
        <v>0.53469999999999995</v>
      </c>
      <c r="N2491" s="19">
        <v>0.3548</v>
      </c>
      <c r="O2491" s="19">
        <v>0.31969999999999998</v>
      </c>
      <c r="P2491" s="19">
        <v>0.41299999999999998</v>
      </c>
      <c r="Q2491" s="19"/>
      <c r="R2491" s="20">
        <v>33264</v>
      </c>
      <c r="S2491" s="21" t="str">
        <f>HYPERLINK("https://www.usu.edu/netprice/", "$27003")</f>
        <v>$27003</v>
      </c>
      <c r="T2491" s="20">
        <v>28822</v>
      </c>
      <c r="U2491" s="20">
        <v>31091</v>
      </c>
      <c r="V2491" s="20">
        <v>4664</v>
      </c>
      <c r="W2491" s="20">
        <v>22339.844006568139</v>
      </c>
      <c r="Y2491" s="19">
        <v>0.34279999999999999</v>
      </c>
      <c r="Z2491" s="19">
        <v>0.18049999999999999</v>
      </c>
      <c r="AB2491" s="18">
        <v>21473</v>
      </c>
      <c r="AC2491" s="18">
        <v>4</v>
      </c>
    </row>
    <row r="2492" spans="1:29" ht="15.75" customHeight="1" x14ac:dyDescent="0.2">
      <c r="A2492" s="36" t="str">
        <f>HYPERLINK("https://www.utica.edu/", "Utica College")</f>
        <v>Utica College</v>
      </c>
      <c r="B2492" s="18" t="s">
        <v>32</v>
      </c>
      <c r="C2492" s="18" t="s">
        <v>38</v>
      </c>
      <c r="D2492" s="18" t="s">
        <v>463</v>
      </c>
      <c r="E2492" s="18" t="s">
        <v>36</v>
      </c>
      <c r="F2492" s="18" t="s">
        <v>90</v>
      </c>
      <c r="G2492" s="18" t="s">
        <v>40</v>
      </c>
      <c r="H2492" s="18" t="s">
        <v>1370</v>
      </c>
      <c r="I2492" s="18" t="s">
        <v>1371</v>
      </c>
      <c r="J2492" s="19"/>
      <c r="K2492" s="19">
        <v>0.48959999999999998</v>
      </c>
      <c r="L2492" s="19">
        <v>0.41925465799999989</v>
      </c>
      <c r="M2492" s="19">
        <v>0.53200000000000003</v>
      </c>
      <c r="N2492" s="19">
        <v>0.37290000000000001</v>
      </c>
      <c r="O2492" s="19">
        <v>0.36070000000000002</v>
      </c>
      <c r="P2492" s="19">
        <v>0.5</v>
      </c>
      <c r="Q2492" s="19"/>
      <c r="R2492" s="20">
        <v>34668</v>
      </c>
      <c r="S2492" s="21" t="str">
        <f>HYPERLINK("https://www.utica.edu/enrollment/estimator.cfm", "$17517")</f>
        <v>$17517</v>
      </c>
      <c r="T2492" s="20">
        <v>20801</v>
      </c>
      <c r="U2492" s="20">
        <v>23170</v>
      </c>
      <c r="V2492" s="20">
        <v>3164</v>
      </c>
      <c r="W2492" s="20">
        <v>14353</v>
      </c>
      <c r="Y2492" s="19">
        <v>0.3589</v>
      </c>
      <c r="Z2492" s="19">
        <v>0.32800000000000001</v>
      </c>
      <c r="AB2492" s="18">
        <v>3595</v>
      </c>
      <c r="AC2492" s="18">
        <v>4</v>
      </c>
    </row>
    <row r="2493" spans="1:29" ht="15.75" customHeight="1" x14ac:dyDescent="0.2">
      <c r="A2493" s="36" t="str">
        <f>HYPERLINK("https://www.valdosta.edu", "Valdosta State University")</f>
        <v>Valdosta State University</v>
      </c>
      <c r="B2493" s="18" t="s">
        <v>49</v>
      </c>
      <c r="C2493" s="18" t="s">
        <v>107</v>
      </c>
      <c r="D2493" s="18" t="s">
        <v>1372</v>
      </c>
      <c r="E2493" s="18">
        <v>1059</v>
      </c>
      <c r="F2493" s="18" t="s">
        <v>35</v>
      </c>
      <c r="J2493" s="19"/>
      <c r="K2493" s="19">
        <v>0.36930000000000002</v>
      </c>
      <c r="L2493" s="19">
        <v>0.35732870799999999</v>
      </c>
      <c r="M2493" s="19">
        <v>0.39410000000000001</v>
      </c>
      <c r="N2493" s="19">
        <v>0.3508</v>
      </c>
      <c r="O2493" s="19">
        <v>0.31</v>
      </c>
      <c r="P2493" s="19">
        <v>0.26090000000000002</v>
      </c>
      <c r="Q2493" s="19"/>
      <c r="R2493" s="20">
        <v>32080</v>
      </c>
      <c r="S2493" s="21" t="str">
        <f>HYPERLINK("https://www.valdosta.edu/administration/finance-admin/financial-services/students/net-price-calculator.php", "$23839")</f>
        <v>$23839</v>
      </c>
      <c r="T2493" s="20">
        <v>27544</v>
      </c>
      <c r="U2493" s="20">
        <v>28538</v>
      </c>
      <c r="V2493" s="20">
        <v>6546</v>
      </c>
      <c r="W2493" s="20">
        <v>17293.565298507459</v>
      </c>
      <c r="Y2493" s="19">
        <v>0.47399999999999998</v>
      </c>
      <c r="Z2493" s="19">
        <v>0.52689999999999992</v>
      </c>
      <c r="AB2493" s="18">
        <v>8557</v>
      </c>
      <c r="AC2493" s="18">
        <v>4</v>
      </c>
    </row>
    <row r="2494" spans="1:29" ht="15.75" customHeight="1" x14ac:dyDescent="0.2">
      <c r="A2494" s="36" t="str">
        <f>HYPERLINK("https://valenciacollege.edu", "Valencia College")</f>
        <v>Valencia College</v>
      </c>
      <c r="B2494" s="18" t="s">
        <v>49</v>
      </c>
      <c r="C2494" s="18" t="s">
        <v>162</v>
      </c>
      <c r="D2494" s="18" t="s">
        <v>501</v>
      </c>
      <c r="E2494" s="18" t="s">
        <v>36</v>
      </c>
      <c r="F2494" s="18" t="s">
        <v>36</v>
      </c>
      <c r="J2494" s="19"/>
      <c r="K2494" s="19">
        <v>0.41339999999999999</v>
      </c>
      <c r="L2494" s="19">
        <v>0.261951459</v>
      </c>
      <c r="M2494" s="19">
        <v>0.46820000000000001</v>
      </c>
      <c r="N2494" s="19">
        <v>0.27150000000000002</v>
      </c>
      <c r="O2494" s="19">
        <v>0.40620000000000001</v>
      </c>
      <c r="P2494" s="19">
        <v>0.61760000000000004</v>
      </c>
      <c r="Q2494" s="19">
        <v>9.3552465000000001E-2</v>
      </c>
      <c r="R2494" s="20">
        <v>23402</v>
      </c>
      <c r="S2494" s="21" t="str">
        <f>HYPERLINK("https://valenciacollege.edu/finaid/net-price-calculator/", "$18763")</f>
        <v>$18763</v>
      </c>
      <c r="T2494" s="20">
        <v>20765</v>
      </c>
      <c r="U2494" s="20">
        <v>21531</v>
      </c>
      <c r="V2494" s="20">
        <v>4653</v>
      </c>
      <c r="W2494" s="20">
        <v>14110.37553342817</v>
      </c>
      <c r="Y2494" s="19">
        <v>0.39050000000000001</v>
      </c>
      <c r="Z2494" s="19">
        <v>0.72930000000000006</v>
      </c>
      <c r="AB2494" s="18">
        <v>37954</v>
      </c>
      <c r="AC2494" s="18">
        <v>6</v>
      </c>
    </row>
    <row r="2495" spans="1:29" ht="15.75" customHeight="1" x14ac:dyDescent="0.2">
      <c r="A2495" s="36" t="str">
        <f>HYPERLINK("https://www.vfmac.edu", "Valley Forge Military College")</f>
        <v>Valley Forge Military College</v>
      </c>
      <c r="B2495" s="18" t="s">
        <v>32</v>
      </c>
      <c r="C2495" s="18" t="s">
        <v>65</v>
      </c>
      <c r="D2495" s="18" t="s">
        <v>1418</v>
      </c>
      <c r="E2495" s="18" t="s">
        <v>36</v>
      </c>
      <c r="F2495" s="18" t="s">
        <v>36</v>
      </c>
      <c r="J2495" s="19"/>
      <c r="K2495" s="19">
        <v>0.27650000000000002</v>
      </c>
      <c r="L2495" s="19">
        <v>0.22641509400000001</v>
      </c>
      <c r="M2495" s="19">
        <v>0.4259</v>
      </c>
      <c r="N2495" s="19">
        <v>0.1739</v>
      </c>
      <c r="O2495" s="19">
        <v>0.3846</v>
      </c>
      <c r="P2495" s="19">
        <v>0.625</v>
      </c>
      <c r="Q2495" s="19">
        <v>0.146496815</v>
      </c>
      <c r="R2495" s="20">
        <v>47975</v>
      </c>
      <c r="S2495" s="21" t="str">
        <f>HYPERLINK("https://www.vfmac.edu", "$33931")</f>
        <v>$33931</v>
      </c>
      <c r="T2495" s="20">
        <v>38458</v>
      </c>
      <c r="U2495" s="20">
        <v>39733</v>
      </c>
      <c r="V2495" s="20">
        <v>2000</v>
      </c>
      <c r="W2495" s="20">
        <v>31931</v>
      </c>
      <c r="Y2495" s="19">
        <v>0.79920000000000002</v>
      </c>
      <c r="Z2495" s="19">
        <v>0.5736</v>
      </c>
      <c r="AB2495" s="18">
        <v>265</v>
      </c>
      <c r="AC2495" s="18">
        <v>6</v>
      </c>
    </row>
    <row r="2496" spans="1:29" ht="15.75" customHeight="1" x14ac:dyDescent="0.2">
      <c r="A2496" s="36" t="str">
        <f>HYPERLINK("https://www.valpo.edu", "Valparaiso University")</f>
        <v>Valparaiso University</v>
      </c>
      <c r="B2496" s="18" t="s">
        <v>32</v>
      </c>
      <c r="C2496" s="18" t="s">
        <v>148</v>
      </c>
      <c r="D2496" s="18" t="s">
        <v>530</v>
      </c>
      <c r="E2496" s="18">
        <v>1216</v>
      </c>
      <c r="F2496" s="18" t="s">
        <v>35</v>
      </c>
      <c r="J2496" s="19"/>
      <c r="K2496" s="19">
        <v>0.72209999999999996</v>
      </c>
      <c r="L2496" s="19">
        <v>0.58490565999999999</v>
      </c>
      <c r="M2496" s="19">
        <v>0.76039999999999996</v>
      </c>
      <c r="N2496" s="19">
        <v>0.43240000000000001</v>
      </c>
      <c r="O2496" s="19">
        <v>0.66669999999999996</v>
      </c>
      <c r="P2496" s="19">
        <v>0.625</v>
      </c>
      <c r="Q2496" s="19"/>
      <c r="R2496" s="20">
        <v>52980</v>
      </c>
      <c r="S2496" s="21" t="str">
        <f>HYPERLINK("https://valpo.collegecosts.com/Estimator/Agreement", "$17402")</f>
        <v>$17402</v>
      </c>
      <c r="T2496" s="20">
        <v>20346</v>
      </c>
      <c r="U2496" s="20">
        <v>23008</v>
      </c>
      <c r="V2496" s="20">
        <v>2820</v>
      </c>
      <c r="W2496" s="20">
        <v>14582</v>
      </c>
      <c r="Y2496" s="19">
        <v>0.27379999999999999</v>
      </c>
      <c r="Z2496" s="19">
        <v>0.28560000000000002</v>
      </c>
      <c r="AB2496" s="18">
        <v>3186</v>
      </c>
      <c r="AC2496" s="18">
        <v>3</v>
      </c>
    </row>
    <row r="2497" spans="1:29" ht="15.75" customHeight="1" x14ac:dyDescent="0.2">
      <c r="A2497" s="36" t="str">
        <f>HYPERLINK("https://www.vgcc.edu", "Vance-Granville Community College")</f>
        <v>Vance-Granville Community College</v>
      </c>
      <c r="B2497" s="18" t="s">
        <v>49</v>
      </c>
      <c r="C2497" s="18" t="s">
        <v>103</v>
      </c>
      <c r="D2497" s="18" t="s">
        <v>363</v>
      </c>
      <c r="E2497" s="18" t="s">
        <v>36</v>
      </c>
      <c r="F2497" s="18" t="s">
        <v>36</v>
      </c>
      <c r="J2497" s="19"/>
      <c r="K2497" s="19">
        <v>0.33729999999999999</v>
      </c>
      <c r="L2497" s="19">
        <v>8.6288415999999993E-2</v>
      </c>
      <c r="M2497" s="19">
        <v>0.34060000000000001</v>
      </c>
      <c r="N2497" s="19">
        <v>0.29330000000000001</v>
      </c>
      <c r="O2497" s="19">
        <v>0.35289999999999999</v>
      </c>
      <c r="P2497" s="19">
        <v>0.75</v>
      </c>
      <c r="Q2497" s="19">
        <v>4.7957370999999999E-2</v>
      </c>
      <c r="R2497" s="20">
        <v>19356</v>
      </c>
      <c r="S2497" s="21" t="str">
        <f>HYPERLINK("https://www.vgcc.edu/financialaid/NetPriceCalculator/npcalc.htm", "$13971")</f>
        <v>$13971</v>
      </c>
      <c r="T2497" s="20">
        <v>14659</v>
      </c>
      <c r="U2497" s="20">
        <v>14362</v>
      </c>
      <c r="V2497" s="20">
        <v>7485</v>
      </c>
      <c r="W2497" s="20">
        <v>6486.9622641509432</v>
      </c>
      <c r="Y2497" s="19">
        <v>0.43840000000000001</v>
      </c>
      <c r="Z2497" s="19">
        <v>0.48309999999999997</v>
      </c>
      <c r="AB2497" s="18">
        <v>2159</v>
      </c>
      <c r="AC2497" s="18">
        <v>6</v>
      </c>
    </row>
    <row r="2498" spans="1:29" ht="15.75" customHeight="1" x14ac:dyDescent="0.2">
      <c r="A2498" s="36" t="str">
        <f>HYPERLINK("https://www.vanderbilt.edu", "Vanderbilt University")</f>
        <v>Vanderbilt University</v>
      </c>
      <c r="B2498" s="18" t="s">
        <v>32</v>
      </c>
      <c r="C2498" s="18" t="s">
        <v>174</v>
      </c>
      <c r="D2498" s="18" t="s">
        <v>175</v>
      </c>
      <c r="E2498" s="18">
        <v>1515</v>
      </c>
      <c r="F2498" s="18" t="s">
        <v>35</v>
      </c>
      <c r="J2498" s="19"/>
      <c r="K2498" s="19">
        <v>0.91720000000000002</v>
      </c>
      <c r="L2498" s="19">
        <v>0.86781609199999998</v>
      </c>
      <c r="M2498" s="19">
        <v>0.92620000000000002</v>
      </c>
      <c r="N2498" s="19">
        <v>0.88280000000000003</v>
      </c>
      <c r="O2498" s="19">
        <v>0.9274</v>
      </c>
      <c r="P2498" s="19">
        <v>0.92</v>
      </c>
      <c r="Q2498" s="19"/>
      <c r="R2498" s="20">
        <v>67392</v>
      </c>
      <c r="S2498" s="21" t="str">
        <f>HYPERLINK("https://vanderbilt.studentaidcalculator.com/survey.aspx", "$4332")</f>
        <v>$4332</v>
      </c>
      <c r="T2498" s="20">
        <v>11146</v>
      </c>
      <c r="U2498" s="20">
        <v>14814</v>
      </c>
      <c r="V2498" s="20">
        <v>4144</v>
      </c>
      <c r="W2498" s="20">
        <v>188</v>
      </c>
      <c r="X2498" s="18" t="s">
        <v>37</v>
      </c>
      <c r="Y2498" s="19">
        <v>0.13650000000000001</v>
      </c>
      <c r="Z2498" s="19">
        <v>0.51560000000000006</v>
      </c>
      <c r="AA2498" s="18" t="s">
        <v>37</v>
      </c>
      <c r="AB2498" s="18">
        <v>6856</v>
      </c>
      <c r="AC2498" s="18">
        <v>1</v>
      </c>
    </row>
    <row r="2499" spans="1:29" ht="15.75" customHeight="1" x14ac:dyDescent="0.2">
      <c r="A2499" s="36" t="str">
        <f>HYPERLINK("https://www.vanguard.edu", "Vanguard University of Southern California")</f>
        <v>Vanguard University of Southern California</v>
      </c>
      <c r="B2499" s="18" t="s">
        <v>32</v>
      </c>
      <c r="C2499" s="18" t="s">
        <v>68</v>
      </c>
      <c r="D2499" s="18" t="s">
        <v>531</v>
      </c>
      <c r="E2499" s="18">
        <v>1037</v>
      </c>
      <c r="F2499" s="18" t="s">
        <v>35</v>
      </c>
      <c r="J2499" s="19"/>
      <c r="K2499" s="19">
        <v>0.60960000000000003</v>
      </c>
      <c r="L2499" s="19">
        <v>0.43352601200000002</v>
      </c>
      <c r="M2499" s="19">
        <v>0.61399999999999999</v>
      </c>
      <c r="N2499" s="19">
        <v>0.69230000000000003</v>
      </c>
      <c r="O2499" s="19">
        <v>0.56559999999999999</v>
      </c>
      <c r="P2499" s="19">
        <v>0.78569999999999995</v>
      </c>
      <c r="Q2499" s="19"/>
      <c r="R2499" s="20">
        <v>46770</v>
      </c>
      <c r="S2499" s="21" t="str">
        <f>HYPERLINK("https://www.vanguard.edu/admissions/net-price-calculator", "$18259")</f>
        <v>$18259</v>
      </c>
      <c r="T2499" s="20">
        <v>20250</v>
      </c>
      <c r="U2499" s="20">
        <v>22434</v>
      </c>
      <c r="V2499" s="20">
        <v>4650</v>
      </c>
      <c r="W2499" s="20">
        <v>13609</v>
      </c>
      <c r="Y2499" s="19">
        <v>0.45</v>
      </c>
      <c r="Z2499" s="19">
        <v>0.59650000000000003</v>
      </c>
      <c r="AB2499" s="18">
        <v>1824</v>
      </c>
      <c r="AC2499" s="18">
        <v>3</v>
      </c>
    </row>
    <row r="2500" spans="1:29" ht="15.75" customHeight="1" x14ac:dyDescent="0.2">
      <c r="A2500" s="36" t="str">
        <f>HYPERLINK("https://www.vassar.edu", "Vassar College")</f>
        <v>Vassar College</v>
      </c>
      <c r="B2500" s="18" t="s">
        <v>32</v>
      </c>
      <c r="C2500" s="18" t="s">
        <v>38</v>
      </c>
      <c r="D2500" s="18" t="s">
        <v>176</v>
      </c>
      <c r="E2500" s="18">
        <v>1429</v>
      </c>
      <c r="F2500" s="18" t="s">
        <v>35</v>
      </c>
      <c r="J2500" s="19"/>
      <c r="K2500" s="19">
        <v>0.9073</v>
      </c>
      <c r="L2500" s="19" t="s">
        <v>36</v>
      </c>
      <c r="M2500" s="19">
        <v>0.89510000000000001</v>
      </c>
      <c r="N2500" s="19">
        <v>0.89470000000000005</v>
      </c>
      <c r="O2500" s="19">
        <v>0.9577</v>
      </c>
      <c r="P2500" s="19">
        <v>0.9365</v>
      </c>
      <c r="Q2500" s="19"/>
      <c r="R2500" s="20">
        <v>70370</v>
      </c>
      <c r="S2500" s="21" t="str">
        <f>HYPERLINK("https://npc.collegeboard.org/student/app/vassar", "$6420")</f>
        <v>$6420</v>
      </c>
      <c r="T2500" s="20">
        <v>15602</v>
      </c>
      <c r="U2500" s="20">
        <v>19315</v>
      </c>
      <c r="V2500" s="20">
        <v>2260</v>
      </c>
      <c r="W2500" s="20">
        <v>4160</v>
      </c>
      <c r="X2500" s="18" t="s">
        <v>37</v>
      </c>
      <c r="Y2500" s="19">
        <v>0.23760000000000001</v>
      </c>
      <c r="Z2500" s="19">
        <v>0.43440000000000001</v>
      </c>
      <c r="AA2500" s="18" t="s">
        <v>37</v>
      </c>
      <c r="AB2500" s="18">
        <v>2323</v>
      </c>
      <c r="AC2500" s="18">
        <v>1</v>
      </c>
    </row>
    <row r="2501" spans="1:29" ht="15.75" customHeight="1" x14ac:dyDescent="0.2">
      <c r="A2501" s="36" t="str">
        <f>HYPERLINK("https://www.vatterott.edu", "Vatterott College-Appling Farms")</f>
        <v>Vatterott College-Appling Farms</v>
      </c>
      <c r="B2501" s="18" t="s">
        <v>368</v>
      </c>
      <c r="C2501" s="18" t="s">
        <v>174</v>
      </c>
      <c r="D2501" s="18" t="s">
        <v>207</v>
      </c>
      <c r="E2501" s="18" t="s">
        <v>36</v>
      </c>
      <c r="F2501" s="18" t="s">
        <v>36</v>
      </c>
      <c r="J2501" s="19"/>
      <c r="K2501" s="19">
        <v>0.60470000000000002</v>
      </c>
      <c r="L2501" s="19">
        <v>0.49419279900000002</v>
      </c>
      <c r="M2501" s="19">
        <v>0.62790000000000001</v>
      </c>
      <c r="N2501" s="19">
        <v>0.57140000000000002</v>
      </c>
      <c r="O2501" s="19">
        <v>0.5</v>
      </c>
      <c r="P2501" s="19">
        <v>1</v>
      </c>
      <c r="Q2501" s="19">
        <v>1.317716E-2</v>
      </c>
      <c r="R2501" s="20">
        <v>24104</v>
      </c>
      <c r="S2501" s="21" t="str">
        <f>HYPERLINK("https://www.vatterott.edu/calculator/", "$18595")</f>
        <v>$18595</v>
      </c>
      <c r="T2501" s="20">
        <v>22806</v>
      </c>
      <c r="U2501" s="20">
        <v>24307</v>
      </c>
      <c r="V2501" s="20">
        <v>6753</v>
      </c>
      <c r="W2501" s="20">
        <v>11842</v>
      </c>
      <c r="Y2501" s="19">
        <v>0.86670000000000003</v>
      </c>
      <c r="Z2501" s="19">
        <v>0.85099999999999998</v>
      </c>
      <c r="AB2501" s="18">
        <v>255</v>
      </c>
      <c r="AC2501" s="18">
        <v>6</v>
      </c>
    </row>
    <row r="2502" spans="1:29" ht="15.75" customHeight="1" x14ac:dyDescent="0.2">
      <c r="A2502" s="36" t="str">
        <f>HYPERLINK("https://www.vatterott.edu", "Vatterott College-Berkeley")</f>
        <v>Vatterott College-Berkeley</v>
      </c>
      <c r="B2502" s="18" t="s">
        <v>368</v>
      </c>
      <c r="C2502" s="18" t="s">
        <v>164</v>
      </c>
      <c r="D2502" s="18" t="s">
        <v>160</v>
      </c>
      <c r="E2502" s="18" t="s">
        <v>36</v>
      </c>
      <c r="F2502" s="18" t="s">
        <v>36</v>
      </c>
      <c r="J2502" s="19"/>
      <c r="K2502" s="19">
        <v>0.30130000000000001</v>
      </c>
      <c r="L2502" s="19">
        <v>0.472584856</v>
      </c>
      <c r="M2502" s="19">
        <v>0.41820000000000002</v>
      </c>
      <c r="N2502" s="19">
        <v>0.28960000000000002</v>
      </c>
      <c r="O2502" s="19">
        <v>0</v>
      </c>
      <c r="P2502" s="19">
        <v>0.33329999999999999</v>
      </c>
      <c r="Q2502" s="19">
        <v>1.1268182999999999E-2</v>
      </c>
      <c r="R2502" s="20">
        <v>23146</v>
      </c>
      <c r="S2502" s="21" t="str">
        <f>HYPERLINK("https://www.vatterott.edu/calculator/", "$18140")</f>
        <v>$18140</v>
      </c>
      <c r="T2502" s="20" t="s">
        <v>36</v>
      </c>
      <c r="U2502" s="20">
        <v>24009</v>
      </c>
      <c r="V2502" s="20">
        <v>5404</v>
      </c>
      <c r="W2502" s="20">
        <v>12736</v>
      </c>
      <c r="Y2502" s="19">
        <v>0.95109999999999995</v>
      </c>
      <c r="Z2502" s="19">
        <v>0.89359999999999995</v>
      </c>
      <c r="AB2502" s="18">
        <v>545</v>
      </c>
      <c r="AC2502" s="18">
        <v>6</v>
      </c>
    </row>
    <row r="2503" spans="1:29" ht="15.75" customHeight="1" x14ac:dyDescent="0.2">
      <c r="A2503" s="36" t="str">
        <f>HYPERLINK("https://www.vatterott.edu", "Vatterott College-Des Moines")</f>
        <v>Vatterott College-Des Moines</v>
      </c>
      <c r="B2503" s="18" t="s">
        <v>368</v>
      </c>
      <c r="C2503" s="18" t="s">
        <v>211</v>
      </c>
      <c r="D2503" s="18" t="s">
        <v>348</v>
      </c>
      <c r="E2503" s="18" t="s">
        <v>36</v>
      </c>
      <c r="F2503" s="18" t="s">
        <v>36</v>
      </c>
      <c r="J2503" s="19"/>
      <c r="K2503" s="19">
        <v>0.49020000000000002</v>
      </c>
      <c r="L2503" s="19">
        <v>0.49419279900000002</v>
      </c>
      <c r="M2503" s="19">
        <v>0.46970000000000001</v>
      </c>
      <c r="N2503" s="19">
        <v>0.33329999999999999</v>
      </c>
      <c r="O2503" s="19">
        <v>1</v>
      </c>
      <c r="P2503" s="19">
        <v>1</v>
      </c>
      <c r="Q2503" s="19">
        <v>1.317716E-2</v>
      </c>
      <c r="R2503" s="20">
        <v>24755</v>
      </c>
      <c r="S2503" s="21" t="str">
        <f>HYPERLINK("https://www.vatterott.edu/calculator/", "$18830")</f>
        <v>$18830</v>
      </c>
      <c r="T2503" s="20">
        <v>19941</v>
      </c>
      <c r="U2503" s="20" t="s">
        <v>36</v>
      </c>
      <c r="V2503" s="20">
        <v>6515</v>
      </c>
      <c r="W2503" s="20">
        <v>12315</v>
      </c>
      <c r="Y2503" s="19">
        <v>0.83330000000000004</v>
      </c>
      <c r="Z2503" s="19">
        <v>0.26469999999999999</v>
      </c>
      <c r="AB2503" s="18">
        <v>34</v>
      </c>
      <c r="AC2503" s="18">
        <v>6</v>
      </c>
    </row>
    <row r="2504" spans="1:29" ht="15.75" customHeight="1" x14ac:dyDescent="0.2">
      <c r="A2504" s="36" t="str">
        <f>HYPERLINK("https://www.vatterott.edu", "Vatterott College-Dividend")</f>
        <v>Vatterott College-Dividend</v>
      </c>
      <c r="B2504" s="18" t="s">
        <v>368</v>
      </c>
      <c r="C2504" s="18" t="s">
        <v>174</v>
      </c>
      <c r="D2504" s="18" t="s">
        <v>207</v>
      </c>
      <c r="E2504" s="18" t="s">
        <v>36</v>
      </c>
      <c r="F2504" s="18" t="s">
        <v>36</v>
      </c>
      <c r="J2504" s="19"/>
      <c r="K2504" s="19">
        <v>0.41289999999999999</v>
      </c>
      <c r="L2504" s="19">
        <v>0.472584856</v>
      </c>
      <c r="M2504" s="19">
        <v>0.75</v>
      </c>
      <c r="N2504" s="19">
        <v>0.3866</v>
      </c>
      <c r="O2504" s="19">
        <v>1</v>
      </c>
      <c r="P2504" s="19" t="s">
        <v>36</v>
      </c>
      <c r="Q2504" s="19">
        <v>1.1268182999999999E-2</v>
      </c>
      <c r="R2504" s="20">
        <v>22919</v>
      </c>
      <c r="S2504" s="21" t="str">
        <f>HYPERLINK("https://www.vatterott.edu/calculator/", "$17820")</f>
        <v>$17820</v>
      </c>
      <c r="T2504" s="20">
        <v>20784</v>
      </c>
      <c r="U2504" s="20" t="s">
        <v>36</v>
      </c>
      <c r="V2504" s="20">
        <v>5593</v>
      </c>
      <c r="W2504" s="20">
        <v>12227</v>
      </c>
      <c r="Y2504" s="19">
        <v>0.93120000000000003</v>
      </c>
      <c r="Z2504" s="19">
        <v>0.97970000000000002</v>
      </c>
      <c r="AB2504" s="18">
        <v>689</v>
      </c>
      <c r="AC2504" s="18">
        <v>6</v>
      </c>
    </row>
    <row r="2505" spans="1:29" ht="15.75" customHeight="1" x14ac:dyDescent="0.2">
      <c r="A2505" s="36" t="str">
        <f>HYPERLINK("https://www.vatterott.edu", "Vatterott College-Kansas City")</f>
        <v>Vatterott College-Kansas City</v>
      </c>
      <c r="B2505" s="18" t="s">
        <v>368</v>
      </c>
      <c r="C2505" s="18" t="s">
        <v>164</v>
      </c>
      <c r="D2505" s="18" t="s">
        <v>515</v>
      </c>
      <c r="E2505" s="18" t="s">
        <v>36</v>
      </c>
      <c r="F2505" s="18" t="s">
        <v>36</v>
      </c>
      <c r="J2505" s="19"/>
      <c r="K2505" s="19">
        <v>0.45650000000000002</v>
      </c>
      <c r="L2505" s="19">
        <v>0.472584856</v>
      </c>
      <c r="M2505" s="19">
        <v>0.53569999999999995</v>
      </c>
      <c r="N2505" s="19">
        <v>0.26869999999999999</v>
      </c>
      <c r="O2505" s="19">
        <v>0.35709999999999997</v>
      </c>
      <c r="P2505" s="19">
        <v>1</v>
      </c>
      <c r="Q2505" s="19">
        <v>1.1268182999999999E-2</v>
      </c>
      <c r="R2505" s="20">
        <v>24851</v>
      </c>
      <c r="S2505" s="21" t="str">
        <f>HYPERLINK("https://www.vatterott.edu/calculator/calculator.asp", "$18842")</f>
        <v>$18842</v>
      </c>
      <c r="T2505" s="20">
        <v>21423</v>
      </c>
      <c r="U2505" s="20">
        <v>24838</v>
      </c>
      <c r="V2505" s="20">
        <v>6767</v>
      </c>
      <c r="W2505" s="20">
        <v>12075</v>
      </c>
      <c r="Y2505" s="19">
        <v>0.81520000000000004</v>
      </c>
      <c r="Z2505" s="19">
        <v>0.33589999999999998</v>
      </c>
      <c r="AB2505" s="18">
        <v>259</v>
      </c>
      <c r="AC2505" s="18">
        <v>6</v>
      </c>
    </row>
    <row r="2506" spans="1:29" ht="15.75" customHeight="1" x14ac:dyDescent="0.2">
      <c r="A2506" s="36" t="str">
        <f>HYPERLINK("https://www.vatterott.edu", "Vatterott College-Oklahoma City")</f>
        <v>Vatterott College-Oklahoma City</v>
      </c>
      <c r="B2506" s="18" t="s">
        <v>368</v>
      </c>
      <c r="C2506" s="18" t="s">
        <v>290</v>
      </c>
      <c r="D2506" s="18" t="s">
        <v>1748</v>
      </c>
      <c r="E2506" s="18" t="s">
        <v>36</v>
      </c>
      <c r="F2506" s="18" t="s">
        <v>36</v>
      </c>
      <c r="J2506" s="19"/>
      <c r="K2506" s="19">
        <v>0.44640000000000002</v>
      </c>
      <c r="L2506" s="19">
        <v>0.49419279900000002</v>
      </c>
      <c r="M2506" s="19">
        <v>0.33329999999999999</v>
      </c>
      <c r="N2506" s="19">
        <v>0.50819999999999999</v>
      </c>
      <c r="O2506" s="19">
        <v>0.52629999999999999</v>
      </c>
      <c r="P2506" s="19" t="s">
        <v>36</v>
      </c>
      <c r="Q2506" s="19">
        <v>1.317716E-2</v>
      </c>
      <c r="R2506" s="20">
        <v>22139</v>
      </c>
      <c r="S2506" s="21" t="str">
        <f>HYPERLINK("https://www.vatterott.edu/calculator/calculator.asp", "$18635")</f>
        <v>$18635</v>
      </c>
      <c r="T2506" s="20">
        <v>21511</v>
      </c>
      <c r="U2506" s="20" t="s">
        <v>36</v>
      </c>
      <c r="V2506" s="20">
        <v>5454</v>
      </c>
      <c r="W2506" s="20">
        <v>13181</v>
      </c>
      <c r="Y2506" s="19">
        <v>0.90690000000000004</v>
      </c>
      <c r="Z2506" s="19">
        <v>0.64810000000000001</v>
      </c>
      <c r="AB2506" s="18">
        <v>108</v>
      </c>
      <c r="AC2506" s="18">
        <v>6</v>
      </c>
    </row>
    <row r="2507" spans="1:29" ht="15.75" customHeight="1" x14ac:dyDescent="0.2">
      <c r="A2507" s="36" t="str">
        <f>HYPERLINK("https://www.vatterott.edu", "Vatterott College-Sunset Hills")</f>
        <v>Vatterott College-Sunset Hills</v>
      </c>
      <c r="B2507" s="18" t="s">
        <v>368</v>
      </c>
      <c r="C2507" s="18" t="s">
        <v>164</v>
      </c>
      <c r="D2507" s="18" t="s">
        <v>1749</v>
      </c>
      <c r="E2507" s="18" t="s">
        <v>36</v>
      </c>
      <c r="F2507" s="18" t="s">
        <v>36</v>
      </c>
      <c r="J2507" s="19"/>
      <c r="K2507" s="19">
        <v>0.46710000000000002</v>
      </c>
      <c r="L2507" s="19">
        <v>0.472584856</v>
      </c>
      <c r="M2507" s="19">
        <v>0.61880000000000002</v>
      </c>
      <c r="N2507" s="19">
        <v>0.20899999999999999</v>
      </c>
      <c r="O2507" s="19">
        <v>0</v>
      </c>
      <c r="P2507" s="19">
        <v>0.5</v>
      </c>
      <c r="Q2507" s="19">
        <v>1.1268182999999999E-2</v>
      </c>
      <c r="R2507" s="20">
        <v>24379</v>
      </c>
      <c r="S2507" s="21" t="str">
        <f>HYPERLINK("https://www.vatterott.edu/calculator/calculator.asp", "$18387")</f>
        <v>$18387</v>
      </c>
      <c r="T2507" s="20">
        <v>19642</v>
      </c>
      <c r="U2507" s="20" t="s">
        <v>36</v>
      </c>
      <c r="V2507" s="20">
        <v>6775</v>
      </c>
      <c r="W2507" s="20">
        <v>11612</v>
      </c>
      <c r="Y2507" s="19">
        <v>0.85370000000000001</v>
      </c>
      <c r="Z2507" s="19">
        <v>0.33019999999999999</v>
      </c>
      <c r="AB2507" s="18">
        <v>315</v>
      </c>
      <c r="AC2507" s="18">
        <v>6</v>
      </c>
    </row>
    <row r="2508" spans="1:29" ht="15.75" customHeight="1" x14ac:dyDescent="0.2">
      <c r="A2508" s="36" t="str">
        <f>HYPERLINK("https://extremeinstitute.com/", "Vatterott College-ex'treme Institute by Nelly-St Louis")</f>
        <v>Vatterott College-ex'treme Institute by Nelly-St Louis</v>
      </c>
      <c r="B2508" s="18" t="s">
        <v>368</v>
      </c>
      <c r="C2508" s="18" t="s">
        <v>164</v>
      </c>
      <c r="D2508" s="18" t="s">
        <v>1750</v>
      </c>
      <c r="E2508" s="18" t="s">
        <v>36</v>
      </c>
      <c r="F2508" s="18" t="s">
        <v>36</v>
      </c>
      <c r="J2508" s="19"/>
      <c r="K2508" s="19">
        <v>0.33189999999999997</v>
      </c>
      <c r="L2508" s="19">
        <v>0.472584856</v>
      </c>
      <c r="M2508" s="19">
        <v>0.47620000000000001</v>
      </c>
      <c r="N2508" s="19">
        <v>0.29339999999999999</v>
      </c>
      <c r="O2508" s="19">
        <v>1</v>
      </c>
      <c r="P2508" s="19" t="s">
        <v>36</v>
      </c>
      <c r="Q2508" s="19">
        <v>1.1268182999999999E-2</v>
      </c>
      <c r="R2508" s="20">
        <v>23841</v>
      </c>
      <c r="S2508" s="21" t="str">
        <f>HYPERLINK("https://www.vatterott.edu/calculator/calculator.asp", "$16837")</f>
        <v>$16837</v>
      </c>
      <c r="T2508" s="20">
        <v>18830</v>
      </c>
      <c r="U2508" s="20">
        <v>22253</v>
      </c>
      <c r="V2508" s="20">
        <v>4733</v>
      </c>
      <c r="W2508" s="20">
        <v>12104</v>
      </c>
      <c r="Y2508" s="19">
        <v>0.83389999999999997</v>
      </c>
      <c r="Z2508" s="19">
        <v>0.85709999999999997</v>
      </c>
      <c r="AB2508" s="18">
        <v>245</v>
      </c>
      <c r="AC2508" s="18">
        <v>6</v>
      </c>
    </row>
    <row r="2509" spans="1:29" ht="15.75" customHeight="1" x14ac:dyDescent="0.2">
      <c r="A2509" s="36" t="str">
        <f>HYPERLINK("https://www.vaughn.edu", "Vaughn College of Aeronautics and Technology")</f>
        <v>Vaughn College of Aeronautics and Technology</v>
      </c>
      <c r="B2509" s="18" t="s">
        <v>32</v>
      </c>
      <c r="C2509" s="18" t="s">
        <v>38</v>
      </c>
      <c r="D2509" s="18" t="s">
        <v>1374</v>
      </c>
      <c r="E2509" s="18" t="s">
        <v>36</v>
      </c>
      <c r="F2509" s="18" t="s">
        <v>36</v>
      </c>
      <c r="G2509" s="18" t="s">
        <v>40</v>
      </c>
      <c r="H2509" s="18" t="s">
        <v>1375</v>
      </c>
      <c r="I2509" s="18" t="s">
        <v>1111</v>
      </c>
      <c r="J2509" s="19"/>
      <c r="K2509" s="19">
        <v>0.32079999999999997</v>
      </c>
      <c r="L2509" s="19">
        <v>0.304597701</v>
      </c>
      <c r="M2509" s="19">
        <v>0.39389999999999997</v>
      </c>
      <c r="N2509" s="19">
        <v>0.22059999999999999</v>
      </c>
      <c r="O2509" s="19">
        <v>0.31859999999999999</v>
      </c>
      <c r="P2509" s="19">
        <v>0.375</v>
      </c>
      <c r="Q2509" s="19"/>
      <c r="R2509" s="20">
        <v>47750</v>
      </c>
      <c r="S2509" s="21" t="str">
        <f>HYPERLINK("https://www.vaughn.edu", "$30891")</f>
        <v>$30891</v>
      </c>
      <c r="T2509" s="20">
        <v>33967</v>
      </c>
      <c r="U2509" s="20">
        <v>34928</v>
      </c>
      <c r="V2509" s="20">
        <v>9100</v>
      </c>
      <c r="W2509" s="20">
        <v>21791</v>
      </c>
      <c r="Y2509" s="19">
        <v>0.52529999999999999</v>
      </c>
      <c r="Z2509" s="19">
        <v>0.873</v>
      </c>
      <c r="AB2509" s="18">
        <v>1496</v>
      </c>
      <c r="AC2509" s="18">
        <v>4</v>
      </c>
    </row>
    <row r="2510" spans="1:29" ht="15.75" customHeight="1" x14ac:dyDescent="0.2">
      <c r="A2510" s="36" t="str">
        <f>HYPERLINK("https://www.venturacollege.edu/", "Ventura College")</f>
        <v>Ventura College</v>
      </c>
      <c r="B2510" s="18" t="s">
        <v>49</v>
      </c>
      <c r="C2510" s="18" t="s">
        <v>68</v>
      </c>
      <c r="D2510" s="18" t="s">
        <v>1751</v>
      </c>
      <c r="E2510" s="18" t="s">
        <v>36</v>
      </c>
      <c r="F2510" s="18" t="s">
        <v>36</v>
      </c>
      <c r="J2510" s="19"/>
      <c r="K2510" s="19">
        <v>0.3483</v>
      </c>
      <c r="L2510" s="19">
        <v>0.14647887300000001</v>
      </c>
      <c r="M2510" s="19">
        <v>0.41339999999999999</v>
      </c>
      <c r="N2510" s="19">
        <v>0.2069</v>
      </c>
      <c r="O2510" s="19">
        <v>0.3019</v>
      </c>
      <c r="P2510" s="19">
        <v>0.57350000000000001</v>
      </c>
      <c r="Q2510" s="19">
        <v>0.114649682</v>
      </c>
      <c r="R2510" s="20">
        <v>25491</v>
      </c>
      <c r="S2510" s="21" t="str">
        <f>HYPERLINK("https://www.venturacollege.edu/departments/student_services/financial_aid/index.shtml", "$18118")</f>
        <v>$18118</v>
      </c>
      <c r="T2510" s="20">
        <v>21279</v>
      </c>
      <c r="U2510" s="20">
        <v>21556</v>
      </c>
      <c r="V2510" s="20">
        <v>5949</v>
      </c>
      <c r="W2510" s="20">
        <v>12169.665948275861</v>
      </c>
      <c r="Y2510" s="19">
        <v>0.2399</v>
      </c>
      <c r="Z2510" s="19">
        <v>0.73480000000000001</v>
      </c>
      <c r="AB2510" s="18">
        <v>12072</v>
      </c>
      <c r="AC2510" s="18">
        <v>6</v>
      </c>
    </row>
    <row r="2511" spans="1:29" ht="15.75" customHeight="1" x14ac:dyDescent="0.2">
      <c r="A2511" s="36" t="str">
        <f>HYPERLINK("https://www.vcc.edu/", "Vermilion Community College")</f>
        <v>Vermilion Community College</v>
      </c>
      <c r="B2511" s="18" t="s">
        <v>49</v>
      </c>
      <c r="C2511" s="18" t="s">
        <v>72</v>
      </c>
      <c r="D2511" s="18" t="s">
        <v>1752</v>
      </c>
      <c r="E2511" s="18" t="s">
        <v>36</v>
      </c>
      <c r="F2511" s="18" t="s">
        <v>36</v>
      </c>
      <c r="J2511" s="19"/>
      <c r="K2511" s="19">
        <v>0.25690000000000002</v>
      </c>
      <c r="L2511" s="19">
        <v>0.178571429</v>
      </c>
      <c r="M2511" s="19">
        <v>0.30969999999999998</v>
      </c>
      <c r="N2511" s="19">
        <v>0.1333</v>
      </c>
      <c r="O2511" s="19">
        <v>0</v>
      </c>
      <c r="P2511" s="19" t="s">
        <v>36</v>
      </c>
      <c r="Q2511" s="19">
        <v>0.102362205</v>
      </c>
      <c r="R2511" s="20">
        <v>17256</v>
      </c>
      <c r="S2511" s="21" t="str">
        <f>HYPERLINK("https://www.minnstate.edu/admissions/calculator/vermilion.html", "$10669")</f>
        <v>$10669</v>
      </c>
      <c r="T2511" s="20">
        <v>12783</v>
      </c>
      <c r="U2511" s="20">
        <v>15891</v>
      </c>
      <c r="V2511" s="20">
        <v>3002</v>
      </c>
      <c r="W2511" s="20">
        <v>7667.25</v>
      </c>
      <c r="Y2511" s="19">
        <v>0.34760000000000002</v>
      </c>
      <c r="Z2511" s="19">
        <v>0.27229999999999999</v>
      </c>
      <c r="AB2511" s="18">
        <v>459</v>
      </c>
      <c r="AC2511" s="18">
        <v>6</v>
      </c>
    </row>
    <row r="2512" spans="1:29" ht="15.75" customHeight="1" x14ac:dyDescent="0.2">
      <c r="A2512" s="36" t="str">
        <f>HYPERLINK("https://www.vtc.edu/", "Vermont Technical College")</f>
        <v>Vermont Technical College</v>
      </c>
      <c r="B2512" s="18" t="s">
        <v>49</v>
      </c>
      <c r="C2512" s="18" t="s">
        <v>47</v>
      </c>
      <c r="D2512" s="18" t="s">
        <v>1240</v>
      </c>
      <c r="E2512" s="18" t="s">
        <v>36</v>
      </c>
      <c r="F2512" s="18" t="s">
        <v>90</v>
      </c>
      <c r="J2512" s="19"/>
      <c r="K2512" s="19">
        <v>0.51790000000000003</v>
      </c>
      <c r="L2512" s="19">
        <v>0.63451776700000007</v>
      </c>
      <c r="M2512" s="19">
        <v>0.54090000000000005</v>
      </c>
      <c r="N2512" s="19">
        <v>0.25</v>
      </c>
      <c r="O2512" s="19">
        <v>0.1429</v>
      </c>
      <c r="P2512" s="19">
        <v>0</v>
      </c>
      <c r="Q2512" s="19">
        <v>2.4436090000000001E-2</v>
      </c>
      <c r="R2512" s="20">
        <v>39942</v>
      </c>
      <c r="S2512" s="21" t="str">
        <f>HYPERLINK("https://vtc.studentaidcalculator.com/survey.aspx", "$30355")</f>
        <v>$30355</v>
      </c>
      <c r="T2512" s="20">
        <v>33979</v>
      </c>
      <c r="U2512" s="20">
        <v>37075</v>
      </c>
      <c r="V2512" s="20">
        <v>2650</v>
      </c>
      <c r="W2512" s="20">
        <v>27705.528301886789</v>
      </c>
      <c r="Y2512" s="19">
        <v>0.31929999999999997</v>
      </c>
      <c r="Z2512" s="19">
        <v>0.14399999999999999</v>
      </c>
      <c r="AB2512" s="18">
        <v>1389</v>
      </c>
      <c r="AC2512" s="18">
        <v>6</v>
      </c>
    </row>
    <row r="2513" spans="1:29" ht="15.75" customHeight="1" x14ac:dyDescent="0.2">
      <c r="A2513" s="36" t="str">
        <f>HYPERLINK("https://www.vettechinstitute.edu", "Vet Tech Institute")</f>
        <v>Vet Tech Institute</v>
      </c>
      <c r="B2513" s="18" t="s">
        <v>368</v>
      </c>
      <c r="C2513" s="18" t="s">
        <v>65</v>
      </c>
      <c r="D2513" s="18" t="s">
        <v>74</v>
      </c>
      <c r="E2513" s="18" t="s">
        <v>36</v>
      </c>
      <c r="F2513" s="18" t="s">
        <v>36</v>
      </c>
      <c r="J2513" s="19"/>
      <c r="K2513" s="19">
        <v>0.75490000000000002</v>
      </c>
      <c r="L2513" s="19">
        <v>0.53061224500000004</v>
      </c>
      <c r="M2513" s="19">
        <v>0.76770000000000005</v>
      </c>
      <c r="N2513" s="19">
        <v>0.33329999999999999</v>
      </c>
      <c r="O2513" s="19" t="s">
        <v>36</v>
      </c>
      <c r="P2513" s="19" t="s">
        <v>36</v>
      </c>
      <c r="Q2513" s="19" t="s">
        <v>36</v>
      </c>
      <c r="R2513" s="20">
        <v>23102</v>
      </c>
      <c r="S2513" s="21" t="str">
        <f>HYPERLINK("https://pittsburgh.vettechinstitute.edu/aid", "$13523")</f>
        <v>$13523</v>
      </c>
      <c r="T2513" s="20">
        <v>16443</v>
      </c>
      <c r="U2513" s="20">
        <v>20996</v>
      </c>
      <c r="V2513" s="20">
        <v>2722</v>
      </c>
      <c r="W2513" s="20">
        <v>10801</v>
      </c>
      <c r="Y2513" s="19">
        <v>0.4985</v>
      </c>
      <c r="Z2513" s="19">
        <v>0.10199999999999999</v>
      </c>
      <c r="AB2513" s="18">
        <v>343</v>
      </c>
      <c r="AC2513" s="18">
        <v>6</v>
      </c>
    </row>
    <row r="2514" spans="1:29" ht="15.75" customHeight="1" x14ac:dyDescent="0.2">
      <c r="A2514" s="36" t="str">
        <f>HYPERLINK("https://houston.vettechinstitute.edu", "Vet Tech Institute of Houston")</f>
        <v>Vet Tech Institute of Houston</v>
      </c>
      <c r="B2514" s="18" t="s">
        <v>368</v>
      </c>
      <c r="C2514" s="18" t="s">
        <v>146</v>
      </c>
      <c r="D2514" s="18" t="s">
        <v>147</v>
      </c>
      <c r="E2514" s="18" t="s">
        <v>36</v>
      </c>
      <c r="F2514" s="18" t="s">
        <v>45</v>
      </c>
      <c r="J2514" s="19"/>
      <c r="K2514" s="19">
        <v>0.5</v>
      </c>
      <c r="L2514" s="19">
        <v>0.438095238</v>
      </c>
      <c r="M2514" s="19">
        <v>0.375</v>
      </c>
      <c r="N2514" s="19">
        <v>0.66669999999999996</v>
      </c>
      <c r="O2514" s="19">
        <v>0.71430000000000005</v>
      </c>
      <c r="P2514" s="19">
        <v>0</v>
      </c>
      <c r="Q2514" s="19" t="s">
        <v>36</v>
      </c>
      <c r="R2514" s="20">
        <v>22591</v>
      </c>
      <c r="S2514" s="21" t="str">
        <f>HYPERLINK("https://houston.vettechinstitute.edu/aid", "$14215")</f>
        <v>$14215</v>
      </c>
      <c r="T2514" s="20">
        <v>16195</v>
      </c>
      <c r="U2514" s="20">
        <v>19560</v>
      </c>
      <c r="V2514" s="20">
        <v>2551</v>
      </c>
      <c r="W2514" s="20">
        <v>11664</v>
      </c>
      <c r="Y2514" s="19">
        <v>0.58799999999999997</v>
      </c>
      <c r="Z2514" s="19">
        <v>0.7016</v>
      </c>
      <c r="AB2514" s="18">
        <v>191</v>
      </c>
      <c r="AC2514" s="18">
        <v>6</v>
      </c>
    </row>
    <row r="2515" spans="1:29" ht="15.75" customHeight="1" x14ac:dyDescent="0.2">
      <c r="A2515" s="36" t="str">
        <f>HYPERLINK("https://www.vvc.edu", "Victor Valley College")</f>
        <v>Victor Valley College</v>
      </c>
      <c r="B2515" s="18" t="s">
        <v>49</v>
      </c>
      <c r="C2515" s="18" t="s">
        <v>68</v>
      </c>
      <c r="D2515" s="18" t="s">
        <v>1753</v>
      </c>
      <c r="E2515" s="18" t="s">
        <v>36</v>
      </c>
      <c r="F2515" s="18" t="s">
        <v>36</v>
      </c>
      <c r="J2515" s="19"/>
      <c r="K2515" s="19">
        <v>0.15759999999999999</v>
      </c>
      <c r="L2515" s="19">
        <v>5.7286072E-2</v>
      </c>
      <c r="M2515" s="19">
        <v>0.18360000000000001</v>
      </c>
      <c r="N2515" s="19">
        <v>0.1019</v>
      </c>
      <c r="O2515" s="19">
        <v>0.16239999999999999</v>
      </c>
      <c r="P2515" s="19">
        <v>0.15790000000000001</v>
      </c>
      <c r="Q2515" s="19">
        <v>7.6089975000000004E-2</v>
      </c>
      <c r="R2515" s="20">
        <v>23539</v>
      </c>
      <c r="S2515" s="21" t="str">
        <f>HYPERLINK("https://misweb.cccco.edu/npc/991/npcalc.htm", "$16812")</f>
        <v>$16812</v>
      </c>
      <c r="T2515" s="20">
        <v>19152</v>
      </c>
      <c r="U2515" s="20">
        <v>20197</v>
      </c>
      <c r="V2515" s="20">
        <v>5931</v>
      </c>
      <c r="W2515" s="20">
        <v>10881.368194842409</v>
      </c>
      <c r="Y2515" s="19">
        <v>0.49440000000000001</v>
      </c>
      <c r="Z2515" s="19">
        <v>0.74059999999999993</v>
      </c>
      <c r="AB2515" s="18">
        <v>9534</v>
      </c>
      <c r="AC2515" s="18">
        <v>6</v>
      </c>
    </row>
    <row r="2516" spans="1:29" ht="15.75" customHeight="1" x14ac:dyDescent="0.2">
      <c r="A2516" s="36" t="str">
        <f>HYPERLINK("https://www.victoriacollege.edu", "Victoria College")</f>
        <v>Victoria College</v>
      </c>
      <c r="B2516" s="18" t="s">
        <v>49</v>
      </c>
      <c r="C2516" s="18" t="s">
        <v>146</v>
      </c>
      <c r="D2516" s="18" t="s">
        <v>1754</v>
      </c>
      <c r="E2516" s="18" t="s">
        <v>36</v>
      </c>
      <c r="F2516" s="18" t="s">
        <v>36</v>
      </c>
      <c r="J2516" s="19"/>
      <c r="K2516" s="19">
        <v>0.1588</v>
      </c>
      <c r="L2516" s="19">
        <v>0.26906474800000002</v>
      </c>
      <c r="M2516" s="19">
        <v>0.18540000000000001</v>
      </c>
      <c r="N2516" s="19">
        <v>0.15379999999999999</v>
      </c>
      <c r="O2516" s="19">
        <v>0.1273</v>
      </c>
      <c r="P2516" s="19">
        <v>0.66669999999999996</v>
      </c>
      <c r="Q2516" s="19">
        <v>6.1046511999999997E-2</v>
      </c>
      <c r="R2516" s="20">
        <v>17960</v>
      </c>
      <c r="S2516" s="21" t="str">
        <f>HYPERLINK("https://www.victoriacollege.edu/financialaid", "$12331")</f>
        <v>$12331</v>
      </c>
      <c r="T2516" s="20">
        <v>14799</v>
      </c>
      <c r="U2516" s="20">
        <v>16617</v>
      </c>
      <c r="V2516" s="20">
        <v>5074</v>
      </c>
      <c r="W2516" s="20">
        <v>7257.5</v>
      </c>
      <c r="Y2516" s="19">
        <v>0.317</v>
      </c>
      <c r="Z2516" s="19">
        <v>0.58189999999999997</v>
      </c>
      <c r="AB2516" s="18">
        <v>3176</v>
      </c>
      <c r="AC2516" s="18">
        <v>6</v>
      </c>
    </row>
    <row r="2517" spans="1:29" ht="15.75" customHeight="1" x14ac:dyDescent="0.2">
      <c r="A2517" s="36" t="str">
        <f>HYPERLINK("https://www.villa.edu", "Villa Maria College")</f>
        <v>Villa Maria College</v>
      </c>
      <c r="B2517" s="18" t="s">
        <v>32</v>
      </c>
      <c r="C2517" s="18" t="s">
        <v>38</v>
      </c>
      <c r="D2517" s="18" t="s">
        <v>322</v>
      </c>
      <c r="E2517" s="18" t="s">
        <v>36</v>
      </c>
      <c r="F2517" s="18" t="s">
        <v>45</v>
      </c>
      <c r="J2517" s="19"/>
      <c r="K2517" s="19">
        <v>0.41670000000000001</v>
      </c>
      <c r="L2517" s="19" t="s">
        <v>36</v>
      </c>
      <c r="M2517" s="19">
        <v>0.53569999999999995</v>
      </c>
      <c r="N2517" s="19">
        <v>0.22220000000000001</v>
      </c>
      <c r="O2517" s="19">
        <v>0.2</v>
      </c>
      <c r="P2517" s="19">
        <v>0</v>
      </c>
      <c r="Q2517" s="19">
        <v>0.115226337</v>
      </c>
      <c r="R2517" s="20">
        <v>24330</v>
      </c>
      <c r="S2517" s="21" t="str">
        <f>HYPERLINK("https://www.villa.edu/search/net+price", "$9292")</f>
        <v>$9292</v>
      </c>
      <c r="T2517" s="20">
        <v>11722</v>
      </c>
      <c r="U2517" s="20">
        <v>14855</v>
      </c>
      <c r="V2517" s="20">
        <v>3700</v>
      </c>
      <c r="W2517" s="20">
        <v>5592</v>
      </c>
      <c r="Y2517" s="19">
        <v>0.65869999999999995</v>
      </c>
      <c r="Z2517" s="19">
        <v>0.47039999999999998</v>
      </c>
      <c r="AB2517" s="18">
        <v>591</v>
      </c>
      <c r="AC2517" s="18">
        <v>6</v>
      </c>
    </row>
    <row r="2518" spans="1:29" ht="15.75" customHeight="1" x14ac:dyDescent="0.2">
      <c r="A2518" s="36" t="str">
        <f>HYPERLINK("https://www.villanova.edu", "Villanova University")</f>
        <v>Villanova University</v>
      </c>
      <c r="B2518" s="18" t="s">
        <v>32</v>
      </c>
      <c r="C2518" s="18" t="s">
        <v>65</v>
      </c>
      <c r="D2518" s="18" t="s">
        <v>177</v>
      </c>
      <c r="E2518" s="18">
        <v>1409</v>
      </c>
      <c r="F2518" s="18" t="s">
        <v>35</v>
      </c>
      <c r="J2518" s="19"/>
      <c r="K2518" s="19">
        <v>0.90300000000000002</v>
      </c>
      <c r="L2518" s="19">
        <v>0.59322033899999993</v>
      </c>
      <c r="M2518" s="19">
        <v>0.91049999999999998</v>
      </c>
      <c r="N2518" s="19">
        <v>0.84509999999999996</v>
      </c>
      <c r="O2518" s="19">
        <v>0.86719999999999997</v>
      </c>
      <c r="P2518" s="19">
        <v>0.91510000000000002</v>
      </c>
      <c r="Q2518" s="19"/>
      <c r="R2518" s="20">
        <v>68231</v>
      </c>
      <c r="S2518" s="21" t="str">
        <f>HYPERLINK("https://npc.collegeboard.org/student/app/villanova", "$24401")</f>
        <v>$24401</v>
      </c>
      <c r="T2518" s="20">
        <v>29892</v>
      </c>
      <c r="U2518" s="20">
        <v>33826</v>
      </c>
      <c r="V2518" s="20">
        <v>3400</v>
      </c>
      <c r="W2518" s="20">
        <v>21001</v>
      </c>
      <c r="Y2518" s="19">
        <v>0.1046</v>
      </c>
      <c r="Z2518" s="19">
        <v>0.25729999999999997</v>
      </c>
      <c r="AB2518" s="18">
        <v>6886</v>
      </c>
      <c r="AC2518" s="18">
        <v>1</v>
      </c>
    </row>
    <row r="2519" spans="1:29" ht="15.75" customHeight="1" x14ac:dyDescent="0.2">
      <c r="A2519" s="36" t="str">
        <f>HYPERLINK("https://cs.uarts.edu/sms", "Villanova University - Summer Music Studies Program")</f>
        <v>Villanova University - Summer Music Studies Program</v>
      </c>
      <c r="B2519" s="18" t="s">
        <v>32</v>
      </c>
      <c r="C2519" s="18" t="s">
        <v>65</v>
      </c>
      <c r="D2519" s="18" t="s">
        <v>177</v>
      </c>
      <c r="E2519" s="18" t="s">
        <v>36</v>
      </c>
      <c r="F2519" s="18" t="s">
        <v>36</v>
      </c>
      <c r="J2519" s="19"/>
      <c r="K2519" s="19" t="s">
        <v>36</v>
      </c>
      <c r="L2519" s="19">
        <v>0.513761468</v>
      </c>
      <c r="M2519" s="19" t="s">
        <v>36</v>
      </c>
      <c r="N2519" s="19" t="s">
        <v>36</v>
      </c>
      <c r="O2519" s="19" t="s">
        <v>36</v>
      </c>
      <c r="P2519" s="19" t="s">
        <v>36</v>
      </c>
      <c r="Q2519" s="19"/>
      <c r="R2519" s="20" t="s">
        <v>36</v>
      </c>
      <c r="S2519" s="35" t="s">
        <v>36</v>
      </c>
      <c r="T2519" s="20" t="s">
        <v>36</v>
      </c>
      <c r="U2519" s="20" t="s">
        <v>36</v>
      </c>
      <c r="V2519" s="20" t="s">
        <v>36</v>
      </c>
      <c r="W2519" s="20" t="s">
        <v>36</v>
      </c>
      <c r="Y2519" s="19" t="s">
        <v>36</v>
      </c>
      <c r="Z2519" s="19" t="s">
        <v>36</v>
      </c>
      <c r="AB2519" s="18" t="s">
        <v>36</v>
      </c>
      <c r="AC2519" s="18">
        <v>4</v>
      </c>
    </row>
    <row r="2520" spans="1:29" ht="15.75" customHeight="1" x14ac:dyDescent="0.2">
      <c r="A2520" s="36" t="str">
        <f>HYPERLINK("https://www.vinu.edu", "Vincennes University")</f>
        <v>Vincennes University</v>
      </c>
      <c r="B2520" s="18" t="s">
        <v>49</v>
      </c>
      <c r="C2520" s="18" t="s">
        <v>148</v>
      </c>
      <c r="D2520" s="18" t="s">
        <v>1755</v>
      </c>
      <c r="E2520" s="18" t="s">
        <v>36</v>
      </c>
      <c r="F2520" s="18" t="s">
        <v>36</v>
      </c>
      <c r="J2520" s="19"/>
      <c r="K2520" s="19">
        <v>0.2291</v>
      </c>
      <c r="L2520" s="19">
        <v>0.14540647700000001</v>
      </c>
      <c r="M2520" s="19">
        <v>0.27079999999999999</v>
      </c>
      <c r="N2520" s="19">
        <v>5.0200000000000002E-2</v>
      </c>
      <c r="O2520" s="19">
        <v>0.20250000000000001</v>
      </c>
      <c r="P2520" s="19">
        <v>0.6</v>
      </c>
      <c r="Q2520" s="19">
        <v>5.7859532000000012E-2</v>
      </c>
      <c r="R2520" s="20">
        <v>27515</v>
      </c>
      <c r="S2520" s="21" t="str">
        <f>HYPERLINK("https://ext01.vinu.edu/net_price/npcalc.htm", "$19738")</f>
        <v>$19738</v>
      </c>
      <c r="T2520" s="20">
        <v>23439</v>
      </c>
      <c r="U2520" s="20">
        <v>25006</v>
      </c>
      <c r="V2520" s="20">
        <v>4246</v>
      </c>
      <c r="W2520" s="20">
        <v>15492.92763938315</v>
      </c>
      <c r="Y2520" s="19">
        <v>0.16589999999999999</v>
      </c>
      <c r="Z2520" s="19">
        <v>0.28620000000000001</v>
      </c>
      <c r="AB2520" s="18">
        <v>6797</v>
      </c>
      <c r="AC2520" s="18">
        <v>6</v>
      </c>
    </row>
    <row r="2521" spans="1:29" ht="15.75" customHeight="1" x14ac:dyDescent="0.2">
      <c r="A2521" s="36" t="str">
        <f>HYPERLINK("https://www.vc.edu", "Virginia College-Austin")</f>
        <v>Virginia College-Austin</v>
      </c>
      <c r="B2521" s="18" t="s">
        <v>368</v>
      </c>
      <c r="C2521" s="18" t="s">
        <v>146</v>
      </c>
      <c r="D2521" s="18" t="s">
        <v>264</v>
      </c>
      <c r="E2521" s="18" t="s">
        <v>36</v>
      </c>
      <c r="F2521" s="18" t="s">
        <v>36</v>
      </c>
      <c r="J2521" s="19"/>
      <c r="K2521" s="19">
        <v>0.28989999999999999</v>
      </c>
      <c r="L2521" s="19">
        <v>0.30252664499999998</v>
      </c>
      <c r="M2521" s="19">
        <v>0.33329999999999999</v>
      </c>
      <c r="N2521" s="19">
        <v>0.28129999999999999</v>
      </c>
      <c r="O2521" s="19">
        <v>0.30099999999999999</v>
      </c>
      <c r="P2521" s="19">
        <v>0</v>
      </c>
      <c r="Q2521" s="19">
        <v>2.3974295999999999E-2</v>
      </c>
      <c r="R2521" s="20" t="s">
        <v>36</v>
      </c>
      <c r="S2521" s="21" t="str">
        <f>HYPERLINK("https://enroll.vc.edu/npc", "$26538")</f>
        <v>$26538</v>
      </c>
      <c r="T2521" s="20">
        <v>28569</v>
      </c>
      <c r="U2521" s="20">
        <v>30668</v>
      </c>
      <c r="V2521" s="20" t="s">
        <v>36</v>
      </c>
      <c r="W2521" s="20" t="s">
        <v>36</v>
      </c>
      <c r="Y2521" s="19">
        <v>0.52669999999999995</v>
      </c>
      <c r="Z2521" s="19">
        <v>0.77890000000000004</v>
      </c>
      <c r="AB2521" s="18">
        <v>511</v>
      </c>
      <c r="AC2521" s="18">
        <v>6</v>
      </c>
    </row>
    <row r="2522" spans="1:29" ht="15.75" customHeight="1" x14ac:dyDescent="0.2">
      <c r="A2522" s="36" t="str">
        <f>HYPERLINK("https://www.vc.edu", "Virginia College-Columbus")</f>
        <v>Virginia College-Columbus</v>
      </c>
      <c r="B2522" s="18" t="s">
        <v>368</v>
      </c>
      <c r="C2522" s="18" t="s">
        <v>107</v>
      </c>
      <c r="D2522" s="18" t="s">
        <v>237</v>
      </c>
      <c r="E2522" s="18" t="s">
        <v>36</v>
      </c>
      <c r="F2522" s="18" t="s">
        <v>36</v>
      </c>
      <c r="J2522" s="19"/>
      <c r="K2522" s="19">
        <v>0.32250000000000001</v>
      </c>
      <c r="L2522" s="19">
        <v>0.30252664499999998</v>
      </c>
      <c r="M2522" s="19">
        <v>0.3725</v>
      </c>
      <c r="N2522" s="19">
        <v>0.314</v>
      </c>
      <c r="O2522" s="19">
        <v>0.23080000000000001</v>
      </c>
      <c r="P2522" s="19">
        <v>0</v>
      </c>
      <c r="Q2522" s="19">
        <v>2.3974295999999999E-2</v>
      </c>
      <c r="R2522" s="20" t="s">
        <v>36</v>
      </c>
      <c r="S2522" s="21" t="str">
        <f>HYPERLINK("https://enroll.vc.edu/Npc", "$30652")</f>
        <v>$30652</v>
      </c>
      <c r="T2522" s="20">
        <v>28501</v>
      </c>
      <c r="U2522" s="20" t="s">
        <v>36</v>
      </c>
      <c r="V2522" s="20" t="s">
        <v>36</v>
      </c>
      <c r="W2522" s="20" t="s">
        <v>36</v>
      </c>
      <c r="Y2522" s="19">
        <v>0.73939999999999995</v>
      </c>
      <c r="Z2522" s="19">
        <v>0.86529999999999996</v>
      </c>
      <c r="AB2522" s="18">
        <v>527</v>
      </c>
      <c r="AC2522" s="18">
        <v>6</v>
      </c>
    </row>
    <row r="2523" spans="1:29" ht="15.75" customHeight="1" x14ac:dyDescent="0.2">
      <c r="A2523" s="36" t="str">
        <f>HYPERLINK("https://www.vcu.edu/", "Virginia Commonwealth University")</f>
        <v>Virginia Commonwealth University</v>
      </c>
      <c r="B2523" s="18" t="s">
        <v>49</v>
      </c>
      <c r="C2523" s="18" t="s">
        <v>83</v>
      </c>
      <c r="D2523" s="18" t="s">
        <v>350</v>
      </c>
      <c r="E2523" s="18">
        <v>1168</v>
      </c>
      <c r="F2523" s="18" t="s">
        <v>35</v>
      </c>
      <c r="J2523" s="19"/>
      <c r="K2523" s="19">
        <v>0.62549999999999994</v>
      </c>
      <c r="L2523" s="19">
        <v>0.57782672499999999</v>
      </c>
      <c r="M2523" s="19">
        <v>0.62760000000000005</v>
      </c>
      <c r="N2523" s="19">
        <v>0.59830000000000005</v>
      </c>
      <c r="O2523" s="19">
        <v>0.58160000000000001</v>
      </c>
      <c r="P2523" s="19">
        <v>0.68730000000000002</v>
      </c>
      <c r="Q2523" s="19"/>
      <c r="R2523" s="20">
        <v>51204</v>
      </c>
      <c r="S2523" s="21" t="str">
        <f>HYPERLINK("https://npc.collegeboard.org/student/app/vcu", "$37856")</f>
        <v>$37856</v>
      </c>
      <c r="T2523" s="20">
        <v>44172</v>
      </c>
      <c r="U2523" s="20">
        <v>46393</v>
      </c>
      <c r="V2523" s="20">
        <v>6042</v>
      </c>
      <c r="W2523" s="20">
        <v>31814.968181818189</v>
      </c>
      <c r="Y2523" s="19">
        <v>0.28079999999999999</v>
      </c>
      <c r="Z2523" s="19">
        <v>0.53449999999999998</v>
      </c>
      <c r="AB2523" s="18">
        <v>22393</v>
      </c>
      <c r="AC2523" s="18">
        <v>4</v>
      </c>
    </row>
    <row r="2524" spans="1:29" ht="15.75" customHeight="1" x14ac:dyDescent="0.2">
      <c r="A2524" s="36" t="str">
        <f>HYPERLINK("https://www.vmi.edu", "Virginia Military Institute")</f>
        <v>Virginia Military Institute</v>
      </c>
      <c r="B2524" s="18" t="s">
        <v>49</v>
      </c>
      <c r="C2524" s="18" t="s">
        <v>83</v>
      </c>
      <c r="D2524" s="18" t="s">
        <v>180</v>
      </c>
      <c r="E2524" s="18">
        <v>1204</v>
      </c>
      <c r="F2524" s="18" t="s">
        <v>35</v>
      </c>
      <c r="J2524" s="19"/>
      <c r="K2524" s="19">
        <v>0.7661</v>
      </c>
      <c r="L2524" s="19">
        <v>0.65217391299999994</v>
      </c>
      <c r="M2524" s="19">
        <v>0.78359999999999996</v>
      </c>
      <c r="N2524" s="19">
        <v>0.44829999999999998</v>
      </c>
      <c r="O2524" s="19">
        <v>0.79169999999999996</v>
      </c>
      <c r="P2524" s="19">
        <v>0.88239999999999996</v>
      </c>
      <c r="Q2524" s="19"/>
      <c r="R2524" s="20">
        <v>56288</v>
      </c>
      <c r="S2524" s="21" t="str">
        <f>HYPERLINK("https://npc.collegeboard.org/student/app/vmi", "$33238")</f>
        <v>$33238</v>
      </c>
      <c r="T2524" s="20">
        <v>36100</v>
      </c>
      <c r="U2524" s="20">
        <v>46612</v>
      </c>
      <c r="V2524" s="20">
        <v>3150</v>
      </c>
      <c r="W2524" s="20">
        <v>30088.17391304348</v>
      </c>
      <c r="Y2524" s="19">
        <v>0.12839999999999999</v>
      </c>
      <c r="Z2524" s="19">
        <v>0.21249999999999999</v>
      </c>
      <c r="AB2524" s="18">
        <v>1722</v>
      </c>
      <c r="AC2524" s="18">
        <v>4</v>
      </c>
    </row>
    <row r="2525" spans="1:29" ht="15.75" customHeight="1" x14ac:dyDescent="0.2">
      <c r="A2525" s="36" t="str">
        <f>HYPERLINK("https://WWW.VT.EDU", "Virginia Polytechnic Institute and State University")</f>
        <v>Virginia Polytechnic Institute and State University</v>
      </c>
      <c r="B2525" s="18" t="s">
        <v>49</v>
      </c>
      <c r="C2525" s="18" t="s">
        <v>83</v>
      </c>
      <c r="D2525" s="18" t="s">
        <v>297</v>
      </c>
      <c r="E2525" s="18">
        <v>1284</v>
      </c>
      <c r="F2525" s="18" t="s">
        <v>35</v>
      </c>
      <c r="J2525" s="19"/>
      <c r="K2525" s="19">
        <v>0.84400000000000008</v>
      </c>
      <c r="L2525" s="19">
        <v>0.70443349799999999</v>
      </c>
      <c r="M2525" s="19">
        <v>0.85519999999999996</v>
      </c>
      <c r="N2525" s="19">
        <v>0.7087</v>
      </c>
      <c r="O2525" s="19">
        <v>0.82400000000000007</v>
      </c>
      <c r="P2525" s="19">
        <v>0.872</v>
      </c>
      <c r="Q2525" s="19"/>
      <c r="R2525" s="20">
        <v>44024</v>
      </c>
      <c r="S2525" s="21" t="str">
        <f>HYPERLINK("https://www.apps.finaid.vt.edu/apps/NPC/npcalc.htm", "$31713")</f>
        <v>$31713</v>
      </c>
      <c r="T2525" s="20">
        <v>36340</v>
      </c>
      <c r="U2525" s="20">
        <v>40497</v>
      </c>
      <c r="V2525" s="20">
        <v>4090</v>
      </c>
      <c r="W2525" s="20">
        <v>27623.279069767439</v>
      </c>
      <c r="Y2525" s="19">
        <v>0.16170000000000001</v>
      </c>
      <c r="Z2525" s="19">
        <v>0.3397</v>
      </c>
      <c r="AB2525" s="18">
        <v>27120</v>
      </c>
      <c r="AC2525" s="18">
        <v>2</v>
      </c>
    </row>
    <row r="2526" spans="1:29" ht="15.75" customHeight="1" x14ac:dyDescent="0.2">
      <c r="A2526" s="36" t="str">
        <f>HYPERLINK("https://www.vsu.edu", "Virginia State University")</f>
        <v>Virginia State University</v>
      </c>
      <c r="B2526" s="18" t="s">
        <v>49</v>
      </c>
      <c r="C2526" s="18" t="s">
        <v>83</v>
      </c>
      <c r="D2526" s="18" t="s">
        <v>1379</v>
      </c>
      <c r="E2526" s="18">
        <v>914</v>
      </c>
      <c r="F2526" s="18" t="s">
        <v>35</v>
      </c>
      <c r="J2526" s="19"/>
      <c r="K2526" s="19">
        <v>0.42120000000000002</v>
      </c>
      <c r="L2526" s="19">
        <v>0.45547073799999999</v>
      </c>
      <c r="M2526" s="19">
        <v>0.16</v>
      </c>
      <c r="N2526" s="19">
        <v>0.42759999999999998</v>
      </c>
      <c r="O2526" s="19">
        <v>0.36</v>
      </c>
      <c r="P2526" s="19" t="s">
        <v>36</v>
      </c>
      <c r="Q2526" s="19"/>
      <c r="R2526" s="20">
        <v>33427</v>
      </c>
      <c r="S2526" s="21" t="str">
        <f>HYPERLINK("https://www.vsu.edu/financial-aid/mandates/net-price-calculator.php", "$25203")</f>
        <v>$25203</v>
      </c>
      <c r="T2526" s="20">
        <v>28631</v>
      </c>
      <c r="U2526" s="20">
        <v>30226</v>
      </c>
      <c r="V2526" s="20">
        <v>2975</v>
      </c>
      <c r="W2526" s="20">
        <v>22228.594936708861</v>
      </c>
      <c r="Y2526" s="19">
        <v>0.70709999999999995</v>
      </c>
      <c r="Z2526" s="19">
        <v>0.99180000000000001</v>
      </c>
      <c r="AB2526" s="18">
        <v>4265</v>
      </c>
      <c r="AC2526" s="18">
        <v>4</v>
      </c>
    </row>
    <row r="2527" spans="1:29" ht="15.75" customHeight="1" x14ac:dyDescent="0.2">
      <c r="A2527" s="36" t="str">
        <f>HYPERLINK("https://www.vuu.edu", "Virginia Union University")</f>
        <v>Virginia Union University</v>
      </c>
      <c r="B2527" s="18" t="s">
        <v>32</v>
      </c>
      <c r="C2527" s="18" t="s">
        <v>83</v>
      </c>
      <c r="D2527" s="18" t="s">
        <v>350</v>
      </c>
      <c r="E2527" s="18">
        <v>922</v>
      </c>
      <c r="F2527" s="18" t="s">
        <v>115</v>
      </c>
      <c r="J2527" s="19"/>
      <c r="K2527" s="19">
        <v>0.26569999999999999</v>
      </c>
      <c r="L2527" s="19">
        <v>0.247557003</v>
      </c>
      <c r="M2527" s="19">
        <v>0.5</v>
      </c>
      <c r="N2527" s="19">
        <v>0.26600000000000001</v>
      </c>
      <c r="O2527" s="19">
        <v>0</v>
      </c>
      <c r="P2527" s="19" t="s">
        <v>36</v>
      </c>
      <c r="Q2527" s="19"/>
      <c r="R2527" s="20">
        <v>30896</v>
      </c>
      <c r="S2527" s="21" t="str">
        <f>HYPERLINK("https://my.vuu.edu/ICS/Student_Finances/My_Financial_Aid.jnz?", "$19795")</f>
        <v>$19795</v>
      </c>
      <c r="T2527" s="20">
        <v>23819</v>
      </c>
      <c r="U2527" s="20">
        <v>24842</v>
      </c>
      <c r="V2527" s="20">
        <v>4936</v>
      </c>
      <c r="W2527" s="20">
        <v>14859</v>
      </c>
      <c r="Y2527" s="19">
        <v>0.74529999999999996</v>
      </c>
      <c r="Z2527" s="19">
        <v>0.98680000000000001</v>
      </c>
      <c r="AB2527" s="18">
        <v>1211</v>
      </c>
      <c r="AC2527" s="18">
        <v>4</v>
      </c>
    </row>
    <row r="2528" spans="1:29" ht="15.75" customHeight="1" x14ac:dyDescent="0.2">
      <c r="A2528" s="36" t="str">
        <f>HYPERLINK("https://www.vul.edu", "Virginia University of Lynchburg")</f>
        <v>Virginia University of Lynchburg</v>
      </c>
      <c r="B2528" s="18" t="s">
        <v>32</v>
      </c>
      <c r="C2528" s="18" t="s">
        <v>83</v>
      </c>
      <c r="D2528" s="18" t="s">
        <v>449</v>
      </c>
      <c r="E2528" s="18" t="s">
        <v>36</v>
      </c>
      <c r="F2528" s="18" t="s">
        <v>36</v>
      </c>
      <c r="J2528" s="19"/>
      <c r="K2528" s="19">
        <v>0.14419999999999999</v>
      </c>
      <c r="L2528" s="19">
        <v>0.12686567200000001</v>
      </c>
      <c r="M2528" s="19">
        <v>0.33329999999999999</v>
      </c>
      <c r="N2528" s="19">
        <v>0.1429</v>
      </c>
      <c r="O2528" s="19" t="s">
        <v>36</v>
      </c>
      <c r="P2528" s="19" t="s">
        <v>36</v>
      </c>
      <c r="Q2528" s="19" t="s">
        <v>36</v>
      </c>
      <c r="R2528" s="20">
        <v>26129</v>
      </c>
      <c r="S2528" s="21" t="str">
        <f>HYPERLINK("https://www.vul.edu", "$13297")</f>
        <v>$13297</v>
      </c>
      <c r="T2528" s="20">
        <v>19228</v>
      </c>
      <c r="U2528" s="20">
        <v>18042</v>
      </c>
      <c r="V2528" s="20">
        <v>6929</v>
      </c>
      <c r="W2528" s="20">
        <v>6368</v>
      </c>
      <c r="Y2528" s="19">
        <v>0.85670000000000002</v>
      </c>
      <c r="Z2528" s="19">
        <v>0.99629999999999996</v>
      </c>
      <c r="AB2528" s="18">
        <v>268</v>
      </c>
      <c r="AC2528" s="18">
        <v>6</v>
      </c>
    </row>
    <row r="2529" spans="1:29" ht="15.75" customHeight="1" x14ac:dyDescent="0.2">
      <c r="A2529" s="17" t="str">
        <f>HYPERLINK("https://www.vwu.edu", "Virginia Wesleyan College")</f>
        <v>Virginia Wesleyan College</v>
      </c>
      <c r="B2529" s="18" t="s">
        <v>32</v>
      </c>
      <c r="C2529" s="18" t="s">
        <v>83</v>
      </c>
      <c r="D2529" s="18" t="s">
        <v>921</v>
      </c>
      <c r="E2529" s="18">
        <v>1063</v>
      </c>
      <c r="F2529" s="18" t="s">
        <v>35</v>
      </c>
      <c r="J2529" s="19"/>
      <c r="K2529" s="19">
        <v>0.52049999999999996</v>
      </c>
      <c r="L2529" s="19">
        <v>0.44094488199999998</v>
      </c>
      <c r="M2529" s="19">
        <v>0.51900000000000002</v>
      </c>
      <c r="N2529" s="19">
        <v>0.47370000000000001</v>
      </c>
      <c r="O2529" s="19">
        <v>0.62960000000000005</v>
      </c>
      <c r="P2529" s="19">
        <v>0.33329999999999999</v>
      </c>
      <c r="Q2529" s="19"/>
      <c r="R2529" s="20">
        <v>50204</v>
      </c>
      <c r="S2529" s="33" t="str">
        <f>HYPERLINK("https://tcc.noellevitz.com/(S(5slfxgklwwaxffrvamu2ydr4))/Virginia%20Wesleyan%20University/Freshman%20Students", "$22891")</f>
        <v>$22891</v>
      </c>
      <c r="T2529" s="20">
        <v>25150</v>
      </c>
      <c r="U2529" s="20">
        <v>25204</v>
      </c>
      <c r="V2529" s="20">
        <v>4600</v>
      </c>
      <c r="W2529" s="20">
        <v>18291</v>
      </c>
      <c r="Y2529" s="19">
        <v>0.41270000000000001</v>
      </c>
      <c r="Z2529" s="19">
        <v>0.51350000000000007</v>
      </c>
      <c r="AB2529" s="18">
        <v>1369</v>
      </c>
      <c r="AC2529" s="18">
        <v>5</v>
      </c>
    </row>
    <row r="2530" spans="1:29" ht="15.75" customHeight="1" x14ac:dyDescent="0.2">
      <c r="A2530" s="17" t="str">
        <f>HYPERLINK("https://virginiawestern.edu/", "Virginia Western Community College")</f>
        <v>Virginia Western Community College</v>
      </c>
      <c r="B2530" s="18" t="s">
        <v>49</v>
      </c>
      <c r="C2530" s="18" t="s">
        <v>83</v>
      </c>
      <c r="D2530" s="18" t="s">
        <v>379</v>
      </c>
      <c r="E2530" s="18" t="s">
        <v>36</v>
      </c>
      <c r="F2530" s="18" t="s">
        <v>36</v>
      </c>
      <c r="J2530" s="19"/>
      <c r="K2530" s="19">
        <v>0.2772</v>
      </c>
      <c r="L2530" s="19">
        <v>0.162423178</v>
      </c>
      <c r="M2530" s="19">
        <v>0.32390000000000002</v>
      </c>
      <c r="N2530" s="19">
        <v>8.2600000000000007E-2</v>
      </c>
      <c r="O2530" s="19">
        <v>0.129</v>
      </c>
      <c r="P2530" s="19">
        <v>0.16669999999999999</v>
      </c>
      <c r="Q2530" s="19">
        <v>8.5379464000000002E-2</v>
      </c>
      <c r="R2530" s="20">
        <v>23678</v>
      </c>
      <c r="S2530" s="33" t="str">
        <f>HYPERLINK("https://www.vawizard.org/wizard/financing-college", "$18580")</f>
        <v>$18580</v>
      </c>
      <c r="T2530" s="20">
        <v>20081</v>
      </c>
      <c r="U2530" s="20">
        <v>22509</v>
      </c>
      <c r="V2530" s="20">
        <v>5586</v>
      </c>
      <c r="W2530" s="20">
        <v>12994.506925207759</v>
      </c>
      <c r="Y2530" s="19">
        <v>0.2802</v>
      </c>
      <c r="Z2530" s="19">
        <v>0.253</v>
      </c>
      <c r="AB2530" s="18">
        <v>4312</v>
      </c>
      <c r="AC2530" s="18">
        <v>6</v>
      </c>
    </row>
    <row r="2531" spans="1:29" ht="15.75" customHeight="1" x14ac:dyDescent="0.2">
      <c r="A2531" s="17" t="str">
        <f>HYPERLINK("https://vistacollege.edu", "Vista College-Online")</f>
        <v>Vista College-Online</v>
      </c>
      <c r="B2531" s="18" t="s">
        <v>368</v>
      </c>
      <c r="C2531" s="18" t="s">
        <v>146</v>
      </c>
      <c r="D2531" s="18" t="s">
        <v>265</v>
      </c>
      <c r="E2531" s="18" t="s">
        <v>36</v>
      </c>
      <c r="F2531" s="18" t="s">
        <v>36</v>
      </c>
      <c r="J2531" s="19"/>
      <c r="K2531" s="19">
        <v>0.46539999999999998</v>
      </c>
      <c r="L2531" s="19">
        <v>0.71134020599999992</v>
      </c>
      <c r="M2531" s="19">
        <v>0.4194</v>
      </c>
      <c r="N2531" s="19">
        <v>0.38100000000000001</v>
      </c>
      <c r="O2531" s="19">
        <v>0.6</v>
      </c>
      <c r="P2531" s="19" t="s">
        <v>36</v>
      </c>
      <c r="Q2531" s="19" t="s">
        <v>36</v>
      </c>
      <c r="R2531" s="20" t="s">
        <v>36</v>
      </c>
      <c r="S2531" s="33" t="str">
        <f>HYPERLINK("https://www.vistacollege.edu/online/", "$22876")</f>
        <v>$22876</v>
      </c>
      <c r="T2531" s="20">
        <v>25165</v>
      </c>
      <c r="U2531" s="20">
        <v>28618</v>
      </c>
      <c r="V2531" s="20" t="s">
        <v>36</v>
      </c>
      <c r="W2531" s="20" t="s">
        <v>36</v>
      </c>
      <c r="Y2531" s="19">
        <v>0.75090000000000001</v>
      </c>
      <c r="Z2531" s="19">
        <v>0.74509999999999998</v>
      </c>
      <c r="AB2531" s="18">
        <v>565</v>
      </c>
      <c r="AC2531" s="18">
        <v>6</v>
      </c>
    </row>
    <row r="2532" spans="1:29" ht="15.75" customHeight="1" x14ac:dyDescent="0.2">
      <c r="A2532" s="17" t="str">
        <f>HYPERLINK("https://www.volstate.edu", "Volunteer State Community College")</f>
        <v>Volunteer State Community College</v>
      </c>
      <c r="B2532" s="18" t="s">
        <v>49</v>
      </c>
      <c r="C2532" s="18" t="s">
        <v>174</v>
      </c>
      <c r="D2532" s="18" t="s">
        <v>1756</v>
      </c>
      <c r="E2532" s="18" t="s">
        <v>36</v>
      </c>
      <c r="F2532" s="18" t="s">
        <v>36</v>
      </c>
      <c r="J2532" s="19"/>
      <c r="K2532" s="19">
        <v>0.23019999999999999</v>
      </c>
      <c r="L2532" s="19">
        <v>0.13845258899999999</v>
      </c>
      <c r="M2532" s="19">
        <v>0.2611</v>
      </c>
      <c r="N2532" s="19">
        <v>7.2700000000000001E-2</v>
      </c>
      <c r="O2532" s="19">
        <v>0.16950000000000001</v>
      </c>
      <c r="P2532" s="19">
        <v>0.30769999999999997</v>
      </c>
      <c r="Q2532" s="19">
        <v>0.109122203</v>
      </c>
      <c r="R2532" s="20">
        <v>32749</v>
      </c>
      <c r="S2532" s="33" t="str">
        <f>HYPERLINK("https://www.volstate.edu/FinancialAid/Cost.php", "$26113")</f>
        <v>$26113</v>
      </c>
      <c r="T2532" s="20">
        <v>28435</v>
      </c>
      <c r="U2532" s="20">
        <v>30387</v>
      </c>
      <c r="V2532" s="20">
        <v>4624</v>
      </c>
      <c r="W2532" s="20">
        <v>21489.546391752581</v>
      </c>
      <c r="Y2532" s="19">
        <v>0.35930000000000001</v>
      </c>
      <c r="Z2532" s="19">
        <v>0.2382</v>
      </c>
      <c r="AB2532" s="18">
        <v>6976</v>
      </c>
      <c r="AC2532" s="18">
        <v>6</v>
      </c>
    </row>
    <row r="2533" spans="1:29" ht="15.75" customHeight="1" x14ac:dyDescent="0.2">
      <c r="A2533" s="17" t="str">
        <f>HYPERLINK("https://www.voorhees.edu", "Voorhees College")</f>
        <v>Voorhees College</v>
      </c>
      <c r="B2533" s="18" t="s">
        <v>32</v>
      </c>
      <c r="C2533" s="18" t="s">
        <v>208</v>
      </c>
      <c r="D2533" s="18" t="s">
        <v>1381</v>
      </c>
      <c r="E2533" s="18" t="s">
        <v>36</v>
      </c>
      <c r="F2533" s="18" t="s">
        <v>90</v>
      </c>
      <c r="J2533" s="19"/>
      <c r="K2533" s="19">
        <v>0.29199999999999998</v>
      </c>
      <c r="L2533" s="19">
        <v>0.198501873</v>
      </c>
      <c r="M2533" s="19" t="s">
        <v>36</v>
      </c>
      <c r="N2533" s="19">
        <v>0.29630000000000001</v>
      </c>
      <c r="O2533" s="19" t="s">
        <v>36</v>
      </c>
      <c r="P2533" s="19" t="s">
        <v>36</v>
      </c>
      <c r="Q2533" s="19"/>
      <c r="R2533" s="20">
        <v>26336</v>
      </c>
      <c r="S2533" s="33" t="str">
        <f>HYPERLINK("https://www.voorhees.edu", "$16688")</f>
        <v>$16688</v>
      </c>
      <c r="T2533" s="20">
        <v>19974</v>
      </c>
      <c r="U2533" s="20">
        <v>23632</v>
      </c>
      <c r="V2533" s="20">
        <v>6360</v>
      </c>
      <c r="W2533" s="20">
        <v>10328</v>
      </c>
      <c r="Y2533" s="19">
        <v>0.88190000000000002</v>
      </c>
      <c r="Z2533" s="19">
        <v>0.99160000000000004</v>
      </c>
      <c r="AB2533" s="18">
        <v>475</v>
      </c>
      <c r="AC2533" s="18">
        <v>4</v>
      </c>
    </row>
    <row r="2534" spans="1:29" ht="15.75" customHeight="1" x14ac:dyDescent="0.2">
      <c r="A2534" s="17" t="str">
        <f>HYPERLINK("https://www.wabash.edu", "Wabash College")</f>
        <v>Wabash College</v>
      </c>
      <c r="B2534" s="18" t="s">
        <v>32</v>
      </c>
      <c r="C2534" s="18" t="s">
        <v>148</v>
      </c>
      <c r="D2534" s="18" t="s">
        <v>532</v>
      </c>
      <c r="E2534" s="18">
        <v>1199</v>
      </c>
      <c r="F2534" s="18" t="s">
        <v>35</v>
      </c>
      <c r="J2534" s="19"/>
      <c r="K2534" s="19">
        <v>0.76790000000000003</v>
      </c>
      <c r="L2534" s="19">
        <v>0.59375</v>
      </c>
      <c r="M2534" s="19">
        <v>0.82609999999999995</v>
      </c>
      <c r="N2534" s="19">
        <v>0.70589999999999997</v>
      </c>
      <c r="O2534" s="19">
        <v>0.5</v>
      </c>
      <c r="P2534" s="19">
        <v>0.66669999999999996</v>
      </c>
      <c r="Q2534" s="19"/>
      <c r="R2534" s="20">
        <v>54600</v>
      </c>
      <c r="S2534" s="33" t="str">
        <f>HYPERLINK("https://www.wabash.edu/admissions/finances/npc", "$15372")</f>
        <v>$15372</v>
      </c>
      <c r="T2534" s="20">
        <v>16763</v>
      </c>
      <c r="U2534" s="20">
        <v>22597</v>
      </c>
      <c r="V2534" s="20">
        <v>2500</v>
      </c>
      <c r="W2534" s="20">
        <v>12872</v>
      </c>
      <c r="Y2534" s="19">
        <v>0.247</v>
      </c>
      <c r="Z2534" s="19">
        <v>0.27029999999999998</v>
      </c>
      <c r="AB2534" s="18">
        <v>862</v>
      </c>
      <c r="AC2534" s="18">
        <v>3</v>
      </c>
    </row>
    <row r="2535" spans="1:29" ht="15.75" customHeight="1" x14ac:dyDescent="0.2">
      <c r="A2535" s="17" t="str">
        <f>HYPERLINK("https://www.iecc.edu/wvc", "Wabash Valley College")</f>
        <v>Wabash Valley College</v>
      </c>
      <c r="B2535" s="18" t="s">
        <v>49</v>
      </c>
      <c r="C2535" s="18" t="s">
        <v>137</v>
      </c>
      <c r="D2535" s="18" t="s">
        <v>1757</v>
      </c>
      <c r="E2535" s="18" t="s">
        <v>36</v>
      </c>
      <c r="F2535" s="18" t="s">
        <v>36</v>
      </c>
      <c r="J2535" s="19"/>
      <c r="K2535" s="19">
        <v>0.54679999999999995</v>
      </c>
      <c r="L2535" s="19">
        <v>0.27364864900000002</v>
      </c>
      <c r="M2535" s="19">
        <v>0.58989999999999998</v>
      </c>
      <c r="N2535" s="19">
        <v>0.1429</v>
      </c>
      <c r="O2535" s="19">
        <v>0.1429</v>
      </c>
      <c r="P2535" s="19">
        <v>0</v>
      </c>
      <c r="Q2535" s="19">
        <v>2.7522936000000001E-2</v>
      </c>
      <c r="R2535" s="20">
        <v>20755</v>
      </c>
      <c r="S2535" s="33" t="str">
        <f>HYPERLINK("https://www.iecc.edu/files_user/FAID/netcalc/npcalc.htm", "$16032")</f>
        <v>$16032</v>
      </c>
      <c r="T2535" s="20">
        <v>18788</v>
      </c>
      <c r="U2535" s="20">
        <v>17490</v>
      </c>
      <c r="V2535" s="20">
        <v>2900</v>
      </c>
      <c r="W2535" s="20">
        <v>13132.875</v>
      </c>
      <c r="Y2535" s="19">
        <v>6.88E-2</v>
      </c>
      <c r="Z2535" s="19">
        <v>0.10489999999999999</v>
      </c>
      <c r="AB2535" s="18">
        <v>572</v>
      </c>
      <c r="AC2535" s="18">
        <v>6</v>
      </c>
    </row>
    <row r="2536" spans="1:29" ht="15.75" customHeight="1" x14ac:dyDescent="0.2">
      <c r="A2536" s="17" t="str">
        <f>HYPERLINK("https://www.wadecollege.edu", "Wade College")</f>
        <v>Wade College</v>
      </c>
      <c r="B2536" s="18" t="s">
        <v>368</v>
      </c>
      <c r="C2536" s="18" t="s">
        <v>146</v>
      </c>
      <c r="D2536" s="18" t="s">
        <v>152</v>
      </c>
      <c r="E2536" s="18" t="s">
        <v>36</v>
      </c>
      <c r="F2536" s="18" t="s">
        <v>36</v>
      </c>
      <c r="J2536" s="19"/>
      <c r="K2536" s="19">
        <v>0.38890000000000002</v>
      </c>
      <c r="L2536" s="19">
        <v>0.41666666699999999</v>
      </c>
      <c r="M2536" s="19">
        <v>0.5625</v>
      </c>
      <c r="N2536" s="19">
        <v>0.29730000000000001</v>
      </c>
      <c r="O2536" s="19">
        <v>0.42859999999999998</v>
      </c>
      <c r="P2536" s="19" t="s">
        <v>36</v>
      </c>
      <c r="Q2536" s="19" t="s">
        <v>36</v>
      </c>
      <c r="R2536" s="20">
        <v>26534</v>
      </c>
      <c r="S2536" s="33" t="str">
        <f>HYPERLINK("https://www.wadecollege.edu/student-consumer-info/index.php?page=net-price-calculator", "$19572")</f>
        <v>$19572</v>
      </c>
      <c r="T2536" s="20" t="s">
        <v>36</v>
      </c>
      <c r="U2536" s="20" t="s">
        <v>36</v>
      </c>
      <c r="V2536" s="20">
        <v>5288</v>
      </c>
      <c r="W2536" s="20">
        <v>14284</v>
      </c>
      <c r="Y2536" s="19">
        <v>0.61880000000000002</v>
      </c>
      <c r="Z2536" s="19">
        <v>0.78149999999999997</v>
      </c>
      <c r="AB2536" s="18">
        <v>151</v>
      </c>
      <c r="AC2536" s="18">
        <v>6</v>
      </c>
    </row>
    <row r="2537" spans="1:29" ht="15.75" customHeight="1" x14ac:dyDescent="0.2">
      <c r="A2537" s="17" t="str">
        <f>HYPERLINK("https://www.wagner.edu", "Wagner College")</f>
        <v>Wagner College</v>
      </c>
      <c r="B2537" s="18" t="s">
        <v>32</v>
      </c>
      <c r="C2537" s="18" t="s">
        <v>38</v>
      </c>
      <c r="D2537" s="18" t="s">
        <v>533</v>
      </c>
      <c r="E2537" s="18" t="s">
        <v>36</v>
      </c>
      <c r="F2537" s="18" t="s">
        <v>90</v>
      </c>
      <c r="J2537" s="19"/>
      <c r="K2537" s="19">
        <v>0.70209999999999995</v>
      </c>
      <c r="L2537" s="19">
        <v>0.65079365099999997</v>
      </c>
      <c r="M2537" s="19">
        <v>0.73580000000000001</v>
      </c>
      <c r="N2537" s="19">
        <v>0.54049999999999998</v>
      </c>
      <c r="O2537" s="19">
        <v>0.62790000000000001</v>
      </c>
      <c r="P2537" s="19">
        <v>0.5</v>
      </c>
      <c r="Q2537" s="19"/>
      <c r="R2537" s="20">
        <v>62203</v>
      </c>
      <c r="S2537" s="33" t="str">
        <f>HYPERLINK("https://www.wagner.edu/financial_aid/", "$22886")</f>
        <v>$22886</v>
      </c>
      <c r="T2537" s="20">
        <v>29151</v>
      </c>
      <c r="U2537" s="20">
        <v>31238</v>
      </c>
      <c r="V2537" s="20">
        <v>3173</v>
      </c>
      <c r="W2537" s="20">
        <v>19713</v>
      </c>
      <c r="Y2537" s="19">
        <v>0.21310000000000001</v>
      </c>
      <c r="Z2537" s="19">
        <v>0.35110000000000002</v>
      </c>
      <c r="AB2537" s="18">
        <v>1763</v>
      </c>
      <c r="AC2537" s="18">
        <v>3</v>
      </c>
    </row>
    <row r="2538" spans="1:29" ht="15.75" customHeight="1" x14ac:dyDescent="0.2">
      <c r="A2538" s="17" t="str">
        <f>HYPERLINK("https://www.wfu.edu", "Wake Forest University")</f>
        <v>Wake Forest University</v>
      </c>
      <c r="B2538" s="18" t="s">
        <v>32</v>
      </c>
      <c r="C2538" s="18" t="s">
        <v>103</v>
      </c>
      <c r="D2538" s="18" t="s">
        <v>178</v>
      </c>
      <c r="E2538" s="18" t="s">
        <v>36</v>
      </c>
      <c r="F2538" s="18" t="s">
        <v>45</v>
      </c>
      <c r="J2538" s="19"/>
      <c r="K2538" s="19">
        <v>0.88239999999999996</v>
      </c>
      <c r="L2538" s="19">
        <v>0.7461538459999999</v>
      </c>
      <c r="M2538" s="19">
        <v>0.89190000000000003</v>
      </c>
      <c r="N2538" s="19">
        <v>0.77110000000000001</v>
      </c>
      <c r="O2538" s="19">
        <v>0.86360000000000003</v>
      </c>
      <c r="P2538" s="19">
        <v>0.92059999999999997</v>
      </c>
      <c r="Q2538" s="19"/>
      <c r="R2538" s="20">
        <v>69130</v>
      </c>
      <c r="S2538" s="33" t="str">
        <f>HYPERLINK("https://npc.collegeboard.org/student/app/wfu", "$9225")</f>
        <v>$9225</v>
      </c>
      <c r="T2538" s="20">
        <v>19466</v>
      </c>
      <c r="U2538" s="20">
        <v>24816</v>
      </c>
      <c r="V2538" s="20">
        <v>3804</v>
      </c>
      <c r="W2538" s="20">
        <v>5421</v>
      </c>
      <c r="Y2538" s="19">
        <v>9.1800000000000007E-2</v>
      </c>
      <c r="Z2538" s="19">
        <v>0.30449999999999999</v>
      </c>
      <c r="AB2538" s="18">
        <v>5101</v>
      </c>
      <c r="AC2538" s="18">
        <v>1</v>
      </c>
    </row>
    <row r="2539" spans="1:29" ht="15.75" customHeight="1" x14ac:dyDescent="0.2">
      <c r="A2539" s="17" t="str">
        <f>HYPERLINK("https://www.waldorf.edu", "Waldorf College")</f>
        <v>Waldorf College</v>
      </c>
      <c r="B2539" s="18" t="s">
        <v>368</v>
      </c>
      <c r="C2539" s="18" t="s">
        <v>211</v>
      </c>
      <c r="D2539" s="18" t="s">
        <v>1383</v>
      </c>
      <c r="E2539" s="18">
        <v>1027</v>
      </c>
      <c r="F2539" s="18" t="s">
        <v>35</v>
      </c>
      <c r="J2539" s="19"/>
      <c r="K2539" s="19">
        <v>0.29089999999999999</v>
      </c>
      <c r="L2539" s="19">
        <v>0.408450704</v>
      </c>
      <c r="M2539" s="19">
        <v>0.34150000000000003</v>
      </c>
      <c r="N2539" s="19">
        <v>9.0899999999999995E-2</v>
      </c>
      <c r="O2539" s="19">
        <v>0.15379999999999999</v>
      </c>
      <c r="P2539" s="19">
        <v>0</v>
      </c>
      <c r="Q2539" s="19"/>
      <c r="R2539" s="20">
        <v>33602</v>
      </c>
      <c r="S2539" s="33" t="str">
        <f>HYPERLINK("https://secure.waldorf.edu/financialaid/calculator/enter.asp", "$17981")</f>
        <v>$17981</v>
      </c>
      <c r="T2539" s="20">
        <v>19945</v>
      </c>
      <c r="U2539" s="20">
        <v>20943</v>
      </c>
      <c r="V2539" s="20">
        <v>4554</v>
      </c>
      <c r="W2539" s="20">
        <v>13427</v>
      </c>
      <c r="Y2539" s="19">
        <v>0.37640000000000001</v>
      </c>
      <c r="Z2539" s="19">
        <v>0.35659999999999997</v>
      </c>
      <c r="AB2539" s="18">
        <v>2053</v>
      </c>
      <c r="AC2539" s="18">
        <v>4</v>
      </c>
    </row>
    <row r="2540" spans="1:29" ht="15.75" customHeight="1" x14ac:dyDescent="0.2">
      <c r="A2540" s="17" t="str">
        <f>HYPERLINK("https://www.wallawalla.edu", "Walla Walla University")</f>
        <v>Walla Walla University</v>
      </c>
      <c r="B2540" s="18" t="s">
        <v>32</v>
      </c>
      <c r="C2540" s="18" t="s">
        <v>184</v>
      </c>
      <c r="D2540" s="18" t="s">
        <v>923</v>
      </c>
      <c r="E2540" s="18" t="s">
        <v>36</v>
      </c>
      <c r="F2540" s="18" t="s">
        <v>36</v>
      </c>
      <c r="J2540" s="19"/>
      <c r="K2540" s="19">
        <v>0.61199999999999999</v>
      </c>
      <c r="L2540" s="19">
        <v>0.29310344799999999</v>
      </c>
      <c r="M2540" s="19">
        <v>0.67700000000000005</v>
      </c>
      <c r="N2540" s="19">
        <v>0.26669999999999999</v>
      </c>
      <c r="O2540" s="19">
        <v>0.46510000000000001</v>
      </c>
      <c r="P2540" s="19">
        <v>0.5333</v>
      </c>
      <c r="Q2540" s="19"/>
      <c r="R2540" s="20">
        <v>37560</v>
      </c>
      <c r="S2540" s="33" t="str">
        <f>HYPERLINK("https://npc.wallawalla.edu", "$18456")</f>
        <v>$18456</v>
      </c>
      <c r="T2540" s="20">
        <v>22613</v>
      </c>
      <c r="U2540" s="20">
        <v>24800</v>
      </c>
      <c r="V2540" s="20">
        <v>2910</v>
      </c>
      <c r="W2540" s="20">
        <v>15546</v>
      </c>
      <c r="Y2540" s="19">
        <v>0.29120000000000001</v>
      </c>
      <c r="Z2540" s="19">
        <v>0.35529999999999989</v>
      </c>
      <c r="AB2540" s="18">
        <v>1610</v>
      </c>
      <c r="AC2540" s="18">
        <v>5</v>
      </c>
    </row>
    <row r="2541" spans="1:29" ht="15.75" customHeight="1" x14ac:dyDescent="0.2">
      <c r="A2541" s="17" t="str">
        <f>HYPERLINK("https://www.walsh.edu", "Walsh University")</f>
        <v>Walsh University</v>
      </c>
      <c r="B2541" s="18" t="s">
        <v>32</v>
      </c>
      <c r="C2541" s="18" t="s">
        <v>75</v>
      </c>
      <c r="D2541" s="18" t="s">
        <v>1384</v>
      </c>
      <c r="E2541" s="18">
        <v>1140</v>
      </c>
      <c r="F2541" s="18" t="s">
        <v>35</v>
      </c>
      <c r="J2541" s="19"/>
      <c r="K2541" s="19">
        <v>0.61129999999999995</v>
      </c>
      <c r="L2541" s="19">
        <v>0.48</v>
      </c>
      <c r="M2541" s="19">
        <v>0.63570000000000004</v>
      </c>
      <c r="N2541" s="19">
        <v>0.30430000000000001</v>
      </c>
      <c r="O2541" s="19">
        <v>0.66669999999999996</v>
      </c>
      <c r="P2541" s="19">
        <v>0.4</v>
      </c>
      <c r="Q2541" s="19"/>
      <c r="R2541" s="20">
        <v>43142</v>
      </c>
      <c r="S2541" s="33" t="str">
        <f>HYPERLINK("https://www.walsh.edu/cost-calculator", "$15023")</f>
        <v>$15023</v>
      </c>
      <c r="T2541" s="20">
        <v>18423</v>
      </c>
      <c r="U2541" s="20">
        <v>21722</v>
      </c>
      <c r="V2541" s="20">
        <v>3462</v>
      </c>
      <c r="W2541" s="20">
        <v>11561</v>
      </c>
      <c r="Y2541" s="19">
        <v>0.29920000000000002</v>
      </c>
      <c r="Z2541" s="19">
        <v>0.31929999999999997</v>
      </c>
      <c r="AB2541" s="18">
        <v>1929</v>
      </c>
      <c r="AC2541" s="18">
        <v>4</v>
      </c>
    </row>
    <row r="2542" spans="1:29" ht="15.75" customHeight="1" x14ac:dyDescent="0.2">
      <c r="A2542" s="17" t="str">
        <f>HYPERLINK("https://www.warnerpacific.edu/", "Warner Pacific College")</f>
        <v>Warner Pacific College</v>
      </c>
      <c r="B2542" s="18" t="s">
        <v>32</v>
      </c>
      <c r="C2542" s="18" t="s">
        <v>143</v>
      </c>
      <c r="D2542" s="18" t="s">
        <v>144</v>
      </c>
      <c r="E2542" s="18" t="s">
        <v>36</v>
      </c>
      <c r="F2542" s="18" t="s">
        <v>90</v>
      </c>
      <c r="J2542" s="19"/>
      <c r="K2542" s="19">
        <v>0.38540000000000002</v>
      </c>
      <c r="L2542" s="19">
        <v>0.54452054799999994</v>
      </c>
      <c r="M2542" s="19">
        <v>0.37309999999999999</v>
      </c>
      <c r="N2542" s="19">
        <v>0.55559999999999998</v>
      </c>
      <c r="O2542" s="19">
        <v>0.2</v>
      </c>
      <c r="P2542" s="19">
        <v>1</v>
      </c>
      <c r="Q2542" s="19"/>
      <c r="R2542" s="20">
        <v>37406</v>
      </c>
      <c r="S2542" s="33" t="str">
        <f>HYPERLINK("https://www.warnerpacific.edu/admission/undergraduate/tuition-aid/net-price-calculator/", "$19726")</f>
        <v>$19726</v>
      </c>
      <c r="T2542" s="20">
        <v>23188</v>
      </c>
      <c r="U2542" s="20">
        <v>25499</v>
      </c>
      <c r="V2542" s="20">
        <v>3606</v>
      </c>
      <c r="W2542" s="20">
        <v>16120</v>
      </c>
      <c r="Y2542" s="19">
        <v>0.51670000000000005</v>
      </c>
      <c r="Z2542" s="19">
        <v>0.64319999999999999</v>
      </c>
      <c r="AB2542" s="18">
        <v>398</v>
      </c>
      <c r="AC2542" s="18">
        <v>4</v>
      </c>
    </row>
    <row r="2543" spans="1:29" ht="15.75" customHeight="1" x14ac:dyDescent="0.2">
      <c r="A2543" s="17" t="str">
        <f>HYPERLINK("https://www.warner.edu/academics/undergraduate_programs/admissions/criteria-for-admission/", "Warner University")</f>
        <v>Warner University</v>
      </c>
      <c r="B2543" s="18" t="s">
        <v>32</v>
      </c>
      <c r="C2543" s="18" t="s">
        <v>162</v>
      </c>
      <c r="D2543" s="18" t="s">
        <v>1385</v>
      </c>
      <c r="E2543" s="18">
        <v>946</v>
      </c>
      <c r="F2543" s="18" t="s">
        <v>115</v>
      </c>
      <c r="J2543" s="19"/>
      <c r="K2543" s="19">
        <v>0.40300000000000002</v>
      </c>
      <c r="L2543" s="19">
        <v>0.46666666699999998</v>
      </c>
      <c r="M2543" s="19">
        <v>0.50790000000000002</v>
      </c>
      <c r="N2543" s="19">
        <v>0.27910000000000001</v>
      </c>
      <c r="O2543" s="19">
        <v>0.33329999999999999</v>
      </c>
      <c r="P2543" s="19">
        <v>1</v>
      </c>
      <c r="Q2543" s="19"/>
      <c r="R2543" s="20">
        <v>34064</v>
      </c>
      <c r="S2543" s="33" t="str">
        <f>HYPERLINK("https://www.warner.edu/student-dashboard/registrar/financial-aid/net-price-calculator/", "$16375")</f>
        <v>$16375</v>
      </c>
      <c r="T2543" s="20">
        <v>18380</v>
      </c>
      <c r="U2543" s="20">
        <v>21372</v>
      </c>
      <c r="V2543" s="20">
        <v>4500</v>
      </c>
      <c r="W2543" s="20">
        <v>11875</v>
      </c>
      <c r="Y2543" s="19">
        <v>0.65890000000000004</v>
      </c>
      <c r="Z2543" s="19">
        <v>0.56469999999999998</v>
      </c>
      <c r="AB2543" s="18">
        <v>981</v>
      </c>
      <c r="AC2543" s="18">
        <v>4</v>
      </c>
    </row>
    <row r="2544" spans="1:29" ht="15.75" customHeight="1" x14ac:dyDescent="0.2">
      <c r="A2544" s="17" t="str">
        <f>HYPERLINK("https://www.warren.edu", "Warren County Community College")</f>
        <v>Warren County Community College</v>
      </c>
      <c r="B2544" s="18" t="s">
        <v>49</v>
      </c>
      <c r="C2544" s="18" t="s">
        <v>141</v>
      </c>
      <c r="D2544" s="18" t="s">
        <v>114</v>
      </c>
      <c r="E2544" s="18" t="s">
        <v>36</v>
      </c>
      <c r="F2544" s="18" t="s">
        <v>36</v>
      </c>
      <c r="J2544" s="19"/>
      <c r="K2544" s="19">
        <v>0.34799999999999998</v>
      </c>
      <c r="L2544" s="19">
        <v>0.186440678</v>
      </c>
      <c r="M2544" s="19">
        <v>0.28170000000000001</v>
      </c>
      <c r="N2544" s="19">
        <v>0.54549999999999998</v>
      </c>
      <c r="O2544" s="19">
        <v>0.75</v>
      </c>
      <c r="P2544" s="19">
        <v>0.66669999999999996</v>
      </c>
      <c r="Q2544" s="19">
        <v>8.3150984999999997E-2</v>
      </c>
      <c r="R2544" s="20">
        <v>17940</v>
      </c>
      <c r="S2544" s="33" t="str">
        <f>HYPERLINK("https://www.warren.edu/uploads/NetPriceCalculator/npcalc.htm", "$11962")</f>
        <v>$11962</v>
      </c>
      <c r="T2544" s="20">
        <v>14747</v>
      </c>
      <c r="U2544" s="20">
        <v>16926</v>
      </c>
      <c r="V2544" s="20">
        <v>4800</v>
      </c>
      <c r="W2544" s="20">
        <v>7162</v>
      </c>
      <c r="Y2544" s="19">
        <v>0.12770000000000001</v>
      </c>
      <c r="Z2544" s="19">
        <v>0.25790000000000002</v>
      </c>
      <c r="AB2544" s="18">
        <v>1113</v>
      </c>
      <c r="AC2544" s="18">
        <v>6</v>
      </c>
    </row>
    <row r="2545" spans="1:29" ht="15.75" customHeight="1" x14ac:dyDescent="0.2">
      <c r="A2545" s="17" t="str">
        <f>HYPERLINK("https://www.warren-wilson.edu/", "Warren Wilson College")</f>
        <v>Warren Wilson College</v>
      </c>
      <c r="B2545" s="18" t="s">
        <v>32</v>
      </c>
      <c r="C2545" s="18" t="s">
        <v>103</v>
      </c>
      <c r="D2545" s="18" t="s">
        <v>534</v>
      </c>
      <c r="E2545" s="18">
        <v>1275</v>
      </c>
      <c r="F2545" s="18" t="s">
        <v>115</v>
      </c>
      <c r="J2545" s="19"/>
      <c r="K2545" s="19">
        <v>0.53299999999999992</v>
      </c>
      <c r="L2545" s="19">
        <v>0.5</v>
      </c>
      <c r="M2545" s="19">
        <v>0.52529999999999999</v>
      </c>
      <c r="N2545" s="19">
        <v>0.5</v>
      </c>
      <c r="O2545" s="19">
        <v>0.42859999999999998</v>
      </c>
      <c r="P2545" s="19">
        <v>1</v>
      </c>
      <c r="Q2545" s="19"/>
      <c r="R2545" s="20">
        <v>49744</v>
      </c>
      <c r="S2545" s="33" t="str">
        <f>HYPERLINK("https://tcc.noellevitz.com/Warren-Wilson-College/Freshman Students", "$18762")</f>
        <v>$18762</v>
      </c>
      <c r="T2545" s="20">
        <v>26383</v>
      </c>
      <c r="U2545" s="20">
        <v>28882</v>
      </c>
      <c r="V2545" s="20">
        <v>3840</v>
      </c>
      <c r="W2545" s="20">
        <v>14922</v>
      </c>
      <c r="Y2545" s="19">
        <v>0.38150000000000001</v>
      </c>
      <c r="Z2545" s="19">
        <v>0.22339999999999999</v>
      </c>
      <c r="AB2545" s="18">
        <v>582</v>
      </c>
      <c r="AC2545" s="18">
        <v>3</v>
      </c>
    </row>
    <row r="2546" spans="1:29" ht="15.75" customHeight="1" x14ac:dyDescent="0.2">
      <c r="A2546" s="17" t="str">
        <f>HYPERLINK("https://www.wartburg.edu", "Wartburg College")</f>
        <v>Wartburg College</v>
      </c>
      <c r="B2546" s="18" t="s">
        <v>32</v>
      </c>
      <c r="C2546" s="18" t="s">
        <v>211</v>
      </c>
      <c r="D2546" s="18" t="s">
        <v>535</v>
      </c>
      <c r="E2546" s="18">
        <v>1170</v>
      </c>
      <c r="F2546" s="18" t="s">
        <v>35</v>
      </c>
      <c r="J2546" s="19"/>
      <c r="K2546" s="19">
        <v>0.65490000000000004</v>
      </c>
      <c r="L2546" s="19">
        <v>0.57471264399999999</v>
      </c>
      <c r="M2546" s="19">
        <v>0.70299999999999996</v>
      </c>
      <c r="N2546" s="19">
        <v>0.26829999999999998</v>
      </c>
      <c r="O2546" s="19">
        <v>0.85709999999999997</v>
      </c>
      <c r="P2546" s="19">
        <v>0.57140000000000002</v>
      </c>
      <c r="Q2546" s="19"/>
      <c r="R2546" s="20">
        <v>51878</v>
      </c>
      <c r="S2546" s="33" t="str">
        <f>HYPERLINK("https://www.wartburg.edu/crunch-your-numbers", "$18067")</f>
        <v>$18067</v>
      </c>
      <c r="T2546" s="20">
        <v>19352</v>
      </c>
      <c r="U2546" s="20">
        <v>24720</v>
      </c>
      <c r="V2546" s="20">
        <v>2400</v>
      </c>
      <c r="W2546" s="20">
        <v>15667</v>
      </c>
      <c r="Y2546" s="19">
        <v>0.21859999999999999</v>
      </c>
      <c r="Z2546" s="19">
        <v>0.24249999999999999</v>
      </c>
      <c r="AB2546" s="18">
        <v>1493</v>
      </c>
      <c r="AC2546" s="18">
        <v>3</v>
      </c>
    </row>
    <row r="2547" spans="1:29" ht="15.75" customHeight="1" x14ac:dyDescent="0.2">
      <c r="A2547" s="17" t="str">
        <f>HYPERLINK("https://www.washburntech.edu", "Washburn Institute of Technology")</f>
        <v>Washburn Institute of Technology</v>
      </c>
      <c r="B2547" s="18" t="s">
        <v>49</v>
      </c>
      <c r="C2547" s="18" t="s">
        <v>307</v>
      </c>
      <c r="D2547" s="18" t="s">
        <v>927</v>
      </c>
      <c r="E2547" s="18" t="s">
        <v>36</v>
      </c>
      <c r="F2547" s="18" t="s">
        <v>45</v>
      </c>
      <c r="J2547" s="19"/>
      <c r="K2547" s="19">
        <v>0.66200000000000003</v>
      </c>
      <c r="L2547" s="19">
        <v>0.33333333300000001</v>
      </c>
      <c r="M2547" s="19" t="s">
        <v>36</v>
      </c>
      <c r="N2547" s="19" t="s">
        <v>36</v>
      </c>
      <c r="O2547" s="19" t="s">
        <v>36</v>
      </c>
      <c r="P2547" s="19" t="s">
        <v>36</v>
      </c>
      <c r="Q2547" s="19"/>
      <c r="R2547" s="20">
        <v>22452</v>
      </c>
      <c r="S2547" s="33" t="str">
        <f>HYPERLINK("https://www.washburntech.edu/net-price-calculator/npcalc.htm", "$17355")</f>
        <v>$17355</v>
      </c>
      <c r="T2547" s="20">
        <v>19509</v>
      </c>
      <c r="U2547" s="20">
        <v>22452</v>
      </c>
      <c r="V2547" s="20">
        <v>4902</v>
      </c>
      <c r="W2547" s="20">
        <v>12453.40909090909</v>
      </c>
      <c r="Y2547" s="19">
        <v>0.22170000000000001</v>
      </c>
      <c r="Z2547" s="19">
        <v>0.4052</v>
      </c>
      <c r="AB2547" s="18">
        <v>1377</v>
      </c>
      <c r="AC2547" s="18">
        <v>5</v>
      </c>
    </row>
    <row r="2548" spans="1:29" ht="15.75" customHeight="1" x14ac:dyDescent="0.2">
      <c r="A2548" s="17" t="str">
        <f>HYPERLINK("https://www.washburn.edu", "Washburn University")</f>
        <v>Washburn University</v>
      </c>
      <c r="B2548" s="18" t="s">
        <v>49</v>
      </c>
      <c r="C2548" s="18" t="s">
        <v>307</v>
      </c>
      <c r="D2548" s="18" t="s">
        <v>927</v>
      </c>
      <c r="E2548" s="18" t="s">
        <v>36</v>
      </c>
      <c r="F2548" s="18" t="s">
        <v>36</v>
      </c>
      <c r="J2548" s="19"/>
      <c r="K2548" s="19">
        <v>0.38869999999999999</v>
      </c>
      <c r="L2548" s="19">
        <v>0.33333333300000001</v>
      </c>
      <c r="M2548" s="19">
        <v>0.46300000000000002</v>
      </c>
      <c r="N2548" s="19">
        <v>0.1212</v>
      </c>
      <c r="O2548" s="19">
        <v>0.26419999999999999</v>
      </c>
      <c r="P2548" s="19">
        <v>0.5</v>
      </c>
      <c r="Q2548" s="19"/>
      <c r="R2548" s="20">
        <v>30408</v>
      </c>
      <c r="S2548" s="33" t="str">
        <f>HYPERLINK("https://www2-prod.washburn.edu/net_price_calc/index.php", "$22650")</f>
        <v>$22650</v>
      </c>
      <c r="T2548" s="20">
        <v>25584</v>
      </c>
      <c r="U2548" s="20">
        <v>27757</v>
      </c>
      <c r="V2548" s="20">
        <v>4600</v>
      </c>
      <c r="W2548" s="20">
        <v>18050.596078431368</v>
      </c>
      <c r="Y2548" s="19">
        <v>0.33069999999999999</v>
      </c>
      <c r="Z2548" s="19">
        <v>0.35139999999999999</v>
      </c>
      <c r="AB2548" s="18">
        <v>4926</v>
      </c>
      <c r="AC2548" s="18">
        <v>5</v>
      </c>
    </row>
    <row r="2549" spans="1:29" ht="15.75" customHeight="1" x14ac:dyDescent="0.2">
      <c r="A2549" s="17" t="str">
        <f>HYPERLINK("https://www.washjeff.edu", "Washington &amp; Jefferson College")</f>
        <v>Washington &amp; Jefferson College</v>
      </c>
      <c r="B2549" s="18" t="s">
        <v>32</v>
      </c>
      <c r="C2549" s="18" t="s">
        <v>65</v>
      </c>
      <c r="D2549" s="18" t="s">
        <v>114</v>
      </c>
      <c r="E2549" s="18" t="s">
        <v>36</v>
      </c>
      <c r="F2549" s="18" t="s">
        <v>90</v>
      </c>
      <c r="J2549" s="19"/>
      <c r="K2549" s="19">
        <v>0.70030000000000003</v>
      </c>
      <c r="L2549" s="19">
        <v>0.73809523799999999</v>
      </c>
      <c r="M2549" s="19">
        <v>0.7157</v>
      </c>
      <c r="N2549" s="19">
        <v>0.58330000000000004</v>
      </c>
      <c r="O2549" s="19">
        <v>0.64290000000000003</v>
      </c>
      <c r="P2549" s="19">
        <v>0.6</v>
      </c>
      <c r="Q2549" s="19"/>
      <c r="R2549" s="20">
        <v>60134</v>
      </c>
      <c r="S2549" s="33" t="str">
        <f>HYPERLINK("https://www.washjeff.edu/net-price-calculator-1", "$21195")</f>
        <v>$21195</v>
      </c>
      <c r="T2549" s="20">
        <v>23169</v>
      </c>
      <c r="U2549" s="20">
        <v>28286</v>
      </c>
      <c r="V2549" s="20">
        <v>1700</v>
      </c>
      <c r="W2549" s="20">
        <v>19495</v>
      </c>
      <c r="Y2549" s="19">
        <v>0.27010000000000001</v>
      </c>
      <c r="Z2549" s="19">
        <v>0.246</v>
      </c>
      <c r="AB2549" s="18">
        <v>1378</v>
      </c>
      <c r="AC2549" s="18">
        <v>3</v>
      </c>
    </row>
    <row r="2550" spans="1:29" ht="15.75" customHeight="1" x14ac:dyDescent="0.2">
      <c r="A2550" s="17" t="str">
        <f>HYPERLINK("https://www.wau.edu", "Washington Adventist University")</f>
        <v>Washington Adventist University</v>
      </c>
      <c r="B2550" s="18" t="s">
        <v>32</v>
      </c>
      <c r="C2550" s="18" t="s">
        <v>124</v>
      </c>
      <c r="D2550" s="18" t="s">
        <v>1386</v>
      </c>
      <c r="E2550" s="18">
        <v>957</v>
      </c>
      <c r="F2550" s="18" t="s">
        <v>35</v>
      </c>
      <c r="J2550" s="19"/>
      <c r="K2550" s="19">
        <v>0.37200000000000011</v>
      </c>
      <c r="L2550" s="19">
        <v>0.42391304400000002</v>
      </c>
      <c r="M2550" s="19">
        <v>0.33329999999999999</v>
      </c>
      <c r="N2550" s="19">
        <v>0.36890000000000001</v>
      </c>
      <c r="O2550" s="19">
        <v>0.4</v>
      </c>
      <c r="P2550" s="19">
        <v>0.4667</v>
      </c>
      <c r="Q2550" s="19"/>
      <c r="R2550" s="20">
        <v>34630</v>
      </c>
      <c r="S2550" s="33" t="str">
        <f>HYPERLINK("https://www.wau.edu/future-students/admission/financial-aid/net-price-calculator/", "$17839")</f>
        <v>$17839</v>
      </c>
      <c r="T2550" s="20">
        <v>17948</v>
      </c>
      <c r="U2550" s="20">
        <v>25151</v>
      </c>
      <c r="V2550" s="20">
        <v>2300</v>
      </c>
      <c r="W2550" s="20">
        <v>15539</v>
      </c>
      <c r="Y2550" s="19">
        <v>0.44790000000000002</v>
      </c>
      <c r="Z2550" s="19">
        <v>0.94130000000000003</v>
      </c>
      <c r="AB2550" s="18">
        <v>750</v>
      </c>
      <c r="AC2550" s="18">
        <v>4</v>
      </c>
    </row>
    <row r="2551" spans="1:29" ht="15.75" customHeight="1" x14ac:dyDescent="0.2">
      <c r="A2551" s="17" t="str">
        <f>HYPERLINK("https://www.washcoll.edu", "Washington College")</f>
        <v>Washington College</v>
      </c>
      <c r="B2551" s="18" t="s">
        <v>32</v>
      </c>
      <c r="C2551" s="18" t="s">
        <v>124</v>
      </c>
      <c r="D2551" s="18" t="s">
        <v>536</v>
      </c>
      <c r="E2551" s="18" t="s">
        <v>36</v>
      </c>
      <c r="F2551" s="18" t="s">
        <v>90</v>
      </c>
      <c r="J2551" s="19"/>
      <c r="K2551" s="19">
        <v>0.76439999999999997</v>
      </c>
      <c r="L2551" s="19">
        <v>0.72972972999999997</v>
      </c>
      <c r="M2551" s="19">
        <v>0.79079999999999995</v>
      </c>
      <c r="N2551" s="19">
        <v>0.5333</v>
      </c>
      <c r="O2551" s="19">
        <v>0.64290000000000003</v>
      </c>
      <c r="P2551" s="19">
        <v>0.8</v>
      </c>
      <c r="Q2551" s="19"/>
      <c r="R2551" s="20">
        <v>61010</v>
      </c>
      <c r="S2551" s="33" t="str">
        <f>HYPERLINK("https://washcoll.studentaidcalculator.com/survey.aspx", "$19043")</f>
        <v>$19043</v>
      </c>
      <c r="T2551" s="20">
        <v>25334</v>
      </c>
      <c r="U2551" s="20">
        <v>29851</v>
      </c>
      <c r="V2551" s="20">
        <v>5150</v>
      </c>
      <c r="W2551" s="20">
        <v>13893</v>
      </c>
      <c r="Y2551" s="19">
        <v>0.18190000000000001</v>
      </c>
      <c r="Z2551" s="19">
        <v>0.30919999999999997</v>
      </c>
      <c r="AB2551" s="18">
        <v>1449</v>
      </c>
      <c r="AC2551" s="18">
        <v>3</v>
      </c>
    </row>
    <row r="2552" spans="1:29" ht="15.75" customHeight="1" x14ac:dyDescent="0.2">
      <c r="A2552" s="17" t="str">
        <f>HYPERLINK("https://www.wscc.edu", "Washington State Community College")</f>
        <v>Washington State Community College</v>
      </c>
      <c r="B2552" s="18" t="s">
        <v>49</v>
      </c>
      <c r="C2552" s="18" t="s">
        <v>75</v>
      </c>
      <c r="D2552" s="18" t="s">
        <v>948</v>
      </c>
      <c r="E2552" s="18" t="s">
        <v>36</v>
      </c>
      <c r="F2552" s="18" t="s">
        <v>36</v>
      </c>
      <c r="J2552" s="19"/>
      <c r="K2552" s="19">
        <v>0.25330000000000003</v>
      </c>
      <c r="L2552" s="19">
        <v>0.18163265300000001</v>
      </c>
      <c r="M2552" s="19">
        <v>0.25580000000000003</v>
      </c>
      <c r="N2552" s="19">
        <v>0</v>
      </c>
      <c r="O2552" s="19">
        <v>0.33329999999999999</v>
      </c>
      <c r="P2552" s="19" t="s">
        <v>36</v>
      </c>
      <c r="Q2552" s="19">
        <v>5.5107527000000003E-2</v>
      </c>
      <c r="R2552" s="20">
        <v>18259</v>
      </c>
      <c r="S2552" s="33" t="str">
        <f>HYPERLINK("https://www.wscc.edu/current/financial-aid/net-price-calculator-tool/", "$14455")</f>
        <v>$14455</v>
      </c>
      <c r="T2552" s="20">
        <v>16365</v>
      </c>
      <c r="U2552" s="20">
        <v>18259</v>
      </c>
      <c r="V2552" s="20">
        <v>5095</v>
      </c>
      <c r="W2552" s="20">
        <v>9360</v>
      </c>
      <c r="Y2552" s="19">
        <v>0.30249999999999999</v>
      </c>
      <c r="Z2552" s="19">
        <v>7.0799999999999974E-2</v>
      </c>
      <c r="AB2552" s="18">
        <v>946</v>
      </c>
      <c r="AC2552" s="18">
        <v>6</v>
      </c>
    </row>
    <row r="2553" spans="1:29" ht="15.75" customHeight="1" x14ac:dyDescent="0.2">
      <c r="A2553" s="17" t="str">
        <f>HYPERLINK("https://wsu.edu/", "Washington State University")</f>
        <v>Washington State University</v>
      </c>
      <c r="B2553" s="18" t="s">
        <v>49</v>
      </c>
      <c r="C2553" s="18" t="s">
        <v>184</v>
      </c>
      <c r="D2553" s="18" t="s">
        <v>1388</v>
      </c>
      <c r="E2553" s="18">
        <v>1127</v>
      </c>
      <c r="F2553" s="18" t="s">
        <v>35</v>
      </c>
      <c r="J2553" s="19"/>
      <c r="K2553" s="19">
        <v>0.62439999999999996</v>
      </c>
      <c r="L2553" s="19">
        <v>0.54345434500000001</v>
      </c>
      <c r="M2553" s="19">
        <v>0.64980000000000004</v>
      </c>
      <c r="N2553" s="19">
        <v>0.53100000000000003</v>
      </c>
      <c r="O2553" s="19">
        <v>0.56730000000000003</v>
      </c>
      <c r="P2553" s="19">
        <v>0.59309999999999996</v>
      </c>
      <c r="Q2553" s="19"/>
      <c r="R2553" s="20">
        <v>41675</v>
      </c>
      <c r="S2553" s="33" t="str">
        <f>HYPERLINK("https://finaid.wsu.edu/cost-of-attendanceaid-estimator/net-price-calculator/", "$26282")</f>
        <v>$26282</v>
      </c>
      <c r="T2553" s="20">
        <v>32441</v>
      </c>
      <c r="U2553" s="20">
        <v>38440</v>
      </c>
      <c r="V2553" s="20">
        <v>4502</v>
      </c>
      <c r="W2553" s="20">
        <v>21780.919674039578</v>
      </c>
      <c r="Y2553" s="19">
        <v>0.30780000000000002</v>
      </c>
      <c r="Z2553" s="19">
        <v>0.38929999999999998</v>
      </c>
      <c r="AB2553" s="18">
        <v>24797</v>
      </c>
      <c r="AC2553" s="18">
        <v>4</v>
      </c>
    </row>
    <row r="2554" spans="1:29" ht="15.75" customHeight="1" x14ac:dyDescent="0.2">
      <c r="A2554" s="17" t="str">
        <f>HYPERLINK("https://spokane.wsu.edu/", "Washington State University-Spokane")</f>
        <v>Washington State University-Spokane</v>
      </c>
      <c r="B2554" s="18" t="s">
        <v>49</v>
      </c>
      <c r="C2554" s="18" t="s">
        <v>184</v>
      </c>
      <c r="D2554" s="18" t="s">
        <v>222</v>
      </c>
      <c r="E2554" s="18" t="s">
        <v>36</v>
      </c>
      <c r="F2554" s="18" t="s">
        <v>36</v>
      </c>
      <c r="J2554" s="19"/>
      <c r="K2554" s="19" t="s">
        <v>36</v>
      </c>
      <c r="L2554" s="19">
        <v>0.54345434500000001</v>
      </c>
      <c r="M2554" s="19" t="s">
        <v>36</v>
      </c>
      <c r="N2554" s="19" t="s">
        <v>36</v>
      </c>
      <c r="O2554" s="19" t="s">
        <v>36</v>
      </c>
      <c r="P2554" s="19" t="s">
        <v>36</v>
      </c>
      <c r="Q2554" s="19"/>
      <c r="R2554" s="20" t="s">
        <v>36</v>
      </c>
      <c r="S2554" s="38" t="s">
        <v>36</v>
      </c>
      <c r="T2554" s="20" t="s">
        <v>36</v>
      </c>
      <c r="U2554" s="20" t="s">
        <v>36</v>
      </c>
      <c r="V2554" s="20" t="s">
        <v>36</v>
      </c>
      <c r="W2554" s="20" t="s">
        <v>36</v>
      </c>
      <c r="Y2554" s="19" t="s">
        <v>36</v>
      </c>
      <c r="Z2554" s="19" t="s">
        <v>36</v>
      </c>
      <c r="AB2554" s="18" t="s">
        <v>36</v>
      </c>
      <c r="AC2554" s="18">
        <v>4</v>
      </c>
    </row>
    <row r="2555" spans="1:29" ht="15.75" customHeight="1" x14ac:dyDescent="0.2">
      <c r="A2555" s="17" t="str">
        <f>HYPERLINK("https://tricities.wsu.edu/", "Washington State University-Tri Cities")</f>
        <v>Washington State University-Tri Cities</v>
      </c>
      <c r="B2555" s="18" t="s">
        <v>49</v>
      </c>
      <c r="C2555" s="18" t="s">
        <v>184</v>
      </c>
      <c r="D2555" s="18" t="s">
        <v>1389</v>
      </c>
      <c r="E2555" s="18" t="s">
        <v>36</v>
      </c>
      <c r="F2555" s="18" t="s">
        <v>36</v>
      </c>
      <c r="J2555" s="19"/>
      <c r="K2555" s="19" t="s">
        <v>36</v>
      </c>
      <c r="L2555" s="19">
        <v>0.54345434500000001</v>
      </c>
      <c r="M2555" s="19" t="s">
        <v>36</v>
      </c>
      <c r="N2555" s="19" t="s">
        <v>36</v>
      </c>
      <c r="O2555" s="19" t="s">
        <v>36</v>
      </c>
      <c r="P2555" s="19" t="s">
        <v>36</v>
      </c>
      <c r="Q2555" s="19"/>
      <c r="R2555" s="20" t="s">
        <v>36</v>
      </c>
      <c r="S2555" s="38" t="s">
        <v>36</v>
      </c>
      <c r="T2555" s="20" t="s">
        <v>36</v>
      </c>
      <c r="U2555" s="20" t="s">
        <v>36</v>
      </c>
      <c r="V2555" s="20" t="s">
        <v>36</v>
      </c>
      <c r="W2555" s="20" t="s">
        <v>36</v>
      </c>
      <c r="Y2555" s="19" t="s">
        <v>36</v>
      </c>
      <c r="Z2555" s="19" t="s">
        <v>36</v>
      </c>
      <c r="AB2555" s="18" t="s">
        <v>36</v>
      </c>
      <c r="AC2555" s="18">
        <v>4</v>
      </c>
    </row>
    <row r="2556" spans="1:29" ht="15.75" customHeight="1" x14ac:dyDescent="0.2">
      <c r="A2556" s="17" t="str">
        <f>HYPERLINK("https://www.vancouver.wsu.edu/", "Washington State University-Vancouver")</f>
        <v>Washington State University-Vancouver</v>
      </c>
      <c r="B2556" s="18" t="s">
        <v>49</v>
      </c>
      <c r="C2556" s="18" t="s">
        <v>184</v>
      </c>
      <c r="D2556" s="18" t="s">
        <v>1146</v>
      </c>
      <c r="E2556" s="18" t="s">
        <v>36</v>
      </c>
      <c r="F2556" s="18" t="s">
        <v>36</v>
      </c>
      <c r="J2556" s="19"/>
      <c r="K2556" s="19" t="s">
        <v>36</v>
      </c>
      <c r="L2556" s="19">
        <v>0.54345434500000001</v>
      </c>
      <c r="M2556" s="19" t="s">
        <v>36</v>
      </c>
      <c r="N2556" s="19" t="s">
        <v>36</v>
      </c>
      <c r="O2556" s="19" t="s">
        <v>36</v>
      </c>
      <c r="P2556" s="19" t="s">
        <v>36</v>
      </c>
      <c r="Q2556" s="19"/>
      <c r="R2556" s="20" t="s">
        <v>36</v>
      </c>
      <c r="S2556" s="38" t="s">
        <v>36</v>
      </c>
      <c r="T2556" s="20" t="s">
        <v>36</v>
      </c>
      <c r="U2556" s="20" t="s">
        <v>36</v>
      </c>
      <c r="V2556" s="20" t="s">
        <v>36</v>
      </c>
      <c r="W2556" s="20" t="s">
        <v>36</v>
      </c>
      <c r="Y2556" s="19" t="s">
        <v>36</v>
      </c>
      <c r="Z2556" s="19" t="s">
        <v>36</v>
      </c>
      <c r="AB2556" s="18" t="s">
        <v>36</v>
      </c>
      <c r="AC2556" s="18">
        <v>4</v>
      </c>
    </row>
    <row r="2557" spans="1:29" ht="15.75" customHeight="1" x14ac:dyDescent="0.2">
      <c r="A2557" s="17" t="str">
        <f>HYPERLINK("https://www.wustl.edu", "Washington University in St Louis")</f>
        <v>Washington University in St Louis</v>
      </c>
      <c r="B2557" s="18" t="s">
        <v>32</v>
      </c>
      <c r="C2557" s="18" t="s">
        <v>164</v>
      </c>
      <c r="D2557" s="18" t="s">
        <v>179</v>
      </c>
      <c r="E2557" s="18">
        <v>1508</v>
      </c>
      <c r="F2557" s="18" t="s">
        <v>35</v>
      </c>
      <c r="J2557" s="19"/>
      <c r="K2557" s="19">
        <v>0.94169999999999998</v>
      </c>
      <c r="L2557" s="19">
        <v>0.71910112400000004</v>
      </c>
      <c r="M2557" s="19">
        <v>0.94679999999999997</v>
      </c>
      <c r="N2557" s="19">
        <v>0.91359999999999997</v>
      </c>
      <c r="O2557" s="19">
        <v>0.9405</v>
      </c>
      <c r="P2557" s="19">
        <v>0.9526</v>
      </c>
      <c r="Q2557" s="19"/>
      <c r="R2557" s="20">
        <v>71975</v>
      </c>
      <c r="S2557" s="33" t="str">
        <f>HYPERLINK("https://sfs.wustl.edu", "$6106")</f>
        <v>$6106</v>
      </c>
      <c r="T2557" s="20">
        <v>9528</v>
      </c>
      <c r="U2557" s="20">
        <v>21665</v>
      </c>
      <c r="V2557" s="20">
        <v>4436</v>
      </c>
      <c r="W2557" s="20">
        <v>1670</v>
      </c>
      <c r="X2557" s="18" t="s">
        <v>37</v>
      </c>
      <c r="Y2557" s="19">
        <v>9.9699999999999997E-2</v>
      </c>
      <c r="Z2557" s="19">
        <v>0.47570000000000001</v>
      </c>
      <c r="AA2557" s="18" t="s">
        <v>37</v>
      </c>
      <c r="AB2557" s="18">
        <v>7253</v>
      </c>
      <c r="AC2557" s="18">
        <v>1</v>
      </c>
    </row>
    <row r="2558" spans="1:29" ht="15.75" customHeight="1" x14ac:dyDescent="0.2">
      <c r="A2558" s="17" t="str">
        <f>HYPERLINK("https://www.wlu.edu/", "Washington and Lee University")</f>
        <v>Washington and Lee University</v>
      </c>
      <c r="B2558" s="18" t="s">
        <v>32</v>
      </c>
      <c r="C2558" s="18" t="s">
        <v>83</v>
      </c>
      <c r="D2558" s="18" t="s">
        <v>180</v>
      </c>
      <c r="E2558" s="18">
        <v>1449</v>
      </c>
      <c r="F2558" s="18" t="s">
        <v>35</v>
      </c>
      <c r="J2558" s="19"/>
      <c r="K2558" s="19">
        <v>0.91890000000000005</v>
      </c>
      <c r="L2558" s="19" t="s">
        <v>36</v>
      </c>
      <c r="M2558" s="19">
        <v>0.91710000000000003</v>
      </c>
      <c r="N2558" s="19">
        <v>0.92310000000000003</v>
      </c>
      <c r="O2558" s="19">
        <v>1</v>
      </c>
      <c r="P2558" s="19">
        <v>1</v>
      </c>
      <c r="Q2558" s="19"/>
      <c r="R2558" s="20">
        <v>65950</v>
      </c>
      <c r="S2558" s="33" t="str">
        <f>HYPERLINK("https://wlu.studentaidcalculator.com/survey.aspx", "$824")</f>
        <v>$824</v>
      </c>
      <c r="T2558" s="20">
        <v>7452</v>
      </c>
      <c r="U2558" s="20">
        <v>13161</v>
      </c>
      <c r="V2558" s="20">
        <v>3870</v>
      </c>
      <c r="W2558" s="20">
        <v>-3046</v>
      </c>
      <c r="X2558" s="18" t="s">
        <v>37</v>
      </c>
      <c r="Y2558" s="19">
        <v>8.6900000000000005E-2</v>
      </c>
      <c r="Z2558" s="19">
        <v>0.17480000000000001</v>
      </c>
      <c r="AB2558" s="18">
        <v>1819</v>
      </c>
      <c r="AC2558" s="18">
        <v>1</v>
      </c>
    </row>
    <row r="2559" spans="1:29" ht="15.75" customHeight="1" x14ac:dyDescent="0.2">
      <c r="A2559" s="17" t="str">
        <f>HYPERLINK("https://www.waubonsee.edu", "Waubonsee Community College")</f>
        <v>Waubonsee Community College</v>
      </c>
      <c r="B2559" s="18" t="s">
        <v>49</v>
      </c>
      <c r="C2559" s="18" t="s">
        <v>137</v>
      </c>
      <c r="D2559" s="18" t="s">
        <v>1758</v>
      </c>
      <c r="E2559" s="18" t="s">
        <v>36</v>
      </c>
      <c r="F2559" s="18" t="s">
        <v>36</v>
      </c>
      <c r="J2559" s="19"/>
      <c r="K2559" s="19">
        <v>0.30590000000000001</v>
      </c>
      <c r="L2559" s="19">
        <v>0.198969072</v>
      </c>
      <c r="M2559" s="19">
        <v>0.35639999999999999</v>
      </c>
      <c r="N2559" s="19">
        <v>9.0899999999999995E-2</v>
      </c>
      <c r="O2559" s="19">
        <v>0.24610000000000001</v>
      </c>
      <c r="P2559" s="19">
        <v>0.3846</v>
      </c>
      <c r="Q2559" s="19">
        <v>0.108033241</v>
      </c>
      <c r="R2559" s="20">
        <v>22599</v>
      </c>
      <c r="S2559" s="33" t="str">
        <f>HYPERLINK("https://www.waubonsee.edu/admissions/costs-and-payments/tuition-and-fees/net-price-calculator", "$17516")</f>
        <v>$17516</v>
      </c>
      <c r="T2559" s="20">
        <v>20455</v>
      </c>
      <c r="U2559" s="20">
        <v>22395</v>
      </c>
      <c r="V2559" s="20">
        <v>5584</v>
      </c>
      <c r="W2559" s="20">
        <v>11932.304964539009</v>
      </c>
      <c r="Y2559" s="19">
        <v>0.24340000000000001</v>
      </c>
      <c r="Z2559" s="19">
        <v>0.49230000000000002</v>
      </c>
      <c r="AB2559" s="18">
        <v>7067</v>
      </c>
      <c r="AC2559" s="18">
        <v>6</v>
      </c>
    </row>
    <row r="2560" spans="1:29" ht="15.75" customHeight="1" x14ac:dyDescent="0.2">
      <c r="A2560" s="17" t="str">
        <f>HYPERLINK("https://www.wbu.edu", "Wayland Baptist University")</f>
        <v>Wayland Baptist University</v>
      </c>
      <c r="B2560" s="18" t="s">
        <v>32</v>
      </c>
      <c r="C2560" s="18" t="s">
        <v>146</v>
      </c>
      <c r="D2560" s="18" t="s">
        <v>930</v>
      </c>
      <c r="E2560" s="18">
        <v>1009</v>
      </c>
      <c r="F2560" s="18" t="s">
        <v>35</v>
      </c>
      <c r="J2560" s="19"/>
      <c r="K2560" s="19">
        <v>0.2006</v>
      </c>
      <c r="L2560" s="19">
        <v>0.34729063999999998</v>
      </c>
      <c r="M2560" s="19">
        <v>0.22220000000000001</v>
      </c>
      <c r="N2560" s="19">
        <v>0.1489</v>
      </c>
      <c r="O2560" s="19">
        <v>0.2072</v>
      </c>
      <c r="P2560" s="19">
        <v>0</v>
      </c>
      <c r="Q2560" s="19"/>
      <c r="R2560" s="20">
        <v>31062</v>
      </c>
      <c r="S2560" s="33" t="str">
        <f>HYPERLINK("https://wbu.studentaidcalculator.com", "$17472")</f>
        <v>$17472</v>
      </c>
      <c r="T2560" s="20">
        <v>19349</v>
      </c>
      <c r="U2560" s="20">
        <v>21677</v>
      </c>
      <c r="V2560" s="20">
        <v>5256</v>
      </c>
      <c r="W2560" s="20">
        <v>12216</v>
      </c>
      <c r="Y2560" s="19">
        <v>0.37430000000000002</v>
      </c>
      <c r="Z2560" s="19">
        <v>0.61739999999999995</v>
      </c>
      <c r="AB2560" s="18">
        <v>3549</v>
      </c>
      <c r="AC2560" s="18">
        <v>5</v>
      </c>
    </row>
    <row r="2561" spans="1:29" ht="15.75" customHeight="1" x14ac:dyDescent="0.2">
      <c r="A2561" s="17" t="str">
        <f>HYPERLINK("https://www.wcccd.edu", "Wayne County Community College District")</f>
        <v>Wayne County Community College District</v>
      </c>
      <c r="B2561" s="18" t="s">
        <v>49</v>
      </c>
      <c r="C2561" s="18" t="s">
        <v>226</v>
      </c>
      <c r="D2561" s="18" t="s">
        <v>668</v>
      </c>
      <c r="E2561" s="18" t="s">
        <v>36</v>
      </c>
      <c r="F2561" s="18" t="s">
        <v>36</v>
      </c>
      <c r="J2561" s="19"/>
      <c r="K2561" s="19">
        <v>0.11840000000000001</v>
      </c>
      <c r="L2561" s="19">
        <v>2.8239798999999999E-2</v>
      </c>
      <c r="M2561" s="19">
        <v>0.16309999999999999</v>
      </c>
      <c r="N2561" s="19">
        <v>0.1046</v>
      </c>
      <c r="O2561" s="19">
        <v>0.25</v>
      </c>
      <c r="P2561" s="19">
        <v>0</v>
      </c>
      <c r="Q2561" s="19">
        <v>4.6136799000000013E-2</v>
      </c>
      <c r="R2561" s="20">
        <v>13582</v>
      </c>
      <c r="S2561" s="33" t="str">
        <f>HYPERLINK("https://www.wcccd.edu/dept/FinancialAid_calculator.htm", "$8059")</f>
        <v>$8059</v>
      </c>
      <c r="T2561" s="20">
        <v>10429</v>
      </c>
      <c r="U2561" s="20">
        <v>12372</v>
      </c>
      <c r="V2561" s="20">
        <v>4728</v>
      </c>
      <c r="W2561" s="20">
        <v>3331.276978417266</v>
      </c>
      <c r="Y2561" s="19">
        <v>0.4632</v>
      </c>
      <c r="Z2561" s="19">
        <v>0.83460000000000001</v>
      </c>
      <c r="AB2561" s="18">
        <v>10143</v>
      </c>
      <c r="AC2561" s="18">
        <v>6</v>
      </c>
    </row>
    <row r="2562" spans="1:29" ht="15.75" customHeight="1" x14ac:dyDescent="0.2">
      <c r="A2562" s="17" t="str">
        <f>HYPERLINK("https://www.wayne.edu", "Wayne State University")</f>
        <v>Wayne State University</v>
      </c>
      <c r="B2562" s="18" t="s">
        <v>49</v>
      </c>
      <c r="C2562" s="18" t="s">
        <v>226</v>
      </c>
      <c r="D2562" s="18" t="s">
        <v>668</v>
      </c>
      <c r="E2562" s="18">
        <v>1134</v>
      </c>
      <c r="F2562" s="18" t="s">
        <v>35</v>
      </c>
      <c r="J2562" s="19"/>
      <c r="K2562" s="19">
        <v>0.46560000000000001</v>
      </c>
      <c r="L2562" s="19">
        <v>0.34480498199999998</v>
      </c>
      <c r="M2562" s="19">
        <v>0.55069999999999997</v>
      </c>
      <c r="N2562" s="19">
        <v>0.1988</v>
      </c>
      <c r="O2562" s="19">
        <v>0.28949999999999998</v>
      </c>
      <c r="P2562" s="19">
        <v>0.63160000000000005</v>
      </c>
      <c r="Q2562" s="19"/>
      <c r="R2562" s="20">
        <v>40763</v>
      </c>
      <c r="S2562" s="33" t="str">
        <f>HYPERLINK("https://oira.wayne.edu/net-price-calculator/npcalc.htm", "$27983")</f>
        <v>$27983</v>
      </c>
      <c r="T2562" s="20">
        <v>32150</v>
      </c>
      <c r="U2562" s="20">
        <v>35412</v>
      </c>
      <c r="V2562" s="20">
        <v>3458</v>
      </c>
      <c r="W2562" s="20">
        <v>24525.978021978019</v>
      </c>
      <c r="Y2562" s="19">
        <v>0.43580000000000002</v>
      </c>
      <c r="Z2562" s="19">
        <v>0.41420000000000001</v>
      </c>
      <c r="AB2562" s="18">
        <v>16768</v>
      </c>
      <c r="AC2562" s="18">
        <v>4</v>
      </c>
    </row>
    <row r="2563" spans="1:29" ht="15.75" customHeight="1" x14ac:dyDescent="0.2">
      <c r="A2563" s="17" t="str">
        <f>HYPERLINK("https://www.waynesburg.edu", "Waynesburg University")</f>
        <v>Waynesburg University</v>
      </c>
      <c r="B2563" s="18" t="s">
        <v>32</v>
      </c>
      <c r="C2563" s="18" t="s">
        <v>65</v>
      </c>
      <c r="D2563" s="18" t="s">
        <v>1392</v>
      </c>
      <c r="E2563" s="18">
        <v>1065</v>
      </c>
      <c r="F2563" s="18" t="s">
        <v>35</v>
      </c>
      <c r="J2563" s="19"/>
      <c r="K2563" s="19">
        <v>0.66500000000000004</v>
      </c>
      <c r="L2563" s="19">
        <v>0.54676259000000005</v>
      </c>
      <c r="M2563" s="19">
        <v>0.70200000000000007</v>
      </c>
      <c r="N2563" s="19">
        <v>0.43480000000000002</v>
      </c>
      <c r="O2563" s="19">
        <v>0.33329999999999999</v>
      </c>
      <c r="P2563" s="19">
        <v>0.33329999999999999</v>
      </c>
      <c r="Q2563" s="19"/>
      <c r="R2563" s="20">
        <v>36000</v>
      </c>
      <c r="S2563" s="33" t="str">
        <f>HYPERLINK("https://www.waynesburg.edu/mycost", "$15365")</f>
        <v>$15365</v>
      </c>
      <c r="T2563" s="20">
        <v>18981</v>
      </c>
      <c r="U2563" s="20">
        <v>20262</v>
      </c>
      <c r="V2563" s="20">
        <v>2170</v>
      </c>
      <c r="W2563" s="20">
        <v>13195</v>
      </c>
      <c r="Y2563" s="19">
        <v>0.33829999999999999</v>
      </c>
      <c r="Z2563" s="19">
        <v>0.13639999999999999</v>
      </c>
      <c r="AB2563" s="18">
        <v>1371</v>
      </c>
      <c r="AC2563" s="18">
        <v>4</v>
      </c>
    </row>
    <row r="2564" spans="1:29" ht="15.75" customHeight="1" x14ac:dyDescent="0.2">
      <c r="A2564" s="17" t="str">
        <f>HYPERLINK("https://www.wc.edu", "Weatherford College")</f>
        <v>Weatherford College</v>
      </c>
      <c r="B2564" s="18" t="s">
        <v>49</v>
      </c>
      <c r="C2564" s="18" t="s">
        <v>146</v>
      </c>
      <c r="D2564" s="18" t="s">
        <v>1186</v>
      </c>
      <c r="E2564" s="18" t="s">
        <v>36</v>
      </c>
      <c r="F2564" s="18" t="s">
        <v>36</v>
      </c>
      <c r="J2564" s="19"/>
      <c r="K2564" s="19">
        <v>0.16800000000000001</v>
      </c>
      <c r="L2564" s="19">
        <v>0.19444444399999999</v>
      </c>
      <c r="M2564" s="19">
        <v>0.17649999999999999</v>
      </c>
      <c r="N2564" s="19">
        <v>1.67E-2</v>
      </c>
      <c r="O2564" s="19">
        <v>0.17460000000000001</v>
      </c>
      <c r="P2564" s="19">
        <v>0.42859999999999998</v>
      </c>
      <c r="Q2564" s="19">
        <v>9.097859300000001E-2</v>
      </c>
      <c r="R2564" s="20">
        <v>17111</v>
      </c>
      <c r="S2564" s="33" t="str">
        <f>HYPERLINK("https://www.wc.edu/financial-aid/cost-attendance", "$11291")</f>
        <v>$11291</v>
      </c>
      <c r="T2564" s="20">
        <v>13080</v>
      </c>
      <c r="U2564" s="20">
        <v>15581</v>
      </c>
      <c r="V2564" s="20">
        <v>4381</v>
      </c>
      <c r="W2564" s="20">
        <v>6910.5230769230766</v>
      </c>
      <c r="Y2564" s="19">
        <v>0.25319999999999998</v>
      </c>
      <c r="Z2564" s="19">
        <v>0.28320000000000001</v>
      </c>
      <c r="AB2564" s="18">
        <v>6260</v>
      </c>
      <c r="AC2564" s="18">
        <v>6</v>
      </c>
    </row>
    <row r="2565" spans="1:29" ht="15.75" customHeight="1" x14ac:dyDescent="0.2">
      <c r="A2565" s="17" t="str">
        <f>HYPERLINK("https://www.webb.edu", "Webb Institute")</f>
        <v>Webb Institute</v>
      </c>
      <c r="B2565" s="18" t="s">
        <v>32</v>
      </c>
      <c r="C2565" s="18" t="s">
        <v>38</v>
      </c>
      <c r="D2565" s="18" t="s">
        <v>181</v>
      </c>
      <c r="E2565" s="18">
        <v>1483</v>
      </c>
      <c r="F2565" s="18" t="s">
        <v>35</v>
      </c>
      <c r="J2565" s="19"/>
      <c r="K2565" s="19">
        <v>0.77270000000000005</v>
      </c>
      <c r="L2565" s="19" t="s">
        <v>36</v>
      </c>
      <c r="M2565" s="19">
        <v>0.75</v>
      </c>
      <c r="N2565" s="19" t="s">
        <v>36</v>
      </c>
      <c r="O2565" s="19" t="s">
        <v>36</v>
      </c>
      <c r="P2565" s="19">
        <v>1</v>
      </c>
      <c r="Q2565" s="19"/>
      <c r="R2565" s="20">
        <v>69075</v>
      </c>
      <c r="S2565" s="33" t="str">
        <f>HYPERLINK("https://nces.ed.gov/ipeds/netpricecalculator/", "$20192")</f>
        <v>$20192</v>
      </c>
      <c r="T2565" s="20" t="s">
        <v>36</v>
      </c>
      <c r="U2565" s="20">
        <v>19692</v>
      </c>
      <c r="V2565" s="20">
        <v>5550</v>
      </c>
      <c r="W2565" s="20">
        <v>14642</v>
      </c>
      <c r="Y2565" s="19">
        <v>6.5199999999999994E-2</v>
      </c>
      <c r="Z2565" s="19">
        <v>0.19389999999999999</v>
      </c>
      <c r="AB2565" s="18">
        <v>98</v>
      </c>
      <c r="AC2565" s="18">
        <v>1</v>
      </c>
    </row>
    <row r="2566" spans="1:29" ht="15.75" customHeight="1" x14ac:dyDescent="0.2">
      <c r="A2566" s="17" t="str">
        <f>HYPERLINK("https://www.webber.edu", "Webber International University")</f>
        <v>Webber International University</v>
      </c>
      <c r="B2566" s="18" t="s">
        <v>32</v>
      </c>
      <c r="C2566" s="18" t="s">
        <v>162</v>
      </c>
      <c r="D2566" s="18" t="s">
        <v>191</v>
      </c>
      <c r="E2566" s="18">
        <v>986</v>
      </c>
      <c r="F2566" s="18" t="s">
        <v>35</v>
      </c>
      <c r="J2566" s="19"/>
      <c r="K2566" s="19">
        <v>0.31909999999999999</v>
      </c>
      <c r="L2566" s="19">
        <v>0.3</v>
      </c>
      <c r="M2566" s="19">
        <v>0.3387</v>
      </c>
      <c r="N2566" s="19">
        <v>0.2</v>
      </c>
      <c r="O2566" s="19">
        <v>0.25</v>
      </c>
      <c r="P2566" s="19">
        <v>0.33329999999999999</v>
      </c>
      <c r="Q2566" s="19"/>
      <c r="R2566" s="20">
        <v>40296</v>
      </c>
      <c r="S2566" s="33" t="str">
        <f>HYPERLINK("https://npc.collegeboard.org/student/app/webber", "$21012")</f>
        <v>$21012</v>
      </c>
      <c r="T2566" s="20">
        <v>25198</v>
      </c>
      <c r="U2566" s="20">
        <v>29609</v>
      </c>
      <c r="V2566" s="20">
        <v>5996</v>
      </c>
      <c r="W2566" s="20">
        <v>15016</v>
      </c>
      <c r="Y2566" s="19">
        <v>0.4698</v>
      </c>
      <c r="Z2566" s="19">
        <v>0.65759999999999996</v>
      </c>
      <c r="AB2566" s="18">
        <v>625</v>
      </c>
      <c r="AC2566" s="18">
        <v>4</v>
      </c>
    </row>
    <row r="2567" spans="1:29" ht="15.75" customHeight="1" x14ac:dyDescent="0.2">
      <c r="A2567" s="17" t="str">
        <f>HYPERLINK("https://www.weber.edu", "Weber State University")</f>
        <v>Weber State University</v>
      </c>
      <c r="B2567" s="18" t="s">
        <v>49</v>
      </c>
      <c r="C2567" s="18" t="s">
        <v>199</v>
      </c>
      <c r="D2567" s="18" t="s">
        <v>931</v>
      </c>
      <c r="E2567" s="18" t="s">
        <v>36</v>
      </c>
      <c r="F2567" s="18" t="s">
        <v>36</v>
      </c>
      <c r="J2567" s="19"/>
      <c r="K2567" s="19">
        <v>0.33489999999999998</v>
      </c>
      <c r="L2567" s="19">
        <v>0.33317735100000001</v>
      </c>
      <c r="M2567" s="19">
        <v>0.35399999999999998</v>
      </c>
      <c r="N2567" s="19">
        <v>0.14580000000000001</v>
      </c>
      <c r="O2567" s="19">
        <v>0.23180000000000001</v>
      </c>
      <c r="P2567" s="19">
        <v>0.36670000000000003</v>
      </c>
      <c r="Q2567" s="19"/>
      <c r="R2567" s="20">
        <v>29912</v>
      </c>
      <c r="S2567" s="33" t="str">
        <f>HYPERLINK("https://www.weber.edu/IR/NetPriceCalculator.html", "$25341")</f>
        <v>$25341</v>
      </c>
      <c r="T2567" s="20">
        <v>27432</v>
      </c>
      <c r="U2567" s="20">
        <v>29443</v>
      </c>
      <c r="V2567" s="20">
        <v>6252</v>
      </c>
      <c r="W2567" s="20">
        <v>19089.464968152872</v>
      </c>
      <c r="Y2567" s="19">
        <v>0.23400000000000001</v>
      </c>
      <c r="Z2567" s="19">
        <v>0.25740000000000002</v>
      </c>
      <c r="AB2567" s="18">
        <v>16947</v>
      </c>
      <c r="AC2567" s="18">
        <v>5</v>
      </c>
    </row>
    <row r="2568" spans="1:29" ht="15.75" customHeight="1" x14ac:dyDescent="0.2">
      <c r="A2568" s="17" t="str">
        <f>HYPERLINK("https://www.webster.edu", "Webster University")</f>
        <v>Webster University</v>
      </c>
      <c r="B2568" s="18" t="s">
        <v>32</v>
      </c>
      <c r="C2568" s="18" t="s">
        <v>164</v>
      </c>
      <c r="D2568" s="18" t="s">
        <v>179</v>
      </c>
      <c r="E2568" s="18">
        <v>1164</v>
      </c>
      <c r="F2568" s="18" t="s">
        <v>35</v>
      </c>
      <c r="J2568" s="19"/>
      <c r="K2568" s="19">
        <v>0.63560000000000005</v>
      </c>
      <c r="L2568" s="19">
        <v>0.53664921499999996</v>
      </c>
      <c r="M2568" s="19">
        <v>0.66099999999999992</v>
      </c>
      <c r="N2568" s="19">
        <v>0.5</v>
      </c>
      <c r="O2568" s="19">
        <v>0.56000000000000005</v>
      </c>
      <c r="P2568" s="19">
        <v>0.57140000000000002</v>
      </c>
      <c r="Q2568" s="19"/>
      <c r="R2568" s="20">
        <v>44962</v>
      </c>
      <c r="S2568" s="33" t="str">
        <f>HYPERLINK("https://apps.webster.edu/secure/financialaid/npc.html", "$19242")</f>
        <v>$19242</v>
      </c>
      <c r="T2568" s="20">
        <v>21019</v>
      </c>
      <c r="U2568" s="20">
        <v>24301</v>
      </c>
      <c r="V2568" s="20">
        <v>6812</v>
      </c>
      <c r="W2568" s="20">
        <v>12430</v>
      </c>
      <c r="Y2568" s="19">
        <v>0.32950000000000002</v>
      </c>
      <c r="Z2568" s="19">
        <v>0.38150000000000001</v>
      </c>
      <c r="AB2568" s="18">
        <v>2954</v>
      </c>
      <c r="AC2568" s="18">
        <v>4</v>
      </c>
    </row>
    <row r="2569" spans="1:29" ht="15.75" customHeight="1" x14ac:dyDescent="0.2">
      <c r="A2569" s="17" t="str">
        <f>HYPERLINK("https://www.wellesley.edu", "Wellesley College")</f>
        <v>Wellesley College</v>
      </c>
      <c r="B2569" s="18" t="s">
        <v>32</v>
      </c>
      <c r="C2569" s="18" t="s">
        <v>33</v>
      </c>
      <c r="D2569" s="18" t="s">
        <v>182</v>
      </c>
      <c r="E2569" s="18">
        <v>1448</v>
      </c>
      <c r="F2569" s="18" t="s">
        <v>35</v>
      </c>
      <c r="J2569" s="19"/>
      <c r="K2569" s="19">
        <v>0.88829999999999998</v>
      </c>
      <c r="L2569" s="19">
        <v>0.75</v>
      </c>
      <c r="M2569" s="19">
        <v>0.88800000000000001</v>
      </c>
      <c r="N2569" s="19">
        <v>0.9032</v>
      </c>
      <c r="O2569" s="19">
        <v>0.87270000000000003</v>
      </c>
      <c r="P2569" s="19">
        <v>0.88149999999999995</v>
      </c>
      <c r="Q2569" s="19"/>
      <c r="R2569" s="20">
        <v>69034</v>
      </c>
      <c r="S2569" s="33" t="str">
        <f>HYPERLINK("https://npc.collegeboard.org/student/app/wellesley", "$8765")</f>
        <v>$8765</v>
      </c>
      <c r="T2569" s="20">
        <v>12150</v>
      </c>
      <c r="U2569" s="20">
        <v>22080</v>
      </c>
      <c r="V2569" s="20">
        <v>2050</v>
      </c>
      <c r="W2569" s="20">
        <v>6715</v>
      </c>
      <c r="X2569" s="18" t="s">
        <v>37</v>
      </c>
      <c r="Y2569" s="19">
        <v>0.1797</v>
      </c>
      <c r="Z2569" s="19">
        <v>0.60759999999999992</v>
      </c>
      <c r="AA2569" s="18" t="s">
        <v>37</v>
      </c>
      <c r="AB2569" s="18">
        <v>2375</v>
      </c>
      <c r="AC2569" s="18">
        <v>1</v>
      </c>
    </row>
    <row r="2570" spans="1:29" ht="15.75" customHeight="1" x14ac:dyDescent="0.2">
      <c r="A2570" s="17" t="str">
        <f>HYPERLINK("https://www.wells.edu", "Wells College")</f>
        <v>Wells College</v>
      </c>
      <c r="B2570" s="18" t="s">
        <v>32</v>
      </c>
      <c r="C2570" s="18" t="s">
        <v>38</v>
      </c>
      <c r="D2570" s="18" t="s">
        <v>537</v>
      </c>
      <c r="E2570" s="18" t="s">
        <v>36</v>
      </c>
      <c r="F2570" s="18" t="s">
        <v>90</v>
      </c>
      <c r="J2570" s="19"/>
      <c r="K2570" s="19">
        <v>0.4672</v>
      </c>
      <c r="L2570" s="19">
        <v>0.39534883700000001</v>
      </c>
      <c r="M2570" s="19">
        <v>0.48809999999999998</v>
      </c>
      <c r="N2570" s="19">
        <v>0.43480000000000002</v>
      </c>
      <c r="O2570" s="19">
        <v>0.22220000000000001</v>
      </c>
      <c r="P2570" s="19">
        <v>0</v>
      </c>
      <c r="Q2570" s="19"/>
      <c r="R2570" s="20">
        <v>55180</v>
      </c>
      <c r="S2570" s="33" t="str">
        <f>HYPERLINK("https://www.wells.edu/financial-aid/net-price-calculator", "$18005")</f>
        <v>$18005</v>
      </c>
      <c r="T2570" s="20">
        <v>20888</v>
      </c>
      <c r="U2570" s="20">
        <v>24321</v>
      </c>
      <c r="V2570" s="20">
        <v>1850</v>
      </c>
      <c r="W2570" s="20">
        <v>16155</v>
      </c>
      <c r="Y2570" s="19">
        <v>0.48039999999999999</v>
      </c>
      <c r="Z2570" s="19">
        <v>0.38800000000000001</v>
      </c>
      <c r="AB2570" s="18">
        <v>482</v>
      </c>
      <c r="AC2570" s="18">
        <v>3</v>
      </c>
    </row>
    <row r="2571" spans="1:29" ht="15.75" customHeight="1" x14ac:dyDescent="0.2">
      <c r="A2571" s="17" t="str">
        <f>HYPERLINK("https://www.wvc.edu", "Wenatchee Valley College")</f>
        <v>Wenatchee Valley College</v>
      </c>
      <c r="B2571" s="18" t="s">
        <v>49</v>
      </c>
      <c r="C2571" s="18" t="s">
        <v>184</v>
      </c>
      <c r="D2571" s="18" t="s">
        <v>1759</v>
      </c>
      <c r="E2571" s="18" t="s">
        <v>36</v>
      </c>
      <c r="F2571" s="18" t="s">
        <v>36</v>
      </c>
      <c r="J2571" s="19"/>
      <c r="K2571" s="19">
        <v>0.28060000000000002</v>
      </c>
      <c r="L2571" s="19">
        <v>0.22860791799999999</v>
      </c>
      <c r="M2571" s="19">
        <v>0.30280000000000001</v>
      </c>
      <c r="N2571" s="19">
        <v>0</v>
      </c>
      <c r="O2571" s="19">
        <v>0.28649999999999998</v>
      </c>
      <c r="P2571" s="19" t="s">
        <v>36</v>
      </c>
      <c r="Q2571" s="19">
        <v>5.2583862000000002E-2</v>
      </c>
      <c r="R2571" s="20">
        <v>14831</v>
      </c>
      <c r="S2571" s="33" t="str">
        <f>HYPERLINK("https://www.wvc.edu/admissions/support/financial-aid/NetPrice/npcalc.htm", "$7258")</f>
        <v>$7258</v>
      </c>
      <c r="T2571" s="20">
        <v>9509</v>
      </c>
      <c r="U2571" s="20">
        <v>13311</v>
      </c>
      <c r="V2571" s="20">
        <v>4365</v>
      </c>
      <c r="W2571" s="20">
        <v>2893.46875</v>
      </c>
      <c r="Y2571" s="19">
        <v>0.35439999999999999</v>
      </c>
      <c r="Z2571" s="19">
        <v>0.46739999999999998</v>
      </c>
      <c r="AB2571" s="18">
        <v>2621</v>
      </c>
      <c r="AC2571" s="18">
        <v>6</v>
      </c>
    </row>
    <row r="2572" spans="1:29" ht="15.75" customHeight="1" x14ac:dyDescent="0.2">
      <c r="A2572" s="17" t="str">
        <f>HYPERLINK("https://WIT.EDU", "Wentworth Institute of Technology")</f>
        <v>Wentworth Institute of Technology</v>
      </c>
      <c r="B2572" s="18" t="s">
        <v>32</v>
      </c>
      <c r="C2572" s="18" t="s">
        <v>33</v>
      </c>
      <c r="D2572" s="18" t="s">
        <v>136</v>
      </c>
      <c r="E2572" s="18">
        <v>1181</v>
      </c>
      <c r="F2572" s="18" t="s">
        <v>35</v>
      </c>
      <c r="J2572" s="19"/>
      <c r="K2572" s="19">
        <v>0.67449999999999999</v>
      </c>
      <c r="L2572" s="19">
        <v>0.56122448999999996</v>
      </c>
      <c r="M2572" s="19">
        <v>0.70420000000000005</v>
      </c>
      <c r="N2572" s="19">
        <v>0.57779999999999998</v>
      </c>
      <c r="O2572" s="19">
        <v>0.54720000000000002</v>
      </c>
      <c r="P2572" s="19">
        <v>0.65669999999999995</v>
      </c>
      <c r="Q2572" s="19"/>
      <c r="R2572" s="20">
        <v>54071</v>
      </c>
      <c r="S2572" s="33" t="str">
        <f>HYPERLINK("https://wit.studentaidcalculator.com/survey.aspx", "$31615")</f>
        <v>$31615</v>
      </c>
      <c r="T2572" s="20">
        <v>35772</v>
      </c>
      <c r="U2572" s="20">
        <v>37784</v>
      </c>
      <c r="V2572" s="20">
        <v>5250</v>
      </c>
      <c r="W2572" s="20">
        <v>26365</v>
      </c>
      <c r="Y2572" s="19">
        <v>0.22650000000000001</v>
      </c>
      <c r="Z2572" s="19">
        <v>0.37609999999999999</v>
      </c>
      <c r="AB2572" s="18">
        <v>4204</v>
      </c>
      <c r="AC2572" s="18">
        <v>4</v>
      </c>
    </row>
    <row r="2573" spans="1:29" ht="15.75" customHeight="1" x14ac:dyDescent="0.2">
      <c r="A2573" s="17" t="str">
        <f>HYPERLINK("https://www.wesley.edu", "Wesley College")</f>
        <v>Wesley College</v>
      </c>
      <c r="B2573" s="18" t="s">
        <v>32</v>
      </c>
      <c r="C2573" s="18" t="s">
        <v>507</v>
      </c>
      <c r="D2573" s="18" t="s">
        <v>728</v>
      </c>
      <c r="E2573" s="18">
        <v>903</v>
      </c>
      <c r="F2573" s="18" t="s">
        <v>35</v>
      </c>
      <c r="J2573" s="19"/>
      <c r="K2573" s="19">
        <v>0.1724</v>
      </c>
      <c r="L2573" s="19">
        <v>0.163090129</v>
      </c>
      <c r="M2573" s="19">
        <v>0.25929999999999997</v>
      </c>
      <c r="N2573" s="19">
        <v>0.13880000000000001</v>
      </c>
      <c r="O2573" s="19">
        <v>0.1053</v>
      </c>
      <c r="P2573" s="19">
        <v>0</v>
      </c>
      <c r="Q2573" s="19"/>
      <c r="R2573" s="20">
        <v>42048</v>
      </c>
      <c r="S2573" s="33" t="str">
        <f>HYPERLINK("https://wesley.studentaidcalculator.com/survey.aspx", "$22187")</f>
        <v>$22187</v>
      </c>
      <c r="T2573" s="20">
        <v>23864</v>
      </c>
      <c r="U2573" s="20">
        <v>27270</v>
      </c>
      <c r="V2573" s="20">
        <v>4200</v>
      </c>
      <c r="W2573" s="20">
        <v>17987</v>
      </c>
      <c r="Y2573" s="19">
        <v>0.56169999999999998</v>
      </c>
      <c r="Z2573" s="19">
        <v>0.62440000000000007</v>
      </c>
      <c r="AB2573" s="18">
        <v>1342</v>
      </c>
      <c r="AC2573" s="18">
        <v>4</v>
      </c>
    </row>
    <row r="2574" spans="1:29" ht="15.75" customHeight="1" x14ac:dyDescent="0.2">
      <c r="A2574" s="17" t="str">
        <f>HYPERLINK("https://www.wesleyancollege.edu", "Wesleyan College")</f>
        <v>Wesleyan College</v>
      </c>
      <c r="B2574" s="18" t="s">
        <v>32</v>
      </c>
      <c r="C2574" s="18" t="s">
        <v>107</v>
      </c>
      <c r="D2574" s="18" t="s">
        <v>415</v>
      </c>
      <c r="E2574" s="18">
        <v>1114</v>
      </c>
      <c r="F2574" s="18" t="s">
        <v>35</v>
      </c>
      <c r="J2574" s="19"/>
      <c r="K2574" s="19">
        <v>0.55879999999999996</v>
      </c>
      <c r="L2574" s="19">
        <v>0.28125</v>
      </c>
      <c r="M2574" s="19">
        <v>0.58140000000000003</v>
      </c>
      <c r="N2574" s="19">
        <v>0.3448</v>
      </c>
      <c r="O2574" s="19">
        <v>0.66669999999999996</v>
      </c>
      <c r="P2574" s="19" t="s">
        <v>36</v>
      </c>
      <c r="Q2574" s="19"/>
      <c r="R2574" s="20">
        <v>33940</v>
      </c>
      <c r="S2574" s="33" t="str">
        <f>HYPERLINK("https://wesportal.wesleyancollege.edu/ICS/Net_Price_Calculator/", "$13502")</f>
        <v>$13502</v>
      </c>
      <c r="T2574" s="20">
        <v>16282</v>
      </c>
      <c r="U2574" s="20">
        <v>16486</v>
      </c>
      <c r="V2574" s="20" t="s">
        <v>36</v>
      </c>
      <c r="W2574" s="20" t="s">
        <v>36</v>
      </c>
      <c r="X2574" s="18" t="s">
        <v>37</v>
      </c>
      <c r="Y2574" s="19">
        <v>0.41110000000000002</v>
      </c>
      <c r="Z2574" s="19">
        <v>0.58079999999999998</v>
      </c>
      <c r="AA2574" s="18" t="s">
        <v>37</v>
      </c>
      <c r="AB2574" s="18">
        <v>501</v>
      </c>
      <c r="AC2574" s="18">
        <v>4</v>
      </c>
    </row>
    <row r="2575" spans="1:29" ht="15.75" customHeight="1" x14ac:dyDescent="0.2">
      <c r="A2575" s="17" t="str">
        <f>HYPERLINK("https://www.wesleyan.edu", "Wesleyan University")</f>
        <v>Wesleyan University</v>
      </c>
      <c r="B2575" s="18" t="s">
        <v>32</v>
      </c>
      <c r="C2575" s="18" t="s">
        <v>94</v>
      </c>
      <c r="D2575" s="18" t="s">
        <v>183</v>
      </c>
      <c r="E2575" s="18" t="s">
        <v>36</v>
      </c>
      <c r="F2575" s="18" t="s">
        <v>90</v>
      </c>
      <c r="J2575" s="19"/>
      <c r="K2575" s="19">
        <v>0.90210000000000001</v>
      </c>
      <c r="L2575" s="19">
        <v>0.86813186799999997</v>
      </c>
      <c r="M2575" s="19">
        <v>0.90590000000000004</v>
      </c>
      <c r="N2575" s="19">
        <v>0.88680000000000003</v>
      </c>
      <c r="O2575" s="19">
        <v>0.85260000000000002</v>
      </c>
      <c r="P2575" s="19">
        <v>0.96340000000000003</v>
      </c>
      <c r="Q2575" s="19"/>
      <c r="R2575" s="20">
        <v>69935</v>
      </c>
      <c r="S2575" s="33" t="str">
        <f>HYPERLINK("https://wesleyan.studentaidcalculator.com/survey.aspx", "$7613")</f>
        <v>$7613</v>
      </c>
      <c r="T2575" s="20">
        <v>14311</v>
      </c>
      <c r="U2575" s="20">
        <v>23564</v>
      </c>
      <c r="V2575" s="20">
        <v>2665</v>
      </c>
      <c r="W2575" s="20">
        <v>4948</v>
      </c>
      <c r="X2575" s="18" t="s">
        <v>37</v>
      </c>
      <c r="Y2575" s="19">
        <v>0.16900000000000001</v>
      </c>
      <c r="Z2575" s="19">
        <v>0.45929999999999999</v>
      </c>
      <c r="AB2575" s="18">
        <v>2887</v>
      </c>
      <c r="AC2575" s="18">
        <v>1</v>
      </c>
    </row>
    <row r="2576" spans="1:29" ht="15.75" customHeight="1" x14ac:dyDescent="0.2">
      <c r="A2576" s="17" t="str">
        <f>HYPERLINK("https://www.wcupa.edu", "West Chester University of Pennsylvania")</f>
        <v>West Chester University of Pennsylvania</v>
      </c>
      <c r="B2576" s="18" t="s">
        <v>49</v>
      </c>
      <c r="C2576" s="18" t="s">
        <v>65</v>
      </c>
      <c r="D2576" s="18" t="s">
        <v>1395</v>
      </c>
      <c r="E2576" s="18">
        <v>1131</v>
      </c>
      <c r="F2576" s="18" t="s">
        <v>35</v>
      </c>
      <c r="J2576" s="19"/>
      <c r="K2576" s="19">
        <v>0.72599999999999998</v>
      </c>
      <c r="L2576" s="19">
        <v>0.51076923100000005</v>
      </c>
      <c r="M2576" s="19">
        <v>0.75380000000000003</v>
      </c>
      <c r="N2576" s="19">
        <v>0.55959999999999999</v>
      </c>
      <c r="O2576" s="19">
        <v>0.60119999999999996</v>
      </c>
      <c r="P2576" s="19">
        <v>0.76670000000000005</v>
      </c>
      <c r="Q2576" s="19"/>
      <c r="R2576" s="20">
        <v>38253</v>
      </c>
      <c r="S2576" s="33" t="str">
        <f>HYPERLINK("https://www.passhe.edu/answers/Calculator/WE/npcalc-216764.htm", "$30197")</f>
        <v>$30197</v>
      </c>
      <c r="T2576" s="20">
        <v>34326</v>
      </c>
      <c r="U2576" s="20">
        <v>37019</v>
      </c>
      <c r="V2576" s="20">
        <v>3720</v>
      </c>
      <c r="W2576" s="20">
        <v>26477.577319587632</v>
      </c>
      <c r="Y2576" s="19">
        <v>0.25330000000000003</v>
      </c>
      <c r="Z2576" s="19">
        <v>0.2452</v>
      </c>
      <c r="AB2576" s="18">
        <v>14223</v>
      </c>
      <c r="AC2576" s="18">
        <v>4</v>
      </c>
    </row>
    <row r="2577" spans="1:29" ht="15.75" customHeight="1" x14ac:dyDescent="0.2">
      <c r="A2577" s="17" t="str">
        <f>HYPERLINK("https://www.westhillscollege.com/coalinga/", "West Hills College-Coalinga")</f>
        <v>West Hills College-Coalinga</v>
      </c>
      <c r="B2577" s="18" t="s">
        <v>49</v>
      </c>
      <c r="C2577" s="18" t="s">
        <v>68</v>
      </c>
      <c r="D2577" s="18" t="s">
        <v>1760</v>
      </c>
      <c r="E2577" s="18" t="s">
        <v>36</v>
      </c>
      <c r="F2577" s="18" t="s">
        <v>36</v>
      </c>
      <c r="J2577" s="19"/>
      <c r="K2577" s="19">
        <v>0.28520000000000001</v>
      </c>
      <c r="L2577" s="19">
        <v>0.128205128</v>
      </c>
      <c r="M2577" s="19">
        <v>0.28000000000000003</v>
      </c>
      <c r="N2577" s="19">
        <v>0.19350000000000001</v>
      </c>
      <c r="O2577" s="19">
        <v>0.2697</v>
      </c>
      <c r="P2577" s="19">
        <v>0</v>
      </c>
      <c r="Q2577" s="19">
        <v>6.7796609999999993E-2</v>
      </c>
      <c r="R2577" s="20">
        <v>23933</v>
      </c>
      <c r="S2577" s="33" t="str">
        <f>HYPERLINK("https://www.westhillscollege.com/coalinga/admissions/cost-of-attendance/net-price-calculator.php", "$17153")</f>
        <v>$17153</v>
      </c>
      <c r="T2577" s="20">
        <v>20146</v>
      </c>
      <c r="U2577" s="20">
        <v>19767</v>
      </c>
      <c r="V2577" s="20">
        <v>5096</v>
      </c>
      <c r="W2577" s="20">
        <v>12057.414364640879</v>
      </c>
      <c r="Y2577" s="19">
        <v>0.27089999999999997</v>
      </c>
      <c r="Z2577" s="19">
        <v>0.83830000000000005</v>
      </c>
      <c r="AB2577" s="18">
        <v>3031</v>
      </c>
      <c r="AC2577" s="18">
        <v>6</v>
      </c>
    </row>
    <row r="2578" spans="1:29" ht="15.75" customHeight="1" x14ac:dyDescent="0.2">
      <c r="A2578" s="17" t="str">
        <f>HYPERLINK("https://www.westhillscollege.com/lemoore/", "West Hills College-Lemoore")</f>
        <v>West Hills College-Lemoore</v>
      </c>
      <c r="B2578" s="18" t="s">
        <v>49</v>
      </c>
      <c r="C2578" s="18" t="s">
        <v>68</v>
      </c>
      <c r="D2578" s="18" t="s">
        <v>1761</v>
      </c>
      <c r="E2578" s="18" t="s">
        <v>36</v>
      </c>
      <c r="F2578" s="18" t="s">
        <v>36</v>
      </c>
      <c r="J2578" s="19"/>
      <c r="K2578" s="19">
        <v>0.36809999999999998</v>
      </c>
      <c r="L2578" s="19">
        <v>9.6100278999999997E-2</v>
      </c>
      <c r="M2578" s="19">
        <v>0.42309999999999998</v>
      </c>
      <c r="N2578" s="19">
        <v>0.1111</v>
      </c>
      <c r="O2578" s="19">
        <v>0.3705</v>
      </c>
      <c r="P2578" s="19">
        <v>0.2727</v>
      </c>
      <c r="Q2578" s="19">
        <v>9.0009890999999995E-2</v>
      </c>
      <c r="R2578" s="20">
        <v>30248</v>
      </c>
      <c r="S2578" s="33" t="str">
        <f>HYPERLINK("https://www.westhillscollege.com/lemoore/admissions/cost-of-attendance/net-price-calculator.php", "$23052")</f>
        <v>$23052</v>
      </c>
      <c r="T2578" s="20">
        <v>26703</v>
      </c>
      <c r="U2578" s="20" t="s">
        <v>36</v>
      </c>
      <c r="V2578" s="20">
        <v>6094</v>
      </c>
      <c r="W2578" s="20">
        <v>16958.928571428569</v>
      </c>
      <c r="Y2578" s="19">
        <v>0.41210000000000002</v>
      </c>
      <c r="Z2578" s="19">
        <v>0.77539999999999998</v>
      </c>
      <c r="AB2578" s="18">
        <v>3843</v>
      </c>
      <c r="AC2578" s="18">
        <v>6</v>
      </c>
    </row>
    <row r="2579" spans="1:29" ht="15.75" customHeight="1" x14ac:dyDescent="0.2">
      <c r="A2579" s="17" t="str">
        <f>HYPERLINK("https://www.westshore.edu", "West Shore Community College")</f>
        <v>West Shore Community College</v>
      </c>
      <c r="B2579" s="18" t="s">
        <v>49</v>
      </c>
      <c r="C2579" s="18" t="s">
        <v>226</v>
      </c>
      <c r="D2579" s="18" t="s">
        <v>1762</v>
      </c>
      <c r="E2579" s="18" t="s">
        <v>36</v>
      </c>
      <c r="F2579" s="18" t="s">
        <v>36</v>
      </c>
      <c r="J2579" s="19"/>
      <c r="K2579" s="19">
        <v>0.26390000000000002</v>
      </c>
      <c r="L2579" s="19">
        <v>0.19658119700000001</v>
      </c>
      <c r="M2579" s="19">
        <v>0.28449999999999998</v>
      </c>
      <c r="N2579" s="19">
        <v>0.25</v>
      </c>
      <c r="O2579" s="19">
        <v>0.2</v>
      </c>
      <c r="P2579" s="19" t="s">
        <v>36</v>
      </c>
      <c r="Q2579" s="19">
        <v>7.2761194000000001E-2</v>
      </c>
      <c r="R2579" s="20">
        <v>15146</v>
      </c>
      <c r="S2579" s="33" t="str">
        <f>HYPERLINK("https://www.westshore.edu/admissions/paying-for-college/net-price-calculator/", "$9174")</f>
        <v>$9174</v>
      </c>
      <c r="T2579" s="20">
        <v>10153</v>
      </c>
      <c r="U2579" s="20">
        <v>12745</v>
      </c>
      <c r="V2579" s="20">
        <v>5016</v>
      </c>
      <c r="W2579" s="20">
        <v>4158.1355932203387</v>
      </c>
      <c r="Y2579" s="19">
        <v>0.47570000000000001</v>
      </c>
      <c r="Z2579" s="19">
        <v>0.1988</v>
      </c>
      <c r="AB2579" s="18">
        <v>820</v>
      </c>
      <c r="AC2579" s="18">
        <v>6</v>
      </c>
    </row>
    <row r="2580" spans="1:29" ht="15.75" customHeight="1" x14ac:dyDescent="0.2">
      <c r="A2580" s="17" t="str">
        <f>HYPERLINK("https://www.wtamu.edu", "West Texas A &amp; M University")</f>
        <v>West Texas A &amp; M University</v>
      </c>
      <c r="B2580" s="18" t="s">
        <v>49</v>
      </c>
      <c r="C2580" s="18" t="s">
        <v>146</v>
      </c>
      <c r="D2580" s="18" t="s">
        <v>1397</v>
      </c>
      <c r="E2580" s="18">
        <v>1069</v>
      </c>
      <c r="F2580" s="18" t="s">
        <v>35</v>
      </c>
      <c r="J2580" s="19"/>
      <c r="K2580" s="19">
        <v>0.40570000000000001</v>
      </c>
      <c r="L2580" s="19">
        <v>0.39333333300000001</v>
      </c>
      <c r="M2580" s="19">
        <v>0.46339999999999998</v>
      </c>
      <c r="N2580" s="19">
        <v>0.3085</v>
      </c>
      <c r="O2580" s="19">
        <v>0.3387</v>
      </c>
      <c r="P2580" s="19">
        <v>0.57140000000000002</v>
      </c>
      <c r="Q2580" s="19"/>
      <c r="R2580" s="20">
        <v>22467</v>
      </c>
      <c r="S2580" s="33" t="str">
        <f>HYPERLINK("https://apps.wtamu.edu/calculator/", "$12925")</f>
        <v>$12925</v>
      </c>
      <c r="T2580" s="20">
        <v>17171</v>
      </c>
      <c r="U2580" s="20">
        <v>20266</v>
      </c>
      <c r="V2580" s="20">
        <v>5854</v>
      </c>
      <c r="W2580" s="20">
        <v>7071.994318181818</v>
      </c>
      <c r="Y2580" s="19">
        <v>0.35339999999999999</v>
      </c>
      <c r="Z2580" s="19">
        <v>0.41870000000000002</v>
      </c>
      <c r="AB2580" s="18">
        <v>7383</v>
      </c>
      <c r="AC2580" s="18">
        <v>4</v>
      </c>
    </row>
    <row r="2581" spans="1:29" ht="15.75" customHeight="1" x14ac:dyDescent="0.2">
      <c r="A2581" s="17" t="str">
        <f>HYPERLINK("https://www.westvalley.edu", "West Valley College")</f>
        <v>West Valley College</v>
      </c>
      <c r="B2581" s="18" t="s">
        <v>49</v>
      </c>
      <c r="C2581" s="18" t="s">
        <v>68</v>
      </c>
      <c r="D2581" s="18" t="s">
        <v>1763</v>
      </c>
      <c r="E2581" s="18" t="s">
        <v>36</v>
      </c>
      <c r="F2581" s="18" t="s">
        <v>36</v>
      </c>
      <c r="J2581" s="19"/>
      <c r="K2581" s="19">
        <v>0.32140000000000002</v>
      </c>
      <c r="L2581" s="19">
        <v>6.7733989999999994E-2</v>
      </c>
      <c r="M2581" s="19">
        <v>0.32550000000000001</v>
      </c>
      <c r="N2581" s="19">
        <v>0.31819999999999998</v>
      </c>
      <c r="O2581" s="19">
        <v>0.31459999999999999</v>
      </c>
      <c r="P2581" s="19">
        <v>0.35709999999999997</v>
      </c>
      <c r="Q2581" s="19">
        <v>0.117977528</v>
      </c>
      <c r="R2581" s="20">
        <v>22627</v>
      </c>
      <c r="S2581" s="33" t="str">
        <f>HYPERLINK("https://misweb.cccco.edu/npc/493/npcalc.htm", "$15020")</f>
        <v>$15020</v>
      </c>
      <c r="T2581" s="20">
        <v>18967</v>
      </c>
      <c r="U2581" s="20">
        <v>20460</v>
      </c>
      <c r="V2581" s="20">
        <v>5895</v>
      </c>
      <c r="W2581" s="20">
        <v>9125.5607476635523</v>
      </c>
      <c r="Y2581" s="19">
        <v>0.1255</v>
      </c>
      <c r="Z2581" s="19">
        <v>0.5958</v>
      </c>
      <c r="AB2581" s="18">
        <v>6799</v>
      </c>
      <c r="AC2581" s="18">
        <v>6</v>
      </c>
    </row>
    <row r="2582" spans="1:29" ht="15.75" customHeight="1" x14ac:dyDescent="0.2">
      <c r="A2582" s="17" t="str">
        <f>HYPERLINK("https://www.wvjc.edu", "West Virginia Junior College-Bridgeport")</f>
        <v>West Virginia Junior College-Bridgeport</v>
      </c>
      <c r="B2582" s="18" t="s">
        <v>368</v>
      </c>
      <c r="C2582" s="18" t="s">
        <v>574</v>
      </c>
      <c r="D2582" s="18" t="s">
        <v>886</v>
      </c>
      <c r="E2582" s="18" t="s">
        <v>36</v>
      </c>
      <c r="F2582" s="18" t="s">
        <v>36</v>
      </c>
      <c r="J2582" s="19"/>
      <c r="K2582" s="19">
        <v>0.66669999999999996</v>
      </c>
      <c r="L2582" s="19">
        <v>0.51327433600000005</v>
      </c>
      <c r="M2582" s="19">
        <v>0.64910000000000001</v>
      </c>
      <c r="N2582" s="19">
        <v>1</v>
      </c>
      <c r="O2582" s="19" t="s">
        <v>36</v>
      </c>
      <c r="P2582" s="19" t="s">
        <v>36</v>
      </c>
      <c r="Q2582" s="19" t="s">
        <v>36</v>
      </c>
      <c r="R2582" s="20">
        <v>25795</v>
      </c>
      <c r="S2582" s="33" t="str">
        <f>HYPERLINK("https://www.wvjc.edu", "$12398")</f>
        <v>$12398</v>
      </c>
      <c r="T2582" s="20">
        <v>13628</v>
      </c>
      <c r="U2582" s="20">
        <v>18288</v>
      </c>
      <c r="V2582" s="20">
        <v>5033</v>
      </c>
      <c r="W2582" s="20">
        <v>7365</v>
      </c>
      <c r="Y2582" s="19">
        <v>0.82579999999999998</v>
      </c>
      <c r="Z2582" s="19">
        <v>2.3100000000000009E-2</v>
      </c>
      <c r="AB2582" s="18">
        <v>130</v>
      </c>
      <c r="AC2582" s="18">
        <v>6</v>
      </c>
    </row>
    <row r="2583" spans="1:29" ht="15.75" customHeight="1" x14ac:dyDescent="0.2">
      <c r="A2583" s="17" t="str">
        <f>HYPERLINK("https://www.wvjc.edu", "West Virginia Junior College-Charleston")</f>
        <v>West Virginia Junior College-Charleston</v>
      </c>
      <c r="B2583" s="18" t="s">
        <v>368</v>
      </c>
      <c r="C2583" s="18" t="s">
        <v>574</v>
      </c>
      <c r="D2583" s="18" t="s">
        <v>334</v>
      </c>
      <c r="E2583" s="18" t="s">
        <v>36</v>
      </c>
      <c r="F2583" s="18" t="s">
        <v>36</v>
      </c>
      <c r="J2583" s="19"/>
      <c r="K2583" s="19">
        <v>0.61360000000000003</v>
      </c>
      <c r="L2583" s="19">
        <v>0.51327433600000005</v>
      </c>
      <c r="M2583" s="19">
        <v>0.60609999999999997</v>
      </c>
      <c r="N2583" s="19">
        <v>0.625</v>
      </c>
      <c r="O2583" s="19">
        <v>1</v>
      </c>
      <c r="P2583" s="19">
        <v>0</v>
      </c>
      <c r="Q2583" s="19" t="s">
        <v>36</v>
      </c>
      <c r="R2583" s="20">
        <v>23423</v>
      </c>
      <c r="S2583" s="33" t="str">
        <f>HYPERLINK("https://www.wvjc.edu", "$10794")</f>
        <v>$10794</v>
      </c>
      <c r="T2583" s="20">
        <v>12428</v>
      </c>
      <c r="U2583" s="20">
        <v>18268</v>
      </c>
      <c r="V2583" s="20">
        <v>4155</v>
      </c>
      <c r="W2583" s="20">
        <v>6639</v>
      </c>
      <c r="Y2583" s="19">
        <v>0.94520000000000004</v>
      </c>
      <c r="Z2583" s="19">
        <v>0.17330000000000001</v>
      </c>
      <c r="AB2583" s="18">
        <v>150</v>
      </c>
      <c r="AC2583" s="18">
        <v>6</v>
      </c>
    </row>
    <row r="2584" spans="1:29" ht="15.75" customHeight="1" x14ac:dyDescent="0.2">
      <c r="A2584" s="17" t="str">
        <f>HYPERLINK("https://www.wvjc.edu", "West Virginia Junior College-Morgantown")</f>
        <v>West Virginia Junior College-Morgantown</v>
      </c>
      <c r="B2584" s="18" t="s">
        <v>368</v>
      </c>
      <c r="C2584" s="18" t="s">
        <v>574</v>
      </c>
      <c r="D2584" s="18" t="s">
        <v>1399</v>
      </c>
      <c r="E2584" s="18" t="s">
        <v>36</v>
      </c>
      <c r="F2584" s="18" t="s">
        <v>36</v>
      </c>
      <c r="J2584" s="19"/>
      <c r="K2584" s="19">
        <v>0.61539999999999995</v>
      </c>
      <c r="L2584" s="19">
        <v>0.468468469</v>
      </c>
      <c r="M2584" s="19">
        <v>0.60870000000000002</v>
      </c>
      <c r="N2584" s="19">
        <v>0.6</v>
      </c>
      <c r="O2584" s="19" t="s">
        <v>36</v>
      </c>
      <c r="P2584" s="19">
        <v>1</v>
      </c>
      <c r="Q2584" s="19">
        <v>3.3557047E-2</v>
      </c>
      <c r="R2584" s="20">
        <v>25389</v>
      </c>
      <c r="S2584" s="33" t="str">
        <f>HYPERLINK("https://www.wvjc.edu", "$15580")</f>
        <v>$15580</v>
      </c>
      <c r="T2584" s="20">
        <v>17726</v>
      </c>
      <c r="U2584" s="20">
        <v>20970</v>
      </c>
      <c r="V2584" s="20">
        <v>4711</v>
      </c>
      <c r="W2584" s="20">
        <v>10869</v>
      </c>
      <c r="Y2584" s="19">
        <v>0.78990000000000005</v>
      </c>
      <c r="Z2584" s="19">
        <v>0.1012</v>
      </c>
      <c r="AB2584" s="18">
        <v>494</v>
      </c>
      <c r="AC2584" s="18">
        <v>6</v>
      </c>
    </row>
    <row r="2585" spans="1:29" ht="15.75" customHeight="1" x14ac:dyDescent="0.2">
      <c r="A2585" s="17" t="str">
        <f>HYPERLINK("https://www.wvncc.edu/", "West Virginia Northern Community College")</f>
        <v>West Virginia Northern Community College</v>
      </c>
      <c r="B2585" s="18" t="s">
        <v>49</v>
      </c>
      <c r="C2585" s="18" t="s">
        <v>574</v>
      </c>
      <c r="D2585" s="18" t="s">
        <v>1413</v>
      </c>
      <c r="E2585" s="18" t="s">
        <v>36</v>
      </c>
      <c r="F2585" s="18" t="s">
        <v>36</v>
      </c>
      <c r="J2585" s="19"/>
      <c r="K2585" s="19">
        <v>0.19270000000000001</v>
      </c>
      <c r="L2585" s="19">
        <v>5.0359712000000001E-2</v>
      </c>
      <c r="M2585" s="19">
        <v>0.188</v>
      </c>
      <c r="N2585" s="19">
        <v>0</v>
      </c>
      <c r="O2585" s="19">
        <v>0</v>
      </c>
      <c r="P2585" s="19" t="s">
        <v>36</v>
      </c>
      <c r="Q2585" s="19">
        <v>4.9053355999999999E-2</v>
      </c>
      <c r="R2585" s="20">
        <v>19834</v>
      </c>
      <c r="S2585" s="33" t="str">
        <f>HYPERLINK("https://wvncc.studentaidcalculator.com/survey.aspx", "$13355")</f>
        <v>$13355</v>
      </c>
      <c r="T2585" s="20">
        <v>15728</v>
      </c>
      <c r="U2585" s="20">
        <v>17851</v>
      </c>
      <c r="V2585" s="20">
        <v>4657</v>
      </c>
      <c r="W2585" s="20">
        <v>8698.1360946745554</v>
      </c>
      <c r="Y2585" s="19">
        <v>0.52090000000000003</v>
      </c>
      <c r="Z2585" s="19">
        <v>9.7500000000000031E-2</v>
      </c>
      <c r="AB2585" s="18">
        <v>1180</v>
      </c>
      <c r="AC2585" s="18">
        <v>6</v>
      </c>
    </row>
    <row r="2586" spans="1:29" ht="15.75" customHeight="1" x14ac:dyDescent="0.2">
      <c r="A2586" s="17" t="str">
        <f>HYPERLINK("https://www.wvstateu.edu", "West Virginia State University")</f>
        <v>West Virginia State University</v>
      </c>
      <c r="B2586" s="18" t="s">
        <v>49</v>
      </c>
      <c r="C2586" s="18" t="s">
        <v>574</v>
      </c>
      <c r="D2586" s="18" t="s">
        <v>933</v>
      </c>
      <c r="E2586" s="18">
        <v>1007</v>
      </c>
      <c r="F2586" s="18" t="s">
        <v>35</v>
      </c>
      <c r="J2586" s="19"/>
      <c r="K2586" s="19">
        <v>0.26279999999999998</v>
      </c>
      <c r="L2586" s="19">
        <v>0.27931769699999998</v>
      </c>
      <c r="M2586" s="19">
        <v>0.26319999999999999</v>
      </c>
      <c r="N2586" s="19">
        <v>0.1154</v>
      </c>
      <c r="O2586" s="19">
        <v>0</v>
      </c>
      <c r="P2586" s="19" t="s">
        <v>36</v>
      </c>
      <c r="Q2586" s="19"/>
      <c r="R2586" s="20">
        <v>32232</v>
      </c>
      <c r="S2586" s="33" t="str">
        <f>HYPERLINK("https://wvstateu.studentaidcalculator.com/survey.aspx", "$24229")</f>
        <v>$24229</v>
      </c>
      <c r="T2586" s="20">
        <v>25527</v>
      </c>
      <c r="U2586" s="20">
        <v>24401</v>
      </c>
      <c r="V2586" s="20">
        <v>3816</v>
      </c>
      <c r="W2586" s="20">
        <v>20413</v>
      </c>
      <c r="Y2586" s="19">
        <v>0.30249999999999999</v>
      </c>
      <c r="Z2586" s="19">
        <v>0.32550000000000001</v>
      </c>
      <c r="AB2586" s="18">
        <v>1905</v>
      </c>
      <c r="AC2586" s="18">
        <v>5</v>
      </c>
    </row>
    <row r="2587" spans="1:29" ht="15.75" customHeight="1" x14ac:dyDescent="0.2">
      <c r="A2587" s="17" t="str">
        <f>HYPERLINK("https://www.wvu.edu", "West Virginia University")</f>
        <v>West Virginia University</v>
      </c>
      <c r="B2587" s="18" t="s">
        <v>49</v>
      </c>
      <c r="C2587" s="18" t="s">
        <v>574</v>
      </c>
      <c r="D2587" s="18" t="s">
        <v>1399</v>
      </c>
      <c r="E2587" s="18">
        <v>1159</v>
      </c>
      <c r="F2587" s="18" t="s">
        <v>35</v>
      </c>
      <c r="J2587" s="19"/>
      <c r="K2587" s="19">
        <v>0.56759999999999999</v>
      </c>
      <c r="L2587" s="19">
        <v>0.37653631300000001</v>
      </c>
      <c r="M2587" s="19">
        <v>0.58440000000000003</v>
      </c>
      <c r="N2587" s="19">
        <v>0.43840000000000001</v>
      </c>
      <c r="O2587" s="19">
        <v>0.44569999999999999</v>
      </c>
      <c r="P2587" s="19">
        <v>0.53569999999999995</v>
      </c>
      <c r="Q2587" s="19"/>
      <c r="R2587" s="20">
        <v>37712</v>
      </c>
      <c r="S2587" s="33" t="str">
        <f>HYPERLINK("https://financialaid.wvu.edu/net-price-calculator", "$25724")</f>
        <v>$25724</v>
      </c>
      <c r="T2587" s="20">
        <v>29291</v>
      </c>
      <c r="U2587" s="20">
        <v>31735</v>
      </c>
      <c r="V2587" s="20">
        <v>3520</v>
      </c>
      <c r="W2587" s="20">
        <v>22204.31136738056</v>
      </c>
      <c r="Y2587" s="19">
        <v>0.25269999999999998</v>
      </c>
      <c r="Z2587" s="19">
        <v>0.2117</v>
      </c>
      <c r="AB2587" s="18">
        <v>21703</v>
      </c>
      <c r="AC2587" s="18">
        <v>4</v>
      </c>
    </row>
    <row r="2588" spans="1:29" ht="15.75" customHeight="1" x14ac:dyDescent="0.2">
      <c r="A2588" s="17" t="str">
        <f>HYPERLINK("https://www.wvutech.edu", "West Virginia University Institute of Technology")</f>
        <v>West Virginia University Institute of Technology</v>
      </c>
      <c r="B2588" s="18" t="s">
        <v>49</v>
      </c>
      <c r="C2588" s="18" t="s">
        <v>574</v>
      </c>
      <c r="D2588" s="18" t="s">
        <v>1401</v>
      </c>
      <c r="E2588" s="18">
        <v>1165</v>
      </c>
      <c r="F2588" s="18" t="s">
        <v>35</v>
      </c>
      <c r="J2588" s="19"/>
      <c r="K2588" s="19">
        <v>0.2145</v>
      </c>
      <c r="L2588" s="19">
        <v>0.37653631300000001</v>
      </c>
      <c r="M2588" s="19">
        <v>0.21879999999999999</v>
      </c>
      <c r="N2588" s="19">
        <v>0.1852</v>
      </c>
      <c r="O2588" s="19">
        <v>0.33329999999999999</v>
      </c>
      <c r="P2588" s="19">
        <v>1</v>
      </c>
      <c r="Q2588" s="19"/>
      <c r="R2588" s="20">
        <v>32368</v>
      </c>
      <c r="S2588" s="33" t="str">
        <f>HYPERLINK("https://wvutech.studentaidcalculator.com", "$22869")</f>
        <v>$22869</v>
      </c>
      <c r="T2588" s="20">
        <v>26502</v>
      </c>
      <c r="U2588" s="20">
        <v>27359</v>
      </c>
      <c r="V2588" s="20">
        <v>3520</v>
      </c>
      <c r="W2588" s="20">
        <v>19349.541666666661</v>
      </c>
      <c r="Y2588" s="19">
        <v>0.35930000000000001</v>
      </c>
      <c r="Z2588" s="19">
        <v>0.2452</v>
      </c>
      <c r="AB2588" s="18">
        <v>1256</v>
      </c>
      <c r="AC2588" s="18">
        <v>4</v>
      </c>
    </row>
    <row r="2589" spans="1:29" ht="15.75" customHeight="1" x14ac:dyDescent="0.2">
      <c r="A2589" s="17" t="str">
        <f>HYPERLINK("https://www.wvup.edu", "West Virginia University at Parkersburg")</f>
        <v>West Virginia University at Parkersburg</v>
      </c>
      <c r="B2589" s="18" t="s">
        <v>49</v>
      </c>
      <c r="C2589" s="18" t="s">
        <v>574</v>
      </c>
      <c r="D2589" s="18" t="s">
        <v>1550</v>
      </c>
      <c r="E2589" s="18" t="s">
        <v>36</v>
      </c>
      <c r="F2589" s="18" t="s">
        <v>36</v>
      </c>
      <c r="J2589" s="19"/>
      <c r="K2589" s="19">
        <v>0.3609</v>
      </c>
      <c r="L2589" s="19">
        <v>0.22867298599999999</v>
      </c>
      <c r="M2589" s="19">
        <v>0.38390000000000002</v>
      </c>
      <c r="N2589" s="19">
        <v>7.6899999999999996E-2</v>
      </c>
      <c r="O2589" s="19">
        <v>0.6</v>
      </c>
      <c r="P2589" s="19">
        <v>0</v>
      </c>
      <c r="Q2589" s="19">
        <v>2.556158E-2</v>
      </c>
      <c r="R2589" s="20">
        <v>16588</v>
      </c>
      <c r="S2589" s="33" t="str">
        <f>HYPERLINK("https://wvup.studentaidcalculator.com/survey.aspx", "$13879")</f>
        <v>$13879</v>
      </c>
      <c r="T2589" s="20">
        <v>14168</v>
      </c>
      <c r="U2589" s="20">
        <v>16024</v>
      </c>
      <c r="V2589" s="20">
        <v>4968</v>
      </c>
      <c r="W2589" s="20">
        <v>8911.6666666666661</v>
      </c>
      <c r="Y2589" s="19">
        <v>0.46820000000000001</v>
      </c>
      <c r="Z2589" s="19">
        <v>6.2200000000000033E-2</v>
      </c>
      <c r="AB2589" s="18">
        <v>2172</v>
      </c>
      <c r="AC2589" s="18">
        <v>6</v>
      </c>
    </row>
    <row r="2590" spans="1:29" ht="15.75" customHeight="1" x14ac:dyDescent="0.2">
      <c r="A2590" s="17" t="str">
        <f>HYPERLINK("https://www.wvwc.edu", "West Virginia Wesleyan College")</f>
        <v>West Virginia Wesleyan College</v>
      </c>
      <c r="B2590" s="18" t="s">
        <v>32</v>
      </c>
      <c r="C2590" s="18" t="s">
        <v>574</v>
      </c>
      <c r="D2590" s="18" t="s">
        <v>1402</v>
      </c>
      <c r="E2590" s="18">
        <v>1091</v>
      </c>
      <c r="F2590" s="18" t="s">
        <v>35</v>
      </c>
      <c r="J2590" s="19"/>
      <c r="K2590" s="19">
        <v>0.49630000000000002</v>
      </c>
      <c r="L2590" s="19">
        <v>0.35294117700000011</v>
      </c>
      <c r="M2590" s="19">
        <v>0.54820000000000002</v>
      </c>
      <c r="N2590" s="19">
        <v>0.22220000000000001</v>
      </c>
      <c r="O2590" s="19">
        <v>0.28570000000000001</v>
      </c>
      <c r="P2590" s="19">
        <v>0</v>
      </c>
      <c r="Q2590" s="19"/>
      <c r="R2590" s="20">
        <v>45253</v>
      </c>
      <c r="S2590" s="33" t="str">
        <f>HYPERLINK("https://wvwc.studentaidcalculator.com/welcome.aspx", "$15184")</f>
        <v>$15184</v>
      </c>
      <c r="T2590" s="20">
        <v>17682</v>
      </c>
      <c r="U2590" s="20">
        <v>18933</v>
      </c>
      <c r="V2590" s="20">
        <v>6065</v>
      </c>
      <c r="W2590" s="20">
        <v>9119</v>
      </c>
      <c r="Y2590" s="19">
        <v>0.31519999999999998</v>
      </c>
      <c r="Z2590" s="19">
        <v>0.22389999999999999</v>
      </c>
      <c r="AB2590" s="18">
        <v>1304</v>
      </c>
      <c r="AC2590" s="18">
        <v>4</v>
      </c>
    </row>
    <row r="2591" spans="1:29" ht="15.75" customHeight="1" x14ac:dyDescent="0.2">
      <c r="A2591" s="17" t="str">
        <f>HYPERLINK("https://www.wcu.edu", "Western Carolina University")</f>
        <v>Western Carolina University</v>
      </c>
      <c r="B2591" s="18" t="s">
        <v>49</v>
      </c>
      <c r="C2591" s="18" t="s">
        <v>103</v>
      </c>
      <c r="D2591" s="18" t="s">
        <v>1403</v>
      </c>
      <c r="E2591" s="18">
        <v>1095</v>
      </c>
      <c r="F2591" s="18" t="s">
        <v>35</v>
      </c>
      <c r="J2591" s="19"/>
      <c r="K2591" s="19">
        <v>0.59030000000000005</v>
      </c>
      <c r="L2591" s="19">
        <v>0.55156249999999996</v>
      </c>
      <c r="M2591" s="19">
        <v>0.60389999999999999</v>
      </c>
      <c r="N2591" s="19">
        <v>0.51190000000000002</v>
      </c>
      <c r="O2591" s="19">
        <v>0.47620000000000001</v>
      </c>
      <c r="P2591" s="19">
        <v>0.7</v>
      </c>
      <c r="Q2591" s="19"/>
      <c r="R2591" s="20">
        <v>31845</v>
      </c>
      <c r="S2591" s="33" t="str">
        <f>HYPERLINK("https://www.wcu.edu/apply/financial-aid/facts-and-resources/npcalc.htm", "$22365")</f>
        <v>$22365</v>
      </c>
      <c r="T2591" s="20">
        <v>27500</v>
      </c>
      <c r="U2591" s="20">
        <v>29996</v>
      </c>
      <c r="V2591" s="20">
        <v>5002</v>
      </c>
      <c r="W2591" s="20">
        <v>17363.25566343042</v>
      </c>
      <c r="Y2591" s="19">
        <v>0.38440000000000002</v>
      </c>
      <c r="Z2591" s="19">
        <v>0.21279999999999999</v>
      </c>
      <c r="AB2591" s="18">
        <v>9234</v>
      </c>
      <c r="AC2591" s="18">
        <v>4</v>
      </c>
    </row>
    <row r="2592" spans="1:29" ht="15.75" customHeight="1" x14ac:dyDescent="0.2">
      <c r="A2592" s="17" t="str">
        <f>HYPERLINK("https://www.wcsu.edu", "Western Connecticut State University")</f>
        <v>Western Connecticut State University</v>
      </c>
      <c r="B2592" s="18" t="s">
        <v>49</v>
      </c>
      <c r="C2592" s="18" t="s">
        <v>94</v>
      </c>
      <c r="D2592" s="18" t="s">
        <v>1405</v>
      </c>
      <c r="E2592" s="18" t="s">
        <v>36</v>
      </c>
      <c r="F2592" s="18" t="s">
        <v>90</v>
      </c>
      <c r="J2592" s="19"/>
      <c r="K2592" s="19">
        <v>0.43890000000000001</v>
      </c>
      <c r="L2592" s="19">
        <v>0.46130952400000003</v>
      </c>
      <c r="M2592" s="19">
        <v>0.4597</v>
      </c>
      <c r="N2592" s="19">
        <v>0.33329999999999999</v>
      </c>
      <c r="O2592" s="19">
        <v>0.3876</v>
      </c>
      <c r="P2592" s="19">
        <v>0.61109999999999998</v>
      </c>
      <c r="Q2592" s="19"/>
      <c r="R2592" s="20">
        <v>40636</v>
      </c>
      <c r="S2592" s="33" t="str">
        <f>HYPERLINK("https://www.wcsu.edu/admissions/netprice.asp", "$33149")</f>
        <v>$33149</v>
      </c>
      <c r="T2592" s="20">
        <v>34895</v>
      </c>
      <c r="U2592" s="20">
        <v>39002</v>
      </c>
      <c r="V2592" s="20">
        <v>5112</v>
      </c>
      <c r="W2592" s="20">
        <v>28037.57777777778</v>
      </c>
      <c r="Y2592" s="19">
        <v>0.35920000000000002</v>
      </c>
      <c r="Z2592" s="19">
        <v>0.38829999999999998</v>
      </c>
      <c r="AB2592" s="18">
        <v>4890</v>
      </c>
      <c r="AC2592" s="18">
        <v>4</v>
      </c>
    </row>
    <row r="2593" spans="1:29" ht="15.75" customHeight="1" x14ac:dyDescent="0.2">
      <c r="A2593" s="17" t="str">
        <f>HYPERLINK("https://www.wdt.edu", "Western Dakota Technical Institute")</f>
        <v>Western Dakota Technical Institute</v>
      </c>
      <c r="B2593" s="18" t="s">
        <v>49</v>
      </c>
      <c r="C2593" s="18" t="s">
        <v>302</v>
      </c>
      <c r="D2593" s="18" t="s">
        <v>480</v>
      </c>
      <c r="E2593" s="18" t="s">
        <v>36</v>
      </c>
      <c r="F2593" s="18" t="s">
        <v>36</v>
      </c>
      <c r="J2593" s="19"/>
      <c r="K2593" s="19">
        <v>0.30709999999999998</v>
      </c>
      <c r="L2593" s="19">
        <v>0.238227147</v>
      </c>
      <c r="M2593" s="19">
        <v>0.36840000000000001</v>
      </c>
      <c r="N2593" s="19">
        <v>0.5</v>
      </c>
      <c r="O2593" s="19">
        <v>0.22220000000000001</v>
      </c>
      <c r="P2593" s="19" t="s">
        <v>36</v>
      </c>
      <c r="Q2593" s="19">
        <v>3.125E-2</v>
      </c>
      <c r="R2593" s="20">
        <v>23060</v>
      </c>
      <c r="S2593" s="33" t="str">
        <f>HYPERLINK("https://www.wdt.edu/NetPriceCalculator/npcalc.htm", "$17976")</f>
        <v>$17976</v>
      </c>
      <c r="T2593" s="20">
        <v>21099</v>
      </c>
      <c r="U2593" s="20">
        <v>22840</v>
      </c>
      <c r="V2593" s="20">
        <v>6200</v>
      </c>
      <c r="W2593" s="20">
        <v>11776.241379310341</v>
      </c>
      <c r="Y2593" s="19">
        <v>0.47660000000000002</v>
      </c>
      <c r="Z2593" s="19">
        <v>0.25869999999999999</v>
      </c>
      <c r="AB2593" s="18">
        <v>831</v>
      </c>
      <c r="AC2593" s="18">
        <v>6</v>
      </c>
    </row>
    <row r="2594" spans="1:29" ht="15.75" customHeight="1" x14ac:dyDescent="0.2">
      <c r="A2594" s="17" t="str">
        <f>HYPERLINK("https://www.wiu.edu", "Western Illinois University")</f>
        <v>Western Illinois University</v>
      </c>
      <c r="B2594" s="18" t="s">
        <v>49</v>
      </c>
      <c r="C2594" s="18" t="s">
        <v>137</v>
      </c>
      <c r="D2594" s="18" t="s">
        <v>1407</v>
      </c>
      <c r="E2594" s="18">
        <v>1045</v>
      </c>
      <c r="F2594" s="18" t="s">
        <v>35</v>
      </c>
      <c r="J2594" s="19"/>
      <c r="K2594" s="19">
        <v>0.50449999999999995</v>
      </c>
      <c r="L2594" s="19">
        <v>0.52702702700000004</v>
      </c>
      <c r="M2594" s="19">
        <v>0.57620000000000005</v>
      </c>
      <c r="N2594" s="19">
        <v>0.35980000000000001</v>
      </c>
      <c r="O2594" s="19">
        <v>0.46879999999999999</v>
      </c>
      <c r="P2594" s="19">
        <v>0.36359999999999998</v>
      </c>
      <c r="Q2594" s="19"/>
      <c r="R2594" s="20">
        <v>25835</v>
      </c>
      <c r="S2594" s="33" t="str">
        <f>HYPERLINK("https://www.wiu.edu/student_services/financial_aid/netPriceCalculator.php", "$14362")</f>
        <v>$14362</v>
      </c>
      <c r="T2594" s="20">
        <v>18151</v>
      </c>
      <c r="U2594" s="20">
        <v>20948</v>
      </c>
      <c r="V2594" s="20">
        <v>3308</v>
      </c>
      <c r="W2594" s="20">
        <v>11054.115898959881</v>
      </c>
      <c r="Y2594" s="19">
        <v>0.48449999999999999</v>
      </c>
      <c r="Z2594" s="19">
        <v>0.4103</v>
      </c>
      <c r="AB2594" s="18">
        <v>7599</v>
      </c>
      <c r="AC2594" s="18">
        <v>4</v>
      </c>
    </row>
    <row r="2595" spans="1:29" ht="15.75" customHeight="1" x14ac:dyDescent="0.2">
      <c r="A2595" s="17" t="str">
        <f>HYPERLINK("https://www.wku.edu", "Western Kentucky University")</f>
        <v>Western Kentucky University</v>
      </c>
      <c r="B2595" s="18" t="s">
        <v>49</v>
      </c>
      <c r="C2595" s="18" t="s">
        <v>205</v>
      </c>
      <c r="D2595" s="18" t="s">
        <v>585</v>
      </c>
      <c r="E2595" s="18">
        <v>1136</v>
      </c>
      <c r="F2595" s="18" t="s">
        <v>35</v>
      </c>
      <c r="J2595" s="19"/>
      <c r="K2595" s="19">
        <v>0.43120000000000003</v>
      </c>
      <c r="L2595" s="19">
        <v>0.29215786799999999</v>
      </c>
      <c r="M2595" s="19">
        <v>0.48509999999999998</v>
      </c>
      <c r="N2595" s="19">
        <v>0.20080000000000001</v>
      </c>
      <c r="O2595" s="19">
        <v>0.3654</v>
      </c>
      <c r="P2595" s="19">
        <v>0.51519999999999999</v>
      </c>
      <c r="Q2595" s="19"/>
      <c r="R2595" s="20">
        <v>36806</v>
      </c>
      <c r="S2595" s="33" t="str">
        <f>HYPERLINK("https://www.wku.edu/financialaid/costinfo/calculator.php", "$29604")</f>
        <v>$29604</v>
      </c>
      <c r="T2595" s="20">
        <v>32301</v>
      </c>
      <c r="U2595" s="20">
        <v>33954</v>
      </c>
      <c r="V2595" s="20">
        <v>2944</v>
      </c>
      <c r="W2595" s="20">
        <v>26660.17530864197</v>
      </c>
      <c r="Y2595" s="19">
        <v>0.30580000000000002</v>
      </c>
      <c r="Z2595" s="19">
        <v>0.22770000000000001</v>
      </c>
      <c r="AB2595" s="18">
        <v>14529</v>
      </c>
      <c r="AC2595" s="18">
        <v>5</v>
      </c>
    </row>
    <row r="2596" spans="1:29" ht="15.75" customHeight="1" x14ac:dyDescent="0.2">
      <c r="A2596" s="17" t="str">
        <f>HYPERLINK("https://wmich.edu/", "Western Michigan University")</f>
        <v>Western Michigan University</v>
      </c>
      <c r="B2596" s="18" t="s">
        <v>49</v>
      </c>
      <c r="C2596" s="18" t="s">
        <v>226</v>
      </c>
      <c r="D2596" s="18" t="s">
        <v>227</v>
      </c>
      <c r="E2596" s="18">
        <v>1103</v>
      </c>
      <c r="F2596" s="18" t="s">
        <v>35</v>
      </c>
      <c r="J2596" s="19"/>
      <c r="K2596" s="19">
        <v>0.50819999999999999</v>
      </c>
      <c r="L2596" s="19">
        <v>0.49893390199999998</v>
      </c>
      <c r="M2596" s="19">
        <v>0.55379999999999996</v>
      </c>
      <c r="N2596" s="19">
        <v>0.31719999999999998</v>
      </c>
      <c r="O2596" s="19">
        <v>0.45069999999999999</v>
      </c>
      <c r="P2596" s="19">
        <v>0.46939999999999998</v>
      </c>
      <c r="Q2596" s="19"/>
      <c r="R2596" s="20">
        <v>27895</v>
      </c>
      <c r="S2596" s="33" t="str">
        <f>HYPERLINK("https://wmich.edu/finaid/NetPriceCalculator/npcalc.htm", "$16046")</f>
        <v>$16046</v>
      </c>
      <c r="T2596" s="20">
        <v>21489</v>
      </c>
      <c r="U2596" s="20">
        <v>24263</v>
      </c>
      <c r="V2596" s="20">
        <v>3348</v>
      </c>
      <c r="W2596" s="20">
        <v>12698.39627659574</v>
      </c>
      <c r="Y2596" s="19">
        <v>0.33379999999999999</v>
      </c>
      <c r="Z2596" s="19">
        <v>0.29380000000000001</v>
      </c>
      <c r="AB2596" s="18">
        <v>17704</v>
      </c>
      <c r="AC2596" s="18">
        <v>4</v>
      </c>
    </row>
    <row r="2597" spans="1:29" ht="15.75" customHeight="1" x14ac:dyDescent="0.2">
      <c r="A2597" s="17" t="str">
        <f>HYPERLINK("https://www.wncc.edu", "Western Nebraska Community College")</f>
        <v>Western Nebraska Community College</v>
      </c>
      <c r="B2597" s="18" t="s">
        <v>49</v>
      </c>
      <c r="C2597" s="18" t="s">
        <v>341</v>
      </c>
      <c r="D2597" s="18" t="s">
        <v>1764</v>
      </c>
      <c r="E2597" s="18" t="s">
        <v>36</v>
      </c>
      <c r="F2597" s="18" t="s">
        <v>36</v>
      </c>
      <c r="J2597" s="19"/>
      <c r="K2597" s="19">
        <v>0.3095</v>
      </c>
      <c r="L2597" s="19">
        <v>0.17179487199999999</v>
      </c>
      <c r="M2597" s="19">
        <v>0.34420000000000001</v>
      </c>
      <c r="N2597" s="19">
        <v>0.42859999999999998</v>
      </c>
      <c r="O2597" s="19">
        <v>0.1875</v>
      </c>
      <c r="P2597" s="19" t="s">
        <v>36</v>
      </c>
      <c r="Q2597" s="19">
        <v>5.9701493000000001E-2</v>
      </c>
      <c r="R2597" s="20">
        <v>14439</v>
      </c>
      <c r="S2597" s="33" t="str">
        <f>HYPERLINK("https://www.wncc.edu/cost-aid/net-price-calculator", "$7234")</f>
        <v>$7234</v>
      </c>
      <c r="T2597" s="20">
        <v>8732</v>
      </c>
      <c r="U2597" s="20">
        <v>11668</v>
      </c>
      <c r="V2597" s="20">
        <v>4917</v>
      </c>
      <c r="W2597" s="20">
        <v>2317.5</v>
      </c>
      <c r="Y2597" s="19">
        <v>0.27339999999999998</v>
      </c>
      <c r="Z2597" s="19">
        <v>0.38700000000000001</v>
      </c>
      <c r="AB2597" s="18">
        <v>1186</v>
      </c>
      <c r="AC2597" s="18">
        <v>6</v>
      </c>
    </row>
    <row r="2598" spans="1:29" ht="15.75" customHeight="1" x14ac:dyDescent="0.2">
      <c r="A2598" s="17" t="str">
        <f>HYPERLINK("https://www.wnc.edu", "Western Nevada College")</f>
        <v>Western Nevada College</v>
      </c>
      <c r="B2598" s="18" t="s">
        <v>49</v>
      </c>
      <c r="C2598" s="18" t="s">
        <v>476</v>
      </c>
      <c r="D2598" s="18" t="s">
        <v>1765</v>
      </c>
      <c r="E2598" s="18" t="s">
        <v>36</v>
      </c>
      <c r="F2598" s="18" t="s">
        <v>36</v>
      </c>
      <c r="J2598" s="19"/>
      <c r="K2598" s="19">
        <v>0.25</v>
      </c>
      <c r="L2598" s="19">
        <v>0.11576626199999999</v>
      </c>
      <c r="M2598" s="19">
        <v>0.26379999999999998</v>
      </c>
      <c r="N2598" s="19">
        <v>0</v>
      </c>
      <c r="O2598" s="19">
        <v>0.2429</v>
      </c>
      <c r="P2598" s="19">
        <v>0</v>
      </c>
      <c r="Q2598" s="19">
        <v>6.9044005999999991E-2</v>
      </c>
      <c r="R2598" s="20">
        <v>25403</v>
      </c>
      <c r="S2598" s="33" t="str">
        <f>HYPERLINK("https://www.wnc.edu/NetPriceCalculator/npcalc.htm", "$20685")</f>
        <v>$20685</v>
      </c>
      <c r="T2598" s="20">
        <v>23187</v>
      </c>
      <c r="U2598" s="20">
        <v>25403</v>
      </c>
      <c r="V2598" s="20">
        <v>6360</v>
      </c>
      <c r="W2598" s="20">
        <v>14325.310344827591</v>
      </c>
      <c r="Y2598" s="19">
        <v>0.31440000000000001</v>
      </c>
      <c r="Z2598" s="19">
        <v>0.39770000000000011</v>
      </c>
      <c r="AB2598" s="18">
        <v>3000</v>
      </c>
      <c r="AC2598" s="18">
        <v>6</v>
      </c>
    </row>
    <row r="2599" spans="1:29" ht="15.75" customHeight="1" x14ac:dyDescent="0.2">
      <c r="A2599" s="17" t="str">
        <f>HYPERLINK("https://www1.wne.edu", "Western New England University")</f>
        <v>Western New England University</v>
      </c>
      <c r="B2599" s="18" t="s">
        <v>32</v>
      </c>
      <c r="C2599" s="18" t="s">
        <v>33</v>
      </c>
      <c r="D2599" s="18" t="s">
        <v>349</v>
      </c>
      <c r="E2599" s="18">
        <v>1096</v>
      </c>
      <c r="F2599" s="18" t="s">
        <v>115</v>
      </c>
      <c r="J2599" s="19"/>
      <c r="K2599" s="19">
        <v>0.59200000000000008</v>
      </c>
      <c r="L2599" s="19">
        <v>0.468468469</v>
      </c>
      <c r="M2599" s="19">
        <v>0.61550000000000005</v>
      </c>
      <c r="N2599" s="19">
        <v>0.5</v>
      </c>
      <c r="O2599" s="19">
        <v>0.52380000000000004</v>
      </c>
      <c r="P2599" s="19">
        <v>0.59089999999999998</v>
      </c>
      <c r="Q2599" s="19"/>
      <c r="R2599" s="20">
        <v>52547</v>
      </c>
      <c r="S2599" s="33" t="str">
        <f>HYPERLINK("https://www1.wne.edu/student-administrative-services/billing-and-finances/finance-calculator.cfm", "$24895")</f>
        <v>$24895</v>
      </c>
      <c r="T2599" s="20">
        <v>27368</v>
      </c>
      <c r="U2599" s="20">
        <v>29623</v>
      </c>
      <c r="V2599" s="20">
        <v>3365</v>
      </c>
      <c r="W2599" s="20">
        <v>21530</v>
      </c>
      <c r="Y2599" s="19">
        <v>0.2621</v>
      </c>
      <c r="Z2599" s="19">
        <v>0.26479999999999998</v>
      </c>
      <c r="AB2599" s="18">
        <v>2723</v>
      </c>
      <c r="AC2599" s="18">
        <v>4</v>
      </c>
    </row>
    <row r="2600" spans="1:29" ht="15.75" customHeight="1" x14ac:dyDescent="0.2">
      <c r="A2600" s="17" t="str">
        <f>HYPERLINK("https://www.wnmu.edu", "Western New Mexico University")</f>
        <v>Western New Mexico University</v>
      </c>
      <c r="B2600" s="18" t="s">
        <v>49</v>
      </c>
      <c r="C2600" s="18" t="s">
        <v>234</v>
      </c>
      <c r="D2600" s="18" t="s">
        <v>937</v>
      </c>
      <c r="E2600" s="18" t="s">
        <v>36</v>
      </c>
      <c r="F2600" s="18" t="s">
        <v>36</v>
      </c>
      <c r="J2600" s="19"/>
      <c r="K2600" s="19">
        <v>0.26650000000000001</v>
      </c>
      <c r="L2600" s="19">
        <v>0.227083333</v>
      </c>
      <c r="M2600" s="19">
        <v>0.38100000000000001</v>
      </c>
      <c r="N2600" s="19">
        <v>0</v>
      </c>
      <c r="O2600" s="19">
        <v>0.21990000000000001</v>
      </c>
      <c r="P2600" s="19" t="s">
        <v>36</v>
      </c>
      <c r="Q2600" s="19"/>
      <c r="R2600" s="20">
        <v>29927</v>
      </c>
      <c r="S2600" s="33" t="str">
        <f>HYPERLINK("https://www.wnmu.edu/univ/consumerinfo/", "$23712")</f>
        <v>$23712</v>
      </c>
      <c r="T2600" s="20" t="s">
        <v>36</v>
      </c>
      <c r="U2600" s="20">
        <v>27157</v>
      </c>
      <c r="V2600" s="20">
        <v>5888</v>
      </c>
      <c r="W2600" s="20">
        <v>17824.726027397261</v>
      </c>
      <c r="Y2600" s="19">
        <v>0.42430000000000001</v>
      </c>
      <c r="Z2600" s="19">
        <v>0.72130000000000005</v>
      </c>
      <c r="AB2600" s="18">
        <v>1762</v>
      </c>
      <c r="AC2600" s="18">
        <v>5</v>
      </c>
    </row>
    <row r="2601" spans="1:29" ht="15.75" customHeight="1" x14ac:dyDescent="0.2">
      <c r="A2601" s="17" t="str">
        <f>HYPERLINK("https://www.wosc.edu", "Western Oklahoma State College")</f>
        <v>Western Oklahoma State College</v>
      </c>
      <c r="B2601" s="18" t="s">
        <v>49</v>
      </c>
      <c r="C2601" s="18" t="s">
        <v>290</v>
      </c>
      <c r="D2601" s="18" t="s">
        <v>1766</v>
      </c>
      <c r="E2601" s="18" t="s">
        <v>36</v>
      </c>
      <c r="F2601" s="18" t="s">
        <v>36</v>
      </c>
      <c r="J2601" s="19"/>
      <c r="K2601" s="19">
        <v>0.24790000000000001</v>
      </c>
      <c r="L2601" s="19">
        <v>0.162844037</v>
      </c>
      <c r="M2601" s="19">
        <v>0.2316</v>
      </c>
      <c r="N2601" s="19">
        <v>0.25</v>
      </c>
      <c r="O2601" s="19">
        <v>0.2069</v>
      </c>
      <c r="P2601" s="19">
        <v>0</v>
      </c>
      <c r="Q2601" s="19">
        <v>6.8912711000000001E-2</v>
      </c>
      <c r="R2601" s="20">
        <v>20987</v>
      </c>
      <c r="S2601" s="33" t="str">
        <f>HYPERLINK("https://www.wosc.edu/index.php?page=netpricecalc", "$13403")</f>
        <v>$13403</v>
      </c>
      <c r="T2601" s="20">
        <v>16024</v>
      </c>
      <c r="U2601" s="20">
        <v>16337</v>
      </c>
      <c r="V2601" s="20">
        <v>5900</v>
      </c>
      <c r="W2601" s="20">
        <v>7503.8673469387759</v>
      </c>
      <c r="Y2601" s="19">
        <v>0.4083</v>
      </c>
      <c r="Z2601" s="19">
        <v>0.51700000000000002</v>
      </c>
      <c r="AB2601" s="18">
        <v>1087</v>
      </c>
      <c r="AC2601" s="18">
        <v>6</v>
      </c>
    </row>
    <row r="2602" spans="1:29" ht="15.75" customHeight="1" x14ac:dyDescent="0.2">
      <c r="A2602" s="17" t="str">
        <f>HYPERLINK("https://www.wou.edu", "Western Oregon University")</f>
        <v>Western Oregon University</v>
      </c>
      <c r="B2602" s="18" t="s">
        <v>49</v>
      </c>
      <c r="C2602" s="18" t="s">
        <v>143</v>
      </c>
      <c r="D2602" s="18" t="s">
        <v>984</v>
      </c>
      <c r="E2602" s="18" t="s">
        <v>36</v>
      </c>
      <c r="F2602" s="18" t="s">
        <v>45</v>
      </c>
      <c r="J2602" s="19"/>
      <c r="K2602" s="19">
        <v>0.43509999999999999</v>
      </c>
      <c r="L2602" s="19">
        <v>0.36799999999999999</v>
      </c>
      <c r="M2602" s="19">
        <v>0.43149999999999999</v>
      </c>
      <c r="N2602" s="19">
        <v>0.3125</v>
      </c>
      <c r="O2602" s="19">
        <v>0.53029999999999999</v>
      </c>
      <c r="P2602" s="19">
        <v>0.44440000000000002</v>
      </c>
      <c r="Q2602" s="19"/>
      <c r="R2602" s="20">
        <v>39564</v>
      </c>
      <c r="S2602" s="33" t="str">
        <f>HYPERLINK("https://wou.edu/student/finaid/tuition_fees/net_price_calculator.php", "$29962")</f>
        <v>$29962</v>
      </c>
      <c r="T2602" s="20">
        <v>33868</v>
      </c>
      <c r="U2602" s="20">
        <v>37742</v>
      </c>
      <c r="V2602" s="20">
        <v>3708</v>
      </c>
      <c r="W2602" s="20">
        <v>26254.511111111111</v>
      </c>
      <c r="Y2602" s="19">
        <v>0.435</v>
      </c>
      <c r="Z2602" s="19">
        <v>0.39410000000000001</v>
      </c>
      <c r="AB2602" s="18">
        <v>4747</v>
      </c>
      <c r="AC2602" s="18">
        <v>4</v>
      </c>
    </row>
    <row r="2603" spans="1:29" ht="15.75" customHeight="1" x14ac:dyDescent="0.2">
      <c r="A2603" s="17" t="str">
        <f>HYPERLINK("https://www.wpcc.edu", "Western Piedmont Community College")</f>
        <v>Western Piedmont Community College</v>
      </c>
      <c r="B2603" s="18" t="s">
        <v>49</v>
      </c>
      <c r="C2603" s="18" t="s">
        <v>103</v>
      </c>
      <c r="D2603" s="18" t="s">
        <v>1767</v>
      </c>
      <c r="E2603" s="18" t="s">
        <v>36</v>
      </c>
      <c r="F2603" s="18" t="s">
        <v>36</v>
      </c>
      <c r="J2603" s="19"/>
      <c r="K2603" s="19">
        <v>0.28949999999999998</v>
      </c>
      <c r="L2603" s="19">
        <v>8.5450345999999996E-2</v>
      </c>
      <c r="M2603" s="19">
        <v>0.28810000000000002</v>
      </c>
      <c r="N2603" s="19">
        <v>0.28570000000000001</v>
      </c>
      <c r="O2603" s="19">
        <v>0.2</v>
      </c>
      <c r="P2603" s="19">
        <v>0.36359999999999998</v>
      </c>
      <c r="Q2603" s="19">
        <v>7.5885329000000001E-2</v>
      </c>
      <c r="R2603" s="20">
        <v>21478</v>
      </c>
      <c r="S2603" s="33" t="str">
        <f>HYPERLINK("https://www.wpcc.edu/financial-aid/net-price-calculator", "$15853")</f>
        <v>$15853</v>
      </c>
      <c r="T2603" s="20">
        <v>16321</v>
      </c>
      <c r="U2603" s="20">
        <v>19146</v>
      </c>
      <c r="V2603" s="20">
        <v>5855</v>
      </c>
      <c r="W2603" s="20">
        <v>9998.6226415094352</v>
      </c>
      <c r="Y2603" s="19">
        <v>0.45779999999999998</v>
      </c>
      <c r="Z2603" s="19">
        <v>0.24149999999999999</v>
      </c>
      <c r="AB2603" s="18">
        <v>1420</v>
      </c>
      <c r="AC2603" s="18">
        <v>6</v>
      </c>
    </row>
    <row r="2604" spans="1:29" ht="15.75" customHeight="1" x14ac:dyDescent="0.2">
      <c r="A2604" s="17" t="str">
        <f>HYPERLINK("https://www.western.edu", "Western State Colorado University")</f>
        <v>Western State Colorado University</v>
      </c>
      <c r="B2604" s="18" t="s">
        <v>49</v>
      </c>
      <c r="C2604" s="18" t="s">
        <v>87</v>
      </c>
      <c r="D2604" s="18" t="s">
        <v>1409</v>
      </c>
      <c r="E2604" s="18">
        <v>1120</v>
      </c>
      <c r="F2604" s="18" t="s">
        <v>35</v>
      </c>
      <c r="J2604" s="19"/>
      <c r="K2604" s="19">
        <v>0.40970000000000001</v>
      </c>
      <c r="L2604" s="19">
        <v>0.30909090900000002</v>
      </c>
      <c r="M2604" s="19">
        <v>0.43669999999999998</v>
      </c>
      <c r="N2604" s="19">
        <v>0.2</v>
      </c>
      <c r="O2604" s="19">
        <v>0.31819999999999998</v>
      </c>
      <c r="P2604" s="19">
        <v>0.66669999999999996</v>
      </c>
      <c r="Q2604" s="19"/>
      <c r="R2604" s="20">
        <v>35144</v>
      </c>
      <c r="S2604" s="33" t="str">
        <f>HYPERLINK("https://www.western.edu/financial-aid/net-price-calculator", "$26331")</f>
        <v>$26331</v>
      </c>
      <c r="T2604" s="20">
        <v>30683</v>
      </c>
      <c r="U2604" s="20">
        <v>31640</v>
      </c>
      <c r="V2604" s="20">
        <v>4324</v>
      </c>
      <c r="W2604" s="20">
        <v>22007</v>
      </c>
      <c r="Y2604" s="19">
        <v>0.2326</v>
      </c>
      <c r="Z2604" s="19">
        <v>0.29120000000000001</v>
      </c>
      <c r="AB2604" s="18">
        <v>1899</v>
      </c>
      <c r="AC2604" s="18">
        <v>4</v>
      </c>
    </row>
    <row r="2605" spans="1:29" ht="15.75" customHeight="1" x14ac:dyDescent="0.2">
      <c r="A2605" s="17" t="str">
        <f>HYPERLINK("https://www.westerntech.edu", "Western Technical College")</f>
        <v>Western Technical College</v>
      </c>
      <c r="B2605" s="18" t="s">
        <v>368</v>
      </c>
      <c r="C2605" s="18" t="s">
        <v>146</v>
      </c>
      <c r="D2605" s="18" t="s">
        <v>869</v>
      </c>
      <c r="E2605" s="18" t="s">
        <v>36</v>
      </c>
      <c r="F2605" s="18" t="s">
        <v>36</v>
      </c>
      <c r="J2605" s="19"/>
      <c r="K2605" s="19">
        <v>0.70099999999999996</v>
      </c>
      <c r="L2605" s="19">
        <v>0.70238095200000006</v>
      </c>
      <c r="M2605" s="19">
        <v>0.625</v>
      </c>
      <c r="N2605" s="19">
        <v>0.66669999999999996</v>
      </c>
      <c r="O2605" s="19">
        <v>0.71430000000000005</v>
      </c>
      <c r="P2605" s="19">
        <v>0</v>
      </c>
      <c r="Q2605" s="19">
        <v>8.2236840000000002E-3</v>
      </c>
      <c r="R2605" s="20" t="s">
        <v>36</v>
      </c>
      <c r="S2605" s="33" t="str">
        <f>HYPERLINK("https://www.westerntech.edu/NetPrice/", "$24393")</f>
        <v>$24393</v>
      </c>
      <c r="T2605" s="20">
        <v>28709</v>
      </c>
      <c r="U2605" s="20" t="s">
        <v>36</v>
      </c>
      <c r="V2605" s="20" t="s">
        <v>36</v>
      </c>
      <c r="W2605" s="20" t="s">
        <v>36</v>
      </c>
      <c r="Y2605" s="19">
        <v>0.75229999999999997</v>
      </c>
      <c r="Z2605" s="19">
        <v>0.83879999999999999</v>
      </c>
      <c r="AB2605" s="18">
        <v>1042</v>
      </c>
      <c r="AC2605" s="18">
        <v>6</v>
      </c>
    </row>
    <row r="2606" spans="1:29" ht="15.75" customHeight="1" x14ac:dyDescent="0.2">
      <c r="A2606" s="17" t="str">
        <f>HYPERLINK("https://www.wtc.edu", "Western Texas College")</f>
        <v>Western Texas College</v>
      </c>
      <c r="B2606" s="18" t="s">
        <v>49</v>
      </c>
      <c r="C2606" s="18" t="s">
        <v>146</v>
      </c>
      <c r="D2606" s="18" t="s">
        <v>1768</v>
      </c>
      <c r="E2606" s="18" t="s">
        <v>36</v>
      </c>
      <c r="F2606" s="18" t="s">
        <v>36</v>
      </c>
      <c r="J2606" s="19"/>
      <c r="K2606" s="19">
        <v>0.3906</v>
      </c>
      <c r="L2606" s="19">
        <v>0.15625</v>
      </c>
      <c r="M2606" s="19">
        <v>0.42859999999999998</v>
      </c>
      <c r="N2606" s="19">
        <v>0.30430000000000001</v>
      </c>
      <c r="O2606" s="19">
        <v>0.34449999999999997</v>
      </c>
      <c r="P2606" s="19">
        <v>1</v>
      </c>
      <c r="Q2606" s="19">
        <v>0.12742382299999999</v>
      </c>
      <c r="R2606" s="20">
        <v>15067</v>
      </c>
      <c r="S2606" s="33" t="str">
        <f>HYPERLINK("https://my.wtc.edu/ICS/Financial_Aid/Default_Page.jnz?portlet=Net_Price_Calculator", "$7499")</f>
        <v>$7499</v>
      </c>
      <c r="T2606" s="20">
        <v>9218</v>
      </c>
      <c r="U2606" s="20">
        <v>11424</v>
      </c>
      <c r="V2606" s="20">
        <v>4763</v>
      </c>
      <c r="W2606" s="20">
        <v>2736.052631578948</v>
      </c>
      <c r="Y2606" s="19">
        <v>0.13869999999999999</v>
      </c>
      <c r="Z2606" s="19">
        <v>0.58079999999999998</v>
      </c>
      <c r="AB2606" s="18">
        <v>804</v>
      </c>
      <c r="AC2606" s="18">
        <v>6</v>
      </c>
    </row>
    <row r="2607" spans="1:29" ht="15.75" customHeight="1" x14ac:dyDescent="0.2">
      <c r="A2607" s="17" t="str">
        <f>HYPERLINK("https://www.wwu.edu", "Western Washington University")</f>
        <v>Western Washington University</v>
      </c>
      <c r="B2607" s="18" t="s">
        <v>49</v>
      </c>
      <c r="C2607" s="18" t="s">
        <v>184</v>
      </c>
      <c r="D2607" s="18" t="s">
        <v>538</v>
      </c>
      <c r="E2607" s="18">
        <v>1190</v>
      </c>
      <c r="F2607" s="18" t="s">
        <v>35</v>
      </c>
      <c r="J2607" s="19"/>
      <c r="K2607" s="19">
        <v>0.69040000000000001</v>
      </c>
      <c r="L2607" s="19">
        <v>0.62041884800000002</v>
      </c>
      <c r="M2607" s="19">
        <v>0.69550000000000001</v>
      </c>
      <c r="N2607" s="19">
        <v>0.62070000000000003</v>
      </c>
      <c r="O2607" s="19">
        <v>0.66849999999999998</v>
      </c>
      <c r="P2607" s="19">
        <v>0.72040000000000004</v>
      </c>
      <c r="Q2607" s="19"/>
      <c r="R2607" s="20">
        <v>38067</v>
      </c>
      <c r="S2607" s="33" t="str">
        <f>HYPERLINK("https://admissions.wwu.edu/financial-aid/net-price-calculator", "$25607")</f>
        <v>$25607</v>
      </c>
      <c r="T2607" s="20">
        <v>31035</v>
      </c>
      <c r="U2607" s="20">
        <v>36186</v>
      </c>
      <c r="V2607" s="20">
        <v>4401</v>
      </c>
      <c r="W2607" s="20">
        <v>21206.968523002419</v>
      </c>
      <c r="Y2607" s="19">
        <v>0.25230000000000002</v>
      </c>
      <c r="Z2607" s="19">
        <v>0.28460000000000002</v>
      </c>
      <c r="AB2607" s="18">
        <v>14876</v>
      </c>
      <c r="AC2607" s="18">
        <v>3</v>
      </c>
    </row>
    <row r="2608" spans="1:29" ht="15.75" customHeight="1" x14ac:dyDescent="0.2">
      <c r="A2608" s="17" t="str">
        <f>HYPERLINK("https://www.westernwyoming.edu", "Western Wyoming Community College")</f>
        <v>Western Wyoming Community College</v>
      </c>
      <c r="B2608" s="18" t="s">
        <v>49</v>
      </c>
      <c r="C2608" s="18" t="s">
        <v>1086</v>
      </c>
      <c r="D2608" s="18" t="s">
        <v>1769</v>
      </c>
      <c r="E2608" s="18" t="s">
        <v>36</v>
      </c>
      <c r="F2608" s="18" t="s">
        <v>36</v>
      </c>
      <c r="J2608" s="19"/>
      <c r="K2608" s="19">
        <v>0.45279999999999998</v>
      </c>
      <c r="L2608" s="19">
        <v>0.20659340700000001</v>
      </c>
      <c r="M2608" s="19">
        <v>0.435</v>
      </c>
      <c r="N2608" s="19">
        <v>0.8</v>
      </c>
      <c r="O2608" s="19">
        <v>0.53569999999999995</v>
      </c>
      <c r="P2608" s="19">
        <v>0</v>
      </c>
      <c r="Q2608" s="19">
        <v>6.3736264000000001E-2</v>
      </c>
      <c r="R2608" s="20">
        <v>15919</v>
      </c>
      <c r="S2608" s="33" t="str">
        <f>HYPERLINK("https://wwccwy.studentaidcalculator.com/survey.aspx", "$10348")</f>
        <v>$10348</v>
      </c>
      <c r="T2608" s="20">
        <v>13214</v>
      </c>
      <c r="U2608" s="20">
        <v>15919</v>
      </c>
      <c r="V2608" s="20">
        <v>2800</v>
      </c>
      <c r="W2608" s="20">
        <v>7548.0833333333321</v>
      </c>
      <c r="Y2608" s="19">
        <v>0.15240000000000001</v>
      </c>
      <c r="Z2608" s="19">
        <v>0.21970000000000001</v>
      </c>
      <c r="AB2608" s="18">
        <v>2349</v>
      </c>
      <c r="AC2608" s="18">
        <v>6</v>
      </c>
    </row>
    <row r="2609" spans="1:29" ht="15.75" customHeight="1" x14ac:dyDescent="0.2">
      <c r="A2609" s="17" t="str">
        <f>HYPERLINK("https://www.westfield.ma.edu", "Westfield State University")</f>
        <v>Westfield State University</v>
      </c>
      <c r="B2609" s="18" t="s">
        <v>49</v>
      </c>
      <c r="C2609" s="18" t="s">
        <v>33</v>
      </c>
      <c r="D2609" s="18" t="s">
        <v>1410</v>
      </c>
      <c r="E2609" s="18">
        <v>1064</v>
      </c>
      <c r="F2609" s="18" t="s">
        <v>35</v>
      </c>
      <c r="J2609" s="19"/>
      <c r="K2609" s="19">
        <v>0.65039999999999998</v>
      </c>
      <c r="L2609" s="19">
        <v>0.58630952400000003</v>
      </c>
      <c r="M2609" s="19">
        <v>0.66559999999999997</v>
      </c>
      <c r="N2609" s="19">
        <v>0.48149999999999998</v>
      </c>
      <c r="O2609" s="19">
        <v>0.5333</v>
      </c>
      <c r="P2609" s="19">
        <v>0.83330000000000004</v>
      </c>
      <c r="Q2609" s="19"/>
      <c r="R2609" s="20">
        <v>30156</v>
      </c>
      <c r="S2609" s="33" t="str">
        <f>HYPERLINK("https://www.westfield.ma.edu/netprice/", "$20855")</f>
        <v>$20855</v>
      </c>
      <c r="T2609" s="20">
        <v>24184</v>
      </c>
      <c r="U2609" s="20">
        <v>28384</v>
      </c>
      <c r="V2609" s="20">
        <v>3672</v>
      </c>
      <c r="W2609" s="20">
        <v>17183.270142180099</v>
      </c>
      <c r="Y2609" s="19">
        <v>0.30940000000000001</v>
      </c>
      <c r="Z2609" s="19">
        <v>0.254</v>
      </c>
      <c r="AB2609" s="18">
        <v>5375</v>
      </c>
      <c r="AC2609" s="18">
        <v>4</v>
      </c>
    </row>
    <row r="2610" spans="1:29" ht="15.75" customHeight="1" x14ac:dyDescent="0.2">
      <c r="A2610" s="17" t="str">
        <f>HYPERLINK("https://www.wcmo.edu", "Westminster College")</f>
        <v>Westminster College</v>
      </c>
      <c r="B2610" s="18" t="s">
        <v>32</v>
      </c>
      <c r="C2610" s="18" t="s">
        <v>164</v>
      </c>
      <c r="D2610" s="18" t="s">
        <v>539</v>
      </c>
      <c r="E2610" s="18">
        <v>1162</v>
      </c>
      <c r="F2610" s="18" t="s">
        <v>35</v>
      </c>
      <c r="J2610" s="19"/>
      <c r="K2610" s="19">
        <v>0.65080000000000005</v>
      </c>
      <c r="L2610" s="19">
        <v>0.40506329099999999</v>
      </c>
      <c r="M2610" s="19">
        <v>0.60370000000000001</v>
      </c>
      <c r="N2610" s="19">
        <v>0.66669999999999996</v>
      </c>
      <c r="O2610" s="19">
        <v>0.45450000000000002</v>
      </c>
      <c r="P2610" s="19">
        <v>1</v>
      </c>
      <c r="Q2610" s="19"/>
      <c r="R2610" s="20">
        <v>40510</v>
      </c>
      <c r="S2610" s="33" t="str">
        <f>HYPERLINK("https://www.westminster-mo.edu/admissions/finaid/NetPriceCalculator.html", "$18412")</f>
        <v>$18412</v>
      </c>
      <c r="T2610" s="20">
        <v>19935</v>
      </c>
      <c r="U2610" s="20">
        <v>19932</v>
      </c>
      <c r="V2610" s="20">
        <v>4760</v>
      </c>
      <c r="W2610" s="20">
        <v>13652</v>
      </c>
      <c r="Y2610" s="19">
        <v>0.29570000000000002</v>
      </c>
      <c r="Z2610" s="19">
        <v>0.30499999999999999</v>
      </c>
      <c r="AB2610" s="18">
        <v>764</v>
      </c>
      <c r="AC2610" s="18">
        <v>3</v>
      </c>
    </row>
    <row r="2611" spans="1:29" ht="15.75" customHeight="1" x14ac:dyDescent="0.2">
      <c r="A2611" s="17" t="str">
        <f>HYPERLINK("https://www.westminster.edu", "Westminster College")</f>
        <v>Westminster College</v>
      </c>
      <c r="B2611" s="18" t="s">
        <v>32</v>
      </c>
      <c r="C2611" s="18" t="s">
        <v>65</v>
      </c>
      <c r="D2611" s="18" t="s">
        <v>1412</v>
      </c>
      <c r="E2611" s="18">
        <v>1124</v>
      </c>
      <c r="F2611" s="18" t="s">
        <v>35</v>
      </c>
      <c r="J2611" s="19"/>
      <c r="K2611" s="19">
        <v>0.69530000000000003</v>
      </c>
      <c r="L2611" s="19">
        <v>0.65753424700000007</v>
      </c>
      <c r="M2611" s="19">
        <v>0.72789999999999999</v>
      </c>
      <c r="N2611" s="19">
        <v>0.1429</v>
      </c>
      <c r="O2611" s="19">
        <v>0.33329999999999999</v>
      </c>
      <c r="P2611" s="19">
        <v>0.5</v>
      </c>
      <c r="Q2611" s="19"/>
      <c r="R2611" s="20">
        <v>49546</v>
      </c>
      <c r="S2611" s="33" t="str">
        <f>HYPERLINK("https://www.westminster.edu/admissions/financial-aid/101.cfm", "$16973")</f>
        <v>$16973</v>
      </c>
      <c r="T2611" s="20">
        <v>20765</v>
      </c>
      <c r="U2611" s="20">
        <v>23635</v>
      </c>
      <c r="V2611" s="20">
        <v>2250</v>
      </c>
      <c r="W2611" s="20">
        <v>14723</v>
      </c>
      <c r="Y2611" s="19">
        <v>0.33850000000000002</v>
      </c>
      <c r="Z2611" s="19">
        <v>0.29559999999999997</v>
      </c>
      <c r="AB2611" s="18">
        <v>1174</v>
      </c>
      <c r="AC2611" s="18">
        <v>4</v>
      </c>
    </row>
    <row r="2612" spans="1:29" ht="15.75" customHeight="1" x14ac:dyDescent="0.2">
      <c r="A2612" s="17" t="str">
        <f>HYPERLINK("https://www.westminstercollege.edu", "Westminster College")</f>
        <v>Westminster College</v>
      </c>
      <c r="B2612" s="18" t="s">
        <v>32</v>
      </c>
      <c r="C2612" s="18" t="s">
        <v>199</v>
      </c>
      <c r="D2612" s="18" t="s">
        <v>525</v>
      </c>
      <c r="E2612" s="18">
        <v>1187</v>
      </c>
      <c r="F2612" s="18" t="s">
        <v>35</v>
      </c>
      <c r="J2612" s="19"/>
      <c r="K2612" s="19">
        <v>0.61850000000000005</v>
      </c>
      <c r="L2612" s="19">
        <v>0.57692307700000001</v>
      </c>
      <c r="M2612" s="19">
        <v>0.62460000000000004</v>
      </c>
      <c r="N2612" s="19">
        <v>0.5</v>
      </c>
      <c r="O2612" s="19">
        <v>0.61360000000000003</v>
      </c>
      <c r="P2612" s="19">
        <v>0.52629999999999999</v>
      </c>
      <c r="Q2612" s="19"/>
      <c r="R2612" s="20">
        <v>47784</v>
      </c>
      <c r="S2612" s="33" t="str">
        <f>HYPERLINK("https://www.westminstercollege.edu/financial_aid_undergraduate/index.cfm?parent=4210&amp;detail=11942", "$16796")</f>
        <v>$16796</v>
      </c>
      <c r="T2612" s="20">
        <v>20310</v>
      </c>
      <c r="U2612" s="20">
        <v>23047</v>
      </c>
      <c r="V2612" s="20">
        <v>4680</v>
      </c>
      <c r="W2612" s="20">
        <v>12116</v>
      </c>
      <c r="Y2612" s="19">
        <v>0.23599999999999999</v>
      </c>
      <c r="Z2612" s="19">
        <v>0.28820000000000001</v>
      </c>
      <c r="AB2612" s="18">
        <v>2002</v>
      </c>
      <c r="AC2612" s="18">
        <v>3</v>
      </c>
    </row>
    <row r="2613" spans="1:29" ht="15.75" customHeight="1" x14ac:dyDescent="0.2">
      <c r="A2613" s="17" t="str">
        <f>HYPERLINK("https://www.westmont.edu", "Westmont College")</f>
        <v>Westmont College</v>
      </c>
      <c r="B2613" s="18" t="s">
        <v>32</v>
      </c>
      <c r="C2613" s="18" t="s">
        <v>68</v>
      </c>
      <c r="D2613" s="18" t="s">
        <v>275</v>
      </c>
      <c r="E2613" s="18">
        <v>1262</v>
      </c>
      <c r="F2613" s="18" t="s">
        <v>35</v>
      </c>
      <c r="J2613" s="19"/>
      <c r="K2613" s="19">
        <v>0.69789999999999996</v>
      </c>
      <c r="L2613" s="19">
        <v>0.48648648700000002</v>
      </c>
      <c r="M2613" s="19">
        <v>0.71740000000000004</v>
      </c>
      <c r="N2613" s="19">
        <v>0.5</v>
      </c>
      <c r="O2613" s="19">
        <v>0.65790000000000004</v>
      </c>
      <c r="P2613" s="19">
        <v>0.75</v>
      </c>
      <c r="Q2613" s="19"/>
      <c r="R2613" s="20">
        <v>60930</v>
      </c>
      <c r="S2613" s="33" t="str">
        <f>HYPERLINK("https://www.westmont.edu/a/net-price-calculator.html", "$22662")</f>
        <v>$22662</v>
      </c>
      <c r="T2613" s="20">
        <v>25571</v>
      </c>
      <c r="U2613" s="20">
        <v>29594</v>
      </c>
      <c r="V2613" s="20">
        <v>3000</v>
      </c>
      <c r="W2613" s="20">
        <v>19662</v>
      </c>
      <c r="Y2613" s="19">
        <v>0.18720000000000001</v>
      </c>
      <c r="Z2613" s="19">
        <v>0.38290000000000002</v>
      </c>
      <c r="AB2613" s="18">
        <v>1285</v>
      </c>
      <c r="AC2613" s="18">
        <v>2</v>
      </c>
    </row>
    <row r="2614" spans="1:29" ht="15.75" customHeight="1" x14ac:dyDescent="0.2">
      <c r="A2614" s="17" t="str">
        <f>HYPERLINK("https://westmoreland.edu", "Westmoreland County Community College")</f>
        <v>Westmoreland County Community College</v>
      </c>
      <c r="B2614" s="18" t="s">
        <v>49</v>
      </c>
      <c r="C2614" s="18" t="s">
        <v>65</v>
      </c>
      <c r="D2614" s="18" t="s">
        <v>1770</v>
      </c>
      <c r="E2614" s="18" t="s">
        <v>36</v>
      </c>
      <c r="F2614" s="18" t="s">
        <v>36</v>
      </c>
      <c r="J2614" s="19"/>
      <c r="K2614" s="19">
        <v>0.16500000000000001</v>
      </c>
      <c r="L2614" s="19">
        <v>1.2765957E-2</v>
      </c>
      <c r="M2614" s="19">
        <v>0.17749999999999999</v>
      </c>
      <c r="N2614" s="19">
        <v>0</v>
      </c>
      <c r="O2614" s="19">
        <v>7.1400000000000005E-2</v>
      </c>
      <c r="P2614" s="19">
        <v>0.2</v>
      </c>
      <c r="Q2614" s="19">
        <v>0.10430743200000001</v>
      </c>
      <c r="R2614" s="20">
        <v>24610</v>
      </c>
      <c r="S2614" s="33" t="str">
        <f>HYPERLINK("https://westmoreland.edu/netpricecalculator/npcalc.htm", "$19358")</f>
        <v>$19358</v>
      </c>
      <c r="T2614" s="20">
        <v>22443</v>
      </c>
      <c r="U2614" s="20">
        <v>24206</v>
      </c>
      <c r="V2614" s="20">
        <v>4600</v>
      </c>
      <c r="W2614" s="20">
        <v>14758.571428571429</v>
      </c>
      <c r="Y2614" s="19">
        <v>0.3246</v>
      </c>
      <c r="Z2614" s="19">
        <v>0.1065</v>
      </c>
      <c r="AB2614" s="18">
        <v>4047</v>
      </c>
      <c r="AC2614" s="18">
        <v>6</v>
      </c>
    </row>
    <row r="2615" spans="1:29" ht="15.75" customHeight="1" x14ac:dyDescent="0.2">
      <c r="A2615" s="17" t="str">
        <f>HYPERLINK("https://www.wcjc.edu", "Wharton County Junior College")</f>
        <v>Wharton County Junior College</v>
      </c>
      <c r="B2615" s="18" t="s">
        <v>49</v>
      </c>
      <c r="C2615" s="18" t="s">
        <v>146</v>
      </c>
      <c r="D2615" s="18" t="s">
        <v>1771</v>
      </c>
      <c r="E2615" s="18" t="s">
        <v>36</v>
      </c>
      <c r="F2615" s="18" t="s">
        <v>36</v>
      </c>
      <c r="J2615" s="19"/>
      <c r="K2615" s="19">
        <v>0.17080000000000001</v>
      </c>
      <c r="L2615" s="19">
        <v>0.20857473900000001</v>
      </c>
      <c r="M2615" s="19">
        <v>0.2205</v>
      </c>
      <c r="N2615" s="19">
        <v>0.1308</v>
      </c>
      <c r="O2615" s="19">
        <v>0.17580000000000001</v>
      </c>
      <c r="P2615" s="19">
        <v>4.9599999999999998E-2</v>
      </c>
      <c r="Q2615" s="19">
        <v>0.135080645</v>
      </c>
      <c r="R2615" s="20">
        <v>13854</v>
      </c>
      <c r="S2615" s="33" t="str">
        <f>HYPERLINK("https://www.collegeforalltexans.com/apps/CollegeMoney/", "$8001")</f>
        <v>$8001</v>
      </c>
      <c r="T2615" s="20">
        <v>11446</v>
      </c>
      <c r="U2615" s="20">
        <v>13473</v>
      </c>
      <c r="V2615" s="20">
        <v>4210</v>
      </c>
      <c r="W2615" s="20">
        <v>3791.7230769230769</v>
      </c>
      <c r="Y2615" s="19">
        <v>0.22500000000000001</v>
      </c>
      <c r="Z2615" s="19">
        <v>0.69409999999999994</v>
      </c>
      <c r="AB2615" s="18">
        <v>6244</v>
      </c>
      <c r="AC2615" s="18">
        <v>6</v>
      </c>
    </row>
    <row r="2616" spans="1:29" ht="15.75" customHeight="1" x14ac:dyDescent="0.2">
      <c r="A2616" s="17" t="str">
        <f>HYPERLINK("https://whatcom.edu", "Whatcom Community College")</f>
        <v>Whatcom Community College</v>
      </c>
      <c r="B2616" s="18" t="s">
        <v>49</v>
      </c>
      <c r="C2616" s="18" t="s">
        <v>184</v>
      </c>
      <c r="D2616" s="18" t="s">
        <v>538</v>
      </c>
      <c r="E2616" s="18" t="s">
        <v>36</v>
      </c>
      <c r="F2616" s="18" t="s">
        <v>36</v>
      </c>
      <c r="J2616" s="19"/>
      <c r="K2616" s="19">
        <v>0.31</v>
      </c>
      <c r="L2616" s="19">
        <v>0.25353773600000001</v>
      </c>
      <c r="M2616" s="19">
        <v>0.3372</v>
      </c>
      <c r="N2616" s="19">
        <v>0</v>
      </c>
      <c r="O2616" s="19">
        <v>0.23530000000000001</v>
      </c>
      <c r="P2616" s="19">
        <v>0.22220000000000001</v>
      </c>
      <c r="Q2616" s="19">
        <v>0.133167907</v>
      </c>
      <c r="R2616" s="20">
        <v>21818</v>
      </c>
      <c r="S2616" s="33" t="str">
        <f>HYPERLINK("https://mywcc.whatcom.edu/NetPriceCalc/npcalc.htm", "$15093")</f>
        <v>$15093</v>
      </c>
      <c r="T2616" s="20">
        <v>16736</v>
      </c>
      <c r="U2616" s="20">
        <v>19636</v>
      </c>
      <c r="V2616" s="20">
        <v>4230</v>
      </c>
      <c r="W2616" s="20">
        <v>10863.964539007089</v>
      </c>
      <c r="Y2616" s="19">
        <v>0.26450000000000001</v>
      </c>
      <c r="Z2616" s="19">
        <v>0.38240000000000002</v>
      </c>
      <c r="AB2616" s="18">
        <v>2709</v>
      </c>
      <c r="AC2616" s="18">
        <v>6</v>
      </c>
    </row>
    <row r="2617" spans="1:29" ht="15.75" customHeight="1" x14ac:dyDescent="0.2">
      <c r="A2617" s="17" t="str">
        <f>HYPERLINK("https://www.wheaton.edu", "Wheaton College")</f>
        <v>Wheaton College</v>
      </c>
      <c r="B2617" s="18" t="s">
        <v>32</v>
      </c>
      <c r="C2617" s="18" t="s">
        <v>137</v>
      </c>
      <c r="D2617" s="18" t="s">
        <v>299</v>
      </c>
      <c r="E2617" s="18">
        <v>1356</v>
      </c>
      <c r="F2617" s="18" t="s">
        <v>35</v>
      </c>
      <c r="J2617" s="19"/>
      <c r="K2617" s="19">
        <v>0.88929999999999998</v>
      </c>
      <c r="L2617" s="19">
        <v>0.82926829299999993</v>
      </c>
      <c r="M2617" s="19">
        <v>0.89959999999999996</v>
      </c>
      <c r="N2617" s="19">
        <v>0.77780000000000005</v>
      </c>
      <c r="O2617" s="19">
        <v>0.8125</v>
      </c>
      <c r="P2617" s="19">
        <v>0.87270000000000003</v>
      </c>
      <c r="Q2617" s="19"/>
      <c r="R2617" s="20">
        <v>47696</v>
      </c>
      <c r="S2617" s="33" t="str">
        <f>HYPERLINK("https://www.wheaton.edu/admissions-and-aid/cost-and-aid/cost/estimate-your-college-costs/federal-net-price-calculator/", "$16846")</f>
        <v>$16846</v>
      </c>
      <c r="T2617" s="20">
        <v>18474</v>
      </c>
      <c r="U2617" s="20">
        <v>24461</v>
      </c>
      <c r="V2617" s="20">
        <v>2700</v>
      </c>
      <c r="W2617" s="20">
        <v>14146</v>
      </c>
      <c r="Y2617" s="19">
        <v>0.1946</v>
      </c>
      <c r="Z2617" s="19">
        <v>0.25169999999999998</v>
      </c>
      <c r="AB2617" s="18">
        <v>2356</v>
      </c>
      <c r="AC2617" s="18">
        <v>2</v>
      </c>
    </row>
    <row r="2618" spans="1:29" ht="15.75" customHeight="1" x14ac:dyDescent="0.2">
      <c r="A2618" s="17" t="str">
        <f>HYPERLINK("https://www.wheatoncollege.edu", "Wheaton College")</f>
        <v>Wheaton College</v>
      </c>
      <c r="B2618" s="18" t="s">
        <v>32</v>
      </c>
      <c r="C2618" s="18" t="s">
        <v>33</v>
      </c>
      <c r="D2618" s="18" t="s">
        <v>540</v>
      </c>
      <c r="E2618" s="18">
        <v>1270</v>
      </c>
      <c r="F2618" s="18" t="s">
        <v>115</v>
      </c>
      <c r="J2618" s="19"/>
      <c r="K2618" s="19">
        <v>0.78029999999999999</v>
      </c>
      <c r="L2618" s="19">
        <v>0.73076923099999991</v>
      </c>
      <c r="M2618" s="19">
        <v>0.80200000000000005</v>
      </c>
      <c r="N2618" s="19">
        <v>0.6522</v>
      </c>
      <c r="O2618" s="19">
        <v>0.71050000000000002</v>
      </c>
      <c r="P2618" s="19">
        <v>0.78569999999999995</v>
      </c>
      <c r="Q2618" s="19"/>
      <c r="R2618" s="20">
        <v>65818</v>
      </c>
      <c r="S2618" s="33" t="str">
        <f>HYPERLINK("https://npc.collegeboard.org/student/app/wheatoncollege", "$21715")</f>
        <v>$21715</v>
      </c>
      <c r="T2618" s="20">
        <v>23413</v>
      </c>
      <c r="U2618" s="20">
        <v>24461</v>
      </c>
      <c r="V2618" s="20">
        <v>2000</v>
      </c>
      <c r="W2618" s="20">
        <v>19715</v>
      </c>
      <c r="Y2618" s="19">
        <v>0.1923</v>
      </c>
      <c r="Z2618" s="19">
        <v>0.3468</v>
      </c>
      <c r="AB2618" s="18">
        <v>1678</v>
      </c>
      <c r="AC2618" s="18">
        <v>3</v>
      </c>
    </row>
    <row r="2619" spans="1:29" ht="15.75" customHeight="1" x14ac:dyDescent="0.2">
      <c r="A2619" s="17" t="str">
        <f>HYPERLINK("https://www.wju.edu", "Wheeling Jesuit University")</f>
        <v>Wheeling Jesuit University</v>
      </c>
      <c r="B2619" s="18" t="s">
        <v>32</v>
      </c>
      <c r="C2619" s="18" t="s">
        <v>574</v>
      </c>
      <c r="D2619" s="18" t="s">
        <v>1413</v>
      </c>
      <c r="E2619" s="18">
        <v>1063</v>
      </c>
      <c r="F2619" s="18" t="s">
        <v>35</v>
      </c>
      <c r="J2619" s="19"/>
      <c r="K2619" s="19">
        <v>0.63590000000000002</v>
      </c>
      <c r="L2619" s="19">
        <v>0.46153846199999998</v>
      </c>
      <c r="M2619" s="19">
        <v>0.63349999999999995</v>
      </c>
      <c r="N2619" s="19">
        <v>0.25</v>
      </c>
      <c r="O2619" s="19">
        <v>0.6</v>
      </c>
      <c r="P2619" s="19">
        <v>1</v>
      </c>
      <c r="Q2619" s="19"/>
      <c r="R2619" s="20">
        <v>40206</v>
      </c>
      <c r="S2619" s="33" t="str">
        <f>HYPERLINK("https://wju.edu/finaid/net-price.html", "$13631")</f>
        <v>$13631</v>
      </c>
      <c r="T2619" s="20">
        <v>15835</v>
      </c>
      <c r="U2619" s="20">
        <v>21321</v>
      </c>
      <c r="V2619" s="20">
        <v>3100</v>
      </c>
      <c r="W2619" s="20">
        <v>10531</v>
      </c>
      <c r="Y2619" s="19">
        <v>0.30480000000000002</v>
      </c>
      <c r="Z2619" s="19">
        <v>0.30399999999999999</v>
      </c>
      <c r="AB2619" s="18">
        <v>694</v>
      </c>
      <c r="AC2619" s="18">
        <v>4</v>
      </c>
    </row>
    <row r="2620" spans="1:29" ht="15.75" customHeight="1" x14ac:dyDescent="0.2">
      <c r="A2620" s="17" t="str">
        <f>HYPERLINK("https://www.bu.edu/wheelock/", "Wheelock College")</f>
        <v>Wheelock College</v>
      </c>
      <c r="B2620" s="18" t="s">
        <v>32</v>
      </c>
      <c r="C2620" s="18" t="s">
        <v>33</v>
      </c>
      <c r="D2620" s="18" t="s">
        <v>136</v>
      </c>
      <c r="E2620" s="18">
        <v>879</v>
      </c>
      <c r="F2620" s="18" t="s">
        <v>115</v>
      </c>
      <c r="J2620" s="19"/>
      <c r="K2620" s="19">
        <v>0.56899999999999995</v>
      </c>
      <c r="L2620" s="19">
        <v>0.66071428600000004</v>
      </c>
      <c r="M2620" s="19">
        <v>0.52780000000000005</v>
      </c>
      <c r="N2620" s="19">
        <v>0.74070000000000003</v>
      </c>
      <c r="O2620" s="19">
        <v>0.68</v>
      </c>
      <c r="P2620" s="19">
        <v>0.5</v>
      </c>
      <c r="Q2620" s="19"/>
      <c r="R2620" s="20">
        <v>54725</v>
      </c>
      <c r="S2620" s="33" t="str">
        <f>HYPERLINK("https://www.bu.edu/finaid/aid-basics/cost-of-education/net-price-calculator/", "$22239")</f>
        <v>$22239</v>
      </c>
      <c r="T2620" s="20">
        <v>28132</v>
      </c>
      <c r="U2620" s="20">
        <v>30483</v>
      </c>
      <c r="V2620" s="20">
        <v>3400</v>
      </c>
      <c r="W2620" s="20">
        <v>18839</v>
      </c>
      <c r="Y2620" s="19">
        <v>0.41739999999999999</v>
      </c>
      <c r="Z2620" s="19">
        <v>0.44779999999999998</v>
      </c>
      <c r="AB2620" s="18">
        <v>603</v>
      </c>
      <c r="AC2620" s="18">
        <v>4</v>
      </c>
    </row>
    <row r="2621" spans="1:29" ht="15.75" customHeight="1" x14ac:dyDescent="0.2">
      <c r="A2621" s="17" t="str">
        <f>HYPERLINK("https://www.wetcc.edu", "White Earth Tribal and Community College")</f>
        <v>White Earth Tribal and Community College</v>
      </c>
      <c r="B2621" s="18" t="s">
        <v>32</v>
      </c>
      <c r="C2621" s="18" t="s">
        <v>72</v>
      </c>
      <c r="D2621" s="18" t="s">
        <v>1772</v>
      </c>
      <c r="E2621" s="18" t="s">
        <v>36</v>
      </c>
      <c r="F2621" s="18" t="s">
        <v>36</v>
      </c>
      <c r="J2621" s="19"/>
      <c r="K2621" s="19">
        <v>5.8799999999999998E-2</v>
      </c>
      <c r="L2621" s="19" t="s">
        <v>36</v>
      </c>
      <c r="M2621" s="19">
        <v>0</v>
      </c>
      <c r="N2621" s="19" t="s">
        <v>36</v>
      </c>
      <c r="O2621" s="19" t="s">
        <v>36</v>
      </c>
      <c r="P2621" s="19" t="s">
        <v>36</v>
      </c>
      <c r="Q2621" s="19" t="s">
        <v>36</v>
      </c>
      <c r="R2621" s="20">
        <v>17856</v>
      </c>
      <c r="S2621" s="33" t="str">
        <f>HYPERLINK("https://www.wetcc.edu/net-price-calculator.html", "$12275")</f>
        <v>$12275</v>
      </c>
      <c r="T2621" s="20" t="s">
        <v>36</v>
      </c>
      <c r="U2621" s="20" t="s">
        <v>36</v>
      </c>
      <c r="V2621" s="20">
        <v>8575</v>
      </c>
      <c r="W2621" s="20">
        <v>3700</v>
      </c>
      <c r="Y2621" s="19">
        <v>0.91249999999999998</v>
      </c>
      <c r="Z2621" s="19">
        <v>0.77029999999999998</v>
      </c>
      <c r="AB2621" s="18">
        <v>74</v>
      </c>
      <c r="AC2621" s="18">
        <v>6</v>
      </c>
    </row>
    <row r="2622" spans="1:29" ht="15.75" customHeight="1" x14ac:dyDescent="0.2">
      <c r="A2622" s="17" t="str">
        <f>HYPERLINK("https://www.whitman.edu", "Whitman College")</f>
        <v>Whitman College</v>
      </c>
      <c r="B2622" s="18" t="s">
        <v>32</v>
      </c>
      <c r="C2622" s="18" t="s">
        <v>184</v>
      </c>
      <c r="D2622" s="18" t="s">
        <v>185</v>
      </c>
      <c r="E2622" s="18">
        <v>1329</v>
      </c>
      <c r="F2622" s="18" t="s">
        <v>115</v>
      </c>
      <c r="J2622" s="19"/>
      <c r="K2622" s="19">
        <v>0.87970000000000004</v>
      </c>
      <c r="L2622" s="19" t="s">
        <v>36</v>
      </c>
      <c r="M2622" s="19">
        <v>0.87949999999999995</v>
      </c>
      <c r="N2622" s="19">
        <v>0.66669999999999996</v>
      </c>
      <c r="O2622" s="19">
        <v>0.95830000000000004</v>
      </c>
      <c r="P2622" s="19">
        <v>0.89659999999999995</v>
      </c>
      <c r="Q2622" s="19"/>
      <c r="R2622" s="20">
        <v>64504</v>
      </c>
      <c r="S2622" s="33" t="str">
        <f>HYPERLINK("https://npc.collegeboard.org/student/app/whitman", "$26874")</f>
        <v>$26874</v>
      </c>
      <c r="T2622" s="20">
        <v>28418</v>
      </c>
      <c r="U2622" s="20">
        <v>35557</v>
      </c>
      <c r="V2622" s="20">
        <v>2200</v>
      </c>
      <c r="W2622" s="20">
        <v>24674</v>
      </c>
      <c r="Y2622" s="19">
        <v>0.1031</v>
      </c>
      <c r="Z2622" s="19">
        <v>0.30859999999999999</v>
      </c>
      <c r="AB2622" s="18">
        <v>1468</v>
      </c>
      <c r="AC2622" s="18">
        <v>1</v>
      </c>
    </row>
    <row r="2623" spans="1:29" ht="15.75" customHeight="1" x14ac:dyDescent="0.2">
      <c r="A2623" s="17" t="str">
        <f>HYPERLINK("https://www.whittier.edu", "Whittier College")</f>
        <v>Whittier College</v>
      </c>
      <c r="B2623" s="18" t="s">
        <v>32</v>
      </c>
      <c r="C2623" s="18" t="s">
        <v>68</v>
      </c>
      <c r="D2623" s="18" t="s">
        <v>1415</v>
      </c>
      <c r="E2623" s="18">
        <v>1138</v>
      </c>
      <c r="F2623" s="18" t="s">
        <v>115</v>
      </c>
      <c r="J2623" s="19"/>
      <c r="K2623" s="19">
        <v>0.69179999999999997</v>
      </c>
      <c r="L2623" s="19">
        <v>0.68269230800000003</v>
      </c>
      <c r="M2623" s="19">
        <v>0.6623</v>
      </c>
      <c r="N2623" s="19">
        <v>0.625</v>
      </c>
      <c r="O2623" s="19">
        <v>0.72729999999999995</v>
      </c>
      <c r="P2623" s="19">
        <v>0.77270000000000005</v>
      </c>
      <c r="Q2623" s="19"/>
      <c r="R2623" s="20">
        <v>61409</v>
      </c>
      <c r="S2623" s="33" t="str">
        <f>HYPERLINK("https://www.whittier.edu/financialaid/npc", "$20447")</f>
        <v>$20447</v>
      </c>
      <c r="T2623" s="20">
        <v>24229</v>
      </c>
      <c r="U2623" s="20">
        <v>27491</v>
      </c>
      <c r="V2623" s="20">
        <v>1789</v>
      </c>
      <c r="W2623" s="20">
        <v>18658</v>
      </c>
      <c r="Y2623" s="19">
        <v>0.3569</v>
      </c>
      <c r="Z2623" s="19">
        <v>0.72849999999999993</v>
      </c>
      <c r="AB2623" s="18">
        <v>1665</v>
      </c>
      <c r="AC2623" s="18">
        <v>4</v>
      </c>
    </row>
    <row r="2624" spans="1:29" ht="15.75" customHeight="1" x14ac:dyDescent="0.2">
      <c r="A2624" s="17" t="str">
        <f>HYPERLINK("https://www.whitworth.edu", "Whitworth University-Adult Degree Programs")</f>
        <v>Whitworth University-Adult Degree Programs</v>
      </c>
      <c r="B2624" s="18" t="s">
        <v>32</v>
      </c>
      <c r="C2624" s="18" t="s">
        <v>184</v>
      </c>
      <c r="D2624" s="18" t="s">
        <v>222</v>
      </c>
      <c r="E2624" s="18">
        <v>1217</v>
      </c>
      <c r="F2624" s="18" t="s">
        <v>115</v>
      </c>
      <c r="J2624" s="19"/>
      <c r="K2624" s="19">
        <v>0.74950000000000006</v>
      </c>
      <c r="L2624" s="19">
        <v>0.548571429</v>
      </c>
      <c r="M2624" s="19">
        <v>0.78669999999999995</v>
      </c>
      <c r="N2624" s="19">
        <v>0.5</v>
      </c>
      <c r="O2624" s="19">
        <v>0.6</v>
      </c>
      <c r="P2624" s="19">
        <v>0.625</v>
      </c>
      <c r="Q2624" s="19"/>
      <c r="R2624" s="20">
        <v>57824</v>
      </c>
      <c r="S2624" s="33" t="str">
        <f>HYPERLINK("https://www.whitworth.edu/forms/financial-aid/net-price-calculator/index.aspx", "$19367")</f>
        <v>$19367</v>
      </c>
      <c r="T2624" s="20">
        <v>25528</v>
      </c>
      <c r="U2624" s="20">
        <v>30131</v>
      </c>
      <c r="V2624" s="20">
        <v>4142</v>
      </c>
      <c r="W2624" s="20">
        <v>15225</v>
      </c>
      <c r="Y2624" s="19">
        <v>0.2329</v>
      </c>
      <c r="Z2624" s="19">
        <v>0.29820000000000002</v>
      </c>
      <c r="AB2624" s="18">
        <v>2227</v>
      </c>
      <c r="AC2624" s="18">
        <v>4</v>
      </c>
    </row>
    <row r="2625" spans="1:29" ht="15.75" customHeight="1" x14ac:dyDescent="0.2">
      <c r="A2625" s="17" t="str">
        <f>HYPERLINK("https://www.wichita.edu", "Wichita State University")</f>
        <v>Wichita State University</v>
      </c>
      <c r="B2625" s="18" t="s">
        <v>49</v>
      </c>
      <c r="C2625" s="18" t="s">
        <v>307</v>
      </c>
      <c r="D2625" s="18" t="s">
        <v>778</v>
      </c>
      <c r="E2625" s="18">
        <v>1159</v>
      </c>
      <c r="F2625" s="18" t="s">
        <v>35</v>
      </c>
      <c r="J2625" s="19"/>
      <c r="K2625" s="19">
        <v>0.47570000000000001</v>
      </c>
      <c r="L2625" s="19">
        <v>0.403700589</v>
      </c>
      <c r="M2625" s="19">
        <v>0.48530000000000001</v>
      </c>
      <c r="N2625" s="19">
        <v>0.18459999999999999</v>
      </c>
      <c r="O2625" s="19">
        <v>0.5</v>
      </c>
      <c r="P2625" s="19">
        <v>0.57999999999999996</v>
      </c>
      <c r="Q2625" s="19"/>
      <c r="R2625" s="20">
        <v>32716</v>
      </c>
      <c r="S2625" s="33" t="str">
        <f>HYPERLINK("https://webapps.wichita.edu/netprice/", "$25307")</f>
        <v>$25307</v>
      </c>
      <c r="T2625" s="20">
        <v>28380</v>
      </c>
      <c r="U2625" s="20">
        <v>30255</v>
      </c>
      <c r="V2625" s="20">
        <v>5326</v>
      </c>
      <c r="W2625" s="20">
        <v>19981.12727272727</v>
      </c>
      <c r="Y2625" s="19">
        <v>0.33850000000000002</v>
      </c>
      <c r="Z2625" s="19">
        <v>0.4</v>
      </c>
      <c r="AB2625" s="18">
        <v>10970</v>
      </c>
      <c r="AC2625" s="18">
        <v>4</v>
      </c>
    </row>
    <row r="2626" spans="1:29" ht="15.75" customHeight="1" x14ac:dyDescent="0.2">
      <c r="A2626" s="17" t="str">
        <f>HYPERLINK("https://www.widener.edu", "Widener University-Main Campus")</f>
        <v>Widener University-Main Campus</v>
      </c>
      <c r="B2626" s="18" t="s">
        <v>32</v>
      </c>
      <c r="C2626" s="18" t="s">
        <v>65</v>
      </c>
      <c r="D2626" s="18" t="s">
        <v>1417</v>
      </c>
      <c r="E2626" s="18">
        <v>1104</v>
      </c>
      <c r="F2626" s="18" t="s">
        <v>35</v>
      </c>
      <c r="J2626" s="19"/>
      <c r="K2626" s="19">
        <v>0.57089999999999996</v>
      </c>
      <c r="L2626" s="19">
        <v>0.47773279400000002</v>
      </c>
      <c r="M2626" s="19">
        <v>0.63039999999999996</v>
      </c>
      <c r="N2626" s="19">
        <v>0.3916</v>
      </c>
      <c r="O2626" s="19">
        <v>0.40539999999999998</v>
      </c>
      <c r="P2626" s="19">
        <v>0.45829999999999999</v>
      </c>
      <c r="Q2626" s="19"/>
      <c r="R2626" s="20">
        <v>61218</v>
      </c>
      <c r="S2626" s="33" t="str">
        <f>HYPERLINK("https://collegecostcalculator.org/widener", "$27687")</f>
        <v>$27687</v>
      </c>
      <c r="T2626" s="20">
        <v>29647</v>
      </c>
      <c r="U2626" s="20">
        <v>31759</v>
      </c>
      <c r="V2626" s="20">
        <v>3028</v>
      </c>
      <c r="W2626" s="20">
        <v>24659</v>
      </c>
      <c r="Y2626" s="19">
        <v>0.2321</v>
      </c>
      <c r="Z2626" s="19">
        <v>0.2913</v>
      </c>
      <c r="AB2626" s="18">
        <v>3224</v>
      </c>
      <c r="AC2626" s="18">
        <v>4</v>
      </c>
    </row>
    <row r="2627" spans="1:29" ht="15.75" customHeight="1" x14ac:dyDescent="0.2">
      <c r="A2627" s="17" t="str">
        <f>HYPERLINK("https://wileyc.edu", "Wiley College")</f>
        <v>Wiley College</v>
      </c>
      <c r="B2627" s="18" t="s">
        <v>32</v>
      </c>
      <c r="C2627" s="18" t="s">
        <v>146</v>
      </c>
      <c r="D2627" s="18" t="s">
        <v>709</v>
      </c>
      <c r="E2627" s="18" t="s">
        <v>36</v>
      </c>
      <c r="F2627" s="18" t="s">
        <v>36</v>
      </c>
      <c r="J2627" s="19"/>
      <c r="K2627" s="19">
        <v>0.20910000000000001</v>
      </c>
      <c r="L2627" s="19">
        <v>0.30541871900000001</v>
      </c>
      <c r="M2627" s="19">
        <v>0.5</v>
      </c>
      <c r="N2627" s="19">
        <v>0.19070000000000001</v>
      </c>
      <c r="O2627" s="19">
        <v>0.5625</v>
      </c>
      <c r="P2627" s="19" t="s">
        <v>36</v>
      </c>
      <c r="Q2627" s="19"/>
      <c r="R2627" s="20">
        <v>23906</v>
      </c>
      <c r="S2627" s="33" t="str">
        <f>HYPERLINK("https://npc.collegeboard.org/student/app/wileyc", "$14096")</f>
        <v>$14096</v>
      </c>
      <c r="T2627" s="20" t="s">
        <v>36</v>
      </c>
      <c r="U2627" s="20" t="s">
        <v>36</v>
      </c>
      <c r="V2627" s="20">
        <v>4262</v>
      </c>
      <c r="W2627" s="20">
        <v>9834</v>
      </c>
      <c r="Y2627" s="19">
        <v>0.71700000000000008</v>
      </c>
      <c r="Z2627" s="19">
        <v>0.97589999999999999</v>
      </c>
      <c r="AB2627" s="18">
        <v>1246</v>
      </c>
      <c r="AC2627" s="18">
        <v>5</v>
      </c>
    </row>
    <row r="2628" spans="1:29" ht="15.75" customHeight="1" x14ac:dyDescent="0.2">
      <c r="A2628" s="17" t="str">
        <f>HYPERLINK("https://www.wilkescc.edu", "Wilkes Community College")</f>
        <v>Wilkes Community College</v>
      </c>
      <c r="B2628" s="18" t="s">
        <v>49</v>
      </c>
      <c r="C2628" s="18" t="s">
        <v>103</v>
      </c>
      <c r="D2628" s="18" t="s">
        <v>1773</v>
      </c>
      <c r="E2628" s="18" t="s">
        <v>36</v>
      </c>
      <c r="F2628" s="18" t="s">
        <v>36</v>
      </c>
      <c r="J2628" s="19"/>
      <c r="K2628" s="19">
        <v>0.26269999999999999</v>
      </c>
      <c r="L2628" s="19">
        <v>0.177777778</v>
      </c>
      <c r="M2628" s="19">
        <v>0.2802</v>
      </c>
      <c r="N2628" s="19">
        <v>0.16669999999999999</v>
      </c>
      <c r="O2628" s="19">
        <v>0.2</v>
      </c>
      <c r="P2628" s="19">
        <v>0</v>
      </c>
      <c r="Q2628" s="19">
        <v>5.387931E-2</v>
      </c>
      <c r="R2628" s="20">
        <v>19816</v>
      </c>
      <c r="S2628" s="33" t="str">
        <f>HYPERLINK("https://www.wilkescc.edu/student-services/net-price-calculator/", "$14199")</f>
        <v>$14199</v>
      </c>
      <c r="T2628" s="20">
        <v>15234</v>
      </c>
      <c r="U2628" s="20">
        <v>18949</v>
      </c>
      <c r="V2628" s="20">
        <v>6100</v>
      </c>
      <c r="W2628" s="20">
        <v>8099.6222222222223</v>
      </c>
      <c r="Y2628" s="19">
        <v>0.39360000000000001</v>
      </c>
      <c r="Z2628" s="19">
        <v>0.17150000000000001</v>
      </c>
      <c r="AB2628" s="18">
        <v>1866</v>
      </c>
      <c r="AC2628" s="18">
        <v>6</v>
      </c>
    </row>
    <row r="2629" spans="1:29" ht="15.75" customHeight="1" x14ac:dyDescent="0.2">
      <c r="A2629" s="17" t="str">
        <f>HYPERLINK("https://www.wilkes.edu", "Wilkes University")</f>
        <v>Wilkes University</v>
      </c>
      <c r="B2629" s="18" t="s">
        <v>32</v>
      </c>
      <c r="C2629" s="18" t="s">
        <v>65</v>
      </c>
      <c r="D2629" s="18" t="s">
        <v>875</v>
      </c>
      <c r="E2629" s="18">
        <v>1137</v>
      </c>
      <c r="F2629" s="18" t="s">
        <v>35</v>
      </c>
      <c r="J2629" s="19"/>
      <c r="K2629" s="19">
        <v>0.59740000000000004</v>
      </c>
      <c r="L2629" s="19">
        <v>0.44444444399999999</v>
      </c>
      <c r="M2629" s="19">
        <v>0.60529999999999995</v>
      </c>
      <c r="N2629" s="19">
        <v>0.47370000000000001</v>
      </c>
      <c r="O2629" s="19">
        <v>0.52629999999999999</v>
      </c>
      <c r="P2629" s="19">
        <v>0.7</v>
      </c>
      <c r="Q2629" s="19"/>
      <c r="R2629" s="20">
        <v>53966</v>
      </c>
      <c r="S2629" s="33" t="str">
        <f>HYPERLINK("https://www.wilkes.edu/admissions/financial-aid/undergraduate-aid/types-of-aid/net-price-calculator/index.aspx", "$22205")</f>
        <v>$22205</v>
      </c>
      <c r="T2629" s="20">
        <v>25372</v>
      </c>
      <c r="U2629" s="20">
        <v>26241</v>
      </c>
      <c r="V2629" s="20">
        <v>4800</v>
      </c>
      <c r="W2629" s="20">
        <v>17405</v>
      </c>
      <c r="Y2629" s="19">
        <v>0.33500000000000002</v>
      </c>
      <c r="Z2629" s="19">
        <v>0.28789999999999999</v>
      </c>
      <c r="AB2629" s="18">
        <v>2379</v>
      </c>
      <c r="AC2629" s="18">
        <v>4</v>
      </c>
    </row>
    <row r="2630" spans="1:29" ht="15.75" customHeight="1" x14ac:dyDescent="0.2">
      <c r="A2630" s="17" t="str">
        <f>HYPERLINK("https://www.willamette.edu", "Willamette University")</f>
        <v>Willamette University</v>
      </c>
      <c r="B2630" s="18" t="s">
        <v>32</v>
      </c>
      <c r="C2630" s="18" t="s">
        <v>143</v>
      </c>
      <c r="D2630" s="18" t="s">
        <v>343</v>
      </c>
      <c r="E2630" s="18" t="s">
        <v>36</v>
      </c>
      <c r="F2630" s="18" t="s">
        <v>90</v>
      </c>
      <c r="J2630" s="19"/>
      <c r="K2630" s="19">
        <v>0.73099999999999998</v>
      </c>
      <c r="L2630" s="19">
        <v>0.75294117700000007</v>
      </c>
      <c r="M2630" s="19">
        <v>0.72889999999999999</v>
      </c>
      <c r="N2630" s="19">
        <v>0.6</v>
      </c>
      <c r="O2630" s="19">
        <v>0.76739999999999997</v>
      </c>
      <c r="P2630" s="19">
        <v>0.72219999999999995</v>
      </c>
      <c r="Q2630" s="19"/>
      <c r="R2630" s="20">
        <v>62262</v>
      </c>
      <c r="S2630" s="33" t="str">
        <f>HYPERLINK("https://willamette.edu/offices/finaid/undergraduate-students/net-price-calculator/index.html", "$21077")</f>
        <v>$21077</v>
      </c>
      <c r="T2630" s="20">
        <v>23759</v>
      </c>
      <c r="U2630" s="20">
        <v>29836</v>
      </c>
      <c r="V2630" s="20">
        <v>2224</v>
      </c>
      <c r="W2630" s="20">
        <v>18853</v>
      </c>
      <c r="Y2630" s="19">
        <v>0.21729999999999999</v>
      </c>
      <c r="Z2630" s="19">
        <v>0.38600000000000001</v>
      </c>
      <c r="AB2630" s="18">
        <v>1772</v>
      </c>
      <c r="AC2630" s="18">
        <v>3</v>
      </c>
    </row>
    <row r="2631" spans="1:29" ht="15.75" customHeight="1" x14ac:dyDescent="0.2">
      <c r="A2631" s="17" t="str">
        <f>HYPERLINK("https://www.wmcarey.edu", "William Carey University")</f>
        <v>William Carey University</v>
      </c>
      <c r="B2631" s="18" t="s">
        <v>32</v>
      </c>
      <c r="C2631" s="18" t="s">
        <v>59</v>
      </c>
      <c r="D2631" s="18" t="s">
        <v>939</v>
      </c>
      <c r="E2631" s="18">
        <v>1179</v>
      </c>
      <c r="F2631" s="18" t="s">
        <v>35</v>
      </c>
      <c r="J2631" s="19"/>
      <c r="K2631" s="19">
        <v>0.56940000000000002</v>
      </c>
      <c r="L2631" s="19">
        <v>0.45050505099999999</v>
      </c>
      <c r="M2631" s="19">
        <v>0.63160000000000005</v>
      </c>
      <c r="N2631" s="19">
        <v>0.69569999999999999</v>
      </c>
      <c r="O2631" s="19">
        <v>0</v>
      </c>
      <c r="P2631" s="19">
        <v>1</v>
      </c>
      <c r="Q2631" s="19"/>
      <c r="R2631" s="20">
        <v>27952</v>
      </c>
      <c r="S2631" s="33" t="str">
        <f>HYPERLINK("https://wmcarey.studentaidcalculator.com/survey.aspx", "$18875")</f>
        <v>$18875</v>
      </c>
      <c r="T2631" s="20">
        <v>18119</v>
      </c>
      <c r="U2631" s="20">
        <v>13340</v>
      </c>
      <c r="V2631" s="20">
        <v>9385</v>
      </c>
      <c r="W2631" s="20">
        <v>9490</v>
      </c>
      <c r="Y2631" s="19">
        <v>0.50639999999999996</v>
      </c>
      <c r="Z2631" s="19">
        <v>0.39500000000000002</v>
      </c>
      <c r="AB2631" s="18">
        <v>2086</v>
      </c>
      <c r="AC2631" s="18">
        <v>5</v>
      </c>
    </row>
    <row r="2632" spans="1:29" ht="15.75" customHeight="1" x14ac:dyDescent="0.2">
      <c r="A2632" s="17" t="str">
        <f>HYPERLINK("https://www.jewell.edu", "William Jewell College")</f>
        <v>William Jewell College</v>
      </c>
      <c r="B2632" s="18" t="s">
        <v>32</v>
      </c>
      <c r="C2632" s="18" t="s">
        <v>164</v>
      </c>
      <c r="D2632" s="18" t="s">
        <v>541</v>
      </c>
      <c r="E2632" s="18">
        <v>1226</v>
      </c>
      <c r="F2632" s="18" t="s">
        <v>35</v>
      </c>
      <c r="J2632" s="19"/>
      <c r="K2632" s="19">
        <v>0.59260000000000002</v>
      </c>
      <c r="L2632" s="19">
        <v>0.515151515</v>
      </c>
      <c r="M2632" s="19">
        <v>0.61950000000000005</v>
      </c>
      <c r="N2632" s="19">
        <v>0.66669999999999996</v>
      </c>
      <c r="O2632" s="19">
        <v>0.21429999999999999</v>
      </c>
      <c r="P2632" s="19">
        <v>0.33329999999999999</v>
      </c>
      <c r="Q2632" s="19"/>
      <c r="R2632" s="20">
        <v>47928</v>
      </c>
      <c r="S2632" s="33" t="str">
        <f>HYPERLINK("https://www.www.jewell.edu/afford/tuition-and-fees/netprice-calculator", "$15268")</f>
        <v>$15268</v>
      </c>
      <c r="T2632" s="20">
        <v>19438</v>
      </c>
      <c r="U2632" s="20">
        <v>22589</v>
      </c>
      <c r="V2632" s="20">
        <v>4668</v>
      </c>
      <c r="W2632" s="20">
        <v>10600</v>
      </c>
      <c r="Y2632" s="19">
        <v>0.2379</v>
      </c>
      <c r="Z2632" s="19">
        <v>0.20910000000000001</v>
      </c>
      <c r="AB2632" s="18">
        <v>928</v>
      </c>
      <c r="AC2632" s="18">
        <v>3</v>
      </c>
    </row>
    <row r="2633" spans="1:29" ht="15.75" customHeight="1" x14ac:dyDescent="0.2">
      <c r="A2633" s="17" t="str">
        <f>HYPERLINK("https://www.wpunj.edu", "William Paterson University of New Jersey")</f>
        <v>William Paterson University of New Jersey</v>
      </c>
      <c r="B2633" s="18" t="s">
        <v>49</v>
      </c>
      <c r="C2633" s="18" t="s">
        <v>141</v>
      </c>
      <c r="D2633" s="18" t="s">
        <v>1418</v>
      </c>
      <c r="E2633" s="18">
        <v>1030</v>
      </c>
      <c r="F2633" s="18" t="s">
        <v>35</v>
      </c>
      <c r="J2633" s="19"/>
      <c r="K2633" s="19">
        <v>0.55159999999999998</v>
      </c>
      <c r="L2633" s="19">
        <v>0.49272116500000002</v>
      </c>
      <c r="M2633" s="19">
        <v>0.60529999999999995</v>
      </c>
      <c r="N2633" s="19">
        <v>0.43780000000000002</v>
      </c>
      <c r="O2633" s="19">
        <v>0.4708</v>
      </c>
      <c r="P2633" s="19">
        <v>0.66669999999999996</v>
      </c>
      <c r="Q2633" s="19"/>
      <c r="R2633" s="20">
        <v>35711</v>
      </c>
      <c r="S2633" s="33" t="str">
        <f>HYPERLINK("https://www.wpunj.edu/financial-aid/net_price_calc.html", "$25427")</f>
        <v>$25427</v>
      </c>
      <c r="T2633" s="20">
        <v>30755</v>
      </c>
      <c r="U2633" s="20">
        <v>33221</v>
      </c>
      <c r="V2633" s="20">
        <v>4740</v>
      </c>
      <c r="W2633" s="20">
        <v>20687.336520076478</v>
      </c>
      <c r="Y2633" s="19">
        <v>0.47449999999999998</v>
      </c>
      <c r="Z2633" s="19">
        <v>0.61</v>
      </c>
      <c r="AB2633" s="18">
        <v>8710</v>
      </c>
      <c r="AC2633" s="18">
        <v>4</v>
      </c>
    </row>
    <row r="2634" spans="1:29" ht="15.75" customHeight="1" x14ac:dyDescent="0.2">
      <c r="A2634" s="17" t="str">
        <f>HYPERLINK("https://www.peace.edu", "William Peace University")</f>
        <v>William Peace University</v>
      </c>
      <c r="B2634" s="18" t="s">
        <v>32</v>
      </c>
      <c r="C2634" s="18" t="s">
        <v>103</v>
      </c>
      <c r="D2634" s="18" t="s">
        <v>236</v>
      </c>
      <c r="E2634" s="18">
        <v>1033</v>
      </c>
      <c r="F2634" s="18" t="s">
        <v>35</v>
      </c>
      <c r="J2634" s="19"/>
      <c r="K2634" s="19">
        <v>0.39229999999999998</v>
      </c>
      <c r="L2634" s="19">
        <v>0.41129032300000001</v>
      </c>
      <c r="M2634" s="19">
        <v>0.40910000000000002</v>
      </c>
      <c r="N2634" s="19">
        <v>0.5</v>
      </c>
      <c r="O2634" s="19">
        <v>1</v>
      </c>
      <c r="P2634" s="19">
        <v>0</v>
      </c>
      <c r="Q2634" s="19"/>
      <c r="R2634" s="20">
        <v>44030</v>
      </c>
      <c r="S2634" s="33" t="str">
        <f>HYPERLINK("https://www.peace.edu/net-price-calculator/", "$17793")</f>
        <v>$17793</v>
      </c>
      <c r="T2634" s="20">
        <v>19311</v>
      </c>
      <c r="U2634" s="20">
        <v>24088</v>
      </c>
      <c r="V2634" s="20" t="s">
        <v>36</v>
      </c>
      <c r="W2634" s="20" t="s">
        <v>36</v>
      </c>
      <c r="Y2634" s="19">
        <v>0.56669999999999998</v>
      </c>
      <c r="Z2634" s="19">
        <v>0.52539999999999998</v>
      </c>
      <c r="AB2634" s="18">
        <v>927</v>
      </c>
      <c r="AC2634" s="18">
        <v>4</v>
      </c>
    </row>
    <row r="2635" spans="1:29" ht="15.75" customHeight="1" x14ac:dyDescent="0.2">
      <c r="A2635" s="17" t="str">
        <f>HYPERLINK("https://www.wmpenn.edu", "William Penn University")</f>
        <v>William Penn University</v>
      </c>
      <c r="B2635" s="18" t="s">
        <v>32</v>
      </c>
      <c r="C2635" s="18" t="s">
        <v>211</v>
      </c>
      <c r="D2635" s="18" t="s">
        <v>1421</v>
      </c>
      <c r="E2635" s="18">
        <v>963</v>
      </c>
      <c r="F2635" s="18" t="s">
        <v>115</v>
      </c>
      <c r="J2635" s="19"/>
      <c r="K2635" s="19">
        <v>0.35039999999999999</v>
      </c>
      <c r="L2635" s="19">
        <v>0.312302839</v>
      </c>
      <c r="M2635" s="19">
        <v>0.4526</v>
      </c>
      <c r="N2635" s="19">
        <v>0.18820000000000001</v>
      </c>
      <c r="O2635" s="19">
        <v>0.23810000000000001</v>
      </c>
      <c r="P2635" s="19">
        <v>0.66669999999999996</v>
      </c>
      <c r="Q2635" s="19"/>
      <c r="R2635" s="20">
        <v>37352</v>
      </c>
      <c r="S2635" s="33" t="str">
        <f>HYPERLINK("https://www.wmpenn.edu/admissions-aid/financial-aid/net-price-calculator/", "$18249")</f>
        <v>$18249</v>
      </c>
      <c r="T2635" s="20">
        <v>21215</v>
      </c>
      <c r="U2635" s="20">
        <v>22299</v>
      </c>
      <c r="V2635" s="20">
        <v>5400</v>
      </c>
      <c r="W2635" s="20">
        <v>12849</v>
      </c>
      <c r="Y2635" s="19">
        <v>0.47689999999999999</v>
      </c>
      <c r="Z2635" s="19">
        <v>0.43830000000000002</v>
      </c>
      <c r="AB2635" s="18">
        <v>1184</v>
      </c>
      <c r="AC2635" s="18">
        <v>4</v>
      </c>
    </row>
    <row r="2636" spans="1:29" ht="15.75" customHeight="1" x14ac:dyDescent="0.2">
      <c r="A2636" s="17" t="str">
        <f>HYPERLINK("https://www.williamwoods.edu", "William Woods University")</f>
        <v>William Woods University</v>
      </c>
      <c r="B2636" s="18" t="s">
        <v>32</v>
      </c>
      <c r="C2636" s="18" t="s">
        <v>164</v>
      </c>
      <c r="D2636" s="18" t="s">
        <v>539</v>
      </c>
      <c r="E2636" s="18">
        <v>1141</v>
      </c>
      <c r="F2636" s="18" t="s">
        <v>35</v>
      </c>
      <c r="J2636" s="19"/>
      <c r="K2636" s="19">
        <v>0.59219999999999995</v>
      </c>
      <c r="L2636" s="19">
        <v>0.47826087</v>
      </c>
      <c r="M2636" s="19">
        <v>0.59709999999999996</v>
      </c>
      <c r="N2636" s="19">
        <v>1</v>
      </c>
      <c r="O2636" s="19">
        <v>0.5</v>
      </c>
      <c r="P2636" s="19" t="s">
        <v>36</v>
      </c>
      <c r="Q2636" s="19"/>
      <c r="R2636" s="20">
        <v>38860</v>
      </c>
      <c r="S2636" s="33" t="str">
        <f>HYPERLINK("https://www.williamwoods.edu/admissions/undergraduate/calculator.html", "$21036")</f>
        <v>$21036</v>
      </c>
      <c r="T2636" s="20">
        <v>22480</v>
      </c>
      <c r="U2636" s="20">
        <v>21427</v>
      </c>
      <c r="V2636" s="20">
        <v>6200</v>
      </c>
      <c r="W2636" s="20">
        <v>14836</v>
      </c>
      <c r="Y2636" s="19">
        <v>0.28160000000000002</v>
      </c>
      <c r="Z2636" s="19">
        <v>0.20349999999999999</v>
      </c>
      <c r="AB2636" s="18">
        <v>919</v>
      </c>
      <c r="AC2636" s="18">
        <v>4</v>
      </c>
    </row>
    <row r="2637" spans="1:29" ht="15.75" customHeight="1" x14ac:dyDescent="0.2">
      <c r="A2637" s="17" t="str">
        <f>HYPERLINK("https://www.williams.edu", "Williams College")</f>
        <v>Williams College</v>
      </c>
      <c r="B2637" s="18" t="s">
        <v>32</v>
      </c>
      <c r="C2637" s="18" t="s">
        <v>33</v>
      </c>
      <c r="D2637" s="18" t="s">
        <v>186</v>
      </c>
      <c r="E2637" s="18">
        <v>1493</v>
      </c>
      <c r="F2637" s="18" t="s">
        <v>35</v>
      </c>
      <c r="J2637" s="19"/>
      <c r="K2637" s="19">
        <v>0.93759999999999999</v>
      </c>
      <c r="L2637" s="19" t="s">
        <v>36</v>
      </c>
      <c r="M2637" s="19">
        <v>0.94120000000000004</v>
      </c>
      <c r="N2637" s="19">
        <v>0.90910000000000002</v>
      </c>
      <c r="O2637" s="19">
        <v>0.875</v>
      </c>
      <c r="P2637" s="19">
        <v>1</v>
      </c>
      <c r="Q2637" s="19"/>
      <c r="R2637" s="20">
        <v>70650</v>
      </c>
      <c r="S2637" s="33" t="str">
        <f>HYPERLINK("https://npc.collegeboard.org/student/app/williams", "$3375")</f>
        <v>$3375</v>
      </c>
      <c r="T2637" s="20">
        <v>8188</v>
      </c>
      <c r="U2637" s="20">
        <v>15615</v>
      </c>
      <c r="V2637" s="20">
        <v>2950</v>
      </c>
      <c r="W2637" s="20">
        <v>425</v>
      </c>
      <c r="X2637" s="18" t="s">
        <v>37</v>
      </c>
      <c r="Y2637" s="19">
        <v>0.18920000000000001</v>
      </c>
      <c r="Z2637" s="19">
        <v>0.48599999999999999</v>
      </c>
      <c r="AA2637" s="18" t="s">
        <v>37</v>
      </c>
      <c r="AB2637" s="18">
        <v>2033</v>
      </c>
      <c r="AC2637" s="18">
        <v>1</v>
      </c>
    </row>
    <row r="2638" spans="1:29" ht="15.75" customHeight="1" x14ac:dyDescent="0.2">
      <c r="A2638" s="17" t="str">
        <f>HYPERLINK("https://willistonstate.edu/", "Williston State College")</f>
        <v>Williston State College</v>
      </c>
      <c r="B2638" s="18" t="s">
        <v>49</v>
      </c>
      <c r="C2638" s="18" t="s">
        <v>730</v>
      </c>
      <c r="D2638" s="18" t="s">
        <v>1774</v>
      </c>
      <c r="E2638" s="18" t="s">
        <v>36</v>
      </c>
      <c r="F2638" s="18" t="s">
        <v>36</v>
      </c>
      <c r="J2638" s="19"/>
      <c r="K2638" s="19">
        <v>0.39329999999999998</v>
      </c>
      <c r="L2638" s="19">
        <v>0.25210083999999999</v>
      </c>
      <c r="M2638" s="19">
        <v>0.5</v>
      </c>
      <c r="N2638" s="19">
        <v>0.125</v>
      </c>
      <c r="O2638" s="19">
        <v>0.18179999999999999</v>
      </c>
      <c r="P2638" s="19">
        <v>0</v>
      </c>
      <c r="Q2638" s="19">
        <v>6.9868996000000003E-2</v>
      </c>
      <c r="R2638" s="20">
        <v>18435</v>
      </c>
      <c r="S2638" s="33" t="str">
        <f>HYPERLINK("https://willistonstate.edu/Future-Students/Financing-Your-Education/Student-Financial-Aid-Office/Net-Price-Calculator.html", "$10729")</f>
        <v>$10729</v>
      </c>
      <c r="T2638" s="20">
        <v>13452</v>
      </c>
      <c r="U2638" s="20">
        <v>14900</v>
      </c>
      <c r="V2638" s="20">
        <v>4500</v>
      </c>
      <c r="W2638" s="20">
        <v>6229.7551020408173</v>
      </c>
      <c r="Y2638" s="19">
        <v>0.18190000000000001</v>
      </c>
      <c r="Z2638" s="19">
        <v>0.27179999999999999</v>
      </c>
      <c r="AB2638" s="18">
        <v>747</v>
      </c>
      <c r="AC2638" s="18">
        <v>6</v>
      </c>
    </row>
    <row r="2639" spans="1:29" ht="15.75" customHeight="1" x14ac:dyDescent="0.2">
      <c r="A2639" s="17" t="str">
        <f>HYPERLINK("https://www.wilmington.edu", "Wilmington College")</f>
        <v>Wilmington College</v>
      </c>
      <c r="B2639" s="18" t="s">
        <v>32</v>
      </c>
      <c r="C2639" s="18" t="s">
        <v>75</v>
      </c>
      <c r="D2639" s="18" t="s">
        <v>517</v>
      </c>
      <c r="E2639" s="18">
        <v>1086</v>
      </c>
      <c r="F2639" s="18" t="s">
        <v>35</v>
      </c>
      <c r="J2639" s="19"/>
      <c r="K2639" s="19">
        <v>0.5786</v>
      </c>
      <c r="L2639" s="19">
        <v>0.49253731299999998</v>
      </c>
      <c r="M2639" s="19">
        <v>0.5917</v>
      </c>
      <c r="N2639" s="19">
        <v>0.2581</v>
      </c>
      <c r="O2639" s="19">
        <v>0</v>
      </c>
      <c r="P2639" s="19">
        <v>1</v>
      </c>
      <c r="Q2639" s="19"/>
      <c r="R2639" s="20">
        <v>38500</v>
      </c>
      <c r="S2639" s="33" t="str">
        <f>HYPERLINK("https://www.wilmington.edu/admission/financial-aid/calculate-tuition-costs/", "$16794")</f>
        <v>$16794</v>
      </c>
      <c r="T2639" s="20">
        <v>20830</v>
      </c>
      <c r="U2639" s="20">
        <v>21979</v>
      </c>
      <c r="V2639" s="20">
        <v>3900</v>
      </c>
      <c r="W2639" s="20">
        <v>12894</v>
      </c>
      <c r="Y2639" s="19">
        <v>0.40960000000000002</v>
      </c>
      <c r="Z2639" s="19">
        <v>0.21510000000000001</v>
      </c>
      <c r="AB2639" s="18">
        <v>1167</v>
      </c>
      <c r="AC2639" s="18">
        <v>4</v>
      </c>
    </row>
    <row r="2640" spans="1:29" ht="15.75" customHeight="1" x14ac:dyDescent="0.2">
      <c r="A2640" s="17" t="str">
        <f>HYPERLINK("https://www.wilmu.edu", "Wilmington University")</f>
        <v>Wilmington University</v>
      </c>
      <c r="B2640" s="18" t="s">
        <v>32</v>
      </c>
      <c r="C2640" s="18" t="s">
        <v>507</v>
      </c>
      <c r="D2640" s="18" t="s">
        <v>940</v>
      </c>
      <c r="E2640" s="18" t="s">
        <v>36</v>
      </c>
      <c r="F2640" s="18" t="s">
        <v>36</v>
      </c>
      <c r="J2640" s="19"/>
      <c r="K2640" s="19">
        <v>0.25919999999999999</v>
      </c>
      <c r="L2640" s="19">
        <v>0.42873432200000011</v>
      </c>
      <c r="M2640" s="19">
        <v>0.32379999999999998</v>
      </c>
      <c r="N2640" s="19">
        <v>9.7600000000000006E-2</v>
      </c>
      <c r="O2640" s="19">
        <v>0.2727</v>
      </c>
      <c r="P2640" s="19">
        <v>0.5</v>
      </c>
      <c r="Q2640" s="19"/>
      <c r="R2640" s="20">
        <v>20540</v>
      </c>
      <c r="S2640" s="33" t="str">
        <f>HYPERLINK("https://npc.collegeboard.org/student/app/wilmu", "$13721")</f>
        <v>$13721</v>
      </c>
      <c r="T2640" s="20">
        <v>15332</v>
      </c>
      <c r="U2640" s="20">
        <v>15853</v>
      </c>
      <c r="V2640" s="20">
        <v>3600</v>
      </c>
      <c r="W2640" s="20">
        <v>10121</v>
      </c>
      <c r="Y2640" s="19">
        <v>0.31169999999999998</v>
      </c>
      <c r="Z2640" s="19">
        <v>0.61349999999999993</v>
      </c>
      <c r="AB2640" s="18">
        <v>8346</v>
      </c>
      <c r="AC2640" s="18">
        <v>5</v>
      </c>
    </row>
    <row r="2641" spans="1:29" ht="15.75" customHeight="1" x14ac:dyDescent="0.2">
      <c r="A2641" s="17" t="str">
        <f>HYPERLINK("https://www.wilson.edu", "Wilson College")</f>
        <v>Wilson College</v>
      </c>
      <c r="B2641" s="18" t="s">
        <v>32</v>
      </c>
      <c r="C2641" s="18" t="s">
        <v>65</v>
      </c>
      <c r="D2641" s="18" t="s">
        <v>1422</v>
      </c>
      <c r="E2641" s="18">
        <v>1032</v>
      </c>
      <c r="F2641" s="18" t="s">
        <v>35</v>
      </c>
      <c r="J2641" s="19"/>
      <c r="K2641" s="19">
        <v>0.51470000000000005</v>
      </c>
      <c r="L2641" s="19">
        <v>0.305882353</v>
      </c>
      <c r="M2641" s="19">
        <v>0.56000000000000005</v>
      </c>
      <c r="N2641" s="19">
        <v>0</v>
      </c>
      <c r="O2641" s="19">
        <v>0.66669999999999996</v>
      </c>
      <c r="P2641" s="19" t="s">
        <v>36</v>
      </c>
      <c r="Q2641" s="19"/>
      <c r="R2641" s="20">
        <v>38616</v>
      </c>
      <c r="S2641" s="33" t="str">
        <f>HYPERLINK("https://npc.collegeboard.org/student/app/wilson", "$17318")</f>
        <v>$17318</v>
      </c>
      <c r="T2641" s="20">
        <v>18012</v>
      </c>
      <c r="U2641" s="20">
        <v>21782</v>
      </c>
      <c r="V2641" s="20">
        <v>2800</v>
      </c>
      <c r="W2641" s="20">
        <v>14518</v>
      </c>
      <c r="Y2641" s="19">
        <v>0.35160000000000002</v>
      </c>
      <c r="Z2641" s="19">
        <v>0.29120000000000001</v>
      </c>
      <c r="AB2641" s="18">
        <v>697</v>
      </c>
      <c r="AC2641" s="18">
        <v>4</v>
      </c>
    </row>
    <row r="2642" spans="1:29" ht="15.75" customHeight="1" x14ac:dyDescent="0.2">
      <c r="A2642" s="17" t="str">
        <f>HYPERLINK("https://www.wilsoncc.edu", "Wilson Community College")</f>
        <v>Wilson Community College</v>
      </c>
      <c r="B2642" s="18" t="s">
        <v>49</v>
      </c>
      <c r="C2642" s="18" t="s">
        <v>103</v>
      </c>
      <c r="D2642" s="18" t="s">
        <v>569</v>
      </c>
      <c r="E2642" s="18" t="s">
        <v>36</v>
      </c>
      <c r="F2642" s="18" t="s">
        <v>36</v>
      </c>
      <c r="J2642" s="19"/>
      <c r="K2642" s="19">
        <v>0.2326</v>
      </c>
      <c r="L2642" s="19">
        <v>0.111504425</v>
      </c>
      <c r="M2642" s="19">
        <v>0.22500000000000001</v>
      </c>
      <c r="N2642" s="19">
        <v>0.22539999999999999</v>
      </c>
      <c r="O2642" s="19">
        <v>0.29409999999999997</v>
      </c>
      <c r="P2642" s="19">
        <v>0.33329999999999999</v>
      </c>
      <c r="Q2642" s="19">
        <v>3.7735849000000002E-2</v>
      </c>
      <c r="R2642" s="20">
        <v>25294</v>
      </c>
      <c r="S2642" s="33" t="str">
        <f>HYPERLINK("https://www.wilsoncc.edu/netprice/npcalc.htm", "$20449")</f>
        <v>$20449</v>
      </c>
      <c r="T2642" s="20">
        <v>21913</v>
      </c>
      <c r="U2642" s="20">
        <v>25294</v>
      </c>
      <c r="V2642" s="20">
        <v>4800</v>
      </c>
      <c r="W2642" s="20">
        <v>15649.669902912619</v>
      </c>
      <c r="Y2642" s="19">
        <v>0.3528</v>
      </c>
      <c r="Z2642" s="19">
        <v>0.57569999999999999</v>
      </c>
      <c r="AB2642" s="18">
        <v>1044</v>
      </c>
      <c r="AC2642" s="18">
        <v>6</v>
      </c>
    </row>
    <row r="2643" spans="1:29" ht="15.75" customHeight="1" x14ac:dyDescent="0.2">
      <c r="A2643" s="17" t="str">
        <f>HYPERLINK("https://windward.hawaii.edu", "Windward Community College")</f>
        <v>Windward Community College</v>
      </c>
      <c r="B2643" s="18" t="s">
        <v>49</v>
      </c>
      <c r="C2643" s="18" t="s">
        <v>313</v>
      </c>
      <c r="D2643" s="18" t="s">
        <v>1775</v>
      </c>
      <c r="E2643" s="18" t="s">
        <v>36</v>
      </c>
      <c r="F2643" s="18" t="s">
        <v>36</v>
      </c>
      <c r="J2643" s="19"/>
      <c r="K2643" s="19">
        <v>0.1439</v>
      </c>
      <c r="L2643" s="19">
        <v>0.14669926699999999</v>
      </c>
      <c r="M2643" s="19">
        <v>0.19350000000000001</v>
      </c>
      <c r="N2643" s="19">
        <v>0.33329999999999999</v>
      </c>
      <c r="O2643" s="19">
        <v>0.1154</v>
      </c>
      <c r="P2643" s="19">
        <v>0.16</v>
      </c>
      <c r="Q2643" s="19">
        <v>8.8188976000000002E-2</v>
      </c>
      <c r="R2643" s="20">
        <v>27488</v>
      </c>
      <c r="S2643" s="33" t="str">
        <f>HYPERLINK("https://windward.hawaii.edu/financial_aid/netprice/", "$21857")</f>
        <v>$21857</v>
      </c>
      <c r="T2643" s="20">
        <v>24449</v>
      </c>
      <c r="U2643" s="20">
        <v>26585</v>
      </c>
      <c r="V2643" s="20">
        <v>4626</v>
      </c>
      <c r="W2643" s="20">
        <v>17231.911764705881</v>
      </c>
      <c r="Y2643" s="19">
        <v>0.26919999999999999</v>
      </c>
      <c r="Z2643" s="19">
        <v>0.86240000000000006</v>
      </c>
      <c r="AB2643" s="18">
        <v>1395</v>
      </c>
      <c r="AC2643" s="18">
        <v>6</v>
      </c>
    </row>
    <row r="2644" spans="1:29" ht="15.75" customHeight="1" x14ac:dyDescent="0.2">
      <c r="A2644" s="17" t="str">
        <f>HYPERLINK("https://www.wingate.edu", "Wingate University")</f>
        <v>Wingate University</v>
      </c>
      <c r="B2644" s="18" t="s">
        <v>32</v>
      </c>
      <c r="C2644" s="18" t="s">
        <v>103</v>
      </c>
      <c r="D2644" s="18" t="s">
        <v>1423</v>
      </c>
      <c r="E2644" s="18">
        <v>1045</v>
      </c>
      <c r="F2644" s="18" t="s">
        <v>35</v>
      </c>
      <c r="J2644" s="19"/>
      <c r="K2644" s="19">
        <v>0.52339999999999998</v>
      </c>
      <c r="L2644" s="19">
        <v>0.42241379299999998</v>
      </c>
      <c r="M2644" s="19">
        <v>0.55559999999999998</v>
      </c>
      <c r="N2644" s="19">
        <v>0.43080000000000002</v>
      </c>
      <c r="O2644" s="19">
        <v>0.41670000000000001</v>
      </c>
      <c r="P2644" s="19">
        <v>0.36840000000000001</v>
      </c>
      <c r="Q2644" s="19"/>
      <c r="R2644" s="20">
        <v>46700</v>
      </c>
      <c r="S2644" s="33" t="str">
        <f>HYPERLINK("https://www.wingate.edu/admissions/financial-aid", "$15472")</f>
        <v>$15472</v>
      </c>
      <c r="T2644" s="20">
        <v>16505</v>
      </c>
      <c r="U2644" s="20">
        <v>20991</v>
      </c>
      <c r="V2644" s="20">
        <v>4800</v>
      </c>
      <c r="W2644" s="20">
        <v>10672</v>
      </c>
      <c r="Y2644" s="19">
        <v>0.35410000000000003</v>
      </c>
      <c r="Z2644" s="19">
        <v>0.41649999999999998</v>
      </c>
      <c r="AB2644" s="18">
        <v>2586</v>
      </c>
      <c r="AC2644" s="18">
        <v>4</v>
      </c>
    </row>
    <row r="2645" spans="1:29" ht="15.75" customHeight="1" x14ac:dyDescent="0.2">
      <c r="A2645" s="17" t="str">
        <f>HYPERLINK("https://www.winona.edu", "Winona State University")</f>
        <v>Winona State University</v>
      </c>
      <c r="B2645" s="18" t="s">
        <v>49</v>
      </c>
      <c r="C2645" s="18" t="s">
        <v>72</v>
      </c>
      <c r="D2645" s="18" t="s">
        <v>1140</v>
      </c>
      <c r="E2645" s="18">
        <v>1125</v>
      </c>
      <c r="F2645" s="18" t="s">
        <v>35</v>
      </c>
      <c r="J2645" s="19"/>
      <c r="K2645" s="19">
        <v>0.60670000000000002</v>
      </c>
      <c r="L2645" s="19">
        <v>0.57777777799999996</v>
      </c>
      <c r="M2645" s="19">
        <v>0.62090000000000001</v>
      </c>
      <c r="N2645" s="19">
        <v>0.23810000000000001</v>
      </c>
      <c r="O2645" s="19">
        <v>0.54349999999999998</v>
      </c>
      <c r="P2645" s="19">
        <v>0.48280000000000001</v>
      </c>
      <c r="Q2645" s="19"/>
      <c r="R2645" s="20">
        <v>27692</v>
      </c>
      <c r="S2645" s="33" t="str">
        <f>HYPERLINK("https://www.ohe.state.mn.us/Estimator/firstQuestions.cfm", "$19025")</f>
        <v>$19025</v>
      </c>
      <c r="T2645" s="20">
        <v>21645</v>
      </c>
      <c r="U2645" s="20">
        <v>25329</v>
      </c>
      <c r="V2645" s="20">
        <v>3660</v>
      </c>
      <c r="W2645" s="20">
        <v>15365.956249999999</v>
      </c>
      <c r="Y2645" s="19">
        <v>0.25230000000000002</v>
      </c>
      <c r="Z2645" s="19">
        <v>0.1474</v>
      </c>
      <c r="AB2645" s="18">
        <v>7308</v>
      </c>
      <c r="AC2645" s="18">
        <v>4</v>
      </c>
    </row>
    <row r="2646" spans="1:29" ht="15.75" customHeight="1" x14ac:dyDescent="0.2">
      <c r="A2646" s="17" t="str">
        <f>HYPERLINK("https://www.wssu.edu", "Winston-Salem State University")</f>
        <v>Winston-Salem State University</v>
      </c>
      <c r="B2646" s="18" t="s">
        <v>49</v>
      </c>
      <c r="C2646" s="18" t="s">
        <v>103</v>
      </c>
      <c r="D2646" s="18" t="s">
        <v>178</v>
      </c>
      <c r="E2646" s="18">
        <v>943</v>
      </c>
      <c r="F2646" s="18" t="s">
        <v>35</v>
      </c>
      <c r="J2646" s="19"/>
      <c r="K2646" s="19">
        <v>0.49380000000000002</v>
      </c>
      <c r="L2646" s="19">
        <v>0.43843031100000002</v>
      </c>
      <c r="M2646" s="19">
        <v>0.3226</v>
      </c>
      <c r="N2646" s="19">
        <v>0.49430000000000002</v>
      </c>
      <c r="O2646" s="19">
        <v>0.57140000000000002</v>
      </c>
      <c r="P2646" s="19">
        <v>0.8</v>
      </c>
      <c r="Q2646" s="19"/>
      <c r="R2646" s="20">
        <v>30074</v>
      </c>
      <c r="S2646" s="33" t="str">
        <f>HYPERLINK("https://www.wssu.edu/net-price-calculator/npcalc.htm", "$21450")</f>
        <v>$21450</v>
      </c>
      <c r="T2646" s="20">
        <v>25375</v>
      </c>
      <c r="U2646" s="20">
        <v>28420</v>
      </c>
      <c r="V2646" s="20">
        <v>3857</v>
      </c>
      <c r="W2646" s="20">
        <v>17593.84552845528</v>
      </c>
      <c r="Y2646" s="19">
        <v>0.62929999999999997</v>
      </c>
      <c r="Z2646" s="19">
        <v>0.88449999999999995</v>
      </c>
      <c r="AB2646" s="18">
        <v>4570</v>
      </c>
      <c r="AC2646" s="18">
        <v>5</v>
      </c>
    </row>
    <row r="2647" spans="1:29" ht="15.75" customHeight="1" x14ac:dyDescent="0.2">
      <c r="A2647" s="17" t="str">
        <f>HYPERLINK("https://www.winthrop.edu", "Winthrop University")</f>
        <v>Winthrop University</v>
      </c>
      <c r="B2647" s="18" t="s">
        <v>49</v>
      </c>
      <c r="C2647" s="18" t="s">
        <v>208</v>
      </c>
      <c r="D2647" s="18" t="s">
        <v>1147</v>
      </c>
      <c r="E2647" s="18">
        <v>1101</v>
      </c>
      <c r="F2647" s="18" t="s">
        <v>35</v>
      </c>
      <c r="J2647" s="19"/>
      <c r="K2647" s="19">
        <v>0.57069999999999999</v>
      </c>
      <c r="L2647" s="19">
        <v>0.53809523799999992</v>
      </c>
      <c r="M2647" s="19">
        <v>0.54249999999999998</v>
      </c>
      <c r="N2647" s="19">
        <v>0.62860000000000005</v>
      </c>
      <c r="O2647" s="19">
        <v>0.54549999999999998</v>
      </c>
      <c r="P2647" s="19">
        <v>0.625</v>
      </c>
      <c r="Q2647" s="19"/>
      <c r="R2647" s="20">
        <v>42104</v>
      </c>
      <c r="S2647" s="33" t="str">
        <f>HYPERLINK("https://www.winthrop.edu/finaid/default.aspx?id=20273", "$29826")</f>
        <v>$29826</v>
      </c>
      <c r="T2647" s="20">
        <v>32619</v>
      </c>
      <c r="U2647" s="20">
        <v>34556</v>
      </c>
      <c r="V2647" s="20">
        <v>4228</v>
      </c>
      <c r="W2647" s="20">
        <v>25598.915167095121</v>
      </c>
      <c r="Y2647" s="19">
        <v>0.40799999999999997</v>
      </c>
      <c r="Z2647" s="19">
        <v>0.42530000000000001</v>
      </c>
      <c r="AB2647" s="18">
        <v>4710</v>
      </c>
      <c r="AC2647" s="18">
        <v>4</v>
      </c>
    </row>
    <row r="2648" spans="1:29" ht="15.75" customHeight="1" x14ac:dyDescent="0.2">
      <c r="A2648" s="17" t="str">
        <f>HYPERLINK("https://wlc.edu", "Wisconsin Lutheran College")</f>
        <v>Wisconsin Lutheran College</v>
      </c>
      <c r="B2648" s="18" t="s">
        <v>32</v>
      </c>
      <c r="C2648" s="18" t="s">
        <v>196</v>
      </c>
      <c r="D2648" s="18" t="s">
        <v>410</v>
      </c>
      <c r="E2648" s="18">
        <v>1145</v>
      </c>
      <c r="F2648" s="18" t="s">
        <v>35</v>
      </c>
      <c r="J2648" s="19"/>
      <c r="K2648" s="19">
        <v>0.66539999999999999</v>
      </c>
      <c r="L2648" s="19">
        <v>0.365853659</v>
      </c>
      <c r="M2648" s="19">
        <v>0.69640000000000002</v>
      </c>
      <c r="N2648" s="19">
        <v>0.23080000000000001</v>
      </c>
      <c r="O2648" s="19">
        <v>0.5</v>
      </c>
      <c r="P2648" s="19">
        <v>0.66669999999999996</v>
      </c>
      <c r="Q2648" s="19"/>
      <c r="R2648" s="20">
        <v>41996</v>
      </c>
      <c r="S2648" s="33" t="str">
        <f>HYPERLINK("https://wlc.edu/Net-Price-Calculator/", "$15183")</f>
        <v>$15183</v>
      </c>
      <c r="T2648" s="20">
        <v>16226</v>
      </c>
      <c r="U2648" s="20">
        <v>20509</v>
      </c>
      <c r="V2648" s="20">
        <v>2946</v>
      </c>
      <c r="W2648" s="20">
        <v>12237</v>
      </c>
      <c r="Y2648" s="19">
        <v>0.28499999999999998</v>
      </c>
      <c r="Z2648" s="19">
        <v>0.1792</v>
      </c>
      <c r="AB2648" s="18">
        <v>982</v>
      </c>
      <c r="AC2648" s="18">
        <v>3</v>
      </c>
    </row>
    <row r="2649" spans="1:29" ht="15.75" customHeight="1" x14ac:dyDescent="0.2">
      <c r="A2649" s="17" t="str">
        <f>HYPERLINK("https://www.wittenberg.edu", "Wittenberg University")</f>
        <v>Wittenberg University</v>
      </c>
      <c r="B2649" s="18" t="s">
        <v>32</v>
      </c>
      <c r="C2649" s="18" t="s">
        <v>75</v>
      </c>
      <c r="D2649" s="18" t="s">
        <v>349</v>
      </c>
      <c r="E2649" s="18" t="s">
        <v>36</v>
      </c>
      <c r="F2649" s="18" t="s">
        <v>45</v>
      </c>
      <c r="J2649" s="19"/>
      <c r="K2649" s="19">
        <v>0.66539999999999999</v>
      </c>
      <c r="L2649" s="19">
        <v>0.39805825200000011</v>
      </c>
      <c r="M2649" s="19">
        <v>0.68889999999999996</v>
      </c>
      <c r="N2649" s="19">
        <v>0.4118</v>
      </c>
      <c r="O2649" s="19">
        <v>0.6</v>
      </c>
      <c r="P2649" s="19">
        <v>0.5</v>
      </c>
      <c r="Q2649" s="19"/>
      <c r="R2649" s="20">
        <v>52056</v>
      </c>
      <c r="S2649" s="33" t="str">
        <f>HYPERLINK("https://www.wittenberg.edu/admission/facalc", "$19304")</f>
        <v>$19304</v>
      </c>
      <c r="T2649" s="20">
        <v>24150</v>
      </c>
      <c r="U2649" s="20">
        <v>27052</v>
      </c>
      <c r="V2649" s="20">
        <v>3200</v>
      </c>
      <c r="W2649" s="20">
        <v>16104</v>
      </c>
      <c r="Y2649" s="19">
        <v>0.31169999999999998</v>
      </c>
      <c r="Z2649" s="19">
        <v>0.23649999999999999</v>
      </c>
      <c r="AB2649" s="18">
        <v>1780</v>
      </c>
      <c r="AC2649" s="18">
        <v>3</v>
      </c>
    </row>
    <row r="2650" spans="1:29" ht="15.75" customHeight="1" x14ac:dyDescent="0.2">
      <c r="A2650" s="17" t="str">
        <f>HYPERLINK("https://www.wofford.edu", "Wofford College")</f>
        <v>Wofford College</v>
      </c>
      <c r="B2650" s="18" t="s">
        <v>32</v>
      </c>
      <c r="C2650" s="18" t="s">
        <v>208</v>
      </c>
      <c r="D2650" s="18" t="s">
        <v>542</v>
      </c>
      <c r="E2650" s="18">
        <v>1312</v>
      </c>
      <c r="F2650" s="18" t="s">
        <v>115</v>
      </c>
      <c r="J2650" s="19"/>
      <c r="K2650" s="19">
        <v>0.80669999999999997</v>
      </c>
      <c r="L2650" s="19">
        <v>0.74468085099999992</v>
      </c>
      <c r="M2650" s="19">
        <v>0.8</v>
      </c>
      <c r="N2650" s="19">
        <v>0.84379999999999999</v>
      </c>
      <c r="O2650" s="19">
        <v>0.78569999999999995</v>
      </c>
      <c r="P2650" s="19">
        <v>0.90910000000000002</v>
      </c>
      <c r="Q2650" s="19"/>
      <c r="R2650" s="20">
        <v>57749</v>
      </c>
      <c r="S2650" s="33" t="str">
        <f>HYPERLINK("https://wofford.studentaidcalculator.com", "$15903")</f>
        <v>$15903</v>
      </c>
      <c r="T2650" s="20">
        <v>20635</v>
      </c>
      <c r="U2650" s="20">
        <v>26015</v>
      </c>
      <c r="V2650" s="20">
        <v>3654</v>
      </c>
      <c r="W2650" s="20">
        <v>12249</v>
      </c>
      <c r="Y2650" s="19">
        <v>0.1628</v>
      </c>
      <c r="Z2650" s="19">
        <v>0.20419999999999999</v>
      </c>
      <c r="AB2650" s="18">
        <v>1675</v>
      </c>
      <c r="AC2650" s="18">
        <v>3</v>
      </c>
    </row>
    <row r="2651" spans="1:29" ht="15.75" customHeight="1" x14ac:dyDescent="0.2">
      <c r="A2651" s="17" t="str">
        <f>HYPERLINK("https://woodbury.edu/", "Woodbury University")</f>
        <v>Woodbury University</v>
      </c>
      <c r="B2651" s="18" t="s">
        <v>32</v>
      </c>
      <c r="C2651" s="18" t="s">
        <v>68</v>
      </c>
      <c r="D2651" s="18" t="s">
        <v>943</v>
      </c>
      <c r="E2651" s="18">
        <v>1076</v>
      </c>
      <c r="F2651" s="18" t="s">
        <v>115</v>
      </c>
      <c r="J2651" s="19"/>
      <c r="K2651" s="19">
        <v>0.52100000000000002</v>
      </c>
      <c r="L2651" s="19">
        <v>0.313253012</v>
      </c>
      <c r="M2651" s="19">
        <v>0.75609999999999999</v>
      </c>
      <c r="N2651" s="19">
        <v>0.28570000000000001</v>
      </c>
      <c r="O2651" s="19">
        <v>0.42109999999999997</v>
      </c>
      <c r="P2651" s="19">
        <v>0.57140000000000002</v>
      </c>
      <c r="Q2651" s="19"/>
      <c r="R2651" s="20">
        <v>54633</v>
      </c>
      <c r="S2651" s="33" t="str">
        <f>HYPERLINK("https://npc.collegeboard.org/student/app/woodburyim", "$24488")</f>
        <v>$24488</v>
      </c>
      <c r="T2651" s="20">
        <v>30986</v>
      </c>
      <c r="U2651" s="20">
        <v>31001</v>
      </c>
      <c r="V2651" s="20">
        <v>5040</v>
      </c>
      <c r="W2651" s="20">
        <v>19448</v>
      </c>
      <c r="Y2651" s="19">
        <v>0.42209999999999998</v>
      </c>
      <c r="Z2651" s="19">
        <v>0.68819999999999992</v>
      </c>
      <c r="AB2651" s="18">
        <v>1023</v>
      </c>
      <c r="AC2651" s="18">
        <v>5</v>
      </c>
    </row>
    <row r="2652" spans="1:29" ht="15.75" customHeight="1" x14ac:dyDescent="0.2">
      <c r="A2652" s="17" t="str">
        <f>HYPERLINK("https://wcc.yccd.edu", "Woodland Community College")</f>
        <v>Woodland Community College</v>
      </c>
      <c r="B2652" s="18" t="s">
        <v>49</v>
      </c>
      <c r="C2652" s="18" t="s">
        <v>68</v>
      </c>
      <c r="D2652" s="18" t="s">
        <v>1776</v>
      </c>
      <c r="E2652" s="18" t="s">
        <v>36</v>
      </c>
      <c r="F2652" s="18" t="s">
        <v>36</v>
      </c>
      <c r="J2652" s="19"/>
      <c r="K2652" s="19">
        <v>0.21290000000000001</v>
      </c>
      <c r="L2652" s="19" t="s">
        <v>36</v>
      </c>
      <c r="M2652" s="19">
        <v>0.3125</v>
      </c>
      <c r="N2652" s="19">
        <v>0.5</v>
      </c>
      <c r="O2652" s="19">
        <v>0.1721</v>
      </c>
      <c r="P2652" s="19">
        <v>0.28570000000000001</v>
      </c>
      <c r="Q2652" s="19">
        <v>0.20833333300000001</v>
      </c>
      <c r="R2652" s="20">
        <v>25670</v>
      </c>
      <c r="S2652" s="33" t="str">
        <f>HYPERLINK("https://wcc.yccd.edu/student/financialaid/calculator/", "$19677")</f>
        <v>$19677</v>
      </c>
      <c r="T2652" s="20">
        <v>22313</v>
      </c>
      <c r="U2652" s="20" t="s">
        <v>36</v>
      </c>
      <c r="V2652" s="20">
        <v>6093</v>
      </c>
      <c r="W2652" s="20">
        <v>13584.13725490196</v>
      </c>
      <c r="Y2652" s="19">
        <v>0.28449999999999998</v>
      </c>
      <c r="Z2652" s="19">
        <v>0.69730000000000003</v>
      </c>
      <c r="AB2652" s="18">
        <v>2891</v>
      </c>
      <c r="AC2652" s="18">
        <v>6</v>
      </c>
    </row>
    <row r="2653" spans="1:29" ht="15.75" customHeight="1" x14ac:dyDescent="0.2">
      <c r="A2653" s="17" t="str">
        <f>HYPERLINK("https://www.worwic.edu", "Wor-Wic Community College")</f>
        <v>Wor-Wic Community College</v>
      </c>
      <c r="B2653" s="18" t="s">
        <v>49</v>
      </c>
      <c r="C2653" s="18" t="s">
        <v>124</v>
      </c>
      <c r="D2653" s="18" t="s">
        <v>469</v>
      </c>
      <c r="E2653" s="18" t="s">
        <v>36</v>
      </c>
      <c r="F2653" s="18" t="s">
        <v>36</v>
      </c>
      <c r="J2653" s="19"/>
      <c r="K2653" s="19">
        <v>0.19539999999999999</v>
      </c>
      <c r="L2653" s="19">
        <v>0.15525672400000001</v>
      </c>
      <c r="M2653" s="19">
        <v>0.2351</v>
      </c>
      <c r="N2653" s="19">
        <v>7.8899999999999998E-2</v>
      </c>
      <c r="O2653" s="19">
        <v>0.1429</v>
      </c>
      <c r="P2653" s="19">
        <v>0.1</v>
      </c>
      <c r="Q2653" s="19">
        <v>6.9846677999999995E-2</v>
      </c>
      <c r="R2653" s="20">
        <v>21986</v>
      </c>
      <c r="S2653" s="33" t="str">
        <f>HYPERLINK("https://www.worwic.edu/StudentServices/NetPrice/npcalc.htm", "$17145")</f>
        <v>$17145</v>
      </c>
      <c r="T2653" s="20">
        <v>19020</v>
      </c>
      <c r="U2653" s="20">
        <v>21743</v>
      </c>
      <c r="V2653" s="20">
        <v>7700</v>
      </c>
      <c r="W2653" s="20">
        <v>9445.9491525423728</v>
      </c>
      <c r="Y2653" s="19">
        <v>0.45750000000000002</v>
      </c>
      <c r="Z2653" s="19">
        <v>0.40649999999999997</v>
      </c>
      <c r="AB2653" s="18">
        <v>2652</v>
      </c>
      <c r="AC2653" s="18">
        <v>6</v>
      </c>
    </row>
    <row r="2654" spans="1:29" ht="15.75" customHeight="1" x14ac:dyDescent="0.2">
      <c r="A2654" s="17" t="str">
        <f>HYPERLINK("https://www.wpi.edu/", "Worcester Polytechnic Institute")</f>
        <v>Worcester Polytechnic Institute</v>
      </c>
      <c r="B2654" s="18" t="s">
        <v>32</v>
      </c>
      <c r="C2654" s="18" t="s">
        <v>33</v>
      </c>
      <c r="D2654" s="18" t="s">
        <v>86</v>
      </c>
      <c r="E2654" s="18" t="s">
        <v>36</v>
      </c>
      <c r="F2654" s="18" t="s">
        <v>45</v>
      </c>
      <c r="J2654" s="19"/>
      <c r="K2654" s="19">
        <v>0.88649999999999995</v>
      </c>
      <c r="L2654" s="19">
        <v>0.67961165099999998</v>
      </c>
      <c r="M2654" s="19">
        <v>0.90400000000000003</v>
      </c>
      <c r="N2654" s="19">
        <v>0.76</v>
      </c>
      <c r="O2654" s="19">
        <v>0.80259999999999998</v>
      </c>
      <c r="P2654" s="19">
        <v>0.91839999999999999</v>
      </c>
      <c r="Q2654" s="19"/>
      <c r="R2654" s="20">
        <v>65046</v>
      </c>
      <c r="S2654" s="33" t="str">
        <f>HYPERLINK("https://www.wpi.edu/admissions/tuition-aid/financial-need/net-price-calculator", "$28767")</f>
        <v>$28767</v>
      </c>
      <c r="T2654" s="20">
        <v>33493</v>
      </c>
      <c r="U2654" s="20">
        <v>39727</v>
      </c>
      <c r="V2654" s="20">
        <v>2200</v>
      </c>
      <c r="W2654" s="20">
        <v>26567</v>
      </c>
      <c r="Y2654" s="19">
        <v>0.1216</v>
      </c>
      <c r="Z2654" s="19">
        <v>0.36499999999999999</v>
      </c>
      <c r="AB2654" s="18">
        <v>4337</v>
      </c>
      <c r="AC2654" s="18">
        <v>2</v>
      </c>
    </row>
    <row r="2655" spans="1:29" ht="15.75" customHeight="1" x14ac:dyDescent="0.2">
      <c r="A2655" s="17" t="str">
        <f>HYPERLINK("https://www.worcester.edu", "Worcester State University")</f>
        <v>Worcester State University</v>
      </c>
      <c r="B2655" s="18" t="s">
        <v>49</v>
      </c>
      <c r="C2655" s="18" t="s">
        <v>33</v>
      </c>
      <c r="D2655" s="18" t="s">
        <v>86</v>
      </c>
      <c r="E2655" s="18" t="s">
        <v>36</v>
      </c>
      <c r="F2655" s="18" t="s">
        <v>90</v>
      </c>
      <c r="J2655" s="19"/>
      <c r="K2655" s="19">
        <v>0.5544</v>
      </c>
      <c r="L2655" s="19">
        <v>0.39933993400000001</v>
      </c>
      <c r="M2655" s="19">
        <v>0.57769999999999999</v>
      </c>
      <c r="N2655" s="19">
        <v>0.58330000000000004</v>
      </c>
      <c r="O2655" s="19">
        <v>0.44619999999999999</v>
      </c>
      <c r="P2655" s="19">
        <v>0.57889999999999997</v>
      </c>
      <c r="Q2655" s="19"/>
      <c r="R2655" s="20">
        <v>31810</v>
      </c>
      <c r="S2655" s="33" t="str">
        <f>HYPERLINK("https://www.worcester.edu/NetPriceCalculator/npcalc.htm", "$26411")</f>
        <v>$26411</v>
      </c>
      <c r="T2655" s="20">
        <v>29897</v>
      </c>
      <c r="U2655" s="20">
        <v>31440</v>
      </c>
      <c r="V2655" s="20">
        <v>4068</v>
      </c>
      <c r="W2655" s="20">
        <v>22343.608938547481</v>
      </c>
      <c r="Y2655" s="19">
        <v>0.2888</v>
      </c>
      <c r="Z2655" s="19">
        <v>0.33779999999999999</v>
      </c>
      <c r="AB2655" s="18">
        <v>5035</v>
      </c>
      <c r="AC2655" s="18">
        <v>4</v>
      </c>
    </row>
    <row r="2656" spans="1:29" ht="15.75" customHeight="1" x14ac:dyDescent="0.2">
      <c r="A2656" s="17" t="str">
        <f>HYPERLINK("https://www.worsham.edu", "Worsham College of Mortuary Science")</f>
        <v>Worsham College of Mortuary Science</v>
      </c>
      <c r="B2656" s="18" t="s">
        <v>368</v>
      </c>
      <c r="C2656" s="18" t="s">
        <v>137</v>
      </c>
      <c r="D2656" s="18" t="s">
        <v>1413</v>
      </c>
      <c r="E2656" s="18" t="s">
        <v>36</v>
      </c>
      <c r="F2656" s="18" t="s">
        <v>36</v>
      </c>
      <c r="J2656" s="19"/>
      <c r="K2656" s="19" t="s">
        <v>36</v>
      </c>
      <c r="L2656" s="19" t="s">
        <v>36</v>
      </c>
      <c r="M2656" s="19" t="s">
        <v>36</v>
      </c>
      <c r="N2656" s="19" t="s">
        <v>36</v>
      </c>
      <c r="O2656" s="19" t="s">
        <v>36</v>
      </c>
      <c r="P2656" s="19" t="s">
        <v>36</v>
      </c>
      <c r="Q2656" s="19" t="s">
        <v>36</v>
      </c>
      <c r="R2656" s="20" t="s">
        <v>36</v>
      </c>
      <c r="S2656" s="37" t="s">
        <v>36</v>
      </c>
      <c r="T2656" s="20" t="s">
        <v>36</v>
      </c>
      <c r="U2656" s="20" t="s">
        <v>36</v>
      </c>
      <c r="V2656" s="20" t="s">
        <v>36</v>
      </c>
      <c r="W2656" s="20" t="s">
        <v>36</v>
      </c>
      <c r="Y2656" s="19">
        <v>0.33700000000000002</v>
      </c>
      <c r="Z2656" s="19">
        <v>0.2069</v>
      </c>
      <c r="AB2656" s="18">
        <v>87</v>
      </c>
      <c r="AC2656" s="18">
        <v>6</v>
      </c>
    </row>
    <row r="2657" spans="1:29" ht="15.75" customHeight="1" x14ac:dyDescent="0.2">
      <c r="A2657" s="17" t="str">
        <f>HYPERLINK("https://lake.wright.edu", "Wright State University-Lake Campus")</f>
        <v>Wright State University-Lake Campus</v>
      </c>
      <c r="B2657" s="18" t="s">
        <v>49</v>
      </c>
      <c r="C2657" s="18" t="s">
        <v>75</v>
      </c>
      <c r="D2657" s="18" t="s">
        <v>1427</v>
      </c>
      <c r="E2657" s="18">
        <v>1041</v>
      </c>
      <c r="F2657" s="18" t="s">
        <v>35</v>
      </c>
      <c r="J2657" s="19"/>
      <c r="K2657" s="19">
        <v>0.42059999999999997</v>
      </c>
      <c r="L2657" s="19">
        <v>0.31297709899999998</v>
      </c>
      <c r="M2657" s="19">
        <v>0.43440000000000001</v>
      </c>
      <c r="N2657" s="19">
        <v>0</v>
      </c>
      <c r="O2657" s="19">
        <v>0</v>
      </c>
      <c r="P2657" s="19" t="s">
        <v>36</v>
      </c>
      <c r="Q2657" s="19"/>
      <c r="R2657" s="20">
        <v>28826</v>
      </c>
      <c r="S2657" s="33" t="str">
        <f>HYPERLINK("https://www.wright.edu/raiderconnect/forms-and-resources/cost-estimator", "$23367")</f>
        <v>$23367</v>
      </c>
      <c r="T2657" s="20">
        <v>24957</v>
      </c>
      <c r="U2657" s="20">
        <v>27295</v>
      </c>
      <c r="V2657" s="20">
        <v>4032</v>
      </c>
      <c r="W2657" s="20">
        <v>19335.232558139531</v>
      </c>
      <c r="Y2657" s="19">
        <v>0.25519999999999998</v>
      </c>
      <c r="Z2657" s="19">
        <v>7.6099999999999945E-2</v>
      </c>
      <c r="AB2657" s="18">
        <v>828</v>
      </c>
      <c r="AC2657" s="18">
        <v>4</v>
      </c>
    </row>
    <row r="2658" spans="1:29" ht="15.75" customHeight="1" x14ac:dyDescent="0.2">
      <c r="A2658" s="17" t="str">
        <f>HYPERLINK("https://www.wright.edu", "Wright State University-Main Campus")</f>
        <v>Wright State University-Main Campus</v>
      </c>
      <c r="B2658" s="18" t="s">
        <v>49</v>
      </c>
      <c r="C2658" s="18" t="s">
        <v>75</v>
      </c>
      <c r="D2658" s="18" t="s">
        <v>506</v>
      </c>
      <c r="E2658" s="18">
        <v>1107</v>
      </c>
      <c r="F2658" s="18" t="s">
        <v>35</v>
      </c>
      <c r="J2658" s="19"/>
      <c r="K2658" s="19">
        <v>0.35759999999999997</v>
      </c>
      <c r="L2658" s="19">
        <v>0.31297709899999998</v>
      </c>
      <c r="M2658" s="19">
        <v>0.42749999999999999</v>
      </c>
      <c r="N2658" s="19">
        <v>0.14580000000000001</v>
      </c>
      <c r="O2658" s="19">
        <v>0.30669999999999997</v>
      </c>
      <c r="P2658" s="19">
        <v>0.48209999999999997</v>
      </c>
      <c r="Q2658" s="19"/>
      <c r="R2658" s="20">
        <v>32506</v>
      </c>
      <c r="S2658" s="33" t="str">
        <f>HYPERLINK("https://www.wright.edu/raiderconnect/forms-and-resources/cost-estimator", "$24523")</f>
        <v>$24523</v>
      </c>
      <c r="T2658" s="20">
        <v>28147</v>
      </c>
      <c r="U2658" s="20">
        <v>30209</v>
      </c>
      <c r="V2658" s="20">
        <v>4032</v>
      </c>
      <c r="W2658" s="20">
        <v>20491.52941176471</v>
      </c>
      <c r="Y2658" s="19">
        <v>0.3387</v>
      </c>
      <c r="Z2658" s="19">
        <v>0.25469999999999998</v>
      </c>
      <c r="AB2658" s="18">
        <v>11251</v>
      </c>
      <c r="AC2658" s="18">
        <v>4</v>
      </c>
    </row>
    <row r="2659" spans="1:29" ht="15.75" customHeight="1" x14ac:dyDescent="0.2">
      <c r="A2659" s="17" t="str">
        <f>HYPERLINK("https://www.xavier.edu", "Xavier University")</f>
        <v>Xavier University</v>
      </c>
      <c r="B2659" s="18" t="s">
        <v>32</v>
      </c>
      <c r="C2659" s="18" t="s">
        <v>75</v>
      </c>
      <c r="D2659" s="18" t="s">
        <v>502</v>
      </c>
      <c r="E2659" s="18">
        <v>1195</v>
      </c>
      <c r="F2659" s="18" t="s">
        <v>35</v>
      </c>
      <c r="J2659" s="19"/>
      <c r="K2659" s="19">
        <v>0.69240000000000002</v>
      </c>
      <c r="L2659" s="19">
        <v>0.50476190499999996</v>
      </c>
      <c r="M2659" s="19">
        <v>0.7248</v>
      </c>
      <c r="N2659" s="19">
        <v>0.5</v>
      </c>
      <c r="O2659" s="19">
        <v>0.71700000000000008</v>
      </c>
      <c r="P2659" s="19">
        <v>0.57889999999999997</v>
      </c>
      <c r="Q2659" s="19"/>
      <c r="R2659" s="20">
        <v>52380</v>
      </c>
      <c r="S2659" s="33" t="str">
        <f>HYPERLINK("https://www.xavier.edu/undergraduate-admission/net-price-calculator", "$25468")</f>
        <v>$25468</v>
      </c>
      <c r="T2659" s="20">
        <v>29287</v>
      </c>
      <c r="U2659" s="20">
        <v>30310</v>
      </c>
      <c r="V2659" s="20">
        <v>3000</v>
      </c>
      <c r="W2659" s="20">
        <v>22468</v>
      </c>
      <c r="Y2659" s="19">
        <v>0.1628</v>
      </c>
      <c r="Z2659" s="19">
        <v>0.25030000000000002</v>
      </c>
      <c r="AB2659" s="18">
        <v>4571</v>
      </c>
      <c r="AC2659" s="18">
        <v>3</v>
      </c>
    </row>
    <row r="2660" spans="1:29" ht="15.75" customHeight="1" x14ac:dyDescent="0.2">
      <c r="A2660" s="17" t="str">
        <f>HYPERLINK("https://www.xula.edu", "Xavier University of Louisiana")</f>
        <v>Xavier University of Louisiana</v>
      </c>
      <c r="B2660" s="18" t="s">
        <v>32</v>
      </c>
      <c r="C2660" s="18" t="s">
        <v>158</v>
      </c>
      <c r="D2660" s="18" t="s">
        <v>159</v>
      </c>
      <c r="E2660" s="18">
        <v>1126</v>
      </c>
      <c r="F2660" s="18" t="s">
        <v>35</v>
      </c>
      <c r="J2660" s="19"/>
      <c r="K2660" s="19">
        <v>0.44009999999999999</v>
      </c>
      <c r="L2660" s="19">
        <v>0.33793103499999999</v>
      </c>
      <c r="M2660" s="19">
        <v>0.6875</v>
      </c>
      <c r="N2660" s="19">
        <v>0.42299999999999999</v>
      </c>
      <c r="O2660" s="19">
        <v>0.4</v>
      </c>
      <c r="P2660" s="19">
        <v>0.61539999999999995</v>
      </c>
      <c r="Q2660" s="19"/>
      <c r="R2660" s="20">
        <v>36443</v>
      </c>
      <c r="S2660" s="33" t="str">
        <f>HYPERLINK("https://www.xula.edu/net-price-calculator", "$12888")</f>
        <v>$12888</v>
      </c>
      <c r="T2660" s="20">
        <v>19442</v>
      </c>
      <c r="U2660" s="20">
        <v>20753</v>
      </c>
      <c r="V2660" s="20">
        <v>3303</v>
      </c>
      <c r="W2660" s="20">
        <v>9585</v>
      </c>
      <c r="Y2660" s="19">
        <v>0.53649999999999998</v>
      </c>
      <c r="Z2660" s="19">
        <v>0.97219999999999995</v>
      </c>
      <c r="AB2660" s="18">
        <v>2266</v>
      </c>
      <c r="AC2660" s="18">
        <v>4</v>
      </c>
    </row>
    <row r="2661" spans="1:29" ht="15.75" customHeight="1" x14ac:dyDescent="0.2">
      <c r="A2661" s="17" t="str">
        <f>HYPERLINK("https://www.yti.edu", "YTI Career Institute-Altoona")</f>
        <v>YTI Career Institute-Altoona</v>
      </c>
      <c r="B2661" s="18" t="s">
        <v>368</v>
      </c>
      <c r="C2661" s="18" t="s">
        <v>65</v>
      </c>
      <c r="D2661" s="18" t="s">
        <v>1051</v>
      </c>
      <c r="E2661" s="18" t="s">
        <v>36</v>
      </c>
      <c r="F2661" s="18" t="s">
        <v>36</v>
      </c>
      <c r="J2661" s="19"/>
      <c r="K2661" s="19">
        <v>0.5625</v>
      </c>
      <c r="L2661" s="19">
        <v>0.63372092999999996</v>
      </c>
      <c r="M2661" s="19">
        <v>0.57040000000000002</v>
      </c>
      <c r="N2661" s="19">
        <v>0.8</v>
      </c>
      <c r="O2661" s="19" t="s">
        <v>36</v>
      </c>
      <c r="P2661" s="19" t="s">
        <v>36</v>
      </c>
      <c r="Q2661" s="19" t="s">
        <v>36</v>
      </c>
      <c r="R2661" s="20" t="s">
        <v>36</v>
      </c>
      <c r="S2661" s="33" t="str">
        <f>HYPERLINK("https://www.yti.edu/financialaid/npcalc.asp", "$16134")</f>
        <v>$16134</v>
      </c>
      <c r="T2661" s="20">
        <v>14972</v>
      </c>
      <c r="U2661" s="20">
        <v>20813</v>
      </c>
      <c r="V2661" s="20" t="s">
        <v>36</v>
      </c>
      <c r="W2661" s="20" t="s">
        <v>36</v>
      </c>
      <c r="Y2661" s="19">
        <v>0.63700000000000001</v>
      </c>
      <c r="Z2661" s="19">
        <v>7.5600000000000001E-2</v>
      </c>
      <c r="AB2661" s="18">
        <v>172</v>
      </c>
      <c r="AC2661" s="18">
        <v>6</v>
      </c>
    </row>
    <row r="2662" spans="1:29" ht="15.75" customHeight="1" x14ac:dyDescent="0.2">
      <c r="A2662" s="17" t="str">
        <f>HYPERLINK("https://www.yti.edu", "YTI Career Institute-York")</f>
        <v>YTI Career Institute-York</v>
      </c>
      <c r="B2662" s="18" t="s">
        <v>368</v>
      </c>
      <c r="C2662" s="18" t="s">
        <v>65</v>
      </c>
      <c r="D2662" s="18" t="s">
        <v>1064</v>
      </c>
      <c r="E2662" s="18" t="s">
        <v>36</v>
      </c>
      <c r="F2662" s="18" t="s">
        <v>36</v>
      </c>
      <c r="J2662" s="19"/>
      <c r="K2662" s="19">
        <v>0.67520000000000002</v>
      </c>
      <c r="L2662" s="19">
        <v>0.62209302300000002</v>
      </c>
      <c r="M2662" s="19">
        <v>0.74270000000000003</v>
      </c>
      <c r="N2662" s="19">
        <v>0.38779999999999998</v>
      </c>
      <c r="O2662" s="19">
        <v>0.57779999999999998</v>
      </c>
      <c r="P2662" s="19">
        <v>0.9</v>
      </c>
      <c r="Q2662" s="19">
        <v>6.7114090000000006E-3</v>
      </c>
      <c r="R2662" s="20" t="s">
        <v>36</v>
      </c>
      <c r="S2662" s="33" t="str">
        <f>HYPERLINK("https://www.yti.edu/financialaid/npcalc.asp", "$17194")</f>
        <v>$17194</v>
      </c>
      <c r="T2662" s="20">
        <v>19050</v>
      </c>
      <c r="U2662" s="20">
        <v>15756</v>
      </c>
      <c r="V2662" s="20" t="s">
        <v>36</v>
      </c>
      <c r="W2662" s="20" t="s">
        <v>36</v>
      </c>
      <c r="Y2662" s="19">
        <v>0.56479999999999997</v>
      </c>
      <c r="Z2662" s="19">
        <v>0.32100000000000001</v>
      </c>
      <c r="AB2662" s="18">
        <v>1165</v>
      </c>
      <c r="AC2662" s="18">
        <v>6</v>
      </c>
    </row>
    <row r="2663" spans="1:29" ht="15.75" customHeight="1" x14ac:dyDescent="0.2">
      <c r="A2663" s="17" t="str">
        <f>HYPERLINK("https://www.yvcc.edu", "Yakima Valley Community College")</f>
        <v>Yakima Valley Community College</v>
      </c>
      <c r="B2663" s="18" t="s">
        <v>49</v>
      </c>
      <c r="C2663" s="18" t="s">
        <v>184</v>
      </c>
      <c r="D2663" s="18" t="s">
        <v>1777</v>
      </c>
      <c r="E2663" s="18" t="s">
        <v>36</v>
      </c>
      <c r="F2663" s="18" t="s">
        <v>36</v>
      </c>
      <c r="J2663" s="19"/>
      <c r="K2663" s="19">
        <v>0.23949999999999999</v>
      </c>
      <c r="L2663" s="19">
        <v>0.29142857100000003</v>
      </c>
      <c r="M2663" s="19">
        <v>0.27610000000000001</v>
      </c>
      <c r="N2663" s="19">
        <v>0.1429</v>
      </c>
      <c r="O2663" s="19">
        <v>0.21010000000000001</v>
      </c>
      <c r="P2663" s="19">
        <v>0</v>
      </c>
      <c r="Q2663" s="19">
        <v>6.0453400999999997E-2</v>
      </c>
      <c r="R2663" s="20">
        <v>16772</v>
      </c>
      <c r="S2663" s="33" t="str">
        <f>HYPERLINK("https://www.yvcc.edu/financial-aid/net-price-calculator/?highlight=net%20price%20calculator", "$9585")</f>
        <v>$9585</v>
      </c>
      <c r="T2663" s="20">
        <v>13213</v>
      </c>
      <c r="U2663" s="20">
        <v>14465</v>
      </c>
      <c r="V2663" s="20">
        <v>4230</v>
      </c>
      <c r="W2663" s="20">
        <v>5355.2196531791906</v>
      </c>
      <c r="Y2663" s="19">
        <v>0.46820000000000001</v>
      </c>
      <c r="Z2663" s="19">
        <v>0.62909999999999999</v>
      </c>
      <c r="AB2663" s="18">
        <v>2416</v>
      </c>
      <c r="AC2663" s="18">
        <v>6</v>
      </c>
    </row>
    <row r="2664" spans="1:29" ht="15.75" customHeight="1" x14ac:dyDescent="0.2">
      <c r="A2664" s="17" t="str">
        <f>HYPERLINK("https://www.yale.edu", "Yale University")</f>
        <v>Yale University</v>
      </c>
      <c r="B2664" s="18" t="s">
        <v>32</v>
      </c>
      <c r="C2664" s="18" t="s">
        <v>94</v>
      </c>
      <c r="D2664" s="18" t="s">
        <v>187</v>
      </c>
      <c r="E2664" s="18">
        <v>1520</v>
      </c>
      <c r="F2664" s="18" t="s">
        <v>35</v>
      </c>
      <c r="J2664" s="19"/>
      <c r="K2664" s="19">
        <v>0.97400000000000009</v>
      </c>
      <c r="L2664" s="19">
        <v>0.85123966900000003</v>
      </c>
      <c r="M2664" s="19">
        <v>0.97470000000000001</v>
      </c>
      <c r="N2664" s="19">
        <v>0.95599999999999996</v>
      </c>
      <c r="O2664" s="19">
        <v>0.99339999999999995</v>
      </c>
      <c r="P2664" s="19">
        <v>0.98209999999999997</v>
      </c>
      <c r="Q2664" s="19"/>
      <c r="R2664" s="20">
        <v>71290</v>
      </c>
      <c r="S2664" s="33" t="str">
        <f>HYPERLINK("https://admissions.yale.edu/yale-net-price-calculator", "$4554")</f>
        <v>$4554</v>
      </c>
      <c r="T2664" s="20">
        <v>6986</v>
      </c>
      <c r="U2664" s="20">
        <v>13223</v>
      </c>
      <c r="V2664" s="20">
        <v>4390</v>
      </c>
      <c r="W2664" s="20">
        <v>164</v>
      </c>
      <c r="X2664" s="18" t="s">
        <v>37</v>
      </c>
      <c r="Y2664" s="19">
        <v>0.14460000000000001</v>
      </c>
      <c r="Z2664" s="19">
        <v>0.55309999999999993</v>
      </c>
      <c r="AA2664" s="18" t="s">
        <v>37</v>
      </c>
      <c r="AB2664" s="18">
        <v>5742</v>
      </c>
      <c r="AC2664" s="18">
        <v>1</v>
      </c>
    </row>
    <row r="2665" spans="1:29" ht="15.75" customHeight="1" x14ac:dyDescent="0.2">
      <c r="A2665" s="17" t="str">
        <f>HYPERLINK("https://yeshivagedolahkessertorah.com", "Yeshiva Gedolah Kesser Torah")</f>
        <v>Yeshiva Gedolah Kesser Torah</v>
      </c>
      <c r="B2665" s="18" t="s">
        <v>32</v>
      </c>
      <c r="C2665" s="18" t="s">
        <v>38</v>
      </c>
      <c r="D2665" s="18" t="s">
        <v>1638</v>
      </c>
      <c r="E2665" s="18" t="s">
        <v>36</v>
      </c>
      <c r="F2665" s="18" t="s">
        <v>45</v>
      </c>
      <c r="J2665" s="19"/>
      <c r="K2665" s="19">
        <v>0.36840000000000001</v>
      </c>
      <c r="L2665" s="19" t="s">
        <v>36</v>
      </c>
      <c r="M2665" s="19">
        <v>0.36840000000000001</v>
      </c>
      <c r="N2665" s="19" t="s">
        <v>36</v>
      </c>
      <c r="O2665" s="19" t="s">
        <v>36</v>
      </c>
      <c r="P2665" s="19" t="s">
        <v>36</v>
      </c>
      <c r="Q2665" s="19" t="s">
        <v>36</v>
      </c>
      <c r="R2665" s="20">
        <v>19300</v>
      </c>
      <c r="S2665" s="33" t="str">
        <f>HYPERLINK("https://sites.google.com/site/ygkessertorah", "$10995")</f>
        <v>$10995</v>
      </c>
      <c r="T2665" s="20">
        <v>11560</v>
      </c>
      <c r="U2665" s="20">
        <v>9604</v>
      </c>
      <c r="V2665" s="20">
        <v>4000</v>
      </c>
      <c r="W2665" s="20">
        <v>6995</v>
      </c>
      <c r="Y2665" s="19">
        <v>0.42030000000000001</v>
      </c>
      <c r="Z2665" s="19">
        <v>4.2299999999999997E-2</v>
      </c>
      <c r="AB2665" s="18">
        <v>71</v>
      </c>
      <c r="AC2665" s="18">
        <v>6</v>
      </c>
    </row>
    <row r="2666" spans="1:29" ht="15.75" customHeight="1" x14ac:dyDescent="0.2">
      <c r="A2666" s="17" t="str">
        <f>HYPERLINK("https://www.yu.edu", "Yeshiva University")</f>
        <v>Yeshiva University</v>
      </c>
      <c r="B2666" s="18" t="s">
        <v>32</v>
      </c>
      <c r="C2666" s="18" t="s">
        <v>38</v>
      </c>
      <c r="D2666" s="18" t="s">
        <v>39</v>
      </c>
      <c r="E2666" s="18">
        <v>1272</v>
      </c>
      <c r="F2666" s="18" t="s">
        <v>35</v>
      </c>
      <c r="J2666" s="19"/>
      <c r="K2666" s="19">
        <v>0.81630000000000003</v>
      </c>
      <c r="L2666" s="19">
        <v>0.47311828</v>
      </c>
      <c r="M2666" s="19">
        <v>0.81020000000000003</v>
      </c>
      <c r="N2666" s="19" t="s">
        <v>36</v>
      </c>
      <c r="O2666" s="19">
        <v>1</v>
      </c>
      <c r="P2666" s="19" t="s">
        <v>36</v>
      </c>
      <c r="Q2666" s="19"/>
      <c r="R2666" s="20">
        <v>60525</v>
      </c>
      <c r="S2666" s="33" t="str">
        <f>HYPERLINK("https://yu.studentaidcalculator.com/survey.aspx", "$22936")</f>
        <v>$22936</v>
      </c>
      <c r="T2666" s="20">
        <v>26200</v>
      </c>
      <c r="U2666" s="20">
        <v>35608</v>
      </c>
      <c r="V2666" s="20">
        <v>6575</v>
      </c>
      <c r="W2666" s="20">
        <v>16361</v>
      </c>
      <c r="Y2666" s="19">
        <v>0.16389999999999999</v>
      </c>
      <c r="Z2666" s="19">
        <v>6.0699999999999983E-2</v>
      </c>
      <c r="AB2666" s="18">
        <v>2703</v>
      </c>
      <c r="AC2666" s="18">
        <v>3</v>
      </c>
    </row>
    <row r="2667" spans="1:29" ht="15.75" customHeight="1" x14ac:dyDescent="0.2">
      <c r="A2667" s="17" t="str">
        <f>HYPERLINK("https://yeshivatelshealumni.com", "Yeshiva of the Telshe Alumni")</f>
        <v>Yeshiva of the Telshe Alumni</v>
      </c>
      <c r="B2667" s="18" t="s">
        <v>32</v>
      </c>
      <c r="C2667" s="18" t="s">
        <v>38</v>
      </c>
      <c r="D2667" s="18" t="s">
        <v>402</v>
      </c>
      <c r="E2667" s="18" t="s">
        <v>36</v>
      </c>
      <c r="F2667" s="18" t="s">
        <v>45</v>
      </c>
      <c r="J2667" s="19"/>
      <c r="K2667" s="19">
        <v>4.1700000000000001E-2</v>
      </c>
      <c r="L2667" s="19" t="s">
        <v>36</v>
      </c>
      <c r="M2667" s="19">
        <v>4.3499999999999997E-2</v>
      </c>
      <c r="N2667" s="19" t="s">
        <v>36</v>
      </c>
      <c r="O2667" s="19" t="s">
        <v>36</v>
      </c>
      <c r="P2667" s="19" t="s">
        <v>36</v>
      </c>
      <c r="Q2667" s="19" t="s">
        <v>36</v>
      </c>
      <c r="R2667" s="20">
        <v>19250</v>
      </c>
      <c r="S2667" s="33" t="str">
        <f>HYPERLINK("https://sites.google.com/site/yeshivaofthetelshealumni/", "$9119")</f>
        <v>$9119</v>
      </c>
      <c r="T2667" s="20">
        <v>9702</v>
      </c>
      <c r="U2667" s="20" t="s">
        <v>36</v>
      </c>
      <c r="V2667" s="20">
        <v>4000</v>
      </c>
      <c r="W2667" s="20">
        <v>5119</v>
      </c>
      <c r="Y2667" s="19">
        <v>0.4052</v>
      </c>
      <c r="Z2667" s="19">
        <v>8.600000000000052E-3</v>
      </c>
      <c r="AB2667" s="18">
        <v>116</v>
      </c>
      <c r="AC2667" s="18">
        <v>6</v>
      </c>
    </row>
    <row r="2668" spans="1:29" ht="15.75" customHeight="1" x14ac:dyDescent="0.2">
      <c r="A2668" s="17" t="str">
        <f>HYPERLINK("https://yeshivasnovominsk.com", "Yeshivas Novominsk")</f>
        <v>Yeshivas Novominsk</v>
      </c>
      <c r="B2668" s="18" t="s">
        <v>32</v>
      </c>
      <c r="C2668" s="18" t="s">
        <v>38</v>
      </c>
      <c r="D2668" s="18" t="s">
        <v>593</v>
      </c>
      <c r="E2668" s="18" t="s">
        <v>36</v>
      </c>
      <c r="F2668" s="18" t="s">
        <v>45</v>
      </c>
      <c r="J2668" s="19"/>
      <c r="K2668" s="19">
        <v>3.2300000000000002E-2</v>
      </c>
      <c r="L2668" s="19" t="s">
        <v>36</v>
      </c>
      <c r="M2668" s="19">
        <v>3.2300000000000002E-2</v>
      </c>
      <c r="N2668" s="19" t="s">
        <v>36</v>
      </c>
      <c r="O2668" s="19" t="s">
        <v>36</v>
      </c>
      <c r="P2668" s="19" t="s">
        <v>36</v>
      </c>
      <c r="Q2668" s="19" t="s">
        <v>36</v>
      </c>
      <c r="R2668" s="20">
        <v>17500</v>
      </c>
      <c r="S2668" s="33" t="str">
        <f>HYPERLINK("https://sites.google.com/site/yeshivasnovominskny/", "$7402")</f>
        <v>$7402</v>
      </c>
      <c r="T2668" s="20">
        <v>11480</v>
      </c>
      <c r="U2668" s="20">
        <v>14257</v>
      </c>
      <c r="V2668" s="20">
        <v>4000</v>
      </c>
      <c r="W2668" s="20">
        <v>3402</v>
      </c>
      <c r="Y2668" s="19">
        <v>0.27860000000000001</v>
      </c>
      <c r="Z2668" s="19">
        <v>1.300000000000001E-2</v>
      </c>
      <c r="AB2668" s="18">
        <v>154</v>
      </c>
      <c r="AC2668" s="18">
        <v>6</v>
      </c>
    </row>
    <row r="2669" spans="1:29" ht="15.75" customHeight="1" x14ac:dyDescent="0.2">
      <c r="A2669" s="17" t="str">
        <f>HYPERLINK("https://yeshivathzichronmoshe.com", "Yeshivath Zichron Moshe")</f>
        <v>Yeshivath Zichron Moshe</v>
      </c>
      <c r="B2669" s="18" t="s">
        <v>32</v>
      </c>
      <c r="C2669" s="18" t="s">
        <v>38</v>
      </c>
      <c r="D2669" s="18" t="s">
        <v>1778</v>
      </c>
      <c r="E2669" s="18" t="s">
        <v>36</v>
      </c>
      <c r="F2669" s="18" t="s">
        <v>45</v>
      </c>
      <c r="J2669" s="19"/>
      <c r="K2669" s="19">
        <v>5.5599999999999997E-2</v>
      </c>
      <c r="L2669" s="19" t="s">
        <v>36</v>
      </c>
      <c r="M2669" s="19">
        <v>5.8799999999999998E-2</v>
      </c>
      <c r="N2669" s="19" t="s">
        <v>36</v>
      </c>
      <c r="O2669" s="19" t="s">
        <v>36</v>
      </c>
      <c r="P2669" s="19" t="s">
        <v>36</v>
      </c>
      <c r="Q2669" s="19" t="s">
        <v>36</v>
      </c>
      <c r="R2669" s="20">
        <v>20600</v>
      </c>
      <c r="S2669" s="33" t="str">
        <f>HYPERLINK("https://sites.google.com/site/yeshivathzichronmoshe/", "$10338")</f>
        <v>$10338</v>
      </c>
      <c r="T2669" s="20">
        <v>11540</v>
      </c>
      <c r="U2669" s="20" t="s">
        <v>36</v>
      </c>
      <c r="V2669" s="20">
        <v>4000</v>
      </c>
      <c r="W2669" s="20">
        <v>6338</v>
      </c>
      <c r="Y2669" s="19">
        <v>0.51459999999999995</v>
      </c>
      <c r="Z2669" s="19">
        <v>8.4799999999999986E-2</v>
      </c>
      <c r="AB2669" s="18">
        <v>165</v>
      </c>
      <c r="AC2669" s="18">
        <v>6</v>
      </c>
    </row>
    <row r="2670" spans="1:29" ht="15.75" customHeight="1" x14ac:dyDescent="0.2">
      <c r="A2670" s="17" t="str">
        <f>HYPERLINK("https://www.ycp.edu", "York College Pennsylvania")</f>
        <v>York College Pennsylvania</v>
      </c>
      <c r="B2670" s="18" t="s">
        <v>32</v>
      </c>
      <c r="C2670" s="18" t="s">
        <v>65</v>
      </c>
      <c r="D2670" s="18" t="s">
        <v>1064</v>
      </c>
      <c r="E2670" s="18">
        <v>1101</v>
      </c>
      <c r="F2670" s="18" t="s">
        <v>35</v>
      </c>
      <c r="J2670" s="19"/>
      <c r="K2670" s="19">
        <v>0.56740000000000002</v>
      </c>
      <c r="L2670" s="19">
        <v>0.49090909100000002</v>
      </c>
      <c r="M2670" s="19">
        <v>0.59650000000000003</v>
      </c>
      <c r="N2670" s="19">
        <v>0.44119999999999998</v>
      </c>
      <c r="O2670" s="19">
        <v>0.45950000000000002</v>
      </c>
      <c r="P2670" s="19">
        <v>0.3</v>
      </c>
      <c r="Q2670" s="19"/>
      <c r="R2670" s="20">
        <v>33460</v>
      </c>
      <c r="S2670" s="33" t="str">
        <f>HYPERLINK("https://tcc.noellevitz.com/(S(3frm42zkl0tip1ycarunmxhg))/York%20College%20of%20Pennsylvania/Freshman-Students", "$16097")</f>
        <v>$16097</v>
      </c>
      <c r="T2670" s="20">
        <v>19219</v>
      </c>
      <c r="U2670" s="20">
        <v>22230</v>
      </c>
      <c r="V2670" s="20">
        <v>3200</v>
      </c>
      <c r="W2670" s="20">
        <v>12897</v>
      </c>
      <c r="Y2670" s="19">
        <v>0.24390000000000001</v>
      </c>
      <c r="Z2670" s="19">
        <v>0.20050000000000001</v>
      </c>
      <c r="AB2670" s="18">
        <v>4079</v>
      </c>
      <c r="AC2670" s="18">
        <v>4</v>
      </c>
    </row>
    <row r="2671" spans="1:29" ht="15.75" customHeight="1" x14ac:dyDescent="0.2">
      <c r="A2671" s="17" t="str">
        <f>HYPERLINK("https://www.yccc.edu", "York County Community College")</f>
        <v>York County Community College</v>
      </c>
      <c r="B2671" s="18" t="s">
        <v>49</v>
      </c>
      <c r="C2671" s="18" t="s">
        <v>43</v>
      </c>
      <c r="D2671" s="18" t="s">
        <v>1779</v>
      </c>
      <c r="E2671" s="18" t="s">
        <v>36</v>
      </c>
      <c r="F2671" s="18" t="s">
        <v>36</v>
      </c>
      <c r="J2671" s="19"/>
      <c r="K2671" s="19">
        <v>0.18440000000000001</v>
      </c>
      <c r="L2671" s="19">
        <v>0.20344827600000001</v>
      </c>
      <c r="M2671" s="19">
        <v>0.17680000000000001</v>
      </c>
      <c r="N2671" s="19" t="s">
        <v>36</v>
      </c>
      <c r="O2671" s="19">
        <v>0.33329999999999999</v>
      </c>
      <c r="P2671" s="19">
        <v>0.2</v>
      </c>
      <c r="Q2671" s="19">
        <v>7.1428570999999996E-2</v>
      </c>
      <c r="R2671" s="20">
        <v>21230</v>
      </c>
      <c r="S2671" s="33" t="str">
        <f>HYPERLINK("https://resources.yccc.edu/NetPriceCalc/npcalc.htm", "$14952")</f>
        <v>$14952</v>
      </c>
      <c r="T2671" s="20">
        <v>16665</v>
      </c>
      <c r="U2671" s="20">
        <v>19939</v>
      </c>
      <c r="V2671" s="20">
        <v>7010</v>
      </c>
      <c r="W2671" s="20">
        <v>7942.5</v>
      </c>
      <c r="Y2671" s="19">
        <v>0.33329999999999999</v>
      </c>
      <c r="Z2671" s="19">
        <v>0.13170000000000001</v>
      </c>
      <c r="AB2671" s="18">
        <v>1177</v>
      </c>
      <c r="AC2671" s="18">
        <v>6</v>
      </c>
    </row>
    <row r="2672" spans="1:29" ht="15.75" customHeight="1" x14ac:dyDescent="0.2">
      <c r="A2672" s="17" t="str">
        <f>HYPERLINK("https://www.yorktech.edu", "York Technical College")</f>
        <v>York Technical College</v>
      </c>
      <c r="B2672" s="18" t="s">
        <v>49</v>
      </c>
      <c r="C2672" s="18" t="s">
        <v>208</v>
      </c>
      <c r="D2672" s="18" t="s">
        <v>1147</v>
      </c>
      <c r="E2672" s="18" t="s">
        <v>36</v>
      </c>
      <c r="F2672" s="18" t="s">
        <v>36</v>
      </c>
      <c r="J2672" s="19"/>
      <c r="K2672" s="19">
        <v>0.1255</v>
      </c>
      <c r="L2672" s="19">
        <v>0.13098404299999999</v>
      </c>
      <c r="M2672" s="19">
        <v>0.1341</v>
      </c>
      <c r="N2672" s="19">
        <v>8.1500000000000003E-2</v>
      </c>
      <c r="O2672" s="19">
        <v>0.17780000000000001</v>
      </c>
      <c r="P2672" s="19">
        <v>0</v>
      </c>
      <c r="Q2672" s="19">
        <v>5.8225508000000002E-2</v>
      </c>
      <c r="R2672" s="20">
        <v>26861</v>
      </c>
      <c r="S2672" s="33" t="str">
        <f>HYPERLINK("https://yorktech.edu/netpricecalculator.htm", "$20477")</f>
        <v>$20477</v>
      </c>
      <c r="T2672" s="20">
        <v>22723</v>
      </c>
      <c r="U2672" s="20">
        <v>23925</v>
      </c>
      <c r="V2672" s="20">
        <v>8220</v>
      </c>
      <c r="W2672" s="20">
        <v>12257.37569060774</v>
      </c>
      <c r="Y2672" s="19">
        <v>0.45829999999999999</v>
      </c>
      <c r="Z2672" s="19">
        <v>0.42989999999999989</v>
      </c>
      <c r="AB2672" s="18">
        <v>4052</v>
      </c>
      <c r="AC2672" s="18">
        <v>6</v>
      </c>
    </row>
    <row r="2673" spans="1:29" ht="15.75" customHeight="1" x14ac:dyDescent="0.2">
      <c r="A2673" s="17" t="str">
        <f>HYPERLINK("https://ysu.edu/", "Youngstown State University")</f>
        <v>Youngstown State University</v>
      </c>
      <c r="B2673" s="18" t="s">
        <v>49</v>
      </c>
      <c r="C2673" s="18" t="s">
        <v>75</v>
      </c>
      <c r="D2673" s="18" t="s">
        <v>889</v>
      </c>
      <c r="E2673" s="18">
        <v>1104</v>
      </c>
      <c r="F2673" s="18" t="s">
        <v>35</v>
      </c>
      <c r="J2673" s="19"/>
      <c r="K2673" s="19">
        <v>0.34429999999999999</v>
      </c>
      <c r="L2673" s="19">
        <v>0.20242537299999999</v>
      </c>
      <c r="M2673" s="19">
        <v>0.41449999999999998</v>
      </c>
      <c r="N2673" s="19">
        <v>0.10730000000000001</v>
      </c>
      <c r="O2673" s="19">
        <v>0.2273</v>
      </c>
      <c r="P2673" s="19">
        <v>0.70830000000000004</v>
      </c>
      <c r="Q2673" s="19"/>
      <c r="R2673" s="20">
        <v>22807</v>
      </c>
      <c r="S2673" s="33" t="str">
        <f>HYPERLINK("https://cfweb.cc.ysu.edu/finaid/estimator/est_estimator.cfm", "$13965")</f>
        <v>$13965</v>
      </c>
      <c r="T2673" s="20">
        <v>17463</v>
      </c>
      <c r="U2673" s="20">
        <v>19933</v>
      </c>
      <c r="V2673" s="20">
        <v>4906</v>
      </c>
      <c r="W2673" s="20">
        <v>9059.8426229508204</v>
      </c>
      <c r="Y2673" s="19">
        <v>0.41199999999999998</v>
      </c>
      <c r="Z2673" s="19">
        <v>0.24510000000000001</v>
      </c>
      <c r="AB2673" s="18">
        <v>10039</v>
      </c>
      <c r="AC2673" s="18">
        <v>5</v>
      </c>
    </row>
    <row r="2674" spans="1:29" ht="15.75" customHeight="1" x14ac:dyDescent="0.2">
      <c r="A2674" s="17" t="str">
        <f>HYPERLINK("https://yc.yccd.edu", "Yuba College")</f>
        <v>Yuba College</v>
      </c>
      <c r="B2674" s="18" t="s">
        <v>49</v>
      </c>
      <c r="C2674" s="18" t="s">
        <v>68</v>
      </c>
      <c r="D2674" s="18" t="s">
        <v>1780</v>
      </c>
      <c r="E2674" s="18" t="s">
        <v>36</v>
      </c>
      <c r="F2674" s="18" t="s">
        <v>36</v>
      </c>
      <c r="J2674" s="19"/>
      <c r="K2674" s="19">
        <v>0.23419999999999999</v>
      </c>
      <c r="L2674" s="19">
        <v>3.5909920999999997E-2</v>
      </c>
      <c r="M2674" s="19">
        <v>0.21</v>
      </c>
      <c r="N2674" s="19">
        <v>8.3299999999999999E-2</v>
      </c>
      <c r="O2674" s="19">
        <v>0.25979999999999998</v>
      </c>
      <c r="P2674" s="19">
        <v>0.3049</v>
      </c>
      <c r="Q2674" s="19">
        <v>7.7696527000000001E-2</v>
      </c>
      <c r="R2674" s="20">
        <v>25670</v>
      </c>
      <c r="S2674" s="33" t="str">
        <f>HYPERLINK("https://yc.yccd.edu/student/financialaid/net-price-calculator/", "$19855")</f>
        <v>$19855</v>
      </c>
      <c r="T2674" s="20">
        <v>22456</v>
      </c>
      <c r="U2674" s="20" t="s">
        <v>36</v>
      </c>
      <c r="V2674" s="20">
        <v>6093</v>
      </c>
      <c r="W2674" s="20">
        <v>13762.34640522876</v>
      </c>
      <c r="Y2674" s="19">
        <v>0.39</v>
      </c>
      <c r="Z2674" s="19">
        <v>0.62529999999999997</v>
      </c>
      <c r="AB2674" s="18">
        <v>4889</v>
      </c>
      <c r="AC2674" s="18">
        <v>6</v>
      </c>
    </row>
    <row r="2675" spans="1:29" ht="15.75" customHeight="1" x14ac:dyDescent="0.2">
      <c r="A2675" s="17" t="str">
        <f>HYPERLINK("https://www.zanestate.edu", "Zane State College")</f>
        <v>Zane State College</v>
      </c>
      <c r="B2675" s="18" t="s">
        <v>49</v>
      </c>
      <c r="C2675" s="18" t="s">
        <v>75</v>
      </c>
      <c r="D2675" s="18" t="s">
        <v>1610</v>
      </c>
      <c r="E2675" s="18" t="s">
        <v>36</v>
      </c>
      <c r="F2675" s="18" t="s">
        <v>36</v>
      </c>
      <c r="J2675" s="19"/>
      <c r="K2675" s="19">
        <v>0.3841</v>
      </c>
      <c r="L2675" s="19">
        <v>0.16161616200000001</v>
      </c>
      <c r="M2675" s="19">
        <v>0.39679999999999999</v>
      </c>
      <c r="N2675" s="19">
        <v>8.3299999999999999E-2</v>
      </c>
      <c r="O2675" s="19">
        <v>0.25</v>
      </c>
      <c r="P2675" s="19">
        <v>1</v>
      </c>
      <c r="Q2675" s="19">
        <v>4.6901172999999997E-2</v>
      </c>
      <c r="R2675" s="20">
        <v>18814</v>
      </c>
      <c r="S2675" s="33" t="str">
        <f>HYPERLINK("https://my.zanestate.edu/ICS/Finances/Net_Price_Calculator.jnz", "$13434")</f>
        <v>$13434</v>
      </c>
      <c r="T2675" s="20">
        <v>17292</v>
      </c>
      <c r="U2675" s="20">
        <v>17242</v>
      </c>
      <c r="V2675" s="20">
        <v>5044</v>
      </c>
      <c r="W2675" s="20">
        <v>8390.5789473684199</v>
      </c>
      <c r="Y2675" s="19">
        <v>0.21510000000000001</v>
      </c>
      <c r="Z2675" s="19">
        <v>9.9099999999999966E-2</v>
      </c>
      <c r="AB2675" s="18">
        <v>1110</v>
      </c>
      <c r="AC2675" s="18">
        <v>6</v>
      </c>
    </row>
    <row r="2676" spans="1:29" ht="15.75" customHeight="1" x14ac:dyDescent="0.2">
      <c r="A2676" s="17" t="str">
        <f>HYPERLINK("https://www.vancouver.wsu.edu/", "Washington State University-Vancouver")</f>
        <v>Washington State University-Vancouver</v>
      </c>
      <c r="B2676" s="18" t="s">
        <v>49</v>
      </c>
      <c r="C2676" s="18" t="s">
        <v>184</v>
      </c>
      <c r="D2676" s="18" t="s">
        <v>1146</v>
      </c>
      <c r="E2676" s="18" t="s">
        <v>36</v>
      </c>
      <c r="F2676" s="18" t="s">
        <v>36</v>
      </c>
      <c r="G2676" s="19"/>
      <c r="H2676" s="19"/>
      <c r="I2676" s="19"/>
      <c r="J2676" s="19"/>
      <c r="K2676" s="19" t="s">
        <v>36</v>
      </c>
      <c r="L2676" s="19">
        <v>0.54345434500000001</v>
      </c>
      <c r="M2676" s="19" t="s">
        <v>36</v>
      </c>
      <c r="N2676" s="19" t="s">
        <v>36</v>
      </c>
      <c r="O2676" s="19" t="s">
        <v>36</v>
      </c>
      <c r="P2676" s="19" t="s">
        <v>36</v>
      </c>
      <c r="Q2676" s="19">
        <v>8.9158061999999996E-2</v>
      </c>
      <c r="R2676" s="20" t="s">
        <v>36</v>
      </c>
      <c r="S2676" s="37" t="s">
        <v>36</v>
      </c>
      <c r="T2676" s="20" t="s">
        <v>36</v>
      </c>
      <c r="U2676" s="20" t="s">
        <v>36</v>
      </c>
      <c r="V2676" s="20" t="s">
        <v>36</v>
      </c>
      <c r="W2676" s="20" t="s">
        <v>36</v>
      </c>
      <c r="X2676" s="20"/>
      <c r="Y2676" s="19" t="s">
        <v>36</v>
      </c>
      <c r="Z2676" s="19" t="s">
        <v>36</v>
      </c>
      <c r="AA2676" s="19"/>
      <c r="AB2676" s="18" t="s">
        <v>36</v>
      </c>
      <c r="AC2676" s="18">
        <v>4</v>
      </c>
    </row>
    <row r="2677" spans="1:29" ht="15.75" customHeight="1" x14ac:dyDescent="0.2">
      <c r="A2677" s="34"/>
      <c r="B2677" s="34"/>
      <c r="C2677" s="34"/>
      <c r="D2677" s="34"/>
      <c r="E2677" s="19"/>
      <c r="F2677" s="19"/>
      <c r="G2677" s="19"/>
      <c r="H2677" s="19"/>
      <c r="I2677" s="19"/>
      <c r="J2677" s="19"/>
      <c r="K2677" s="19"/>
      <c r="L2677" s="19"/>
      <c r="M2677" s="19"/>
      <c r="N2677" s="19"/>
      <c r="O2677" s="19"/>
      <c r="P2677" s="19"/>
      <c r="Q2677" s="19"/>
      <c r="R2677" s="20"/>
      <c r="S2677" s="20"/>
      <c r="T2677" s="22"/>
      <c r="U2677" s="22"/>
      <c r="V2677" s="20"/>
      <c r="W2677" s="20"/>
      <c r="X2677" s="20"/>
      <c r="Y2677" s="19"/>
      <c r="Z2677" s="19"/>
      <c r="AA2677" s="19"/>
      <c r="AB2677" s="23"/>
      <c r="AC2677" s="23"/>
    </row>
    <row r="2678" spans="1:29" ht="15.75" customHeight="1" x14ac:dyDescent="0.2">
      <c r="A2678" s="34"/>
      <c r="B2678" s="34"/>
      <c r="C2678" s="34"/>
      <c r="D2678" s="34"/>
      <c r="E2678" s="19"/>
      <c r="F2678" s="19"/>
      <c r="G2678" s="19"/>
      <c r="H2678" s="19"/>
      <c r="I2678" s="19"/>
      <c r="J2678" s="19"/>
      <c r="K2678" s="19"/>
      <c r="L2678" s="19"/>
      <c r="M2678" s="19"/>
      <c r="N2678" s="19"/>
      <c r="O2678" s="19"/>
      <c r="P2678" s="19"/>
      <c r="Q2678" s="19"/>
      <c r="R2678" s="20"/>
      <c r="S2678" s="20"/>
      <c r="T2678" s="22"/>
      <c r="U2678" s="22"/>
      <c r="V2678" s="20"/>
      <c r="W2678" s="20"/>
      <c r="X2678" s="20"/>
      <c r="Y2678" s="19"/>
      <c r="Z2678" s="19"/>
      <c r="AA2678" s="19"/>
      <c r="AB2678" s="23"/>
      <c r="AC2678" s="23"/>
    </row>
    <row r="2679" spans="1:29" ht="15.75" customHeight="1" x14ac:dyDescent="0.2">
      <c r="A2679" s="34"/>
      <c r="B2679" s="34"/>
      <c r="C2679" s="34"/>
      <c r="D2679" s="34"/>
      <c r="E2679" s="19"/>
      <c r="F2679" s="19"/>
      <c r="G2679" s="19"/>
      <c r="H2679" s="19"/>
      <c r="I2679" s="19"/>
      <c r="J2679" s="19"/>
      <c r="K2679" s="19"/>
      <c r="L2679" s="19"/>
      <c r="M2679" s="19"/>
      <c r="N2679" s="19"/>
      <c r="O2679" s="19"/>
      <c r="P2679" s="19"/>
      <c r="Q2679" s="19"/>
      <c r="R2679" s="20"/>
      <c r="S2679" s="20"/>
      <c r="T2679" s="22"/>
      <c r="U2679" s="22"/>
      <c r="V2679" s="20"/>
      <c r="W2679" s="20"/>
      <c r="X2679" s="20"/>
      <c r="Y2679" s="19"/>
      <c r="Z2679" s="19"/>
      <c r="AA2679" s="19"/>
      <c r="AB2679" s="23"/>
      <c r="AC2679" s="23"/>
    </row>
    <row r="2680" spans="1:29" ht="15.75" customHeight="1" x14ac:dyDescent="0.2">
      <c r="A2680" s="34"/>
      <c r="B2680" s="34"/>
      <c r="C2680" s="34"/>
      <c r="D2680" s="34"/>
      <c r="E2680" s="19"/>
      <c r="F2680" s="19"/>
      <c r="G2680" s="19"/>
      <c r="H2680" s="19"/>
      <c r="I2680" s="19"/>
      <c r="J2680" s="19"/>
      <c r="K2680" s="19"/>
      <c r="L2680" s="19"/>
      <c r="M2680" s="19"/>
      <c r="N2680" s="19"/>
      <c r="O2680" s="19"/>
      <c r="P2680" s="19"/>
      <c r="Q2680" s="19"/>
      <c r="R2680" s="20"/>
      <c r="S2680" s="20"/>
      <c r="T2680" s="22"/>
      <c r="U2680" s="22"/>
      <c r="V2680" s="20"/>
      <c r="W2680" s="20"/>
      <c r="X2680" s="20"/>
      <c r="Y2680" s="19"/>
      <c r="Z2680" s="19"/>
      <c r="AA2680" s="19"/>
      <c r="AB2680" s="23"/>
      <c r="AC2680" s="23"/>
    </row>
    <row r="2681" spans="1:29" ht="15.75" customHeight="1" x14ac:dyDescent="0.2">
      <c r="A2681" s="34"/>
      <c r="B2681" s="34"/>
      <c r="C2681" s="34"/>
      <c r="D2681" s="34"/>
      <c r="E2681" s="19"/>
      <c r="F2681" s="19"/>
      <c r="G2681" s="19"/>
      <c r="H2681" s="19"/>
      <c r="I2681" s="19"/>
      <c r="J2681" s="19"/>
      <c r="K2681" s="19"/>
      <c r="L2681" s="19"/>
      <c r="M2681" s="19"/>
      <c r="N2681" s="19"/>
      <c r="O2681" s="19"/>
      <c r="P2681" s="19"/>
      <c r="Q2681" s="19"/>
      <c r="R2681" s="20"/>
      <c r="S2681" s="20"/>
      <c r="T2681" s="22"/>
      <c r="U2681" s="22"/>
      <c r="V2681" s="20"/>
      <c r="W2681" s="20"/>
      <c r="X2681" s="20"/>
      <c r="Y2681" s="19"/>
      <c r="Z2681" s="19"/>
      <c r="AA2681" s="19"/>
      <c r="AB2681" s="23"/>
      <c r="AC2681" s="23"/>
    </row>
    <row r="2682" spans="1:29" ht="15.75" customHeight="1" x14ac:dyDescent="0.2">
      <c r="A2682" s="34"/>
      <c r="B2682" s="34"/>
      <c r="C2682" s="34"/>
      <c r="D2682" s="34"/>
      <c r="E2682" s="19"/>
      <c r="F2682" s="19"/>
      <c r="G2682" s="19"/>
      <c r="H2682" s="19"/>
      <c r="I2682" s="19"/>
      <c r="J2682" s="19"/>
      <c r="K2682" s="19"/>
      <c r="L2682" s="19"/>
      <c r="M2682" s="19"/>
      <c r="N2682" s="19"/>
      <c r="O2682" s="19"/>
      <c r="P2682" s="19"/>
      <c r="Q2682" s="19"/>
      <c r="R2682" s="20"/>
      <c r="S2682" s="20"/>
      <c r="T2682" s="22"/>
      <c r="U2682" s="22"/>
      <c r="V2682" s="20"/>
      <c r="W2682" s="20"/>
      <c r="X2682" s="20"/>
      <c r="Y2682" s="19"/>
      <c r="Z2682" s="19"/>
      <c r="AA2682" s="19"/>
      <c r="AB2682" s="23"/>
      <c r="AC2682" s="23"/>
    </row>
    <row r="2683" spans="1:29" ht="15.75" customHeight="1" x14ac:dyDescent="0.2">
      <c r="A2683" s="34"/>
      <c r="B2683" s="34"/>
      <c r="C2683" s="34"/>
      <c r="D2683" s="34"/>
      <c r="E2683" s="19"/>
      <c r="F2683" s="19"/>
      <c r="G2683" s="19"/>
      <c r="H2683" s="19"/>
      <c r="I2683" s="19"/>
      <c r="J2683" s="19"/>
      <c r="K2683" s="19"/>
      <c r="L2683" s="19"/>
      <c r="M2683" s="19"/>
      <c r="N2683" s="19"/>
      <c r="O2683" s="19"/>
      <c r="P2683" s="19"/>
      <c r="Q2683" s="19"/>
      <c r="R2683" s="20"/>
      <c r="S2683" s="20"/>
      <c r="T2683" s="22"/>
      <c r="U2683" s="22"/>
      <c r="V2683" s="20"/>
      <c r="W2683" s="20"/>
      <c r="X2683" s="20"/>
      <c r="Y2683" s="19"/>
      <c r="Z2683" s="19"/>
      <c r="AA2683" s="19"/>
      <c r="AB2683" s="23"/>
      <c r="AC2683" s="23"/>
    </row>
    <row r="2684" spans="1:29" ht="15.75" customHeight="1" x14ac:dyDescent="0.2">
      <c r="A2684" s="34"/>
      <c r="B2684" s="34"/>
      <c r="C2684" s="34"/>
      <c r="D2684" s="34"/>
      <c r="E2684" s="19"/>
      <c r="F2684" s="19"/>
      <c r="G2684" s="19"/>
      <c r="H2684" s="19"/>
      <c r="I2684" s="19"/>
      <c r="J2684" s="19"/>
      <c r="K2684" s="19"/>
      <c r="L2684" s="19"/>
      <c r="M2684" s="19"/>
      <c r="N2684" s="19"/>
      <c r="O2684" s="19"/>
      <c r="P2684" s="19"/>
      <c r="Q2684" s="19"/>
      <c r="R2684" s="20"/>
      <c r="S2684" s="20"/>
      <c r="T2684" s="22"/>
      <c r="U2684" s="22"/>
      <c r="V2684" s="20"/>
      <c r="W2684" s="20"/>
      <c r="X2684" s="20"/>
      <c r="Y2684" s="19"/>
      <c r="Z2684" s="19"/>
      <c r="AA2684" s="19"/>
      <c r="AB2684" s="23"/>
      <c r="AC2684" s="23"/>
    </row>
    <row r="2685" spans="1:29" ht="15.75" customHeight="1" x14ac:dyDescent="0.2">
      <c r="A2685" s="34"/>
      <c r="B2685" s="34"/>
      <c r="C2685" s="34"/>
      <c r="D2685" s="34"/>
      <c r="E2685" s="19"/>
      <c r="F2685" s="19"/>
      <c r="G2685" s="19"/>
      <c r="H2685" s="19"/>
      <c r="I2685" s="19"/>
      <c r="J2685" s="19"/>
      <c r="K2685" s="19"/>
      <c r="L2685" s="19"/>
      <c r="M2685" s="19"/>
      <c r="N2685" s="19"/>
      <c r="O2685" s="19"/>
      <c r="P2685" s="19"/>
      <c r="Q2685" s="19"/>
      <c r="R2685" s="20"/>
      <c r="S2685" s="20"/>
      <c r="T2685" s="22"/>
      <c r="U2685" s="22"/>
      <c r="V2685" s="20"/>
      <c r="W2685" s="20"/>
      <c r="X2685" s="20"/>
      <c r="Y2685" s="19"/>
      <c r="Z2685" s="19"/>
      <c r="AA2685" s="19"/>
      <c r="AB2685" s="23"/>
      <c r="AC2685" s="23"/>
    </row>
    <row r="2686" spans="1:29" ht="15.75" customHeight="1" x14ac:dyDescent="0.2">
      <c r="A2686" s="34"/>
      <c r="B2686" s="34"/>
      <c r="C2686" s="34"/>
      <c r="D2686" s="34"/>
      <c r="E2686" s="19"/>
      <c r="F2686" s="19"/>
      <c r="G2686" s="19"/>
      <c r="H2686" s="19"/>
      <c r="I2686" s="19"/>
      <c r="J2686" s="19"/>
      <c r="K2686" s="19"/>
      <c r="L2686" s="19"/>
      <c r="M2686" s="19"/>
      <c r="N2686" s="19"/>
      <c r="O2686" s="19"/>
      <c r="P2686" s="19"/>
      <c r="Q2686" s="19"/>
      <c r="R2686" s="20"/>
      <c r="S2686" s="20"/>
      <c r="T2686" s="22"/>
      <c r="U2686" s="22"/>
      <c r="V2686" s="20"/>
      <c r="W2686" s="20"/>
      <c r="X2686" s="20"/>
      <c r="Y2686" s="19"/>
      <c r="Z2686" s="19"/>
      <c r="AA2686" s="19"/>
      <c r="AB2686" s="23"/>
      <c r="AC2686" s="23"/>
    </row>
    <row r="2687" spans="1:29" ht="15.75" customHeight="1" x14ac:dyDescent="0.2">
      <c r="A2687" s="34"/>
      <c r="B2687" s="34"/>
      <c r="C2687" s="34"/>
      <c r="D2687" s="34"/>
      <c r="E2687" s="19"/>
      <c r="F2687" s="19"/>
      <c r="G2687" s="19"/>
      <c r="H2687" s="19"/>
      <c r="I2687" s="19"/>
      <c r="J2687" s="19"/>
      <c r="K2687" s="19"/>
      <c r="L2687" s="19"/>
      <c r="M2687" s="19"/>
      <c r="N2687" s="19"/>
      <c r="O2687" s="19"/>
      <c r="P2687" s="19"/>
      <c r="Q2687" s="19"/>
      <c r="R2687" s="20"/>
      <c r="S2687" s="20"/>
      <c r="T2687" s="22"/>
      <c r="U2687" s="22"/>
      <c r="V2687" s="20"/>
      <c r="W2687" s="20"/>
      <c r="X2687" s="20"/>
      <c r="Y2687" s="19"/>
      <c r="Z2687" s="19"/>
      <c r="AA2687" s="19"/>
      <c r="AB2687" s="23"/>
      <c r="AC2687" s="23"/>
    </row>
    <row r="2688" spans="1:29" ht="15.75" customHeight="1" x14ac:dyDescent="0.2">
      <c r="A2688" s="34"/>
      <c r="B2688" s="34"/>
      <c r="C2688" s="34"/>
      <c r="D2688" s="34"/>
      <c r="E2688" s="19"/>
      <c r="F2688" s="19"/>
      <c r="G2688" s="19"/>
      <c r="H2688" s="19"/>
      <c r="I2688" s="19"/>
      <c r="J2688" s="19"/>
      <c r="K2688" s="19"/>
      <c r="L2688" s="19"/>
      <c r="M2688" s="19"/>
      <c r="N2688" s="19"/>
      <c r="O2688" s="19"/>
      <c r="P2688" s="19"/>
      <c r="Q2688" s="19"/>
      <c r="R2688" s="20"/>
      <c r="S2688" s="20"/>
      <c r="T2688" s="22"/>
      <c r="U2688" s="22"/>
      <c r="V2688" s="20"/>
      <c r="W2688" s="20"/>
      <c r="X2688" s="20"/>
      <c r="Y2688" s="19"/>
      <c r="Z2688" s="19"/>
      <c r="AA2688" s="19"/>
      <c r="AB2688" s="23"/>
      <c r="AC2688" s="23"/>
    </row>
    <row r="2689" spans="1:29" ht="15.75" customHeight="1" x14ac:dyDescent="0.2">
      <c r="A2689" s="34"/>
      <c r="B2689" s="34"/>
      <c r="C2689" s="34"/>
      <c r="D2689" s="34"/>
      <c r="E2689" s="19"/>
      <c r="F2689" s="19"/>
      <c r="G2689" s="19"/>
      <c r="H2689" s="19"/>
      <c r="I2689" s="19"/>
      <c r="J2689" s="19"/>
      <c r="K2689" s="19"/>
      <c r="L2689" s="19"/>
      <c r="M2689" s="19"/>
      <c r="N2689" s="19"/>
      <c r="O2689" s="19"/>
      <c r="P2689" s="19"/>
      <c r="Q2689" s="19"/>
      <c r="R2689" s="20"/>
      <c r="S2689" s="20"/>
      <c r="T2689" s="22"/>
      <c r="U2689" s="22"/>
      <c r="V2689" s="20"/>
      <c r="W2689" s="20"/>
      <c r="X2689" s="20"/>
      <c r="Y2689" s="19"/>
      <c r="Z2689" s="19"/>
      <c r="AA2689" s="19"/>
      <c r="AB2689" s="23"/>
      <c r="AC2689" s="23"/>
    </row>
    <row r="2690" spans="1:29" ht="15.75" customHeight="1" x14ac:dyDescent="0.2">
      <c r="A2690" s="34"/>
      <c r="B2690" s="34"/>
      <c r="C2690" s="34"/>
      <c r="D2690" s="34"/>
      <c r="E2690" s="19"/>
      <c r="F2690" s="19"/>
      <c r="G2690" s="19"/>
      <c r="H2690" s="19"/>
      <c r="I2690" s="19"/>
      <c r="J2690" s="19"/>
      <c r="K2690" s="19"/>
      <c r="L2690" s="19"/>
      <c r="M2690" s="19"/>
      <c r="N2690" s="19"/>
      <c r="O2690" s="19"/>
      <c r="P2690" s="19"/>
      <c r="Q2690" s="19"/>
      <c r="R2690" s="20"/>
      <c r="S2690" s="20"/>
      <c r="T2690" s="22"/>
      <c r="U2690" s="22"/>
      <c r="V2690" s="20"/>
      <c r="W2690" s="20"/>
      <c r="X2690" s="20"/>
      <c r="Y2690" s="19"/>
      <c r="Z2690" s="19"/>
      <c r="AA2690" s="19"/>
      <c r="AB2690" s="23"/>
      <c r="AC2690" s="23"/>
    </row>
    <row r="2691" spans="1:29" ht="15.75" customHeight="1" x14ac:dyDescent="0.2">
      <c r="A2691" s="34"/>
      <c r="B2691" s="34"/>
      <c r="C2691" s="34"/>
      <c r="D2691" s="34"/>
      <c r="E2691" s="19"/>
      <c r="F2691" s="19"/>
      <c r="G2691" s="19"/>
      <c r="H2691" s="19"/>
      <c r="I2691" s="19"/>
      <c r="J2691" s="19"/>
      <c r="K2691" s="19"/>
      <c r="L2691" s="19"/>
      <c r="M2691" s="19"/>
      <c r="N2691" s="19"/>
      <c r="O2691" s="19"/>
      <c r="P2691" s="19"/>
      <c r="Q2691" s="19"/>
      <c r="R2691" s="20"/>
      <c r="S2691" s="20"/>
      <c r="T2691" s="22"/>
      <c r="U2691" s="22"/>
      <c r="V2691" s="20"/>
      <c r="W2691" s="20"/>
      <c r="X2691" s="20"/>
      <c r="Y2691" s="19"/>
      <c r="Z2691" s="19"/>
      <c r="AA2691" s="19"/>
      <c r="AB2691" s="23"/>
      <c r="AC2691" s="23"/>
    </row>
    <row r="2692" spans="1:29" ht="15.75" customHeight="1" x14ac:dyDescent="0.2">
      <c r="A2692" s="34"/>
      <c r="B2692" s="34"/>
      <c r="C2692" s="34"/>
      <c r="D2692" s="34"/>
      <c r="E2692" s="19"/>
      <c r="F2692" s="19"/>
      <c r="G2692" s="19"/>
      <c r="H2692" s="19"/>
      <c r="I2692" s="19"/>
      <c r="J2692" s="19"/>
      <c r="K2692" s="19"/>
      <c r="L2692" s="19"/>
      <c r="M2692" s="19"/>
      <c r="N2692" s="19"/>
      <c r="O2692" s="19"/>
      <c r="P2692" s="19"/>
      <c r="Q2692" s="19"/>
      <c r="R2692" s="20"/>
      <c r="S2692" s="20"/>
      <c r="T2692" s="22"/>
      <c r="U2692" s="22"/>
      <c r="V2692" s="20"/>
      <c r="W2692" s="20"/>
      <c r="X2692" s="20"/>
      <c r="Y2692" s="19"/>
      <c r="Z2692" s="19"/>
      <c r="AA2692" s="19"/>
      <c r="AB2692" s="23"/>
      <c r="AC2692" s="23"/>
    </row>
    <row r="2693" spans="1:29" ht="15.75" customHeight="1" x14ac:dyDescent="0.2">
      <c r="A2693" s="34"/>
      <c r="B2693" s="34"/>
      <c r="C2693" s="34"/>
      <c r="D2693" s="34"/>
      <c r="E2693" s="19"/>
      <c r="F2693" s="19"/>
      <c r="G2693" s="19"/>
      <c r="H2693" s="19"/>
      <c r="I2693" s="19"/>
      <c r="J2693" s="19"/>
      <c r="K2693" s="19"/>
      <c r="L2693" s="19"/>
      <c r="M2693" s="19"/>
      <c r="N2693" s="19"/>
      <c r="O2693" s="19"/>
      <c r="P2693" s="19"/>
      <c r="Q2693" s="19"/>
      <c r="R2693" s="20"/>
      <c r="S2693" s="20"/>
      <c r="T2693" s="22"/>
      <c r="U2693" s="22"/>
      <c r="V2693" s="20"/>
      <c r="W2693" s="20"/>
      <c r="X2693" s="20"/>
      <c r="Y2693" s="19"/>
      <c r="Z2693" s="19"/>
      <c r="AA2693" s="19"/>
      <c r="AB2693" s="23"/>
      <c r="AC2693" s="23"/>
    </row>
    <row r="2694" spans="1:29" ht="15.75" customHeight="1" x14ac:dyDescent="0.2">
      <c r="A2694" s="34"/>
      <c r="B2694" s="34"/>
      <c r="C2694" s="34"/>
      <c r="D2694" s="34"/>
      <c r="E2694" s="19"/>
      <c r="F2694" s="19"/>
      <c r="G2694" s="19"/>
      <c r="H2694" s="19"/>
      <c r="I2694" s="19"/>
      <c r="J2694" s="19"/>
      <c r="K2694" s="19"/>
      <c r="L2694" s="19"/>
      <c r="M2694" s="19"/>
      <c r="N2694" s="19"/>
      <c r="O2694" s="19"/>
      <c r="P2694" s="19"/>
      <c r="Q2694" s="19"/>
      <c r="R2694" s="20"/>
      <c r="S2694" s="20"/>
      <c r="T2694" s="22"/>
      <c r="U2694" s="22"/>
      <c r="V2694" s="20"/>
      <c r="W2694" s="20"/>
      <c r="X2694" s="20"/>
      <c r="Y2694" s="19"/>
      <c r="Z2694" s="19"/>
      <c r="AA2694" s="19"/>
      <c r="AB2694" s="23"/>
      <c r="AC2694" s="23"/>
    </row>
    <row r="2695" spans="1:29" ht="15.75" customHeight="1" x14ac:dyDescent="0.2">
      <c r="A2695" s="34"/>
      <c r="B2695" s="34"/>
      <c r="C2695" s="34"/>
      <c r="D2695" s="34"/>
      <c r="E2695" s="19"/>
      <c r="F2695" s="19"/>
      <c r="G2695" s="19"/>
      <c r="H2695" s="19"/>
      <c r="I2695" s="19"/>
      <c r="J2695" s="19"/>
      <c r="K2695" s="19"/>
      <c r="L2695" s="19"/>
      <c r="M2695" s="19"/>
      <c r="N2695" s="19"/>
      <c r="O2695" s="19"/>
      <c r="P2695" s="19"/>
      <c r="Q2695" s="19"/>
      <c r="R2695" s="20"/>
      <c r="S2695" s="20"/>
      <c r="T2695" s="22"/>
      <c r="U2695" s="22"/>
      <c r="V2695" s="20"/>
      <c r="W2695" s="20"/>
      <c r="X2695" s="20"/>
      <c r="Y2695" s="19"/>
      <c r="Z2695" s="19"/>
      <c r="AA2695" s="19"/>
      <c r="AB2695" s="23"/>
      <c r="AC2695" s="23"/>
    </row>
    <row r="2696" spans="1:29" ht="15.75" customHeight="1" x14ac:dyDescent="0.2">
      <c r="A2696" s="34"/>
      <c r="B2696" s="34"/>
      <c r="C2696" s="34"/>
      <c r="D2696" s="34"/>
      <c r="E2696" s="19"/>
      <c r="F2696" s="19"/>
      <c r="G2696" s="19"/>
      <c r="H2696" s="19"/>
      <c r="I2696" s="19"/>
      <c r="J2696" s="19"/>
      <c r="K2696" s="19"/>
      <c r="L2696" s="19"/>
      <c r="M2696" s="19"/>
      <c r="N2696" s="19"/>
      <c r="O2696" s="19"/>
      <c r="P2696" s="19"/>
      <c r="Q2696" s="19"/>
      <c r="R2696" s="20"/>
      <c r="S2696" s="20"/>
      <c r="T2696" s="22"/>
      <c r="U2696" s="22"/>
      <c r="V2696" s="20"/>
      <c r="W2696" s="20"/>
      <c r="X2696" s="20"/>
      <c r="Y2696" s="19"/>
      <c r="Z2696" s="19"/>
      <c r="AA2696" s="19"/>
      <c r="AB2696" s="23"/>
      <c r="AC2696" s="23"/>
    </row>
    <row r="2697" spans="1:29" ht="15.75" customHeight="1" x14ac:dyDescent="0.2">
      <c r="A2697" s="34"/>
      <c r="B2697" s="34"/>
      <c r="C2697" s="34"/>
      <c r="D2697" s="34"/>
      <c r="E2697" s="19"/>
      <c r="F2697" s="19"/>
      <c r="G2697" s="19"/>
      <c r="H2697" s="19"/>
      <c r="I2697" s="19"/>
      <c r="J2697" s="19"/>
      <c r="K2697" s="19"/>
      <c r="L2697" s="19"/>
      <c r="M2697" s="19"/>
      <c r="N2697" s="19"/>
      <c r="O2697" s="19"/>
      <c r="P2697" s="19"/>
      <c r="Q2697" s="19"/>
      <c r="R2697" s="20"/>
      <c r="S2697" s="20"/>
      <c r="T2697" s="22"/>
      <c r="U2697" s="22"/>
      <c r="V2697" s="20"/>
      <c r="W2697" s="20"/>
      <c r="X2697" s="20"/>
      <c r="Y2697" s="19"/>
      <c r="Z2697" s="19"/>
      <c r="AA2697" s="19"/>
      <c r="AB2697" s="23"/>
      <c r="AC2697" s="23"/>
    </row>
    <row r="2698" spans="1:29" ht="15.75" customHeight="1" x14ac:dyDescent="0.2">
      <c r="A2698" s="34"/>
      <c r="B2698" s="34"/>
      <c r="C2698" s="34"/>
      <c r="D2698" s="34"/>
      <c r="E2698" s="19"/>
      <c r="F2698" s="19"/>
      <c r="G2698" s="19"/>
      <c r="H2698" s="19"/>
      <c r="I2698" s="19"/>
      <c r="J2698" s="19"/>
      <c r="K2698" s="19"/>
      <c r="L2698" s="19"/>
      <c r="M2698" s="19"/>
      <c r="N2698" s="19"/>
      <c r="O2698" s="19"/>
      <c r="P2698" s="19"/>
      <c r="Q2698" s="19"/>
      <c r="R2698" s="20"/>
      <c r="S2698" s="20"/>
      <c r="T2698" s="22"/>
      <c r="U2698" s="22"/>
      <c r="V2698" s="20"/>
      <c r="W2698" s="20"/>
      <c r="X2698" s="20"/>
      <c r="Y2698" s="19"/>
      <c r="Z2698" s="19"/>
      <c r="AA2698" s="19"/>
      <c r="AB2698" s="23"/>
      <c r="AC2698" s="23"/>
    </row>
    <row r="2699" spans="1:29" ht="15.75" customHeight="1" x14ac:dyDescent="0.2">
      <c r="A2699" s="34"/>
      <c r="B2699" s="34"/>
      <c r="C2699" s="34"/>
      <c r="D2699" s="34"/>
      <c r="E2699" s="19"/>
      <c r="F2699" s="19"/>
      <c r="G2699" s="19"/>
      <c r="H2699" s="19"/>
      <c r="I2699" s="19"/>
      <c r="J2699" s="19"/>
      <c r="K2699" s="19"/>
      <c r="L2699" s="19"/>
      <c r="M2699" s="19"/>
      <c r="N2699" s="19"/>
      <c r="O2699" s="19"/>
      <c r="P2699" s="19"/>
      <c r="Q2699" s="19"/>
      <c r="R2699" s="20"/>
      <c r="S2699" s="20"/>
      <c r="T2699" s="22"/>
      <c r="U2699" s="22"/>
      <c r="V2699" s="20"/>
      <c r="W2699" s="20"/>
      <c r="X2699" s="20"/>
      <c r="Y2699" s="19"/>
      <c r="Z2699" s="19"/>
      <c r="AA2699" s="19"/>
      <c r="AB2699" s="23"/>
      <c r="AC2699" s="23"/>
    </row>
    <row r="2700" spans="1:29" ht="15.75" customHeight="1" x14ac:dyDescent="0.2">
      <c r="A2700" s="34"/>
      <c r="B2700" s="34"/>
      <c r="C2700" s="34"/>
      <c r="D2700" s="34"/>
      <c r="E2700" s="19"/>
      <c r="F2700" s="19"/>
      <c r="G2700" s="19"/>
      <c r="H2700" s="19"/>
      <c r="I2700" s="19"/>
      <c r="J2700" s="19"/>
      <c r="K2700" s="19"/>
      <c r="L2700" s="19"/>
      <c r="M2700" s="19"/>
      <c r="N2700" s="19"/>
      <c r="O2700" s="19"/>
      <c r="P2700" s="19"/>
      <c r="Q2700" s="19"/>
      <c r="R2700" s="20"/>
      <c r="S2700" s="20"/>
      <c r="T2700" s="22"/>
      <c r="U2700" s="22"/>
      <c r="V2700" s="20"/>
      <c r="W2700" s="20"/>
      <c r="X2700" s="20"/>
      <c r="Y2700" s="19"/>
      <c r="Z2700" s="19"/>
      <c r="AA2700" s="19"/>
      <c r="AB2700" s="23"/>
      <c r="AC2700" s="23"/>
    </row>
    <row r="2701" spans="1:29" ht="15.75" customHeight="1" x14ac:dyDescent="0.2">
      <c r="A2701" s="34"/>
      <c r="B2701" s="34"/>
      <c r="C2701" s="34"/>
      <c r="D2701" s="34"/>
      <c r="E2701" s="19"/>
      <c r="F2701" s="19"/>
      <c r="G2701" s="19"/>
      <c r="H2701" s="19"/>
      <c r="I2701" s="19"/>
      <c r="J2701" s="19"/>
      <c r="K2701" s="19"/>
      <c r="L2701" s="19"/>
      <c r="M2701" s="19"/>
      <c r="N2701" s="19"/>
      <c r="O2701" s="19"/>
      <c r="P2701" s="19"/>
      <c r="Q2701" s="19"/>
      <c r="R2701" s="20"/>
      <c r="S2701" s="20"/>
      <c r="T2701" s="22"/>
      <c r="U2701" s="22"/>
      <c r="V2701" s="20"/>
      <c r="W2701" s="20"/>
      <c r="X2701" s="20"/>
      <c r="Y2701" s="19"/>
      <c r="Z2701" s="19"/>
      <c r="AA2701" s="19"/>
      <c r="AB2701" s="23"/>
      <c r="AC2701" s="23"/>
    </row>
    <row r="2702" spans="1:29" ht="15.75" customHeight="1" x14ac:dyDescent="0.2">
      <c r="A2702" s="34"/>
      <c r="B2702" s="34"/>
      <c r="C2702" s="34"/>
      <c r="D2702" s="34"/>
      <c r="E2702" s="19"/>
      <c r="F2702" s="19"/>
      <c r="G2702" s="19"/>
      <c r="H2702" s="19"/>
      <c r="I2702" s="19"/>
      <c r="J2702" s="19"/>
      <c r="K2702" s="19"/>
      <c r="L2702" s="19"/>
      <c r="M2702" s="19"/>
      <c r="N2702" s="19"/>
      <c r="O2702" s="19"/>
      <c r="P2702" s="19"/>
      <c r="Q2702" s="19"/>
      <c r="R2702" s="20"/>
      <c r="S2702" s="20"/>
      <c r="T2702" s="22"/>
      <c r="U2702" s="22"/>
      <c r="V2702" s="20"/>
      <c r="W2702" s="20"/>
      <c r="X2702" s="20"/>
      <c r="Y2702" s="19"/>
      <c r="Z2702" s="19"/>
      <c r="AA2702" s="19"/>
      <c r="AB2702" s="23"/>
      <c r="AC2702" s="23"/>
    </row>
    <row r="2703" spans="1:29" ht="15.75" customHeight="1" x14ac:dyDescent="0.2">
      <c r="A2703" s="34"/>
      <c r="B2703" s="34"/>
      <c r="C2703" s="34"/>
      <c r="D2703" s="34"/>
      <c r="E2703" s="19"/>
      <c r="F2703" s="19"/>
      <c r="G2703" s="19"/>
      <c r="H2703" s="19"/>
      <c r="I2703" s="19"/>
      <c r="J2703" s="19"/>
      <c r="K2703" s="19"/>
      <c r="L2703" s="19"/>
      <c r="M2703" s="19"/>
      <c r="N2703" s="19"/>
      <c r="O2703" s="19"/>
      <c r="P2703" s="19"/>
      <c r="Q2703" s="19"/>
      <c r="R2703" s="20"/>
      <c r="S2703" s="20"/>
      <c r="T2703" s="22"/>
      <c r="U2703" s="22"/>
      <c r="V2703" s="20"/>
      <c r="W2703" s="20"/>
      <c r="X2703" s="20"/>
      <c r="Y2703" s="19"/>
      <c r="Z2703" s="19"/>
      <c r="AA2703" s="19"/>
      <c r="AB2703" s="23"/>
      <c r="AC2703" s="23"/>
    </row>
    <row r="2704" spans="1:29" ht="15.75" customHeight="1" x14ac:dyDescent="0.2">
      <c r="A2704" s="34"/>
      <c r="B2704" s="34"/>
      <c r="C2704" s="34"/>
      <c r="D2704" s="34"/>
      <c r="E2704" s="19"/>
      <c r="F2704" s="19"/>
      <c r="G2704" s="19"/>
      <c r="H2704" s="19"/>
      <c r="I2704" s="19"/>
      <c r="J2704" s="19"/>
      <c r="K2704" s="19"/>
      <c r="L2704" s="19"/>
      <c r="M2704" s="19"/>
      <c r="N2704" s="19"/>
      <c r="O2704" s="19"/>
      <c r="P2704" s="19"/>
      <c r="Q2704" s="19"/>
      <c r="R2704" s="20"/>
      <c r="S2704" s="20"/>
      <c r="T2704" s="22"/>
      <c r="U2704" s="22"/>
      <c r="V2704" s="20"/>
      <c r="W2704" s="20"/>
      <c r="X2704" s="20"/>
      <c r="Y2704" s="19"/>
      <c r="Z2704" s="19"/>
      <c r="AA2704" s="19"/>
      <c r="AB2704" s="23"/>
      <c r="AC2704" s="23"/>
    </row>
    <row r="2705" spans="1:29" ht="15.75" customHeight="1" x14ac:dyDescent="0.2">
      <c r="A2705" s="34"/>
      <c r="B2705" s="34"/>
      <c r="C2705" s="34"/>
      <c r="D2705" s="34"/>
      <c r="E2705" s="19"/>
      <c r="F2705" s="19"/>
      <c r="G2705" s="19"/>
      <c r="H2705" s="19"/>
      <c r="I2705" s="19"/>
      <c r="J2705" s="19"/>
      <c r="K2705" s="19"/>
      <c r="L2705" s="19"/>
      <c r="M2705" s="19"/>
      <c r="N2705" s="19"/>
      <c r="O2705" s="19"/>
      <c r="P2705" s="19"/>
      <c r="Q2705" s="19"/>
      <c r="R2705" s="20"/>
      <c r="S2705" s="20"/>
      <c r="T2705" s="22"/>
      <c r="U2705" s="22"/>
      <c r="V2705" s="20"/>
      <c r="W2705" s="20"/>
      <c r="X2705" s="20"/>
      <c r="Y2705" s="19"/>
      <c r="Z2705" s="19"/>
      <c r="AA2705" s="19"/>
      <c r="AB2705" s="23"/>
      <c r="AC2705" s="23"/>
    </row>
    <row r="2706" spans="1:29" ht="15.75" customHeight="1" x14ac:dyDescent="0.2">
      <c r="A2706" s="34"/>
      <c r="B2706" s="34"/>
      <c r="C2706" s="34"/>
      <c r="D2706" s="34"/>
      <c r="E2706" s="19"/>
      <c r="F2706" s="19"/>
      <c r="G2706" s="19"/>
      <c r="H2706" s="19"/>
      <c r="I2706" s="19"/>
      <c r="J2706" s="19"/>
      <c r="K2706" s="19"/>
      <c r="L2706" s="19"/>
      <c r="M2706" s="19"/>
      <c r="N2706" s="19"/>
      <c r="O2706" s="19"/>
      <c r="P2706" s="19"/>
      <c r="Q2706" s="19"/>
      <c r="R2706" s="20"/>
      <c r="S2706" s="20"/>
      <c r="T2706" s="22"/>
      <c r="U2706" s="22"/>
      <c r="V2706" s="20"/>
      <c r="W2706" s="20"/>
      <c r="X2706" s="20"/>
      <c r="Y2706" s="19"/>
      <c r="Z2706" s="19"/>
      <c r="AA2706" s="19"/>
      <c r="AB2706" s="23"/>
      <c r="AC2706" s="23"/>
    </row>
    <row r="2707" spans="1:29" ht="15.75" customHeight="1" x14ac:dyDescent="0.2">
      <c r="A2707" s="34"/>
      <c r="B2707" s="34"/>
      <c r="C2707" s="34"/>
      <c r="D2707" s="34"/>
      <c r="E2707" s="19"/>
      <c r="F2707" s="19"/>
      <c r="G2707" s="19"/>
      <c r="H2707" s="19"/>
      <c r="I2707" s="19"/>
      <c r="J2707" s="19"/>
      <c r="K2707" s="19"/>
      <c r="L2707" s="19"/>
      <c r="M2707" s="19"/>
      <c r="N2707" s="19"/>
      <c r="O2707" s="19"/>
      <c r="P2707" s="19"/>
      <c r="Q2707" s="19"/>
      <c r="R2707" s="20"/>
      <c r="S2707" s="20"/>
      <c r="T2707" s="22"/>
      <c r="U2707" s="22"/>
      <c r="V2707" s="20"/>
      <c r="W2707" s="20"/>
      <c r="X2707" s="20"/>
      <c r="Y2707" s="19"/>
      <c r="Z2707" s="19"/>
      <c r="AA2707" s="19"/>
      <c r="AB2707" s="23"/>
      <c r="AC2707" s="23"/>
    </row>
    <row r="2708" spans="1:29" ht="15.75" customHeight="1" x14ac:dyDescent="0.2">
      <c r="A2708" s="34"/>
      <c r="B2708" s="34"/>
      <c r="C2708" s="34"/>
      <c r="D2708" s="34"/>
      <c r="E2708" s="19"/>
      <c r="F2708" s="19"/>
      <c r="G2708" s="19"/>
      <c r="H2708" s="19"/>
      <c r="I2708" s="19"/>
      <c r="J2708" s="19"/>
      <c r="K2708" s="19"/>
      <c r="L2708" s="19"/>
      <c r="M2708" s="19"/>
      <c r="N2708" s="19"/>
      <c r="O2708" s="19"/>
      <c r="P2708" s="19"/>
      <c r="Q2708" s="19"/>
      <c r="R2708" s="20"/>
      <c r="S2708" s="20"/>
      <c r="T2708" s="22"/>
      <c r="U2708" s="22"/>
      <c r="V2708" s="20"/>
      <c r="W2708" s="20"/>
      <c r="X2708" s="20"/>
      <c r="Y2708" s="19"/>
      <c r="Z2708" s="19"/>
      <c r="AA2708" s="19"/>
      <c r="AB2708" s="23"/>
      <c r="AC2708" s="23"/>
    </row>
    <row r="2709" spans="1:29" ht="15.75" customHeight="1" x14ac:dyDescent="0.2">
      <c r="A2709" s="34"/>
      <c r="B2709" s="34"/>
      <c r="C2709" s="34"/>
      <c r="D2709" s="34"/>
      <c r="E2709" s="19"/>
      <c r="F2709" s="19"/>
      <c r="G2709" s="19"/>
      <c r="H2709" s="19"/>
      <c r="I2709" s="19"/>
      <c r="J2709" s="19"/>
      <c r="K2709" s="19"/>
      <c r="L2709" s="19"/>
      <c r="M2709" s="19"/>
      <c r="N2709" s="19"/>
      <c r="O2709" s="19"/>
      <c r="P2709" s="19"/>
      <c r="Q2709" s="19"/>
      <c r="R2709" s="20"/>
      <c r="S2709" s="20"/>
      <c r="T2709" s="22"/>
      <c r="U2709" s="22"/>
      <c r="V2709" s="20"/>
      <c r="W2709" s="20"/>
      <c r="X2709" s="20"/>
      <c r="Y2709" s="19"/>
      <c r="Z2709" s="19"/>
      <c r="AA2709" s="19"/>
      <c r="AB2709" s="23"/>
      <c r="AC2709" s="23"/>
    </row>
    <row r="2710" spans="1:29" ht="15.75" customHeight="1" x14ac:dyDescent="0.2">
      <c r="A2710" s="34"/>
      <c r="B2710" s="34"/>
      <c r="C2710" s="34"/>
      <c r="D2710" s="34"/>
      <c r="E2710" s="19"/>
      <c r="F2710" s="19"/>
      <c r="G2710" s="19"/>
      <c r="H2710" s="19"/>
      <c r="I2710" s="19"/>
      <c r="J2710" s="19"/>
      <c r="K2710" s="19"/>
      <c r="L2710" s="19"/>
      <c r="M2710" s="19"/>
      <c r="N2710" s="19"/>
      <c r="O2710" s="19"/>
      <c r="P2710" s="19"/>
      <c r="Q2710" s="19"/>
      <c r="R2710" s="20"/>
      <c r="S2710" s="20"/>
      <c r="T2710" s="22"/>
      <c r="U2710" s="22"/>
      <c r="V2710" s="20"/>
      <c r="W2710" s="20"/>
      <c r="X2710" s="20"/>
      <c r="Y2710" s="19"/>
      <c r="Z2710" s="19"/>
      <c r="AA2710" s="19"/>
      <c r="AB2710" s="23"/>
      <c r="AC2710" s="23"/>
    </row>
    <row r="2711" spans="1:29" ht="15.75" customHeight="1" x14ac:dyDescent="0.2">
      <c r="A2711" s="34"/>
      <c r="B2711" s="34"/>
      <c r="C2711" s="34"/>
      <c r="D2711" s="34"/>
      <c r="E2711" s="19"/>
      <c r="F2711" s="19"/>
      <c r="G2711" s="19"/>
      <c r="H2711" s="19"/>
      <c r="I2711" s="19"/>
      <c r="J2711" s="19"/>
      <c r="K2711" s="19"/>
      <c r="L2711" s="19"/>
      <c r="M2711" s="19"/>
      <c r="N2711" s="19"/>
      <c r="O2711" s="19"/>
      <c r="P2711" s="19"/>
      <c r="Q2711" s="19"/>
      <c r="R2711" s="20"/>
      <c r="S2711" s="20"/>
      <c r="T2711" s="22"/>
      <c r="U2711" s="22"/>
      <c r="V2711" s="20"/>
      <c r="W2711" s="20"/>
      <c r="X2711" s="20"/>
      <c r="Y2711" s="19"/>
      <c r="Z2711" s="19"/>
      <c r="AA2711" s="19"/>
      <c r="AB2711" s="23"/>
      <c r="AC2711" s="23"/>
    </row>
    <row r="2712" spans="1:29" ht="15.75" customHeight="1" x14ac:dyDescent="0.2">
      <c r="A2712" s="34"/>
      <c r="B2712" s="34"/>
      <c r="C2712" s="34"/>
      <c r="D2712" s="34"/>
      <c r="E2712" s="19"/>
      <c r="F2712" s="19"/>
      <c r="G2712" s="19"/>
      <c r="H2712" s="19"/>
      <c r="I2712" s="19"/>
      <c r="J2712" s="19"/>
      <c r="K2712" s="19"/>
      <c r="L2712" s="19"/>
      <c r="M2712" s="19"/>
      <c r="N2712" s="19"/>
      <c r="O2712" s="19"/>
      <c r="P2712" s="19"/>
      <c r="Q2712" s="19"/>
      <c r="R2712" s="20"/>
      <c r="S2712" s="20"/>
      <c r="T2712" s="22"/>
      <c r="U2712" s="22"/>
      <c r="V2712" s="20"/>
      <c r="W2712" s="20"/>
      <c r="X2712" s="20"/>
      <c r="Y2712" s="19"/>
      <c r="Z2712" s="19"/>
      <c r="AA2712" s="19"/>
      <c r="AB2712" s="23"/>
      <c r="AC2712" s="23"/>
    </row>
    <row r="2713" spans="1:29" ht="15.75" customHeight="1" x14ac:dyDescent="0.2">
      <c r="A2713" s="34"/>
      <c r="B2713" s="34"/>
      <c r="C2713" s="34"/>
      <c r="D2713" s="34"/>
      <c r="E2713" s="19"/>
      <c r="F2713" s="19"/>
      <c r="G2713" s="19"/>
      <c r="H2713" s="19"/>
      <c r="I2713" s="19"/>
      <c r="J2713" s="19"/>
      <c r="K2713" s="19"/>
      <c r="L2713" s="19"/>
      <c r="M2713" s="19"/>
      <c r="N2713" s="19"/>
      <c r="O2713" s="19"/>
      <c r="P2713" s="19"/>
      <c r="Q2713" s="19"/>
      <c r="R2713" s="20"/>
      <c r="S2713" s="20"/>
      <c r="T2713" s="22"/>
      <c r="U2713" s="22"/>
      <c r="V2713" s="20"/>
      <c r="W2713" s="20"/>
      <c r="X2713" s="20"/>
      <c r="Y2713" s="19"/>
      <c r="Z2713" s="19"/>
      <c r="AA2713" s="19"/>
      <c r="AB2713" s="23"/>
      <c r="AC2713" s="23"/>
    </row>
    <row r="2714" spans="1:29" ht="15.75" customHeight="1" x14ac:dyDescent="0.2">
      <c r="A2714" s="34"/>
      <c r="B2714" s="34"/>
      <c r="C2714" s="34"/>
      <c r="D2714" s="34"/>
      <c r="E2714" s="19"/>
      <c r="F2714" s="19"/>
      <c r="G2714" s="19"/>
      <c r="H2714" s="19"/>
      <c r="I2714" s="19"/>
      <c r="J2714" s="19"/>
      <c r="K2714" s="19"/>
      <c r="L2714" s="19"/>
      <c r="M2714" s="19"/>
      <c r="N2714" s="19"/>
      <c r="O2714" s="19"/>
      <c r="P2714" s="19"/>
      <c r="Q2714" s="19"/>
      <c r="R2714" s="20"/>
      <c r="S2714" s="20"/>
      <c r="T2714" s="22"/>
      <c r="U2714" s="22"/>
      <c r="V2714" s="20"/>
      <c r="W2714" s="20"/>
      <c r="X2714" s="20"/>
      <c r="Y2714" s="19"/>
      <c r="Z2714" s="19"/>
      <c r="AA2714" s="19"/>
      <c r="AB2714" s="23"/>
      <c r="AC2714" s="23"/>
    </row>
    <row r="2715" spans="1:29" ht="15.75" customHeight="1" x14ac:dyDescent="0.2">
      <c r="A2715" s="34"/>
      <c r="B2715" s="34"/>
      <c r="C2715" s="34"/>
      <c r="D2715" s="34"/>
      <c r="E2715" s="19"/>
      <c r="F2715" s="19"/>
      <c r="G2715" s="19"/>
      <c r="H2715" s="19"/>
      <c r="I2715" s="19"/>
      <c r="J2715" s="19"/>
      <c r="K2715" s="19"/>
      <c r="L2715" s="19"/>
      <c r="M2715" s="19"/>
      <c r="N2715" s="19"/>
      <c r="O2715" s="19"/>
      <c r="P2715" s="19"/>
      <c r="Q2715" s="19"/>
      <c r="R2715" s="20"/>
      <c r="S2715" s="20"/>
      <c r="T2715" s="22"/>
      <c r="U2715" s="22"/>
      <c r="V2715" s="20"/>
      <c r="W2715" s="20"/>
      <c r="X2715" s="20"/>
      <c r="Y2715" s="19"/>
      <c r="Z2715" s="19"/>
      <c r="AA2715" s="19"/>
      <c r="AB2715" s="23"/>
      <c r="AC2715" s="23"/>
    </row>
    <row r="2716" spans="1:29" ht="15.75" customHeight="1" x14ac:dyDescent="0.2">
      <c r="A2716" s="34"/>
      <c r="B2716" s="34"/>
      <c r="C2716" s="34"/>
      <c r="D2716" s="34"/>
      <c r="E2716" s="19"/>
      <c r="F2716" s="19"/>
      <c r="G2716" s="19"/>
      <c r="H2716" s="19"/>
      <c r="I2716" s="19"/>
      <c r="J2716" s="19"/>
      <c r="K2716" s="19"/>
      <c r="L2716" s="19"/>
      <c r="M2716" s="19"/>
      <c r="N2716" s="19"/>
      <c r="O2716" s="19"/>
      <c r="P2716" s="19"/>
      <c r="Q2716" s="19"/>
      <c r="R2716" s="20"/>
      <c r="S2716" s="20"/>
      <c r="T2716" s="22"/>
      <c r="U2716" s="22"/>
      <c r="V2716" s="20"/>
      <c r="W2716" s="20"/>
      <c r="X2716" s="20"/>
      <c r="Y2716" s="19"/>
      <c r="Z2716" s="19"/>
      <c r="AA2716" s="19"/>
      <c r="AB2716" s="23"/>
      <c r="AC2716" s="23"/>
    </row>
    <row r="2717" spans="1:29" ht="15.75" customHeight="1" x14ac:dyDescent="0.2">
      <c r="A2717" s="34"/>
      <c r="B2717" s="34"/>
      <c r="C2717" s="34"/>
      <c r="D2717" s="34"/>
      <c r="E2717" s="19"/>
      <c r="F2717" s="19"/>
      <c r="G2717" s="19"/>
      <c r="H2717" s="19"/>
      <c r="I2717" s="19"/>
      <c r="J2717" s="19"/>
      <c r="K2717" s="19"/>
      <c r="L2717" s="19"/>
      <c r="M2717" s="19"/>
      <c r="N2717" s="19"/>
      <c r="O2717" s="19"/>
      <c r="P2717" s="19"/>
      <c r="Q2717" s="19"/>
      <c r="R2717" s="20"/>
      <c r="S2717" s="20"/>
      <c r="T2717" s="22"/>
      <c r="U2717" s="22"/>
      <c r="V2717" s="20"/>
      <c r="W2717" s="20"/>
      <c r="X2717" s="20"/>
      <c r="Y2717" s="19"/>
      <c r="Z2717" s="19"/>
      <c r="AA2717" s="19"/>
      <c r="AB2717" s="23"/>
      <c r="AC2717" s="23"/>
    </row>
    <row r="2718" spans="1:29" ht="15.75" customHeight="1" x14ac:dyDescent="0.2">
      <c r="A2718" s="34"/>
      <c r="B2718" s="34"/>
      <c r="C2718" s="34"/>
      <c r="D2718" s="34"/>
      <c r="E2718" s="19"/>
      <c r="F2718" s="19"/>
      <c r="G2718" s="19"/>
      <c r="H2718" s="19"/>
      <c r="I2718" s="19"/>
      <c r="J2718" s="19"/>
      <c r="K2718" s="19"/>
      <c r="L2718" s="19"/>
      <c r="M2718" s="19"/>
      <c r="N2718" s="19"/>
      <c r="O2718" s="19"/>
      <c r="P2718" s="19"/>
      <c r="Q2718" s="19"/>
      <c r="R2718" s="20"/>
      <c r="S2718" s="20"/>
      <c r="T2718" s="22"/>
      <c r="U2718" s="22"/>
      <c r="V2718" s="20"/>
      <c r="W2718" s="20"/>
      <c r="X2718" s="20"/>
      <c r="Y2718" s="19"/>
      <c r="Z2718" s="19"/>
      <c r="AA2718" s="19"/>
      <c r="AB2718" s="23"/>
      <c r="AC2718" s="23"/>
    </row>
    <row r="2719" spans="1:29" ht="15.75" customHeight="1" x14ac:dyDescent="0.2">
      <c r="A2719" s="34"/>
      <c r="B2719" s="34"/>
      <c r="C2719" s="34"/>
      <c r="D2719" s="34"/>
      <c r="E2719" s="19"/>
      <c r="F2719" s="19"/>
      <c r="G2719" s="19"/>
      <c r="H2719" s="19"/>
      <c r="I2719" s="19"/>
      <c r="J2719" s="19"/>
      <c r="K2719" s="19"/>
      <c r="L2719" s="19"/>
      <c r="M2719" s="19"/>
      <c r="N2719" s="19"/>
      <c r="O2719" s="19"/>
      <c r="P2719" s="19"/>
      <c r="Q2719" s="19"/>
      <c r="R2719" s="20"/>
      <c r="S2719" s="20"/>
      <c r="T2719" s="22"/>
      <c r="U2719" s="22"/>
      <c r="V2719" s="20"/>
      <c r="W2719" s="20"/>
      <c r="X2719" s="20"/>
      <c r="Y2719" s="19"/>
      <c r="Z2719" s="19"/>
      <c r="AA2719" s="19"/>
      <c r="AB2719" s="23"/>
      <c r="AC2719" s="23"/>
    </row>
    <row r="2720" spans="1:29" ht="15.75" customHeight="1" x14ac:dyDescent="0.2">
      <c r="A2720" s="34"/>
      <c r="B2720" s="34"/>
      <c r="C2720" s="34"/>
      <c r="D2720" s="34"/>
      <c r="E2720" s="19"/>
      <c r="F2720" s="19"/>
      <c r="G2720" s="19"/>
      <c r="H2720" s="19"/>
      <c r="I2720" s="19"/>
      <c r="J2720" s="19"/>
      <c r="K2720" s="19"/>
      <c r="L2720" s="19"/>
      <c r="M2720" s="19"/>
      <c r="N2720" s="19"/>
      <c r="O2720" s="19"/>
      <c r="P2720" s="19"/>
      <c r="Q2720" s="19"/>
      <c r="R2720" s="20"/>
      <c r="S2720" s="20"/>
      <c r="T2720" s="22"/>
      <c r="U2720" s="22"/>
      <c r="V2720" s="20"/>
      <c r="W2720" s="20"/>
      <c r="X2720" s="20"/>
      <c r="Y2720" s="19"/>
      <c r="Z2720" s="19"/>
      <c r="AA2720" s="19"/>
      <c r="AB2720" s="23"/>
      <c r="AC2720" s="23"/>
    </row>
    <row r="2721" spans="1:29" ht="15.75" customHeight="1" x14ac:dyDescent="0.2">
      <c r="A2721" s="34"/>
      <c r="B2721" s="34"/>
      <c r="C2721" s="34"/>
      <c r="D2721" s="34"/>
      <c r="E2721" s="19"/>
      <c r="F2721" s="19"/>
      <c r="G2721" s="19"/>
      <c r="H2721" s="19"/>
      <c r="I2721" s="19"/>
      <c r="J2721" s="19"/>
      <c r="K2721" s="19"/>
      <c r="L2721" s="19"/>
      <c r="M2721" s="19"/>
      <c r="N2721" s="19"/>
      <c r="O2721" s="19"/>
      <c r="P2721" s="19"/>
      <c r="Q2721" s="19"/>
      <c r="R2721" s="20"/>
      <c r="S2721" s="20"/>
      <c r="T2721" s="22"/>
      <c r="U2721" s="22"/>
      <c r="V2721" s="20"/>
      <c r="W2721" s="20"/>
      <c r="X2721" s="20"/>
      <c r="Y2721" s="19"/>
      <c r="Z2721" s="19"/>
      <c r="AA2721" s="19"/>
      <c r="AB2721" s="23"/>
      <c r="AC2721" s="23"/>
    </row>
    <row r="2722" spans="1:29" ht="15.75" customHeight="1" x14ac:dyDescent="0.2">
      <c r="A2722" s="34"/>
      <c r="B2722" s="34"/>
      <c r="C2722" s="34"/>
      <c r="D2722" s="34"/>
      <c r="E2722" s="19"/>
      <c r="F2722" s="19"/>
      <c r="G2722" s="19"/>
      <c r="H2722" s="19"/>
      <c r="I2722" s="19"/>
      <c r="J2722" s="19"/>
      <c r="K2722" s="19"/>
      <c r="L2722" s="19"/>
      <c r="M2722" s="19"/>
      <c r="N2722" s="19"/>
      <c r="O2722" s="19"/>
      <c r="P2722" s="19"/>
      <c r="Q2722" s="19"/>
      <c r="R2722" s="20"/>
      <c r="S2722" s="20"/>
      <c r="T2722" s="22"/>
      <c r="U2722" s="22"/>
      <c r="V2722" s="20"/>
      <c r="W2722" s="20"/>
      <c r="X2722" s="20"/>
      <c r="Y2722" s="19"/>
      <c r="Z2722" s="19"/>
      <c r="AA2722" s="19"/>
      <c r="AB2722" s="23"/>
      <c r="AC2722" s="23"/>
    </row>
    <row r="2723" spans="1:29" ht="15.75" customHeight="1" x14ac:dyDescent="0.2">
      <c r="A2723" s="34"/>
      <c r="B2723" s="34"/>
      <c r="C2723" s="34"/>
      <c r="D2723" s="34"/>
      <c r="E2723" s="19"/>
      <c r="F2723" s="19"/>
      <c r="G2723" s="19"/>
      <c r="H2723" s="19"/>
      <c r="I2723" s="19"/>
      <c r="J2723" s="19"/>
      <c r="K2723" s="19"/>
      <c r="L2723" s="19"/>
      <c r="M2723" s="19"/>
      <c r="N2723" s="19"/>
      <c r="O2723" s="19"/>
      <c r="P2723" s="19"/>
      <c r="Q2723" s="19"/>
      <c r="R2723" s="20"/>
      <c r="S2723" s="20"/>
      <c r="T2723" s="22"/>
      <c r="U2723" s="22"/>
      <c r="V2723" s="20"/>
      <c r="W2723" s="20"/>
      <c r="X2723" s="20"/>
      <c r="Y2723" s="19"/>
      <c r="Z2723" s="19"/>
      <c r="AA2723" s="19"/>
      <c r="AB2723" s="23"/>
      <c r="AC2723" s="23"/>
    </row>
    <row r="2724" spans="1:29" ht="15.75" customHeight="1" x14ac:dyDescent="0.2">
      <c r="A2724" s="34"/>
      <c r="B2724" s="34"/>
      <c r="C2724" s="34"/>
      <c r="D2724" s="34"/>
      <c r="E2724" s="19"/>
      <c r="F2724" s="19"/>
      <c r="G2724" s="19"/>
      <c r="H2724" s="19"/>
      <c r="I2724" s="19"/>
      <c r="J2724" s="19"/>
      <c r="K2724" s="19"/>
      <c r="L2724" s="19"/>
      <c r="M2724" s="19"/>
      <c r="N2724" s="19"/>
      <c r="O2724" s="19"/>
      <c r="P2724" s="19"/>
      <c r="Q2724" s="19"/>
      <c r="R2724" s="20"/>
      <c r="S2724" s="20"/>
      <c r="T2724" s="22"/>
      <c r="U2724" s="22"/>
      <c r="V2724" s="20"/>
      <c r="W2724" s="20"/>
      <c r="X2724" s="20"/>
      <c r="Y2724" s="19"/>
      <c r="Z2724" s="19"/>
      <c r="AA2724" s="19"/>
      <c r="AB2724" s="23"/>
      <c r="AC2724" s="23"/>
    </row>
    <row r="2725" spans="1:29" ht="15.75" customHeight="1" x14ac:dyDescent="0.2">
      <c r="A2725" s="34"/>
      <c r="B2725" s="34"/>
      <c r="C2725" s="34"/>
      <c r="D2725" s="34"/>
      <c r="E2725" s="19"/>
      <c r="F2725" s="19"/>
      <c r="G2725" s="19"/>
      <c r="H2725" s="19"/>
      <c r="I2725" s="19"/>
      <c r="J2725" s="19"/>
      <c r="K2725" s="19"/>
      <c r="L2725" s="19"/>
      <c r="M2725" s="19"/>
      <c r="N2725" s="19"/>
      <c r="O2725" s="19"/>
      <c r="P2725" s="19"/>
      <c r="Q2725" s="19"/>
      <c r="R2725" s="20"/>
      <c r="S2725" s="20"/>
      <c r="T2725" s="22"/>
      <c r="U2725" s="22"/>
      <c r="V2725" s="20"/>
      <c r="W2725" s="20"/>
      <c r="X2725" s="20"/>
      <c r="Y2725" s="19"/>
      <c r="Z2725" s="19"/>
      <c r="AA2725" s="19"/>
      <c r="AB2725" s="23"/>
      <c r="AC2725" s="23"/>
    </row>
    <row r="2726" spans="1:29" ht="15.75" customHeight="1" x14ac:dyDescent="0.2">
      <c r="A2726" s="34"/>
      <c r="B2726" s="34"/>
      <c r="C2726" s="34"/>
      <c r="D2726" s="34"/>
      <c r="E2726" s="19"/>
      <c r="F2726" s="19"/>
      <c r="G2726" s="19"/>
      <c r="H2726" s="19"/>
      <c r="I2726" s="19"/>
      <c r="J2726" s="19"/>
      <c r="K2726" s="19"/>
      <c r="L2726" s="19"/>
      <c r="M2726" s="19"/>
      <c r="N2726" s="19"/>
      <c r="O2726" s="19"/>
      <c r="P2726" s="19"/>
      <c r="Q2726" s="19"/>
      <c r="R2726" s="20"/>
      <c r="S2726" s="20"/>
      <c r="T2726" s="22"/>
      <c r="U2726" s="22"/>
      <c r="V2726" s="20"/>
      <c r="W2726" s="20"/>
      <c r="X2726" s="20"/>
      <c r="Y2726" s="19"/>
      <c r="Z2726" s="19"/>
      <c r="AA2726" s="19"/>
      <c r="AB2726" s="23"/>
      <c r="AC2726" s="23"/>
    </row>
    <row r="2727" spans="1:29" ht="15.75" customHeight="1" x14ac:dyDescent="0.2">
      <c r="A2727" s="34"/>
      <c r="B2727" s="34"/>
      <c r="C2727" s="34"/>
      <c r="D2727" s="34"/>
      <c r="E2727" s="19"/>
      <c r="F2727" s="19"/>
      <c r="G2727" s="19"/>
      <c r="H2727" s="19"/>
      <c r="I2727" s="19"/>
      <c r="J2727" s="19"/>
      <c r="K2727" s="19"/>
      <c r="L2727" s="19"/>
      <c r="M2727" s="19"/>
      <c r="N2727" s="19"/>
      <c r="O2727" s="19"/>
      <c r="P2727" s="19"/>
      <c r="Q2727" s="19"/>
      <c r="R2727" s="20"/>
      <c r="S2727" s="20"/>
      <c r="T2727" s="22"/>
      <c r="U2727" s="22"/>
      <c r="V2727" s="20"/>
      <c r="W2727" s="20"/>
      <c r="X2727" s="20"/>
      <c r="Y2727" s="19"/>
      <c r="Z2727" s="19"/>
      <c r="AA2727" s="19"/>
      <c r="AB2727" s="23"/>
      <c r="AC2727" s="23"/>
    </row>
    <row r="2728" spans="1:29" ht="15.75" customHeight="1" x14ac:dyDescent="0.2">
      <c r="A2728" s="34"/>
      <c r="B2728" s="34"/>
      <c r="C2728" s="34"/>
      <c r="D2728" s="34"/>
      <c r="E2728" s="19"/>
      <c r="F2728" s="19"/>
      <c r="G2728" s="19"/>
      <c r="H2728" s="19"/>
      <c r="I2728" s="19"/>
      <c r="J2728" s="19"/>
      <c r="K2728" s="19"/>
      <c r="L2728" s="19"/>
      <c r="M2728" s="19"/>
      <c r="N2728" s="19"/>
      <c r="O2728" s="19"/>
      <c r="P2728" s="19"/>
      <c r="Q2728" s="19"/>
      <c r="R2728" s="20"/>
      <c r="S2728" s="20"/>
      <c r="T2728" s="22"/>
      <c r="U2728" s="22"/>
      <c r="V2728" s="20"/>
      <c r="W2728" s="20"/>
      <c r="X2728" s="20"/>
      <c r="Y2728" s="19"/>
      <c r="Z2728" s="19"/>
      <c r="AA2728" s="19"/>
      <c r="AB2728" s="23"/>
      <c r="AC2728" s="23"/>
    </row>
    <row r="2729" spans="1:29" ht="15.75" customHeight="1" x14ac:dyDescent="0.2">
      <c r="A2729" s="34"/>
      <c r="B2729" s="34"/>
      <c r="C2729" s="34"/>
      <c r="D2729" s="34"/>
      <c r="E2729" s="19"/>
      <c r="F2729" s="19"/>
      <c r="G2729" s="19"/>
      <c r="H2729" s="19"/>
      <c r="I2729" s="19"/>
      <c r="J2729" s="19"/>
      <c r="K2729" s="19"/>
      <c r="L2729" s="19"/>
      <c r="M2729" s="19"/>
      <c r="N2729" s="19"/>
      <c r="O2729" s="19"/>
      <c r="P2729" s="19"/>
      <c r="Q2729" s="19"/>
      <c r="R2729" s="20"/>
      <c r="S2729" s="20"/>
      <c r="T2729" s="22"/>
      <c r="U2729" s="22"/>
      <c r="V2729" s="20"/>
      <c r="W2729" s="20"/>
      <c r="X2729" s="20"/>
      <c r="Y2729" s="19"/>
      <c r="Z2729" s="19"/>
      <c r="AA2729" s="19"/>
      <c r="AB2729" s="23"/>
      <c r="AC2729" s="23"/>
    </row>
    <row r="2730" spans="1:29" ht="15.75" customHeight="1" x14ac:dyDescent="0.2">
      <c r="A2730" s="34"/>
      <c r="B2730" s="34"/>
      <c r="C2730" s="34"/>
      <c r="D2730" s="34"/>
      <c r="E2730" s="19"/>
      <c r="F2730" s="19"/>
      <c r="G2730" s="19"/>
      <c r="H2730" s="19"/>
      <c r="I2730" s="19"/>
      <c r="J2730" s="19"/>
      <c r="K2730" s="19"/>
      <c r="L2730" s="19"/>
      <c r="M2730" s="19"/>
      <c r="N2730" s="19"/>
      <c r="O2730" s="19"/>
      <c r="P2730" s="19"/>
      <c r="Q2730" s="19"/>
      <c r="R2730" s="20"/>
      <c r="S2730" s="20"/>
      <c r="T2730" s="22"/>
      <c r="U2730" s="22"/>
      <c r="V2730" s="20"/>
      <c r="W2730" s="20"/>
      <c r="X2730" s="20"/>
      <c r="Y2730" s="19"/>
      <c r="Z2730" s="19"/>
      <c r="AA2730" s="19"/>
      <c r="AB2730" s="23"/>
      <c r="AC2730" s="23"/>
    </row>
    <row r="2731" spans="1:29" ht="15.75" customHeight="1" x14ac:dyDescent="0.2">
      <c r="A2731" s="34"/>
      <c r="B2731" s="34"/>
      <c r="C2731" s="34"/>
      <c r="D2731" s="34"/>
      <c r="E2731" s="19"/>
      <c r="F2731" s="19"/>
      <c r="G2731" s="19"/>
      <c r="H2731" s="19"/>
      <c r="I2731" s="19"/>
      <c r="J2731" s="19"/>
      <c r="K2731" s="19"/>
      <c r="L2731" s="19"/>
      <c r="M2731" s="19"/>
      <c r="N2731" s="19"/>
      <c r="O2731" s="19"/>
      <c r="P2731" s="19"/>
      <c r="Q2731" s="19"/>
      <c r="R2731" s="20"/>
      <c r="S2731" s="20"/>
      <c r="T2731" s="22"/>
      <c r="U2731" s="22"/>
      <c r="V2731" s="20"/>
      <c r="W2731" s="20"/>
      <c r="X2731" s="20"/>
      <c r="Y2731" s="19"/>
      <c r="Z2731" s="19"/>
      <c r="AA2731" s="19"/>
      <c r="AB2731" s="23"/>
      <c r="AC2731" s="23"/>
    </row>
    <row r="2732" spans="1:29" ht="15.75" customHeight="1" x14ac:dyDescent="0.2">
      <c r="A2732" s="34"/>
      <c r="B2732" s="34"/>
      <c r="C2732" s="34"/>
      <c r="D2732" s="34"/>
      <c r="E2732" s="19"/>
      <c r="F2732" s="19"/>
      <c r="G2732" s="19"/>
      <c r="H2732" s="19"/>
      <c r="I2732" s="19"/>
      <c r="J2732" s="19"/>
      <c r="K2732" s="19"/>
      <c r="L2732" s="19"/>
      <c r="M2732" s="19"/>
      <c r="N2732" s="19"/>
      <c r="O2732" s="19"/>
      <c r="P2732" s="19"/>
      <c r="Q2732" s="19"/>
      <c r="R2732" s="20"/>
      <c r="S2732" s="20"/>
      <c r="T2732" s="22"/>
      <c r="U2732" s="22"/>
      <c r="V2732" s="20"/>
      <c r="W2732" s="20"/>
      <c r="X2732" s="20"/>
      <c r="Y2732" s="19"/>
      <c r="Z2732" s="19"/>
      <c r="AA2732" s="19"/>
      <c r="AB2732" s="23"/>
      <c r="AC2732" s="23"/>
    </row>
    <row r="2733" spans="1:29" ht="15.75" customHeight="1" x14ac:dyDescent="0.2">
      <c r="A2733" s="34"/>
      <c r="B2733" s="34"/>
      <c r="C2733" s="34"/>
      <c r="D2733" s="34"/>
      <c r="E2733" s="19"/>
      <c r="F2733" s="19"/>
      <c r="G2733" s="19"/>
      <c r="H2733" s="19"/>
      <c r="I2733" s="19"/>
      <c r="J2733" s="19"/>
      <c r="K2733" s="19"/>
      <c r="L2733" s="19"/>
      <c r="M2733" s="19"/>
      <c r="N2733" s="19"/>
      <c r="O2733" s="19"/>
      <c r="P2733" s="19"/>
      <c r="Q2733" s="19"/>
      <c r="R2733" s="20"/>
      <c r="S2733" s="20"/>
      <c r="T2733" s="22"/>
      <c r="U2733" s="22"/>
      <c r="V2733" s="20"/>
      <c r="W2733" s="20"/>
      <c r="X2733" s="20"/>
      <c r="Y2733" s="19"/>
      <c r="Z2733" s="19"/>
      <c r="AA2733" s="19"/>
      <c r="AB2733" s="23"/>
      <c r="AC2733" s="23"/>
    </row>
    <row r="2734" spans="1:29" ht="15.75" customHeight="1" x14ac:dyDescent="0.2">
      <c r="A2734" s="34"/>
      <c r="B2734" s="34"/>
      <c r="C2734" s="34"/>
      <c r="D2734" s="34"/>
      <c r="E2734" s="19"/>
      <c r="F2734" s="19"/>
      <c r="G2734" s="19"/>
      <c r="H2734" s="19"/>
      <c r="I2734" s="19"/>
      <c r="J2734" s="19"/>
      <c r="K2734" s="19"/>
      <c r="L2734" s="19"/>
      <c r="M2734" s="19"/>
      <c r="N2734" s="19"/>
      <c r="O2734" s="19"/>
      <c r="P2734" s="19"/>
      <c r="Q2734" s="19"/>
      <c r="R2734" s="20"/>
      <c r="S2734" s="20"/>
      <c r="T2734" s="22"/>
      <c r="U2734" s="22"/>
      <c r="V2734" s="20"/>
      <c r="W2734" s="20"/>
      <c r="X2734" s="20"/>
      <c r="Y2734" s="19"/>
      <c r="Z2734" s="19"/>
      <c r="AA2734" s="19"/>
      <c r="AB2734" s="23"/>
      <c r="AC2734" s="23"/>
    </row>
    <row r="2735" spans="1:29" ht="15.75" customHeight="1" x14ac:dyDescent="0.2">
      <c r="A2735" s="34"/>
      <c r="B2735" s="34"/>
      <c r="C2735" s="34"/>
      <c r="D2735" s="34"/>
      <c r="E2735" s="19"/>
      <c r="F2735" s="19"/>
      <c r="G2735" s="19"/>
      <c r="H2735" s="19"/>
      <c r="I2735" s="19"/>
      <c r="J2735" s="19"/>
      <c r="K2735" s="19"/>
      <c r="L2735" s="19"/>
      <c r="M2735" s="19"/>
      <c r="N2735" s="19"/>
      <c r="O2735" s="19"/>
      <c r="P2735" s="19"/>
      <c r="Q2735" s="19"/>
      <c r="R2735" s="20"/>
      <c r="S2735" s="20"/>
      <c r="T2735" s="22"/>
      <c r="U2735" s="22"/>
      <c r="V2735" s="20"/>
      <c r="W2735" s="20"/>
      <c r="X2735" s="20"/>
      <c r="Y2735" s="19"/>
      <c r="Z2735" s="19"/>
      <c r="AA2735" s="19"/>
      <c r="AB2735" s="23"/>
      <c r="AC2735" s="23"/>
    </row>
    <row r="2736" spans="1:29" ht="15.75" customHeight="1" x14ac:dyDescent="0.2">
      <c r="A2736" s="34"/>
      <c r="B2736" s="34"/>
      <c r="C2736" s="34"/>
      <c r="D2736" s="34"/>
      <c r="E2736" s="19"/>
      <c r="F2736" s="19"/>
      <c r="G2736" s="19"/>
      <c r="H2736" s="19"/>
      <c r="I2736" s="19"/>
      <c r="J2736" s="19"/>
      <c r="K2736" s="19"/>
      <c r="L2736" s="19"/>
      <c r="M2736" s="19"/>
      <c r="N2736" s="19"/>
      <c r="O2736" s="19"/>
      <c r="P2736" s="19"/>
      <c r="Q2736" s="19"/>
      <c r="R2736" s="20"/>
      <c r="S2736" s="20"/>
      <c r="T2736" s="22"/>
      <c r="U2736" s="22"/>
      <c r="V2736" s="20"/>
      <c r="W2736" s="20"/>
      <c r="X2736" s="20"/>
      <c r="Y2736" s="19"/>
      <c r="Z2736" s="19"/>
      <c r="AA2736" s="19"/>
      <c r="AB2736" s="23"/>
      <c r="AC2736" s="23"/>
    </row>
    <row r="2737" spans="1:29" ht="15.75" customHeight="1" x14ac:dyDescent="0.2">
      <c r="A2737" s="34"/>
      <c r="B2737" s="34"/>
      <c r="C2737" s="34"/>
      <c r="D2737" s="34"/>
      <c r="E2737" s="19"/>
      <c r="F2737" s="19"/>
      <c r="G2737" s="19"/>
      <c r="H2737" s="19"/>
      <c r="I2737" s="19"/>
      <c r="J2737" s="19"/>
      <c r="K2737" s="19"/>
      <c r="L2737" s="19"/>
      <c r="M2737" s="19"/>
      <c r="N2737" s="19"/>
      <c r="O2737" s="19"/>
      <c r="P2737" s="19"/>
      <c r="Q2737" s="19"/>
      <c r="R2737" s="20"/>
      <c r="S2737" s="20"/>
      <c r="T2737" s="22"/>
      <c r="U2737" s="22"/>
      <c r="V2737" s="20"/>
      <c r="W2737" s="20"/>
      <c r="X2737" s="20"/>
      <c r="Y2737" s="19"/>
      <c r="Z2737" s="19"/>
      <c r="AA2737" s="19"/>
      <c r="AB2737" s="23"/>
      <c r="AC2737" s="23"/>
    </row>
    <row r="2738" spans="1:29" ht="15.75" customHeight="1" x14ac:dyDescent="0.2">
      <c r="A2738" s="34"/>
      <c r="B2738" s="34"/>
      <c r="C2738" s="34"/>
      <c r="D2738" s="34"/>
      <c r="E2738" s="19"/>
      <c r="F2738" s="19"/>
      <c r="G2738" s="19"/>
      <c r="H2738" s="19"/>
      <c r="I2738" s="19"/>
      <c r="J2738" s="19"/>
      <c r="K2738" s="19"/>
      <c r="L2738" s="19"/>
      <c r="M2738" s="19"/>
      <c r="N2738" s="19"/>
      <c r="O2738" s="19"/>
      <c r="P2738" s="19"/>
      <c r="Q2738" s="19"/>
      <c r="R2738" s="20"/>
      <c r="S2738" s="20"/>
      <c r="T2738" s="22"/>
      <c r="U2738" s="22"/>
      <c r="V2738" s="20"/>
      <c r="W2738" s="20"/>
      <c r="X2738" s="20"/>
      <c r="Y2738" s="19"/>
      <c r="Z2738" s="19"/>
      <c r="AA2738" s="19"/>
      <c r="AB2738" s="23"/>
      <c r="AC2738" s="23"/>
    </row>
    <row r="2739" spans="1:29" ht="15.75" customHeight="1" x14ac:dyDescent="0.2">
      <c r="A2739" s="34"/>
      <c r="B2739" s="34"/>
      <c r="C2739" s="34"/>
      <c r="D2739" s="34"/>
      <c r="E2739" s="19"/>
      <c r="F2739" s="19"/>
      <c r="G2739" s="19"/>
      <c r="H2739" s="19"/>
      <c r="I2739" s="19"/>
      <c r="J2739" s="19"/>
      <c r="K2739" s="19"/>
      <c r="L2739" s="19"/>
      <c r="M2739" s="19"/>
      <c r="N2739" s="19"/>
      <c r="O2739" s="19"/>
      <c r="P2739" s="19"/>
      <c r="Q2739" s="19"/>
      <c r="R2739" s="20"/>
      <c r="S2739" s="20"/>
      <c r="T2739" s="22"/>
      <c r="U2739" s="22"/>
      <c r="V2739" s="20"/>
      <c r="W2739" s="20"/>
      <c r="X2739" s="20"/>
      <c r="Y2739" s="19"/>
      <c r="Z2739" s="19"/>
      <c r="AA2739" s="19"/>
      <c r="AB2739" s="23"/>
      <c r="AC2739" s="23"/>
    </row>
    <row r="2740" spans="1:29" ht="15.75" customHeight="1" x14ac:dyDescent="0.2">
      <c r="A2740" s="34"/>
      <c r="B2740" s="34"/>
      <c r="C2740" s="34"/>
      <c r="D2740" s="34"/>
      <c r="E2740" s="19"/>
      <c r="F2740" s="19"/>
      <c r="G2740" s="19"/>
      <c r="H2740" s="19"/>
      <c r="I2740" s="19"/>
      <c r="J2740" s="19"/>
      <c r="K2740" s="19"/>
      <c r="L2740" s="19"/>
      <c r="M2740" s="19"/>
      <c r="N2740" s="19"/>
      <c r="O2740" s="19"/>
      <c r="P2740" s="19"/>
      <c r="Q2740" s="19"/>
      <c r="R2740" s="20"/>
      <c r="S2740" s="20"/>
      <c r="T2740" s="22"/>
      <c r="U2740" s="22"/>
      <c r="V2740" s="20"/>
      <c r="W2740" s="20"/>
      <c r="X2740" s="20"/>
      <c r="Y2740" s="19"/>
      <c r="Z2740" s="19"/>
      <c r="AA2740" s="19"/>
      <c r="AB2740" s="23"/>
      <c r="AC2740" s="23"/>
    </row>
    <row r="2741" spans="1:29" ht="15.75" customHeight="1" x14ac:dyDescent="0.2">
      <c r="A2741" s="34"/>
      <c r="B2741" s="34"/>
      <c r="C2741" s="34"/>
      <c r="D2741" s="34"/>
      <c r="E2741" s="19"/>
      <c r="F2741" s="19"/>
      <c r="G2741" s="19"/>
      <c r="H2741" s="19"/>
      <c r="I2741" s="19"/>
      <c r="J2741" s="19"/>
      <c r="K2741" s="19"/>
      <c r="L2741" s="19"/>
      <c r="M2741" s="19"/>
      <c r="N2741" s="19"/>
      <c r="O2741" s="19"/>
      <c r="P2741" s="19"/>
      <c r="Q2741" s="19"/>
      <c r="R2741" s="20"/>
      <c r="S2741" s="20"/>
      <c r="T2741" s="22"/>
      <c r="U2741" s="22"/>
      <c r="V2741" s="20"/>
      <c r="W2741" s="20"/>
      <c r="X2741" s="20"/>
      <c r="Y2741" s="19"/>
      <c r="Z2741" s="19"/>
      <c r="AA2741" s="19"/>
      <c r="AB2741" s="23"/>
      <c r="AC2741" s="23"/>
    </row>
    <row r="2742" spans="1:29" ht="15.75" customHeight="1" x14ac:dyDescent="0.2">
      <c r="A2742" s="34"/>
      <c r="B2742" s="34"/>
      <c r="C2742" s="34"/>
      <c r="D2742" s="34"/>
      <c r="E2742" s="19"/>
      <c r="F2742" s="19"/>
      <c r="G2742" s="19"/>
      <c r="H2742" s="19"/>
      <c r="I2742" s="19"/>
      <c r="J2742" s="19"/>
      <c r="K2742" s="19"/>
      <c r="L2742" s="19"/>
      <c r="M2742" s="19"/>
      <c r="N2742" s="19"/>
      <c r="O2742" s="19"/>
      <c r="P2742" s="19"/>
      <c r="Q2742" s="19"/>
      <c r="R2742" s="20"/>
      <c r="S2742" s="20"/>
      <c r="T2742" s="22"/>
      <c r="U2742" s="22"/>
      <c r="V2742" s="20"/>
      <c r="W2742" s="20"/>
      <c r="X2742" s="20"/>
      <c r="Y2742" s="19"/>
      <c r="Z2742" s="19"/>
      <c r="AA2742" s="19"/>
      <c r="AB2742" s="23"/>
      <c r="AC2742" s="23"/>
    </row>
    <row r="2743" spans="1:29" ht="15.75" customHeight="1" x14ac:dyDescent="0.2">
      <c r="A2743" s="34"/>
      <c r="B2743" s="34"/>
      <c r="C2743" s="34"/>
      <c r="D2743" s="34"/>
      <c r="E2743" s="19"/>
      <c r="F2743" s="19"/>
      <c r="G2743" s="19"/>
      <c r="H2743" s="19"/>
      <c r="I2743" s="19"/>
      <c r="J2743" s="19"/>
      <c r="K2743" s="19"/>
      <c r="L2743" s="19"/>
      <c r="M2743" s="19"/>
      <c r="N2743" s="19"/>
      <c r="O2743" s="19"/>
      <c r="P2743" s="19"/>
      <c r="Q2743" s="19"/>
      <c r="R2743" s="20"/>
      <c r="S2743" s="20"/>
      <c r="T2743" s="22"/>
      <c r="U2743" s="22"/>
      <c r="V2743" s="20"/>
      <c r="W2743" s="20"/>
      <c r="X2743" s="20"/>
      <c r="Y2743" s="19"/>
      <c r="Z2743" s="19"/>
      <c r="AA2743" s="19"/>
      <c r="AB2743" s="23"/>
      <c r="AC2743" s="23"/>
    </row>
    <row r="2744" spans="1:29" ht="15.75" customHeight="1" x14ac:dyDescent="0.2">
      <c r="A2744" s="34"/>
      <c r="B2744" s="34"/>
      <c r="C2744" s="34"/>
      <c r="D2744" s="34"/>
      <c r="E2744" s="19"/>
      <c r="F2744" s="19"/>
      <c r="G2744" s="19"/>
      <c r="H2744" s="19"/>
      <c r="I2744" s="19"/>
      <c r="J2744" s="19"/>
      <c r="K2744" s="19"/>
      <c r="L2744" s="19"/>
      <c r="M2744" s="19"/>
      <c r="N2744" s="19"/>
      <c r="O2744" s="19"/>
      <c r="P2744" s="19"/>
      <c r="Q2744" s="19"/>
      <c r="R2744" s="20"/>
      <c r="S2744" s="20"/>
      <c r="T2744" s="22"/>
      <c r="U2744" s="22"/>
      <c r="V2744" s="20"/>
      <c r="W2744" s="20"/>
      <c r="X2744" s="20"/>
      <c r="Y2744" s="19"/>
      <c r="Z2744" s="19"/>
      <c r="AA2744" s="19"/>
      <c r="AB2744" s="23"/>
      <c r="AC2744" s="23"/>
    </row>
    <row r="2745" spans="1:29" ht="15.75" customHeight="1" x14ac:dyDescent="0.2">
      <c r="A2745" s="34"/>
      <c r="B2745" s="34"/>
      <c r="C2745" s="34"/>
      <c r="D2745" s="34"/>
      <c r="E2745" s="19"/>
      <c r="F2745" s="19"/>
      <c r="G2745" s="19"/>
      <c r="H2745" s="19"/>
      <c r="I2745" s="19"/>
      <c r="J2745" s="19"/>
      <c r="K2745" s="19"/>
      <c r="L2745" s="19"/>
      <c r="M2745" s="19"/>
      <c r="N2745" s="19"/>
      <c r="O2745" s="19"/>
      <c r="P2745" s="19"/>
      <c r="Q2745" s="19"/>
      <c r="R2745" s="20"/>
      <c r="S2745" s="20"/>
      <c r="T2745" s="22"/>
      <c r="U2745" s="22"/>
      <c r="V2745" s="20"/>
      <c r="W2745" s="20"/>
      <c r="X2745" s="20"/>
      <c r="Y2745" s="19"/>
      <c r="Z2745" s="19"/>
      <c r="AA2745" s="19"/>
      <c r="AB2745" s="23"/>
      <c r="AC2745" s="23"/>
    </row>
    <row r="2746" spans="1:29" ht="15.75" customHeight="1" x14ac:dyDescent="0.2">
      <c r="A2746" s="34"/>
      <c r="B2746" s="34"/>
      <c r="C2746" s="34"/>
      <c r="D2746" s="34"/>
      <c r="E2746" s="19"/>
      <c r="F2746" s="19"/>
      <c r="G2746" s="19"/>
      <c r="H2746" s="19"/>
      <c r="I2746" s="19"/>
      <c r="J2746" s="19"/>
      <c r="K2746" s="19"/>
      <c r="L2746" s="19"/>
      <c r="M2746" s="19"/>
      <c r="N2746" s="19"/>
      <c r="O2746" s="19"/>
      <c r="P2746" s="19"/>
      <c r="Q2746" s="19"/>
      <c r="R2746" s="20"/>
      <c r="S2746" s="20"/>
      <c r="T2746" s="22"/>
      <c r="U2746" s="22"/>
      <c r="V2746" s="20"/>
      <c r="W2746" s="20"/>
      <c r="X2746" s="20"/>
      <c r="Y2746" s="19"/>
      <c r="Z2746" s="19"/>
      <c r="AA2746" s="19"/>
      <c r="AB2746" s="23"/>
      <c r="AC2746" s="23"/>
    </row>
    <row r="2747" spans="1:29" ht="15.75" customHeight="1" x14ac:dyDescent="0.2">
      <c r="A2747" s="34"/>
      <c r="B2747" s="34"/>
      <c r="C2747" s="34"/>
      <c r="D2747" s="34"/>
      <c r="E2747" s="19"/>
      <c r="F2747" s="19"/>
      <c r="G2747" s="19"/>
      <c r="H2747" s="19"/>
      <c r="I2747" s="19"/>
      <c r="J2747" s="19"/>
      <c r="K2747" s="19"/>
      <c r="L2747" s="19"/>
      <c r="M2747" s="19"/>
      <c r="N2747" s="19"/>
      <c r="O2747" s="19"/>
      <c r="P2747" s="19"/>
      <c r="Q2747" s="19"/>
      <c r="R2747" s="20"/>
      <c r="S2747" s="20"/>
      <c r="T2747" s="22"/>
      <c r="U2747" s="22"/>
      <c r="V2747" s="20"/>
      <c r="W2747" s="20"/>
      <c r="X2747" s="20"/>
      <c r="Y2747" s="19"/>
      <c r="Z2747" s="19"/>
      <c r="AA2747" s="19"/>
      <c r="AB2747" s="23"/>
      <c r="AC2747" s="23"/>
    </row>
    <row r="2748" spans="1:29" ht="15.75" customHeight="1" x14ac:dyDescent="0.2">
      <c r="A2748" s="34"/>
      <c r="B2748" s="34"/>
      <c r="C2748" s="34"/>
      <c r="D2748" s="34"/>
      <c r="E2748" s="19"/>
      <c r="F2748" s="19"/>
      <c r="G2748" s="19"/>
      <c r="H2748" s="19"/>
      <c r="I2748" s="19"/>
      <c r="J2748" s="19"/>
      <c r="K2748" s="19"/>
      <c r="L2748" s="19"/>
      <c r="M2748" s="19"/>
      <c r="N2748" s="19"/>
      <c r="O2748" s="19"/>
      <c r="P2748" s="19"/>
      <c r="Q2748" s="19"/>
      <c r="R2748" s="20"/>
      <c r="S2748" s="20"/>
      <c r="T2748" s="22"/>
      <c r="U2748" s="22"/>
      <c r="V2748" s="20"/>
      <c r="W2748" s="20"/>
      <c r="X2748" s="20"/>
      <c r="Y2748" s="19"/>
      <c r="Z2748" s="19"/>
      <c r="AA2748" s="19"/>
      <c r="AB2748" s="23"/>
      <c r="AC2748" s="23"/>
    </row>
    <row r="2749" spans="1:29" ht="15.75" customHeight="1" x14ac:dyDescent="0.2">
      <c r="A2749" s="34"/>
      <c r="B2749" s="34"/>
      <c r="C2749" s="34"/>
      <c r="D2749" s="34"/>
      <c r="E2749" s="19"/>
      <c r="F2749" s="19"/>
      <c r="G2749" s="19"/>
      <c r="H2749" s="19"/>
      <c r="I2749" s="19"/>
      <c r="J2749" s="19"/>
      <c r="K2749" s="19"/>
      <c r="L2749" s="19"/>
      <c r="M2749" s="19"/>
      <c r="N2749" s="19"/>
      <c r="O2749" s="19"/>
      <c r="P2749" s="19"/>
      <c r="Q2749" s="19"/>
      <c r="R2749" s="20"/>
      <c r="S2749" s="20"/>
      <c r="T2749" s="22"/>
      <c r="U2749" s="22"/>
      <c r="V2749" s="20"/>
      <c r="W2749" s="20"/>
      <c r="X2749" s="20"/>
      <c r="Y2749" s="19"/>
      <c r="Z2749" s="19"/>
      <c r="AA2749" s="19"/>
      <c r="AB2749" s="23"/>
      <c r="AC2749" s="23"/>
    </row>
    <row r="2750" spans="1:29" ht="15.75" customHeight="1" x14ac:dyDescent="0.2">
      <c r="A2750" s="34"/>
      <c r="B2750" s="34"/>
      <c r="C2750" s="34"/>
      <c r="D2750" s="34"/>
      <c r="E2750" s="19"/>
      <c r="F2750" s="19"/>
      <c r="G2750" s="19"/>
      <c r="H2750" s="19"/>
      <c r="I2750" s="19"/>
      <c r="J2750" s="19"/>
      <c r="K2750" s="19"/>
      <c r="L2750" s="19"/>
      <c r="M2750" s="19"/>
      <c r="N2750" s="19"/>
      <c r="O2750" s="19"/>
      <c r="P2750" s="19"/>
      <c r="Q2750" s="19"/>
      <c r="R2750" s="20"/>
      <c r="S2750" s="20"/>
      <c r="T2750" s="22"/>
      <c r="U2750" s="22"/>
      <c r="V2750" s="20"/>
      <c r="W2750" s="20"/>
      <c r="X2750" s="20"/>
      <c r="Y2750" s="19"/>
      <c r="Z2750" s="19"/>
      <c r="AA2750" s="19"/>
      <c r="AB2750" s="23"/>
      <c r="AC2750" s="23"/>
    </row>
    <row r="2751" spans="1:29" ht="15.75" customHeight="1" x14ac:dyDescent="0.2">
      <c r="A2751" s="34"/>
      <c r="B2751" s="34"/>
      <c r="C2751" s="34"/>
      <c r="D2751" s="34"/>
      <c r="E2751" s="19"/>
      <c r="F2751" s="19"/>
      <c r="G2751" s="19"/>
      <c r="H2751" s="19"/>
      <c r="I2751" s="19"/>
      <c r="J2751" s="19"/>
      <c r="K2751" s="19"/>
      <c r="L2751" s="19"/>
      <c r="M2751" s="19"/>
      <c r="N2751" s="19"/>
      <c r="O2751" s="19"/>
      <c r="P2751" s="19"/>
      <c r="Q2751" s="19"/>
      <c r="R2751" s="20"/>
      <c r="S2751" s="20"/>
      <c r="T2751" s="22"/>
      <c r="U2751" s="22"/>
      <c r="V2751" s="20"/>
      <c r="W2751" s="20"/>
      <c r="X2751" s="20"/>
      <c r="Y2751" s="19"/>
      <c r="Z2751" s="19"/>
      <c r="AA2751" s="19"/>
      <c r="AB2751" s="23"/>
      <c r="AC2751" s="23"/>
    </row>
    <row r="2752" spans="1:29" ht="15.75" customHeight="1" x14ac:dyDescent="0.2">
      <c r="A2752" s="34"/>
      <c r="B2752" s="34"/>
      <c r="C2752" s="34"/>
      <c r="D2752" s="34"/>
      <c r="E2752" s="19"/>
      <c r="F2752" s="19"/>
      <c r="G2752" s="19"/>
      <c r="H2752" s="19"/>
      <c r="I2752" s="19"/>
      <c r="J2752" s="19"/>
      <c r="K2752" s="19"/>
      <c r="L2752" s="19"/>
      <c r="M2752" s="19"/>
      <c r="N2752" s="19"/>
      <c r="O2752" s="19"/>
      <c r="P2752" s="19"/>
      <c r="Q2752" s="19"/>
      <c r="R2752" s="20"/>
      <c r="S2752" s="20"/>
      <c r="T2752" s="22"/>
      <c r="U2752" s="22"/>
      <c r="V2752" s="20"/>
      <c r="W2752" s="20"/>
      <c r="X2752" s="20"/>
      <c r="Y2752" s="19"/>
      <c r="Z2752" s="19"/>
      <c r="AA2752" s="19"/>
      <c r="AB2752" s="23"/>
      <c r="AC2752" s="23"/>
    </row>
    <row r="2753" spans="1:29" ht="15.75" customHeight="1" x14ac:dyDescent="0.2">
      <c r="A2753" s="34"/>
      <c r="B2753" s="34"/>
      <c r="C2753" s="34"/>
      <c r="D2753" s="34"/>
      <c r="E2753" s="19"/>
      <c r="F2753" s="19"/>
      <c r="G2753" s="19"/>
      <c r="H2753" s="19"/>
      <c r="I2753" s="19"/>
      <c r="J2753" s="19"/>
      <c r="K2753" s="19"/>
      <c r="L2753" s="19"/>
      <c r="M2753" s="19"/>
      <c r="N2753" s="19"/>
      <c r="O2753" s="19"/>
      <c r="P2753" s="19"/>
      <c r="Q2753" s="19"/>
      <c r="R2753" s="20"/>
      <c r="S2753" s="20"/>
      <c r="T2753" s="22"/>
      <c r="U2753" s="22"/>
      <c r="V2753" s="20"/>
      <c r="W2753" s="20"/>
      <c r="X2753" s="20"/>
      <c r="Y2753" s="19"/>
      <c r="Z2753" s="19"/>
      <c r="AA2753" s="19"/>
      <c r="AB2753" s="23"/>
      <c r="AC2753" s="23"/>
    </row>
    <row r="2754" spans="1:29" ht="15.75" customHeight="1" x14ac:dyDescent="0.2">
      <c r="A2754" s="34"/>
      <c r="B2754" s="34"/>
      <c r="C2754" s="34"/>
      <c r="D2754" s="34"/>
      <c r="E2754" s="19"/>
      <c r="F2754" s="19"/>
      <c r="G2754" s="19"/>
      <c r="H2754" s="19"/>
      <c r="I2754" s="19"/>
      <c r="J2754" s="19"/>
      <c r="K2754" s="19"/>
      <c r="L2754" s="19"/>
      <c r="M2754" s="19"/>
      <c r="N2754" s="19"/>
      <c r="O2754" s="19"/>
      <c r="P2754" s="19"/>
      <c r="Q2754" s="19"/>
      <c r="R2754" s="20"/>
      <c r="S2754" s="20"/>
      <c r="T2754" s="22"/>
      <c r="U2754" s="22"/>
      <c r="V2754" s="20"/>
      <c r="W2754" s="20"/>
      <c r="X2754" s="20"/>
      <c r="Y2754" s="19"/>
      <c r="Z2754" s="19"/>
      <c r="AA2754" s="19"/>
      <c r="AB2754" s="23"/>
      <c r="AC2754" s="23"/>
    </row>
    <row r="2755" spans="1:29" ht="15.75" customHeight="1" x14ac:dyDescent="0.2">
      <c r="A2755" s="34"/>
      <c r="B2755" s="34"/>
      <c r="C2755" s="34"/>
      <c r="D2755" s="34"/>
      <c r="E2755" s="19"/>
      <c r="F2755" s="19"/>
      <c r="G2755" s="19"/>
      <c r="H2755" s="19"/>
      <c r="I2755" s="19"/>
      <c r="J2755" s="19"/>
      <c r="K2755" s="19"/>
      <c r="L2755" s="19"/>
      <c r="M2755" s="19"/>
      <c r="N2755" s="19"/>
      <c r="O2755" s="19"/>
      <c r="P2755" s="19"/>
      <c r="Q2755" s="19"/>
      <c r="R2755" s="20"/>
      <c r="S2755" s="20"/>
      <c r="T2755" s="22"/>
      <c r="U2755" s="22"/>
      <c r="V2755" s="20"/>
      <c r="W2755" s="20"/>
      <c r="X2755" s="20"/>
      <c r="Y2755" s="19"/>
      <c r="Z2755" s="19"/>
      <c r="AA2755" s="19"/>
      <c r="AB2755" s="23"/>
      <c r="AC2755" s="23"/>
    </row>
    <row r="2756" spans="1:29" ht="15.75" customHeight="1" x14ac:dyDescent="0.2">
      <c r="A2756" s="34"/>
      <c r="B2756" s="34"/>
      <c r="C2756" s="34"/>
      <c r="D2756" s="34"/>
      <c r="E2756" s="19"/>
      <c r="F2756" s="19"/>
      <c r="G2756" s="19"/>
      <c r="H2756" s="19"/>
      <c r="I2756" s="19"/>
      <c r="J2756" s="19"/>
      <c r="K2756" s="19"/>
      <c r="L2756" s="19"/>
      <c r="M2756" s="19"/>
      <c r="N2756" s="19"/>
      <c r="O2756" s="19"/>
      <c r="P2756" s="19"/>
      <c r="Q2756" s="19"/>
      <c r="R2756" s="20"/>
      <c r="S2756" s="20"/>
      <c r="T2756" s="22"/>
      <c r="U2756" s="22"/>
      <c r="V2756" s="20"/>
      <c r="W2756" s="20"/>
      <c r="X2756" s="20"/>
      <c r="Y2756" s="19"/>
      <c r="Z2756" s="19"/>
      <c r="AA2756" s="19"/>
      <c r="AB2756" s="23"/>
      <c r="AC2756" s="23"/>
    </row>
    <row r="2757" spans="1:29" ht="15.75" customHeight="1" x14ac:dyDescent="0.2">
      <c r="A2757" s="34"/>
      <c r="B2757" s="34"/>
      <c r="C2757" s="34"/>
      <c r="D2757" s="34"/>
      <c r="E2757" s="19"/>
      <c r="F2757" s="19"/>
      <c r="G2757" s="19"/>
      <c r="H2757" s="19"/>
      <c r="I2757" s="19"/>
      <c r="J2757" s="19"/>
      <c r="K2757" s="19"/>
      <c r="L2757" s="19"/>
      <c r="M2757" s="19"/>
      <c r="N2757" s="19"/>
      <c r="O2757" s="19"/>
      <c r="P2757" s="19"/>
      <c r="Q2757" s="19"/>
      <c r="R2757" s="20"/>
      <c r="S2757" s="20"/>
      <c r="T2757" s="22"/>
      <c r="U2757" s="22"/>
      <c r="V2757" s="20"/>
      <c r="W2757" s="20"/>
      <c r="X2757" s="20"/>
      <c r="Y2757" s="19"/>
      <c r="Z2757" s="19"/>
      <c r="AA2757" s="19"/>
      <c r="AB2757" s="23"/>
      <c r="AC2757" s="23"/>
    </row>
    <row r="2758" spans="1:29" ht="15.75" customHeight="1" x14ac:dyDescent="0.2">
      <c r="A2758" s="34"/>
      <c r="B2758" s="34"/>
      <c r="C2758" s="34"/>
      <c r="D2758" s="34"/>
      <c r="E2758" s="19"/>
      <c r="F2758" s="19"/>
      <c r="G2758" s="19"/>
      <c r="H2758" s="19"/>
      <c r="I2758" s="19"/>
      <c r="J2758" s="19"/>
      <c r="K2758" s="19"/>
      <c r="L2758" s="19"/>
      <c r="M2758" s="19"/>
      <c r="N2758" s="19"/>
      <c r="O2758" s="19"/>
      <c r="P2758" s="19"/>
      <c r="Q2758" s="19"/>
      <c r="R2758" s="20"/>
      <c r="S2758" s="20"/>
      <c r="T2758" s="22"/>
      <c r="U2758" s="22"/>
      <c r="V2758" s="20"/>
      <c r="W2758" s="20"/>
      <c r="X2758" s="20"/>
      <c r="Y2758" s="19"/>
      <c r="Z2758" s="19"/>
      <c r="AA2758" s="19"/>
      <c r="AB2758" s="23"/>
      <c r="AC2758" s="23"/>
    </row>
    <row r="2759" spans="1:29" ht="15.75" customHeight="1" x14ac:dyDescent="0.2">
      <c r="A2759" s="34"/>
      <c r="B2759" s="34"/>
      <c r="C2759" s="34"/>
      <c r="D2759" s="34"/>
      <c r="E2759" s="19"/>
      <c r="F2759" s="19"/>
      <c r="G2759" s="19"/>
      <c r="H2759" s="19"/>
      <c r="I2759" s="19"/>
      <c r="J2759" s="19"/>
      <c r="K2759" s="19"/>
      <c r="L2759" s="19"/>
      <c r="M2759" s="19"/>
      <c r="N2759" s="19"/>
      <c r="O2759" s="19"/>
      <c r="P2759" s="19"/>
      <c r="Q2759" s="19"/>
      <c r="R2759" s="20"/>
      <c r="S2759" s="20"/>
      <c r="T2759" s="22"/>
      <c r="U2759" s="22"/>
      <c r="V2759" s="20"/>
      <c r="W2759" s="20"/>
      <c r="X2759" s="20"/>
      <c r="Y2759" s="19"/>
      <c r="Z2759" s="19"/>
      <c r="AA2759" s="19"/>
      <c r="AB2759" s="23"/>
      <c r="AC2759" s="23"/>
    </row>
    <row r="2760" spans="1:29" ht="15.75" customHeight="1" x14ac:dyDescent="0.2">
      <c r="A2760" s="34"/>
      <c r="B2760" s="34"/>
      <c r="C2760" s="34"/>
      <c r="D2760" s="34"/>
      <c r="E2760" s="19"/>
      <c r="F2760" s="19"/>
      <c r="G2760" s="19"/>
      <c r="H2760" s="19"/>
      <c r="I2760" s="19"/>
      <c r="J2760" s="19"/>
      <c r="K2760" s="19"/>
      <c r="L2760" s="19"/>
      <c r="M2760" s="19"/>
      <c r="N2760" s="19"/>
      <c r="O2760" s="19"/>
      <c r="P2760" s="19"/>
      <c r="Q2760" s="19"/>
      <c r="R2760" s="20"/>
      <c r="S2760" s="20"/>
      <c r="T2760" s="22"/>
      <c r="U2760" s="22"/>
      <c r="V2760" s="20"/>
      <c r="W2760" s="20"/>
      <c r="X2760" s="20"/>
      <c r="Y2760" s="19"/>
      <c r="Z2760" s="19"/>
      <c r="AA2760" s="19"/>
      <c r="AB2760" s="23"/>
      <c r="AC2760" s="23"/>
    </row>
    <row r="2761" spans="1:29" ht="15.75" customHeight="1" x14ac:dyDescent="0.2">
      <c r="A2761" s="34"/>
      <c r="B2761" s="34"/>
      <c r="C2761" s="34"/>
      <c r="D2761" s="34"/>
      <c r="E2761" s="19"/>
      <c r="F2761" s="19"/>
      <c r="G2761" s="19"/>
      <c r="H2761" s="19"/>
      <c r="I2761" s="19"/>
      <c r="J2761" s="19"/>
      <c r="K2761" s="19"/>
      <c r="L2761" s="19"/>
      <c r="M2761" s="19"/>
      <c r="N2761" s="19"/>
      <c r="O2761" s="19"/>
      <c r="P2761" s="19"/>
      <c r="Q2761" s="19"/>
      <c r="R2761" s="20"/>
      <c r="S2761" s="20"/>
      <c r="T2761" s="22"/>
      <c r="U2761" s="22"/>
      <c r="V2761" s="20"/>
      <c r="W2761" s="20"/>
      <c r="X2761" s="20"/>
      <c r="Y2761" s="19"/>
      <c r="Z2761" s="19"/>
      <c r="AA2761" s="19"/>
      <c r="AB2761" s="23"/>
      <c r="AC2761" s="23"/>
    </row>
    <row r="2762" spans="1:29" ht="15.75" customHeight="1" x14ac:dyDescent="0.2">
      <c r="A2762" s="34"/>
      <c r="B2762" s="34"/>
      <c r="C2762" s="34"/>
      <c r="D2762" s="34"/>
      <c r="E2762" s="19"/>
      <c r="F2762" s="19"/>
      <c r="G2762" s="19"/>
      <c r="H2762" s="19"/>
      <c r="I2762" s="19"/>
      <c r="J2762" s="19"/>
      <c r="K2762" s="19"/>
      <c r="L2762" s="19"/>
      <c r="M2762" s="19"/>
      <c r="N2762" s="19"/>
      <c r="O2762" s="19"/>
      <c r="P2762" s="19"/>
      <c r="Q2762" s="19"/>
      <c r="R2762" s="20"/>
      <c r="S2762" s="20"/>
      <c r="T2762" s="22"/>
      <c r="U2762" s="22"/>
      <c r="V2762" s="20"/>
      <c r="W2762" s="20"/>
      <c r="X2762" s="20"/>
      <c r="Y2762" s="19"/>
      <c r="Z2762" s="19"/>
      <c r="AA2762" s="19"/>
      <c r="AB2762" s="23"/>
      <c r="AC2762" s="23"/>
    </row>
    <row r="2763" spans="1:29" ht="15.75" customHeight="1" x14ac:dyDescent="0.2">
      <c r="A2763" s="34"/>
      <c r="B2763" s="34"/>
      <c r="C2763" s="34"/>
      <c r="D2763" s="34"/>
      <c r="E2763" s="19"/>
      <c r="F2763" s="19"/>
      <c r="G2763" s="19"/>
      <c r="H2763" s="19"/>
      <c r="I2763" s="19"/>
      <c r="J2763" s="19"/>
      <c r="K2763" s="19"/>
      <c r="L2763" s="19"/>
      <c r="M2763" s="19"/>
      <c r="N2763" s="19"/>
      <c r="O2763" s="19"/>
      <c r="P2763" s="19"/>
      <c r="Q2763" s="19"/>
      <c r="R2763" s="20"/>
      <c r="S2763" s="20"/>
      <c r="T2763" s="22"/>
      <c r="U2763" s="22"/>
      <c r="V2763" s="20"/>
      <c r="W2763" s="20"/>
      <c r="X2763" s="20"/>
      <c r="Y2763" s="19"/>
      <c r="Z2763" s="19"/>
      <c r="AA2763" s="19"/>
      <c r="AB2763" s="23"/>
      <c r="AC2763" s="23"/>
    </row>
    <row r="2764" spans="1:29" ht="15.75" customHeight="1" x14ac:dyDescent="0.2">
      <c r="A2764" s="34"/>
      <c r="B2764" s="34"/>
      <c r="C2764" s="34"/>
      <c r="D2764" s="34"/>
      <c r="E2764" s="19"/>
      <c r="F2764" s="19"/>
      <c r="G2764" s="19"/>
      <c r="H2764" s="19"/>
      <c r="I2764" s="19"/>
      <c r="J2764" s="19"/>
      <c r="K2764" s="19"/>
      <c r="L2764" s="19"/>
      <c r="M2764" s="19"/>
      <c r="N2764" s="19"/>
      <c r="O2764" s="19"/>
      <c r="P2764" s="19"/>
      <c r="Q2764" s="19"/>
      <c r="R2764" s="20"/>
      <c r="S2764" s="20"/>
      <c r="T2764" s="22"/>
      <c r="U2764" s="22"/>
      <c r="V2764" s="20"/>
      <c r="W2764" s="20"/>
      <c r="X2764" s="20"/>
      <c r="Y2764" s="19"/>
      <c r="Z2764" s="19"/>
      <c r="AA2764" s="19"/>
      <c r="AB2764" s="23"/>
      <c r="AC2764" s="23"/>
    </row>
    <row r="2765" spans="1:29" ht="15.75" customHeight="1" x14ac:dyDescent="0.2">
      <c r="A2765" s="34"/>
      <c r="B2765" s="34"/>
      <c r="C2765" s="34"/>
      <c r="D2765" s="34"/>
      <c r="E2765" s="19"/>
      <c r="F2765" s="19"/>
      <c r="G2765" s="19"/>
      <c r="H2765" s="19"/>
      <c r="I2765" s="19"/>
      <c r="J2765" s="19"/>
      <c r="K2765" s="19"/>
      <c r="L2765" s="19"/>
      <c r="M2765" s="19"/>
      <c r="N2765" s="19"/>
      <c r="O2765" s="19"/>
      <c r="P2765" s="19"/>
      <c r="Q2765" s="19"/>
      <c r="R2765" s="20"/>
      <c r="S2765" s="20"/>
      <c r="T2765" s="22"/>
      <c r="U2765" s="22"/>
      <c r="V2765" s="20"/>
      <c r="W2765" s="20"/>
      <c r="X2765" s="20"/>
      <c r="Y2765" s="19"/>
      <c r="Z2765" s="19"/>
      <c r="AA2765" s="19"/>
      <c r="AB2765" s="23"/>
      <c r="AC2765" s="23"/>
    </row>
    <row r="2766" spans="1:29" ht="15.75" customHeight="1" x14ac:dyDescent="0.2">
      <c r="A2766" s="34"/>
      <c r="B2766" s="34"/>
      <c r="C2766" s="34"/>
      <c r="D2766" s="34"/>
      <c r="E2766" s="19"/>
      <c r="F2766" s="19"/>
      <c r="G2766" s="19"/>
      <c r="H2766" s="19"/>
      <c r="I2766" s="19"/>
      <c r="J2766" s="19"/>
      <c r="K2766" s="19"/>
      <c r="L2766" s="19"/>
      <c r="M2766" s="19"/>
      <c r="N2766" s="19"/>
      <c r="O2766" s="19"/>
      <c r="P2766" s="19"/>
      <c r="Q2766" s="19"/>
      <c r="R2766" s="20"/>
      <c r="S2766" s="20"/>
      <c r="T2766" s="22"/>
      <c r="U2766" s="22"/>
      <c r="V2766" s="20"/>
      <c r="W2766" s="20"/>
      <c r="X2766" s="20"/>
      <c r="Y2766" s="19"/>
      <c r="Z2766" s="19"/>
      <c r="AA2766" s="19"/>
      <c r="AB2766" s="23"/>
      <c r="AC2766" s="23"/>
    </row>
    <row r="2767" spans="1:29" ht="15.75" customHeight="1" x14ac:dyDescent="0.2">
      <c r="A2767" s="34"/>
      <c r="B2767" s="34"/>
      <c r="C2767" s="34"/>
      <c r="D2767" s="34"/>
      <c r="E2767" s="19"/>
      <c r="F2767" s="19"/>
      <c r="G2767" s="19"/>
      <c r="H2767" s="19"/>
      <c r="I2767" s="19"/>
      <c r="J2767" s="19"/>
      <c r="K2767" s="19"/>
      <c r="L2767" s="19"/>
      <c r="M2767" s="19"/>
      <c r="N2767" s="19"/>
      <c r="O2767" s="19"/>
      <c r="P2767" s="19"/>
      <c r="Q2767" s="19"/>
      <c r="R2767" s="20"/>
      <c r="S2767" s="20"/>
      <c r="T2767" s="22"/>
      <c r="U2767" s="22"/>
      <c r="V2767" s="20"/>
      <c r="W2767" s="20"/>
      <c r="X2767" s="20"/>
      <c r="Y2767" s="19"/>
      <c r="Z2767" s="19"/>
      <c r="AA2767" s="19"/>
      <c r="AB2767" s="23"/>
      <c r="AC2767" s="23"/>
    </row>
    <row r="2768" spans="1:29" ht="15.75" customHeight="1" x14ac:dyDescent="0.2">
      <c r="A2768" s="34"/>
      <c r="B2768" s="34"/>
      <c r="C2768" s="34"/>
      <c r="D2768" s="34"/>
      <c r="E2768" s="19"/>
      <c r="F2768" s="19"/>
      <c r="G2768" s="19"/>
      <c r="H2768" s="19"/>
      <c r="I2768" s="19"/>
      <c r="J2768" s="19"/>
      <c r="K2768" s="19"/>
      <c r="L2768" s="19"/>
      <c r="M2768" s="19"/>
      <c r="N2768" s="19"/>
      <c r="O2768" s="19"/>
      <c r="P2768" s="19"/>
      <c r="Q2768" s="19"/>
      <c r="R2768" s="20"/>
      <c r="S2768" s="20"/>
      <c r="T2768" s="22"/>
      <c r="U2768" s="22"/>
      <c r="V2768" s="20"/>
      <c r="W2768" s="20"/>
      <c r="X2768" s="20"/>
      <c r="Y2768" s="19"/>
      <c r="Z2768" s="19"/>
      <c r="AA2768" s="19"/>
      <c r="AB2768" s="23"/>
      <c r="AC2768" s="23"/>
    </row>
    <row r="2769" spans="1:29" ht="15.75" customHeight="1" x14ac:dyDescent="0.2">
      <c r="A2769" s="34"/>
      <c r="B2769" s="34"/>
      <c r="C2769" s="34"/>
      <c r="D2769" s="34"/>
      <c r="E2769" s="19"/>
      <c r="F2769" s="19"/>
      <c r="G2769" s="19"/>
      <c r="H2769" s="19"/>
      <c r="I2769" s="19"/>
      <c r="J2769" s="19"/>
      <c r="K2769" s="19"/>
      <c r="L2769" s="19"/>
      <c r="M2769" s="19"/>
      <c r="N2769" s="19"/>
      <c r="O2769" s="19"/>
      <c r="P2769" s="19"/>
      <c r="Q2769" s="19"/>
      <c r="R2769" s="20"/>
      <c r="S2769" s="20"/>
      <c r="T2769" s="22"/>
      <c r="U2769" s="22"/>
      <c r="V2769" s="20"/>
      <c r="W2769" s="20"/>
      <c r="X2769" s="20"/>
      <c r="Y2769" s="19"/>
      <c r="Z2769" s="19"/>
      <c r="AA2769" s="19"/>
      <c r="AB2769" s="23"/>
      <c r="AC2769" s="23"/>
    </row>
    <row r="2770" spans="1:29" ht="15.75" customHeight="1" x14ac:dyDescent="0.2">
      <c r="A2770" s="34"/>
      <c r="B2770" s="34"/>
      <c r="C2770" s="34"/>
      <c r="D2770" s="34"/>
      <c r="E2770" s="19"/>
      <c r="F2770" s="19"/>
      <c r="G2770" s="19"/>
      <c r="H2770" s="19"/>
      <c r="I2770" s="19"/>
      <c r="J2770" s="19"/>
      <c r="K2770" s="19"/>
      <c r="L2770" s="19"/>
      <c r="M2770" s="19"/>
      <c r="N2770" s="19"/>
      <c r="O2770" s="19"/>
      <c r="P2770" s="19"/>
      <c r="Q2770" s="19"/>
      <c r="R2770" s="20"/>
      <c r="S2770" s="20"/>
      <c r="T2770" s="22"/>
      <c r="U2770" s="22"/>
      <c r="V2770" s="20"/>
      <c r="W2770" s="20"/>
      <c r="X2770" s="20"/>
      <c r="Y2770" s="19"/>
      <c r="Z2770" s="19"/>
      <c r="AA2770" s="19"/>
      <c r="AB2770" s="23"/>
      <c r="AC2770" s="23"/>
    </row>
    <row r="2771" spans="1:29" ht="15.75" customHeight="1" x14ac:dyDescent="0.2">
      <c r="A2771" s="34"/>
      <c r="B2771" s="34"/>
      <c r="C2771" s="34"/>
      <c r="D2771" s="34"/>
      <c r="E2771" s="19"/>
      <c r="F2771" s="19"/>
      <c r="G2771" s="19"/>
      <c r="H2771" s="19"/>
      <c r="I2771" s="19"/>
      <c r="J2771" s="19"/>
      <c r="K2771" s="19"/>
      <c r="L2771" s="19"/>
      <c r="M2771" s="19"/>
      <c r="N2771" s="19"/>
      <c r="O2771" s="19"/>
      <c r="P2771" s="19"/>
      <c r="Q2771" s="19"/>
      <c r="R2771" s="20"/>
      <c r="S2771" s="20"/>
      <c r="T2771" s="22"/>
      <c r="U2771" s="22"/>
      <c r="V2771" s="20"/>
      <c r="W2771" s="20"/>
      <c r="X2771" s="20"/>
      <c r="Y2771" s="19"/>
      <c r="Z2771" s="19"/>
      <c r="AA2771" s="19"/>
      <c r="AB2771" s="23"/>
      <c r="AC2771" s="23"/>
    </row>
    <row r="2772" spans="1:29" ht="15.75" customHeight="1" x14ac:dyDescent="0.2">
      <c r="A2772" s="34"/>
      <c r="B2772" s="34"/>
      <c r="C2772" s="34"/>
      <c r="D2772" s="34"/>
      <c r="E2772" s="19"/>
      <c r="F2772" s="19"/>
      <c r="G2772" s="19"/>
      <c r="H2772" s="19"/>
      <c r="I2772" s="19"/>
      <c r="J2772" s="19"/>
      <c r="K2772" s="19"/>
      <c r="L2772" s="19"/>
      <c r="M2772" s="19"/>
      <c r="N2772" s="19"/>
      <c r="O2772" s="19"/>
      <c r="P2772" s="19"/>
      <c r="Q2772" s="19"/>
      <c r="R2772" s="20"/>
      <c r="S2772" s="20"/>
      <c r="T2772" s="22"/>
      <c r="U2772" s="22"/>
      <c r="V2772" s="20"/>
      <c r="W2772" s="20"/>
      <c r="X2772" s="20"/>
      <c r="Y2772" s="19"/>
      <c r="Z2772" s="19"/>
      <c r="AA2772" s="19"/>
      <c r="AB2772" s="23"/>
      <c r="AC2772" s="23"/>
    </row>
    <row r="2773" spans="1:29" ht="15.75" customHeight="1" x14ac:dyDescent="0.2">
      <c r="A2773" s="34"/>
      <c r="B2773" s="34"/>
      <c r="C2773" s="34"/>
      <c r="D2773" s="34"/>
      <c r="E2773" s="19"/>
      <c r="F2773" s="19"/>
      <c r="G2773" s="19"/>
      <c r="H2773" s="19"/>
      <c r="I2773" s="19"/>
      <c r="J2773" s="19"/>
      <c r="K2773" s="19"/>
      <c r="L2773" s="19"/>
      <c r="M2773" s="19"/>
      <c r="N2773" s="19"/>
      <c r="O2773" s="19"/>
      <c r="P2773" s="19"/>
      <c r="Q2773" s="19"/>
      <c r="R2773" s="20"/>
      <c r="S2773" s="20"/>
      <c r="T2773" s="22"/>
      <c r="U2773" s="22"/>
      <c r="V2773" s="20"/>
      <c r="W2773" s="20"/>
      <c r="X2773" s="20"/>
      <c r="Y2773" s="19"/>
      <c r="Z2773" s="19"/>
      <c r="AA2773" s="19"/>
      <c r="AB2773" s="23"/>
      <c r="AC2773" s="23"/>
    </row>
    <row r="2774" spans="1:29" ht="15.75" customHeight="1" x14ac:dyDescent="0.2">
      <c r="A2774" s="34"/>
      <c r="B2774" s="34"/>
      <c r="C2774" s="34"/>
      <c r="D2774" s="34"/>
      <c r="E2774" s="19"/>
      <c r="F2774" s="19"/>
      <c r="G2774" s="19"/>
      <c r="H2774" s="19"/>
      <c r="I2774" s="19"/>
      <c r="J2774" s="19"/>
      <c r="K2774" s="19"/>
      <c r="L2774" s="19"/>
      <c r="M2774" s="19"/>
      <c r="N2774" s="19"/>
      <c r="O2774" s="19"/>
      <c r="P2774" s="19"/>
      <c r="Q2774" s="19"/>
      <c r="R2774" s="20"/>
      <c r="S2774" s="20"/>
      <c r="T2774" s="22"/>
      <c r="U2774" s="22"/>
      <c r="V2774" s="20"/>
      <c r="W2774" s="20"/>
      <c r="X2774" s="20"/>
      <c r="Y2774" s="19"/>
      <c r="Z2774" s="19"/>
      <c r="AA2774" s="19"/>
      <c r="AB2774" s="23"/>
      <c r="AC2774" s="23"/>
    </row>
    <row r="2775" spans="1:29" ht="15.75" customHeight="1" x14ac:dyDescent="0.2">
      <c r="A2775" s="34"/>
      <c r="B2775" s="34"/>
      <c r="C2775" s="34"/>
      <c r="D2775" s="34"/>
      <c r="E2775" s="19"/>
      <c r="F2775" s="19"/>
      <c r="G2775" s="19"/>
      <c r="H2775" s="19"/>
      <c r="I2775" s="19"/>
      <c r="J2775" s="19"/>
      <c r="K2775" s="19"/>
      <c r="L2775" s="19"/>
      <c r="M2775" s="19"/>
      <c r="N2775" s="19"/>
      <c r="O2775" s="19"/>
      <c r="P2775" s="19"/>
      <c r="Q2775" s="19"/>
      <c r="R2775" s="20"/>
      <c r="S2775" s="20"/>
      <c r="T2775" s="22"/>
      <c r="U2775" s="22"/>
      <c r="V2775" s="20"/>
      <c r="W2775" s="20"/>
      <c r="X2775" s="20"/>
      <c r="Y2775" s="19"/>
      <c r="Z2775" s="19"/>
      <c r="AA2775" s="19"/>
      <c r="AB2775" s="23"/>
      <c r="AC2775" s="23"/>
    </row>
    <row r="2776" spans="1:29" ht="15.75" customHeight="1" x14ac:dyDescent="0.2">
      <c r="A2776" s="34"/>
      <c r="B2776" s="34"/>
      <c r="C2776" s="34"/>
      <c r="D2776" s="34"/>
      <c r="E2776" s="19"/>
      <c r="F2776" s="19"/>
      <c r="G2776" s="19"/>
      <c r="H2776" s="19"/>
      <c r="I2776" s="19"/>
      <c r="J2776" s="19"/>
      <c r="K2776" s="19"/>
      <c r="L2776" s="19"/>
      <c r="M2776" s="19"/>
      <c r="N2776" s="19"/>
      <c r="O2776" s="19"/>
      <c r="P2776" s="19"/>
      <c r="Q2776" s="19"/>
      <c r="R2776" s="20"/>
      <c r="S2776" s="20"/>
      <c r="T2776" s="22"/>
      <c r="U2776" s="22"/>
      <c r="V2776" s="20"/>
      <c r="W2776" s="20"/>
      <c r="X2776" s="20"/>
      <c r="Y2776" s="19"/>
      <c r="Z2776" s="19"/>
      <c r="AA2776" s="19"/>
      <c r="AB2776" s="23"/>
      <c r="AC2776" s="23"/>
    </row>
    <row r="2777" spans="1:29" ht="15.75" customHeight="1" x14ac:dyDescent="0.2">
      <c r="A2777" s="34"/>
      <c r="B2777" s="34"/>
      <c r="C2777" s="34"/>
      <c r="D2777" s="34"/>
      <c r="E2777" s="19"/>
      <c r="F2777" s="19"/>
      <c r="G2777" s="19"/>
      <c r="H2777" s="19"/>
      <c r="I2777" s="19"/>
      <c r="J2777" s="19"/>
      <c r="K2777" s="19"/>
      <c r="L2777" s="19"/>
      <c r="M2777" s="19"/>
      <c r="N2777" s="19"/>
      <c r="O2777" s="19"/>
      <c r="P2777" s="19"/>
      <c r="Q2777" s="19"/>
      <c r="R2777" s="20"/>
      <c r="S2777" s="20"/>
      <c r="T2777" s="22"/>
      <c r="U2777" s="22"/>
      <c r="V2777" s="20"/>
      <c r="W2777" s="20"/>
      <c r="X2777" s="20"/>
      <c r="Y2777" s="19"/>
      <c r="Z2777" s="19"/>
      <c r="AA2777" s="19"/>
      <c r="AB2777" s="23"/>
      <c r="AC2777" s="23"/>
    </row>
    <row r="2778" spans="1:29" ht="15.75" customHeight="1" x14ac:dyDescent="0.2">
      <c r="A2778" s="34"/>
      <c r="B2778" s="34"/>
      <c r="C2778" s="34"/>
      <c r="D2778" s="34"/>
      <c r="E2778" s="19"/>
      <c r="F2778" s="19"/>
      <c r="G2778" s="19"/>
      <c r="H2778" s="19"/>
      <c r="I2778" s="19"/>
      <c r="J2778" s="19"/>
      <c r="K2778" s="19"/>
      <c r="L2778" s="19"/>
      <c r="M2778" s="19"/>
      <c r="N2778" s="19"/>
      <c r="O2778" s="19"/>
      <c r="P2778" s="19"/>
      <c r="Q2778" s="19"/>
      <c r="R2778" s="20"/>
      <c r="S2778" s="20"/>
      <c r="T2778" s="22"/>
      <c r="U2778" s="22"/>
      <c r="V2778" s="20"/>
      <c r="W2778" s="20"/>
      <c r="X2778" s="20"/>
      <c r="Y2778" s="19"/>
      <c r="Z2778" s="19"/>
      <c r="AA2778" s="19"/>
      <c r="AB2778" s="23"/>
      <c r="AC2778" s="23"/>
    </row>
    <row r="2779" spans="1:29" ht="15.75" customHeight="1" x14ac:dyDescent="0.2">
      <c r="A2779" s="34"/>
      <c r="B2779" s="34"/>
      <c r="C2779" s="34"/>
      <c r="D2779" s="34"/>
      <c r="E2779" s="19"/>
      <c r="F2779" s="19"/>
      <c r="G2779" s="19"/>
      <c r="H2779" s="19"/>
      <c r="I2779" s="19"/>
      <c r="J2779" s="19"/>
      <c r="K2779" s="19"/>
      <c r="L2779" s="19"/>
      <c r="M2779" s="19"/>
      <c r="N2779" s="19"/>
      <c r="O2779" s="19"/>
      <c r="P2779" s="19"/>
      <c r="Q2779" s="19"/>
      <c r="R2779" s="20"/>
      <c r="S2779" s="20"/>
      <c r="T2779" s="22"/>
      <c r="U2779" s="22"/>
      <c r="V2779" s="20"/>
      <c r="W2779" s="20"/>
      <c r="X2779" s="20"/>
      <c r="Y2779" s="19"/>
      <c r="Z2779" s="19"/>
      <c r="AA2779" s="19"/>
      <c r="AB2779" s="23"/>
      <c r="AC2779" s="23"/>
    </row>
    <row r="2780" spans="1:29" ht="15.75" customHeight="1" x14ac:dyDescent="0.2">
      <c r="A2780" s="34"/>
      <c r="B2780" s="34"/>
      <c r="C2780" s="34"/>
      <c r="D2780" s="34"/>
      <c r="E2780" s="19"/>
      <c r="F2780" s="19"/>
      <c r="G2780" s="19"/>
      <c r="H2780" s="19"/>
      <c r="I2780" s="19"/>
      <c r="J2780" s="19"/>
      <c r="K2780" s="19"/>
      <c r="L2780" s="19"/>
      <c r="M2780" s="19"/>
      <c r="N2780" s="19"/>
      <c r="O2780" s="19"/>
      <c r="P2780" s="19"/>
      <c r="Q2780" s="19"/>
      <c r="R2780" s="20"/>
      <c r="S2780" s="20"/>
      <c r="T2780" s="22"/>
      <c r="U2780" s="22"/>
      <c r="V2780" s="20"/>
      <c r="W2780" s="20"/>
      <c r="X2780" s="20"/>
      <c r="Y2780" s="19"/>
      <c r="Z2780" s="19"/>
      <c r="AA2780" s="19"/>
      <c r="AB2780" s="23"/>
      <c r="AC2780" s="23"/>
    </row>
    <row r="2781" spans="1:29" ht="15.75" customHeight="1" x14ac:dyDescent="0.2">
      <c r="A2781" s="34"/>
      <c r="B2781" s="34"/>
      <c r="C2781" s="34"/>
      <c r="D2781" s="34"/>
      <c r="E2781" s="19"/>
      <c r="F2781" s="19"/>
      <c r="G2781" s="19"/>
      <c r="H2781" s="19"/>
      <c r="I2781" s="19"/>
      <c r="J2781" s="19"/>
      <c r="K2781" s="19"/>
      <c r="L2781" s="19"/>
      <c r="M2781" s="19"/>
      <c r="N2781" s="19"/>
      <c r="O2781" s="19"/>
      <c r="P2781" s="19"/>
      <c r="Q2781" s="19"/>
      <c r="R2781" s="20"/>
      <c r="S2781" s="20"/>
      <c r="T2781" s="22"/>
      <c r="U2781" s="22"/>
      <c r="V2781" s="20"/>
      <c r="W2781" s="20"/>
      <c r="X2781" s="20"/>
      <c r="Y2781" s="19"/>
      <c r="Z2781" s="19"/>
      <c r="AA2781" s="19"/>
      <c r="AB2781" s="23"/>
      <c r="AC2781" s="23"/>
    </row>
    <row r="2782" spans="1:29" ht="15.75" customHeight="1" x14ac:dyDescent="0.2">
      <c r="A2782" s="34"/>
      <c r="B2782" s="34"/>
      <c r="C2782" s="34"/>
      <c r="D2782" s="34"/>
      <c r="E2782" s="19"/>
      <c r="F2782" s="19"/>
      <c r="G2782" s="19"/>
      <c r="H2782" s="19"/>
      <c r="I2782" s="19"/>
      <c r="J2782" s="19"/>
      <c r="K2782" s="19"/>
      <c r="L2782" s="19"/>
      <c r="M2782" s="19"/>
      <c r="N2782" s="19"/>
      <c r="O2782" s="19"/>
      <c r="P2782" s="19"/>
      <c r="Q2782" s="19"/>
      <c r="R2782" s="20"/>
      <c r="S2782" s="20"/>
      <c r="T2782" s="22"/>
      <c r="U2782" s="22"/>
      <c r="V2782" s="20"/>
      <c r="W2782" s="20"/>
      <c r="X2782" s="20"/>
      <c r="Y2782" s="19"/>
      <c r="Z2782" s="19"/>
      <c r="AA2782" s="19"/>
      <c r="AB2782" s="23"/>
      <c r="AC2782" s="23"/>
    </row>
    <row r="2783" spans="1:29" ht="15.75" customHeight="1" x14ac:dyDescent="0.2">
      <c r="A2783" s="34"/>
      <c r="B2783" s="34"/>
      <c r="C2783" s="34"/>
      <c r="D2783" s="34"/>
      <c r="E2783" s="19"/>
      <c r="F2783" s="19"/>
      <c r="G2783" s="19"/>
      <c r="H2783" s="19"/>
      <c r="I2783" s="19"/>
      <c r="J2783" s="19"/>
      <c r="K2783" s="19"/>
      <c r="L2783" s="19"/>
      <c r="M2783" s="19"/>
      <c r="N2783" s="19"/>
      <c r="O2783" s="19"/>
      <c r="P2783" s="19"/>
      <c r="Q2783" s="19"/>
      <c r="R2783" s="20"/>
      <c r="S2783" s="20"/>
      <c r="T2783" s="22"/>
      <c r="U2783" s="22"/>
      <c r="V2783" s="20"/>
      <c r="W2783" s="20"/>
      <c r="X2783" s="20"/>
      <c r="Y2783" s="19"/>
      <c r="Z2783" s="19"/>
      <c r="AA2783" s="19"/>
      <c r="AB2783" s="23"/>
      <c r="AC2783" s="23"/>
    </row>
    <row r="2784" spans="1:29" ht="15.75" customHeight="1" x14ac:dyDescent="0.2">
      <c r="A2784" s="34"/>
      <c r="B2784" s="34"/>
      <c r="C2784" s="34"/>
      <c r="D2784" s="34"/>
      <c r="E2784" s="19"/>
      <c r="F2784" s="19"/>
      <c r="G2784" s="19"/>
      <c r="H2784" s="19"/>
      <c r="I2784" s="19"/>
      <c r="J2784" s="19"/>
      <c r="K2784" s="19"/>
      <c r="L2784" s="19"/>
      <c r="M2784" s="19"/>
      <c r="N2784" s="19"/>
      <c r="O2784" s="19"/>
      <c r="P2784" s="19"/>
      <c r="Q2784" s="19"/>
      <c r="R2784" s="20"/>
      <c r="S2784" s="20"/>
      <c r="T2784" s="22"/>
      <c r="U2784" s="22"/>
      <c r="V2784" s="20"/>
      <c r="W2784" s="20"/>
      <c r="X2784" s="20"/>
      <c r="Y2784" s="19"/>
      <c r="Z2784" s="19"/>
      <c r="AA2784" s="19"/>
      <c r="AB2784" s="23"/>
      <c r="AC2784" s="23"/>
    </row>
    <row r="2785" spans="1:29" ht="15.75" customHeight="1" x14ac:dyDescent="0.2">
      <c r="A2785" s="34"/>
      <c r="B2785" s="34"/>
      <c r="C2785" s="34"/>
      <c r="D2785" s="34"/>
      <c r="E2785" s="19"/>
      <c r="F2785" s="19"/>
      <c r="G2785" s="19"/>
      <c r="H2785" s="19"/>
      <c r="I2785" s="19"/>
      <c r="J2785" s="19"/>
      <c r="K2785" s="19"/>
      <c r="L2785" s="19"/>
      <c r="M2785" s="19"/>
      <c r="N2785" s="19"/>
      <c r="O2785" s="19"/>
      <c r="P2785" s="19"/>
      <c r="Q2785" s="19"/>
      <c r="R2785" s="20"/>
      <c r="S2785" s="20"/>
      <c r="T2785" s="22"/>
      <c r="U2785" s="22"/>
      <c r="V2785" s="20"/>
      <c r="W2785" s="20"/>
      <c r="X2785" s="20"/>
      <c r="Y2785" s="19"/>
      <c r="Z2785" s="19"/>
      <c r="AA2785" s="19"/>
      <c r="AB2785" s="23"/>
      <c r="AC2785" s="23"/>
    </row>
    <row r="2786" spans="1:29" ht="15.75" customHeight="1" x14ac:dyDescent="0.2">
      <c r="A2786" s="34"/>
      <c r="B2786" s="34"/>
      <c r="C2786" s="34"/>
      <c r="D2786" s="34"/>
      <c r="E2786" s="19"/>
      <c r="F2786" s="19"/>
      <c r="G2786" s="19"/>
      <c r="H2786" s="19"/>
      <c r="I2786" s="19"/>
      <c r="J2786" s="19"/>
      <c r="K2786" s="19"/>
      <c r="L2786" s="19"/>
      <c r="M2786" s="19"/>
      <c r="N2786" s="19"/>
      <c r="O2786" s="19"/>
      <c r="P2786" s="19"/>
      <c r="Q2786" s="19"/>
      <c r="R2786" s="20"/>
      <c r="S2786" s="20"/>
      <c r="T2786" s="22"/>
      <c r="U2786" s="22"/>
      <c r="V2786" s="20"/>
      <c r="W2786" s="20"/>
      <c r="X2786" s="20"/>
      <c r="Y2786" s="19"/>
      <c r="Z2786" s="19"/>
      <c r="AA2786" s="19"/>
      <c r="AB2786" s="23"/>
      <c r="AC2786" s="23"/>
    </row>
    <row r="2787" spans="1:29" ht="15.75" customHeight="1" x14ac:dyDescent="0.2">
      <c r="A2787" s="34"/>
      <c r="B2787" s="34"/>
      <c r="C2787" s="34"/>
      <c r="D2787" s="34"/>
      <c r="E2787" s="19"/>
      <c r="F2787" s="19"/>
      <c r="G2787" s="19"/>
      <c r="H2787" s="19"/>
      <c r="I2787" s="19"/>
      <c r="J2787" s="19"/>
      <c r="K2787" s="19"/>
      <c r="L2787" s="19"/>
      <c r="M2787" s="19"/>
      <c r="N2787" s="19"/>
      <c r="O2787" s="19"/>
      <c r="P2787" s="19"/>
      <c r="Q2787" s="19"/>
      <c r="R2787" s="20"/>
      <c r="S2787" s="20"/>
      <c r="T2787" s="22"/>
      <c r="U2787" s="22"/>
      <c r="V2787" s="20"/>
      <c r="W2787" s="20"/>
      <c r="X2787" s="20"/>
      <c r="Y2787" s="19"/>
      <c r="Z2787" s="19"/>
      <c r="AA2787" s="19"/>
      <c r="AB2787" s="23"/>
      <c r="AC2787" s="23"/>
    </row>
    <row r="2788" spans="1:29" ht="15.75" customHeight="1" x14ac:dyDescent="0.2">
      <c r="A2788" s="34"/>
      <c r="B2788" s="34"/>
      <c r="C2788" s="34"/>
      <c r="D2788" s="34"/>
      <c r="E2788" s="19"/>
      <c r="F2788" s="19"/>
      <c r="G2788" s="19"/>
      <c r="H2788" s="19"/>
      <c r="I2788" s="19"/>
      <c r="J2788" s="19"/>
      <c r="K2788" s="19"/>
      <c r="L2788" s="19"/>
      <c r="M2788" s="19"/>
      <c r="N2788" s="19"/>
      <c r="O2788" s="19"/>
      <c r="P2788" s="19"/>
      <c r="Q2788" s="19"/>
      <c r="R2788" s="20"/>
      <c r="S2788" s="20"/>
      <c r="T2788" s="22"/>
      <c r="U2788" s="22"/>
      <c r="V2788" s="20"/>
      <c r="W2788" s="20"/>
      <c r="X2788" s="20"/>
      <c r="Y2788" s="19"/>
      <c r="Z2788" s="19"/>
      <c r="AA2788" s="19"/>
      <c r="AB2788" s="23"/>
      <c r="AC2788" s="23"/>
    </row>
    <row r="2789" spans="1:29" ht="15.75" customHeight="1" x14ac:dyDescent="0.2">
      <c r="A2789" s="34"/>
      <c r="B2789" s="34"/>
      <c r="C2789" s="34"/>
      <c r="D2789" s="34"/>
      <c r="E2789" s="19"/>
      <c r="F2789" s="19"/>
      <c r="G2789" s="19"/>
      <c r="H2789" s="19"/>
      <c r="I2789" s="19"/>
      <c r="J2789" s="19"/>
      <c r="K2789" s="19"/>
      <c r="L2789" s="19"/>
      <c r="M2789" s="19"/>
      <c r="N2789" s="19"/>
      <c r="O2789" s="19"/>
      <c r="P2789" s="19"/>
      <c r="Q2789" s="19"/>
      <c r="R2789" s="20"/>
      <c r="S2789" s="20"/>
      <c r="T2789" s="22"/>
      <c r="U2789" s="22"/>
      <c r="V2789" s="20"/>
      <c r="W2789" s="20"/>
      <c r="X2789" s="20"/>
      <c r="Y2789" s="19"/>
      <c r="Z2789" s="19"/>
      <c r="AA2789" s="19"/>
      <c r="AB2789" s="23"/>
      <c r="AC2789" s="23"/>
    </row>
    <row r="2790" spans="1:29" ht="15.75" customHeight="1" x14ac:dyDescent="0.2">
      <c r="A2790" s="34"/>
      <c r="B2790" s="34"/>
      <c r="C2790" s="34"/>
      <c r="D2790" s="34"/>
      <c r="E2790" s="19"/>
      <c r="F2790" s="19"/>
      <c r="G2790" s="19"/>
      <c r="H2790" s="19"/>
      <c r="I2790" s="19"/>
      <c r="J2790" s="19"/>
      <c r="K2790" s="19"/>
      <c r="L2790" s="19"/>
      <c r="M2790" s="19"/>
      <c r="N2790" s="19"/>
      <c r="O2790" s="19"/>
      <c r="P2790" s="19"/>
      <c r="Q2790" s="19"/>
      <c r="R2790" s="20"/>
      <c r="S2790" s="20"/>
      <c r="T2790" s="22"/>
      <c r="U2790" s="22"/>
      <c r="V2790" s="20"/>
      <c r="W2790" s="20"/>
      <c r="X2790" s="20"/>
      <c r="Y2790" s="19"/>
      <c r="Z2790" s="19"/>
      <c r="AA2790" s="19"/>
      <c r="AB2790" s="23"/>
      <c r="AC2790" s="23"/>
    </row>
    <row r="2791" spans="1:29" ht="15.75" customHeight="1" x14ac:dyDescent="0.2">
      <c r="A2791" s="34"/>
      <c r="B2791" s="34"/>
      <c r="C2791" s="34"/>
      <c r="D2791" s="34"/>
      <c r="E2791" s="19"/>
      <c r="F2791" s="19"/>
      <c r="G2791" s="19"/>
      <c r="H2791" s="19"/>
      <c r="I2791" s="19"/>
      <c r="J2791" s="19"/>
      <c r="K2791" s="19"/>
      <c r="L2791" s="19"/>
      <c r="M2791" s="19"/>
      <c r="N2791" s="19"/>
      <c r="O2791" s="19"/>
      <c r="P2791" s="19"/>
      <c r="Q2791" s="19"/>
      <c r="R2791" s="20"/>
      <c r="S2791" s="20"/>
      <c r="T2791" s="22"/>
      <c r="U2791" s="22"/>
      <c r="V2791" s="20"/>
      <c r="W2791" s="20"/>
      <c r="X2791" s="20"/>
      <c r="Y2791" s="19"/>
      <c r="Z2791" s="19"/>
      <c r="AA2791" s="19"/>
      <c r="AB2791" s="23"/>
      <c r="AC2791" s="23"/>
    </row>
    <row r="2792" spans="1:29" ht="15.75" customHeight="1" x14ac:dyDescent="0.2">
      <c r="A2792" s="34"/>
      <c r="B2792" s="34"/>
      <c r="C2792" s="34"/>
      <c r="D2792" s="34"/>
      <c r="E2792" s="19"/>
      <c r="F2792" s="19"/>
      <c r="G2792" s="19"/>
      <c r="H2792" s="19"/>
      <c r="I2792" s="19"/>
      <c r="J2792" s="19"/>
      <c r="K2792" s="19"/>
      <c r="L2792" s="19"/>
      <c r="M2792" s="19"/>
      <c r="N2792" s="19"/>
      <c r="O2792" s="19"/>
      <c r="P2792" s="19"/>
      <c r="Q2792" s="19"/>
      <c r="R2792" s="20"/>
      <c r="S2792" s="20"/>
      <c r="T2792" s="22"/>
      <c r="U2792" s="22"/>
      <c r="V2792" s="20"/>
      <c r="W2792" s="20"/>
      <c r="X2792" s="20"/>
      <c r="Y2792" s="19"/>
      <c r="Z2792" s="19"/>
      <c r="AA2792" s="19"/>
      <c r="AB2792" s="23"/>
      <c r="AC2792" s="23"/>
    </row>
    <row r="2793" spans="1:29" ht="15.75" customHeight="1" x14ac:dyDescent="0.2">
      <c r="A2793" s="34"/>
      <c r="B2793" s="34"/>
      <c r="C2793" s="34"/>
      <c r="D2793" s="34"/>
      <c r="E2793" s="19"/>
      <c r="F2793" s="19"/>
      <c r="G2793" s="19"/>
      <c r="H2793" s="19"/>
      <c r="I2793" s="19"/>
      <c r="J2793" s="19"/>
      <c r="K2793" s="19"/>
      <c r="L2793" s="19"/>
      <c r="M2793" s="19"/>
      <c r="N2793" s="19"/>
      <c r="O2793" s="19"/>
      <c r="P2793" s="19"/>
      <c r="Q2793" s="19"/>
      <c r="R2793" s="20"/>
      <c r="S2793" s="20"/>
      <c r="T2793" s="22"/>
      <c r="U2793" s="22"/>
      <c r="V2793" s="20"/>
      <c r="W2793" s="20"/>
      <c r="X2793" s="20"/>
      <c r="Y2793" s="19"/>
      <c r="Z2793" s="19"/>
      <c r="AA2793" s="19"/>
      <c r="AB2793" s="23"/>
      <c r="AC2793" s="23"/>
    </row>
    <row r="2794" spans="1:29" ht="15.75" customHeight="1" x14ac:dyDescent="0.2">
      <c r="A2794" s="34"/>
      <c r="B2794" s="34"/>
      <c r="C2794" s="34"/>
      <c r="D2794" s="34"/>
      <c r="E2794" s="19"/>
      <c r="F2794" s="19"/>
      <c r="G2794" s="19"/>
      <c r="H2794" s="19"/>
      <c r="I2794" s="19"/>
      <c r="J2794" s="19"/>
      <c r="K2794" s="19"/>
      <c r="L2794" s="19"/>
      <c r="M2794" s="19"/>
      <c r="N2794" s="19"/>
      <c r="O2794" s="19"/>
      <c r="P2794" s="19"/>
      <c r="Q2794" s="19"/>
      <c r="R2794" s="20"/>
      <c r="S2794" s="20"/>
      <c r="T2794" s="22"/>
      <c r="U2794" s="22"/>
      <c r="V2794" s="20"/>
      <c r="W2794" s="20"/>
      <c r="X2794" s="20"/>
      <c r="Y2794" s="19"/>
      <c r="Z2794" s="19"/>
      <c r="AA2794" s="19"/>
      <c r="AB2794" s="23"/>
      <c r="AC2794" s="23"/>
    </row>
    <row r="2795" spans="1:29" ht="15.75" customHeight="1" x14ac:dyDescent="0.2">
      <c r="A2795" s="34"/>
      <c r="B2795" s="34"/>
      <c r="C2795" s="34"/>
      <c r="D2795" s="34"/>
      <c r="E2795" s="19"/>
      <c r="F2795" s="19"/>
      <c r="G2795" s="19"/>
      <c r="H2795" s="19"/>
      <c r="I2795" s="19"/>
      <c r="J2795" s="19"/>
      <c r="K2795" s="19"/>
      <c r="L2795" s="19"/>
      <c r="M2795" s="19"/>
      <c r="N2795" s="19"/>
      <c r="O2795" s="19"/>
      <c r="P2795" s="19"/>
      <c r="Q2795" s="19"/>
      <c r="R2795" s="20"/>
      <c r="S2795" s="20"/>
      <c r="T2795" s="22"/>
      <c r="U2795" s="22"/>
      <c r="V2795" s="20"/>
      <c r="W2795" s="20"/>
      <c r="X2795" s="20"/>
      <c r="Y2795" s="19"/>
      <c r="Z2795" s="19"/>
      <c r="AA2795" s="19"/>
      <c r="AB2795" s="23"/>
      <c r="AC2795" s="23"/>
    </row>
    <row r="2796" spans="1:29" ht="15.75" customHeight="1" x14ac:dyDescent="0.2">
      <c r="A2796" s="34"/>
      <c r="B2796" s="34"/>
      <c r="C2796" s="34"/>
      <c r="D2796" s="34"/>
      <c r="E2796" s="19"/>
      <c r="F2796" s="19"/>
      <c r="G2796" s="19"/>
      <c r="H2796" s="19"/>
      <c r="I2796" s="19"/>
      <c r="J2796" s="19"/>
      <c r="K2796" s="19"/>
      <c r="L2796" s="19"/>
      <c r="M2796" s="19"/>
      <c r="N2796" s="19"/>
      <c r="O2796" s="19"/>
      <c r="P2796" s="19"/>
      <c r="Q2796" s="19"/>
      <c r="R2796" s="20"/>
      <c r="S2796" s="20"/>
      <c r="T2796" s="22"/>
      <c r="U2796" s="22"/>
      <c r="V2796" s="20"/>
      <c r="W2796" s="20"/>
      <c r="X2796" s="20"/>
      <c r="Y2796" s="19"/>
      <c r="Z2796" s="19"/>
      <c r="AA2796" s="19"/>
      <c r="AB2796" s="23"/>
      <c r="AC2796" s="23"/>
    </row>
    <row r="2797" spans="1:29" ht="15.75" customHeight="1" x14ac:dyDescent="0.2">
      <c r="A2797" s="34"/>
      <c r="B2797" s="34"/>
      <c r="C2797" s="34"/>
      <c r="D2797" s="34"/>
      <c r="E2797" s="19"/>
      <c r="F2797" s="19"/>
      <c r="G2797" s="19"/>
      <c r="H2797" s="19"/>
      <c r="I2797" s="19"/>
      <c r="J2797" s="19"/>
      <c r="K2797" s="19"/>
      <c r="L2797" s="19"/>
      <c r="M2797" s="19"/>
      <c r="N2797" s="19"/>
      <c r="O2797" s="19"/>
      <c r="P2797" s="19"/>
      <c r="Q2797" s="19"/>
      <c r="R2797" s="20"/>
      <c r="S2797" s="20"/>
      <c r="T2797" s="22"/>
      <c r="U2797" s="22"/>
      <c r="V2797" s="20"/>
      <c r="W2797" s="20"/>
      <c r="X2797" s="20"/>
      <c r="Y2797" s="19"/>
      <c r="Z2797" s="19"/>
      <c r="AA2797" s="19"/>
      <c r="AB2797" s="23"/>
      <c r="AC2797" s="23"/>
    </row>
    <row r="2798" spans="1:29" ht="15.75" customHeight="1" x14ac:dyDescent="0.2">
      <c r="A2798" s="34"/>
      <c r="B2798" s="34"/>
      <c r="C2798" s="34"/>
      <c r="D2798" s="34"/>
      <c r="E2798" s="19"/>
      <c r="F2798" s="19"/>
      <c r="G2798" s="19"/>
      <c r="H2798" s="19"/>
      <c r="I2798" s="19"/>
      <c r="J2798" s="19"/>
      <c r="K2798" s="19"/>
      <c r="L2798" s="19"/>
      <c r="M2798" s="19"/>
      <c r="N2798" s="19"/>
      <c r="O2798" s="19"/>
      <c r="P2798" s="19"/>
      <c r="Q2798" s="19"/>
      <c r="R2798" s="20"/>
      <c r="S2798" s="20"/>
      <c r="T2798" s="22"/>
      <c r="U2798" s="22"/>
      <c r="V2798" s="20"/>
      <c r="W2798" s="20"/>
      <c r="X2798" s="20"/>
      <c r="Y2798" s="19"/>
      <c r="Z2798" s="19"/>
      <c r="AA2798" s="19"/>
      <c r="AB2798" s="23"/>
      <c r="AC2798" s="23"/>
    </row>
    <row r="2799" spans="1:29" ht="15.75" customHeight="1" x14ac:dyDescent="0.2">
      <c r="A2799" s="34"/>
      <c r="B2799" s="34"/>
      <c r="C2799" s="34"/>
      <c r="D2799" s="34"/>
      <c r="E2799" s="19"/>
      <c r="F2799" s="19"/>
      <c r="G2799" s="19"/>
      <c r="H2799" s="19"/>
      <c r="I2799" s="19"/>
      <c r="J2799" s="19"/>
      <c r="K2799" s="19"/>
      <c r="L2799" s="19"/>
      <c r="M2799" s="19"/>
      <c r="N2799" s="19"/>
      <c r="O2799" s="19"/>
      <c r="P2799" s="19"/>
      <c r="Q2799" s="19"/>
      <c r="R2799" s="20"/>
      <c r="S2799" s="20"/>
      <c r="T2799" s="22"/>
      <c r="U2799" s="22"/>
      <c r="V2799" s="20"/>
      <c r="W2799" s="20"/>
      <c r="X2799" s="20"/>
      <c r="Y2799" s="19"/>
      <c r="Z2799" s="19"/>
      <c r="AA2799" s="19"/>
      <c r="AB2799" s="23"/>
      <c r="AC2799" s="23"/>
    </row>
    <row r="2800" spans="1:29" ht="15.75" customHeight="1" x14ac:dyDescent="0.2">
      <c r="A2800" s="34"/>
      <c r="B2800" s="34"/>
      <c r="C2800" s="34"/>
      <c r="D2800" s="34"/>
      <c r="E2800" s="19"/>
      <c r="F2800" s="19"/>
      <c r="G2800" s="19"/>
      <c r="H2800" s="19"/>
      <c r="I2800" s="19"/>
      <c r="J2800" s="19"/>
      <c r="K2800" s="19"/>
      <c r="L2800" s="19"/>
      <c r="M2800" s="19"/>
      <c r="N2800" s="19"/>
      <c r="O2800" s="19"/>
      <c r="P2800" s="19"/>
      <c r="Q2800" s="19"/>
      <c r="R2800" s="20"/>
      <c r="S2800" s="20"/>
      <c r="T2800" s="22"/>
      <c r="U2800" s="22"/>
      <c r="V2800" s="20"/>
      <c r="W2800" s="20"/>
      <c r="X2800" s="20"/>
      <c r="Y2800" s="19"/>
      <c r="Z2800" s="19"/>
      <c r="AA2800" s="19"/>
      <c r="AB2800" s="23"/>
      <c r="AC2800" s="23"/>
    </row>
    <row r="2801" spans="1:29" ht="15.75" customHeight="1" x14ac:dyDescent="0.2">
      <c r="A2801" s="34"/>
      <c r="B2801" s="34"/>
      <c r="C2801" s="34"/>
      <c r="D2801" s="34"/>
      <c r="E2801" s="19"/>
      <c r="F2801" s="19"/>
      <c r="G2801" s="19"/>
      <c r="H2801" s="19"/>
      <c r="I2801" s="19"/>
      <c r="J2801" s="19"/>
      <c r="K2801" s="19"/>
      <c r="L2801" s="19"/>
      <c r="M2801" s="19"/>
      <c r="N2801" s="19"/>
      <c r="O2801" s="19"/>
      <c r="P2801" s="19"/>
      <c r="Q2801" s="19"/>
      <c r="R2801" s="20"/>
      <c r="S2801" s="20"/>
      <c r="T2801" s="22"/>
      <c r="U2801" s="22"/>
      <c r="V2801" s="20"/>
      <c r="W2801" s="20"/>
      <c r="X2801" s="20"/>
      <c r="Y2801" s="19"/>
      <c r="Z2801" s="19"/>
      <c r="AA2801" s="19"/>
      <c r="AB2801" s="23"/>
      <c r="AC2801" s="23"/>
    </row>
    <row r="2802" spans="1:29" ht="15.75" customHeight="1" x14ac:dyDescent="0.2">
      <c r="A2802" s="34"/>
      <c r="B2802" s="34"/>
      <c r="C2802" s="34"/>
      <c r="D2802" s="34"/>
      <c r="E2802" s="19"/>
      <c r="F2802" s="19"/>
      <c r="G2802" s="19"/>
      <c r="H2802" s="19"/>
      <c r="I2802" s="19"/>
      <c r="J2802" s="19"/>
      <c r="K2802" s="19"/>
      <c r="L2802" s="19"/>
      <c r="M2802" s="19"/>
      <c r="N2802" s="19"/>
      <c r="O2802" s="19"/>
      <c r="P2802" s="19"/>
      <c r="Q2802" s="19"/>
      <c r="R2802" s="20"/>
      <c r="S2802" s="20"/>
      <c r="T2802" s="22"/>
      <c r="U2802" s="22"/>
      <c r="V2802" s="20"/>
      <c r="W2802" s="20"/>
      <c r="X2802" s="20"/>
      <c r="Y2802" s="19"/>
      <c r="Z2802" s="19"/>
      <c r="AA2802" s="19"/>
      <c r="AB2802" s="23"/>
      <c r="AC2802" s="23"/>
    </row>
    <row r="2803" spans="1:29" ht="15.75" customHeight="1" x14ac:dyDescent="0.2">
      <c r="A2803" s="34"/>
      <c r="B2803" s="34"/>
      <c r="C2803" s="34"/>
      <c r="D2803" s="34"/>
      <c r="E2803" s="19"/>
      <c r="F2803" s="19"/>
      <c r="G2803" s="19"/>
      <c r="H2803" s="19"/>
      <c r="I2803" s="19"/>
      <c r="J2803" s="19"/>
      <c r="K2803" s="19"/>
      <c r="L2803" s="19"/>
      <c r="M2803" s="19"/>
      <c r="N2803" s="19"/>
      <c r="O2803" s="19"/>
      <c r="P2803" s="19"/>
      <c r="Q2803" s="19"/>
      <c r="R2803" s="20"/>
      <c r="S2803" s="20"/>
      <c r="T2803" s="22"/>
      <c r="U2803" s="22"/>
      <c r="V2803" s="20"/>
      <c r="W2803" s="20"/>
      <c r="X2803" s="20"/>
      <c r="Y2803" s="19"/>
      <c r="Z2803" s="19"/>
      <c r="AA2803" s="19"/>
      <c r="AB2803" s="23"/>
      <c r="AC2803" s="23"/>
    </row>
    <row r="2804" spans="1:29" ht="15.75" customHeight="1" x14ac:dyDescent="0.2">
      <c r="A2804" s="34"/>
      <c r="B2804" s="34"/>
      <c r="C2804" s="34"/>
      <c r="D2804" s="34"/>
      <c r="E2804" s="19"/>
      <c r="F2804" s="19"/>
      <c r="G2804" s="19"/>
      <c r="H2804" s="19"/>
      <c r="I2804" s="19"/>
      <c r="J2804" s="19"/>
      <c r="K2804" s="19"/>
      <c r="L2804" s="19"/>
      <c r="M2804" s="19"/>
      <c r="N2804" s="19"/>
      <c r="O2804" s="19"/>
      <c r="P2804" s="19"/>
      <c r="Q2804" s="19"/>
      <c r="R2804" s="20"/>
      <c r="S2804" s="20"/>
      <c r="T2804" s="22"/>
      <c r="U2804" s="22"/>
      <c r="V2804" s="20"/>
      <c r="W2804" s="20"/>
      <c r="X2804" s="20"/>
      <c r="Y2804" s="19"/>
      <c r="Z2804" s="19"/>
      <c r="AA2804" s="19"/>
      <c r="AB2804" s="23"/>
      <c r="AC2804" s="23"/>
    </row>
    <row r="2805" spans="1:29" ht="15.75" customHeight="1" x14ac:dyDescent="0.2">
      <c r="A2805" s="34"/>
      <c r="B2805" s="34"/>
      <c r="C2805" s="34"/>
      <c r="D2805" s="34"/>
      <c r="E2805" s="19"/>
      <c r="F2805" s="19"/>
      <c r="G2805" s="19"/>
      <c r="H2805" s="19"/>
      <c r="I2805" s="19"/>
      <c r="J2805" s="19"/>
      <c r="K2805" s="19"/>
      <c r="L2805" s="19"/>
      <c r="M2805" s="19"/>
      <c r="N2805" s="19"/>
      <c r="O2805" s="19"/>
      <c r="P2805" s="19"/>
      <c r="Q2805" s="19"/>
      <c r="R2805" s="20"/>
      <c r="S2805" s="20"/>
      <c r="T2805" s="22"/>
      <c r="U2805" s="22"/>
      <c r="V2805" s="20"/>
      <c r="W2805" s="20"/>
      <c r="X2805" s="20"/>
      <c r="Y2805" s="19"/>
      <c r="Z2805" s="19"/>
      <c r="AA2805" s="19"/>
      <c r="AB2805" s="23"/>
      <c r="AC2805" s="23"/>
    </row>
    <row r="2806" spans="1:29" ht="15.75" customHeight="1" x14ac:dyDescent="0.2">
      <c r="A2806" s="34"/>
      <c r="B2806" s="34"/>
      <c r="C2806" s="34"/>
      <c r="D2806" s="34"/>
      <c r="E2806" s="19"/>
      <c r="F2806" s="19"/>
      <c r="G2806" s="19"/>
      <c r="H2806" s="19"/>
      <c r="I2806" s="19"/>
      <c r="J2806" s="19"/>
      <c r="K2806" s="19"/>
      <c r="L2806" s="19"/>
      <c r="M2806" s="19"/>
      <c r="N2806" s="19"/>
      <c r="O2806" s="19"/>
      <c r="P2806" s="19"/>
      <c r="Q2806" s="19"/>
      <c r="R2806" s="20"/>
      <c r="S2806" s="20"/>
      <c r="T2806" s="22"/>
      <c r="U2806" s="22"/>
      <c r="V2806" s="20"/>
      <c r="W2806" s="20"/>
      <c r="X2806" s="20"/>
      <c r="Y2806" s="19"/>
      <c r="Z2806" s="19"/>
      <c r="AA2806" s="19"/>
      <c r="AB2806" s="23"/>
      <c r="AC2806" s="23"/>
    </row>
    <row r="2807" spans="1:29" ht="15.75" customHeight="1" x14ac:dyDescent="0.2">
      <c r="A2807" s="34"/>
      <c r="B2807" s="34"/>
      <c r="C2807" s="34"/>
      <c r="D2807" s="34"/>
      <c r="E2807" s="19"/>
      <c r="F2807" s="19"/>
      <c r="G2807" s="19"/>
      <c r="H2807" s="19"/>
      <c r="I2807" s="19"/>
      <c r="J2807" s="19"/>
      <c r="K2807" s="19"/>
      <c r="L2807" s="19"/>
      <c r="M2807" s="19"/>
      <c r="N2807" s="19"/>
      <c r="O2807" s="19"/>
      <c r="P2807" s="19"/>
      <c r="Q2807" s="19"/>
      <c r="R2807" s="20"/>
      <c r="S2807" s="20"/>
      <c r="T2807" s="22"/>
      <c r="U2807" s="22"/>
      <c r="V2807" s="20"/>
      <c r="W2807" s="20"/>
      <c r="X2807" s="20"/>
      <c r="Y2807" s="19"/>
      <c r="Z2807" s="19"/>
      <c r="AA2807" s="19"/>
      <c r="AB2807" s="23"/>
      <c r="AC2807" s="23"/>
    </row>
    <row r="2808" spans="1:29" ht="15.75" customHeight="1" x14ac:dyDescent="0.2">
      <c r="A2808" s="34"/>
      <c r="B2808" s="34"/>
      <c r="C2808" s="34"/>
      <c r="D2808" s="34"/>
      <c r="E2808" s="19"/>
      <c r="F2808" s="19"/>
      <c r="G2808" s="19"/>
      <c r="H2808" s="19"/>
      <c r="I2808" s="19"/>
      <c r="J2808" s="19"/>
      <c r="K2808" s="19"/>
      <c r="L2808" s="19"/>
      <c r="M2808" s="19"/>
      <c r="N2808" s="19"/>
      <c r="O2808" s="19"/>
      <c r="P2808" s="19"/>
      <c r="Q2808" s="19"/>
      <c r="R2808" s="20"/>
      <c r="S2808" s="20"/>
      <c r="T2808" s="22"/>
      <c r="U2808" s="22"/>
      <c r="V2808" s="20"/>
      <c r="W2808" s="20"/>
      <c r="X2808" s="20"/>
      <c r="Y2808" s="19"/>
      <c r="Z2808" s="19"/>
      <c r="AA2808" s="19"/>
      <c r="AB2808" s="23"/>
      <c r="AC2808" s="23"/>
    </row>
    <row r="2809" spans="1:29" ht="15.75" customHeight="1" x14ac:dyDescent="0.2">
      <c r="A2809" s="34"/>
      <c r="B2809" s="34"/>
      <c r="C2809" s="34"/>
      <c r="D2809" s="34"/>
      <c r="E2809" s="19"/>
      <c r="F2809" s="19"/>
      <c r="G2809" s="19"/>
      <c r="H2809" s="19"/>
      <c r="I2809" s="19"/>
      <c r="J2809" s="19"/>
      <c r="K2809" s="19"/>
      <c r="L2809" s="19"/>
      <c r="M2809" s="19"/>
      <c r="N2809" s="19"/>
      <c r="O2809" s="19"/>
      <c r="P2809" s="19"/>
      <c r="Q2809" s="19"/>
      <c r="R2809" s="20"/>
      <c r="S2809" s="20"/>
      <c r="T2809" s="22"/>
      <c r="U2809" s="22"/>
      <c r="V2809" s="20"/>
      <c r="W2809" s="20"/>
      <c r="X2809" s="20"/>
      <c r="Y2809" s="19"/>
      <c r="Z2809" s="19"/>
      <c r="AA2809" s="19"/>
      <c r="AB2809" s="23"/>
      <c r="AC2809" s="23"/>
    </row>
    <row r="2810" spans="1:29" ht="15.75" customHeight="1" x14ac:dyDescent="0.2">
      <c r="A2810" s="34"/>
      <c r="B2810" s="34"/>
      <c r="C2810" s="34"/>
      <c r="D2810" s="34"/>
      <c r="E2810" s="19"/>
      <c r="F2810" s="19"/>
      <c r="G2810" s="19"/>
      <c r="H2810" s="19"/>
      <c r="I2810" s="19"/>
      <c r="J2810" s="19"/>
      <c r="K2810" s="19"/>
      <c r="L2810" s="19"/>
      <c r="M2810" s="19"/>
      <c r="N2810" s="19"/>
      <c r="O2810" s="19"/>
      <c r="P2810" s="19"/>
      <c r="Q2810" s="19"/>
      <c r="R2810" s="20"/>
      <c r="S2810" s="20"/>
      <c r="T2810" s="22"/>
      <c r="U2810" s="22"/>
      <c r="V2810" s="20"/>
      <c r="W2810" s="20"/>
      <c r="X2810" s="20"/>
      <c r="Y2810" s="19"/>
      <c r="Z2810" s="19"/>
      <c r="AA2810" s="19"/>
      <c r="AB2810" s="23"/>
      <c r="AC2810" s="23"/>
    </row>
    <row r="2811" spans="1:29" ht="15.75" customHeight="1" x14ac:dyDescent="0.2">
      <c r="A2811" s="34"/>
      <c r="B2811" s="34"/>
      <c r="C2811" s="34"/>
      <c r="D2811" s="34"/>
      <c r="E2811" s="19"/>
      <c r="F2811" s="19"/>
      <c r="G2811" s="19"/>
      <c r="H2811" s="19"/>
      <c r="I2811" s="19"/>
      <c r="J2811" s="19"/>
      <c r="K2811" s="19"/>
      <c r="L2811" s="19"/>
      <c r="M2811" s="19"/>
      <c r="N2811" s="19"/>
      <c r="O2811" s="19"/>
      <c r="P2811" s="19"/>
      <c r="Q2811" s="19"/>
      <c r="R2811" s="20"/>
      <c r="S2811" s="20"/>
      <c r="T2811" s="22"/>
      <c r="U2811" s="22"/>
      <c r="V2811" s="20"/>
      <c r="W2811" s="20"/>
      <c r="X2811" s="20"/>
      <c r="Y2811" s="19"/>
      <c r="Z2811" s="19"/>
      <c r="AA2811" s="19"/>
      <c r="AB2811" s="23"/>
      <c r="AC2811" s="23"/>
    </row>
    <row r="2812" spans="1:29" ht="15.75" customHeight="1" x14ac:dyDescent="0.2">
      <c r="A2812" s="34"/>
      <c r="B2812" s="34"/>
      <c r="C2812" s="34"/>
      <c r="D2812" s="34"/>
      <c r="E2812" s="19"/>
      <c r="F2812" s="19"/>
      <c r="G2812" s="19"/>
      <c r="H2812" s="19"/>
      <c r="I2812" s="19"/>
      <c r="J2812" s="19"/>
      <c r="K2812" s="19"/>
      <c r="L2812" s="19"/>
      <c r="M2812" s="19"/>
      <c r="N2812" s="19"/>
      <c r="O2812" s="19"/>
      <c r="P2812" s="19"/>
      <c r="Q2812" s="19"/>
      <c r="R2812" s="20"/>
      <c r="S2812" s="20"/>
      <c r="T2812" s="22"/>
      <c r="U2812" s="22"/>
      <c r="V2812" s="20"/>
      <c r="W2812" s="20"/>
      <c r="X2812" s="20"/>
      <c r="Y2812" s="19"/>
      <c r="Z2812" s="19"/>
      <c r="AA2812" s="19"/>
      <c r="AB2812" s="23"/>
      <c r="AC2812" s="23"/>
    </row>
    <row r="2813" spans="1:29" ht="15.75" customHeight="1" x14ac:dyDescent="0.2">
      <c r="A2813" s="34"/>
      <c r="B2813" s="34"/>
      <c r="C2813" s="34"/>
      <c r="D2813" s="34"/>
      <c r="E2813" s="19"/>
      <c r="F2813" s="19"/>
      <c r="G2813" s="19"/>
      <c r="H2813" s="19"/>
      <c r="I2813" s="19"/>
      <c r="J2813" s="19"/>
      <c r="K2813" s="19"/>
      <c r="L2813" s="19"/>
      <c r="M2813" s="19"/>
      <c r="N2813" s="19"/>
      <c r="O2813" s="19"/>
      <c r="P2813" s="19"/>
      <c r="Q2813" s="19"/>
      <c r="R2813" s="20"/>
      <c r="S2813" s="20"/>
      <c r="T2813" s="22"/>
      <c r="U2813" s="22"/>
      <c r="V2813" s="20"/>
      <c r="W2813" s="20"/>
      <c r="X2813" s="20"/>
      <c r="Y2813" s="19"/>
      <c r="Z2813" s="19"/>
      <c r="AA2813" s="19"/>
      <c r="AB2813" s="23"/>
      <c r="AC2813" s="23"/>
    </row>
    <row r="2814" spans="1:29" ht="15.75" customHeight="1" x14ac:dyDescent="0.2">
      <c r="A2814" s="34"/>
      <c r="B2814" s="34"/>
      <c r="C2814" s="34"/>
      <c r="D2814" s="34"/>
      <c r="E2814" s="19"/>
      <c r="F2814" s="19"/>
      <c r="G2814" s="19"/>
      <c r="H2814" s="19"/>
      <c r="I2814" s="19"/>
      <c r="J2814" s="19"/>
      <c r="K2814" s="19"/>
      <c r="L2814" s="19"/>
      <c r="M2814" s="19"/>
      <c r="N2814" s="19"/>
      <c r="O2814" s="19"/>
      <c r="P2814" s="19"/>
      <c r="Q2814" s="19"/>
      <c r="R2814" s="20"/>
      <c r="S2814" s="20"/>
      <c r="T2814" s="22"/>
      <c r="U2814" s="22"/>
      <c r="V2814" s="20"/>
      <c r="W2814" s="20"/>
      <c r="X2814" s="20"/>
      <c r="Y2814" s="19"/>
      <c r="Z2814" s="19"/>
      <c r="AA2814" s="19"/>
      <c r="AB2814" s="23"/>
      <c r="AC2814" s="23"/>
    </row>
    <row r="2815" spans="1:29" ht="15.75" customHeight="1" x14ac:dyDescent="0.2">
      <c r="A2815" s="34"/>
      <c r="B2815" s="34"/>
      <c r="C2815" s="34"/>
      <c r="D2815" s="34"/>
      <c r="E2815" s="19"/>
      <c r="F2815" s="19"/>
      <c r="G2815" s="19"/>
      <c r="H2815" s="19"/>
      <c r="I2815" s="19"/>
      <c r="J2815" s="19"/>
      <c r="K2815" s="19"/>
      <c r="L2815" s="19"/>
      <c r="M2815" s="19"/>
      <c r="N2815" s="19"/>
      <c r="O2815" s="19"/>
      <c r="P2815" s="19"/>
      <c r="Q2815" s="19"/>
      <c r="R2815" s="20"/>
      <c r="S2815" s="20"/>
      <c r="T2815" s="22"/>
      <c r="U2815" s="22"/>
      <c r="V2815" s="20"/>
      <c r="W2815" s="20"/>
      <c r="X2815" s="20"/>
      <c r="Y2815" s="19"/>
      <c r="Z2815" s="19"/>
      <c r="AA2815" s="19"/>
      <c r="AB2815" s="23"/>
      <c r="AC2815" s="23"/>
    </row>
    <row r="2816" spans="1:29" ht="15.75" customHeight="1" x14ac:dyDescent="0.2">
      <c r="A2816" s="34"/>
      <c r="B2816" s="34"/>
      <c r="C2816" s="34"/>
      <c r="D2816" s="34"/>
      <c r="E2816" s="19"/>
      <c r="F2816" s="19"/>
      <c r="G2816" s="19"/>
      <c r="H2816" s="19"/>
      <c r="I2816" s="19"/>
      <c r="J2816" s="19"/>
      <c r="K2816" s="19"/>
      <c r="L2816" s="19"/>
      <c r="M2816" s="19"/>
      <c r="N2816" s="19"/>
      <c r="O2816" s="19"/>
      <c r="P2816" s="19"/>
      <c r="Q2816" s="19"/>
      <c r="R2816" s="20"/>
      <c r="S2816" s="20"/>
      <c r="T2816" s="22"/>
      <c r="U2816" s="22"/>
      <c r="V2816" s="20"/>
      <c r="W2816" s="20"/>
      <c r="X2816" s="20"/>
      <c r="Y2816" s="19"/>
      <c r="Z2816" s="19"/>
      <c r="AA2816" s="19"/>
      <c r="AB2816" s="23"/>
      <c r="AC2816" s="23"/>
    </row>
    <row r="2817" spans="1:29" ht="15.75" customHeight="1" x14ac:dyDescent="0.2">
      <c r="A2817" s="34"/>
      <c r="B2817" s="34"/>
      <c r="C2817" s="34"/>
      <c r="D2817" s="34"/>
      <c r="E2817" s="19"/>
      <c r="F2817" s="19"/>
      <c r="G2817" s="19"/>
      <c r="H2817" s="19"/>
      <c r="I2817" s="19"/>
      <c r="J2817" s="19"/>
      <c r="K2817" s="19"/>
      <c r="L2817" s="19"/>
      <c r="M2817" s="19"/>
      <c r="N2817" s="19"/>
      <c r="O2817" s="19"/>
      <c r="P2817" s="19"/>
      <c r="Q2817" s="19"/>
      <c r="R2817" s="20"/>
      <c r="S2817" s="20"/>
      <c r="T2817" s="22"/>
      <c r="U2817" s="22"/>
      <c r="V2817" s="20"/>
      <c r="W2817" s="20"/>
      <c r="X2817" s="20"/>
      <c r="Y2817" s="19"/>
      <c r="Z2817" s="19"/>
      <c r="AA2817" s="19"/>
      <c r="AB2817" s="23"/>
      <c r="AC2817" s="23"/>
    </row>
    <row r="2818" spans="1:29" ht="15.75" customHeight="1" x14ac:dyDescent="0.2">
      <c r="A2818" s="34"/>
      <c r="B2818" s="34"/>
      <c r="C2818" s="34"/>
      <c r="D2818" s="34"/>
      <c r="E2818" s="19"/>
      <c r="F2818" s="19"/>
      <c r="G2818" s="19"/>
      <c r="H2818" s="19"/>
      <c r="I2818" s="19"/>
      <c r="J2818" s="19"/>
      <c r="K2818" s="19"/>
      <c r="L2818" s="19"/>
      <c r="M2818" s="19"/>
      <c r="N2818" s="19"/>
      <c r="O2818" s="19"/>
      <c r="P2818" s="19"/>
      <c r="Q2818" s="19"/>
      <c r="R2818" s="20"/>
      <c r="S2818" s="20"/>
      <c r="T2818" s="22"/>
      <c r="U2818" s="22"/>
      <c r="V2818" s="20"/>
      <c r="W2818" s="20"/>
      <c r="X2818" s="20"/>
      <c r="Y2818" s="19"/>
      <c r="Z2818" s="19"/>
      <c r="AA2818" s="19"/>
      <c r="AB2818" s="23"/>
      <c r="AC2818" s="23"/>
    </row>
    <row r="2819" spans="1:29" ht="15.75" customHeight="1" x14ac:dyDescent="0.2">
      <c r="A2819" s="34"/>
      <c r="B2819" s="34"/>
      <c r="C2819" s="34"/>
      <c r="D2819" s="34"/>
      <c r="E2819" s="19"/>
      <c r="F2819" s="19"/>
      <c r="G2819" s="19"/>
      <c r="H2819" s="19"/>
      <c r="I2819" s="19"/>
      <c r="J2819" s="19"/>
      <c r="K2819" s="19"/>
      <c r="L2819" s="19"/>
      <c r="M2819" s="19"/>
      <c r="N2819" s="19"/>
      <c r="O2819" s="19"/>
      <c r="P2819" s="19"/>
      <c r="Q2819" s="19"/>
      <c r="R2819" s="20"/>
      <c r="S2819" s="20"/>
      <c r="T2819" s="22"/>
      <c r="U2819" s="22"/>
      <c r="V2819" s="20"/>
      <c r="W2819" s="20"/>
      <c r="X2819" s="20"/>
      <c r="Y2819" s="19"/>
      <c r="Z2819" s="19"/>
      <c r="AA2819" s="19"/>
      <c r="AB2819" s="23"/>
      <c r="AC2819" s="23"/>
    </row>
    <row r="2820" spans="1:29" ht="15.75" customHeight="1" x14ac:dyDescent="0.2">
      <c r="A2820" s="34"/>
      <c r="B2820" s="34"/>
      <c r="C2820" s="34"/>
      <c r="D2820" s="34"/>
      <c r="E2820" s="19"/>
      <c r="F2820" s="19"/>
      <c r="G2820" s="19"/>
      <c r="H2820" s="19"/>
      <c r="I2820" s="19"/>
      <c r="J2820" s="19"/>
      <c r="K2820" s="19"/>
      <c r="L2820" s="19"/>
      <c r="M2820" s="19"/>
      <c r="N2820" s="19"/>
      <c r="O2820" s="19"/>
      <c r="P2820" s="19"/>
      <c r="Q2820" s="19"/>
      <c r="R2820" s="20"/>
      <c r="S2820" s="20"/>
      <c r="T2820" s="22"/>
      <c r="U2820" s="22"/>
      <c r="V2820" s="20"/>
      <c r="W2820" s="20"/>
      <c r="X2820" s="20"/>
      <c r="Y2820" s="19"/>
      <c r="Z2820" s="19"/>
      <c r="AA2820" s="19"/>
      <c r="AB2820" s="23"/>
      <c r="AC2820" s="23"/>
    </row>
    <row r="2821" spans="1:29" ht="15.75" customHeight="1" x14ac:dyDescent="0.2">
      <c r="A2821" s="34"/>
      <c r="B2821" s="34"/>
      <c r="C2821" s="34"/>
      <c r="D2821" s="34"/>
      <c r="E2821" s="19"/>
      <c r="F2821" s="19"/>
      <c r="G2821" s="19"/>
      <c r="H2821" s="19"/>
      <c r="I2821" s="19"/>
      <c r="J2821" s="19"/>
      <c r="K2821" s="19"/>
      <c r="L2821" s="19"/>
      <c r="M2821" s="19"/>
      <c r="N2821" s="19"/>
      <c r="O2821" s="19"/>
      <c r="P2821" s="19"/>
      <c r="Q2821" s="19"/>
      <c r="R2821" s="20"/>
      <c r="S2821" s="20"/>
      <c r="T2821" s="22"/>
      <c r="U2821" s="22"/>
      <c r="V2821" s="20"/>
      <c r="W2821" s="20"/>
      <c r="X2821" s="20"/>
      <c r="Y2821" s="19"/>
      <c r="Z2821" s="19"/>
      <c r="AA2821" s="19"/>
      <c r="AB2821" s="23"/>
      <c r="AC2821" s="23"/>
    </row>
    <row r="2822" spans="1:29" ht="15.75" customHeight="1" x14ac:dyDescent="0.2">
      <c r="A2822" s="34"/>
      <c r="B2822" s="34"/>
      <c r="C2822" s="34"/>
      <c r="D2822" s="34"/>
      <c r="E2822" s="19"/>
      <c r="F2822" s="19"/>
      <c r="G2822" s="19"/>
      <c r="H2822" s="19"/>
      <c r="I2822" s="19"/>
      <c r="J2822" s="19"/>
      <c r="K2822" s="19"/>
      <c r="L2822" s="19"/>
      <c r="M2822" s="19"/>
      <c r="N2822" s="19"/>
      <c r="O2822" s="19"/>
      <c r="P2822" s="19"/>
      <c r="Q2822" s="19"/>
      <c r="R2822" s="20"/>
      <c r="S2822" s="20"/>
      <c r="T2822" s="22"/>
      <c r="U2822" s="22"/>
      <c r="V2822" s="20"/>
      <c r="W2822" s="20"/>
      <c r="X2822" s="20"/>
      <c r="Y2822" s="19"/>
      <c r="Z2822" s="19"/>
      <c r="AA2822" s="19"/>
      <c r="AB2822" s="23"/>
      <c r="AC2822" s="23"/>
    </row>
    <row r="2823" spans="1:29" ht="15.75" customHeight="1" x14ac:dyDescent="0.2">
      <c r="A2823" s="34"/>
      <c r="B2823" s="34"/>
      <c r="C2823" s="34"/>
      <c r="D2823" s="34"/>
      <c r="E2823" s="19"/>
      <c r="F2823" s="19"/>
      <c r="G2823" s="19"/>
      <c r="H2823" s="19"/>
      <c r="I2823" s="19"/>
      <c r="J2823" s="19"/>
      <c r="K2823" s="19"/>
      <c r="L2823" s="19"/>
      <c r="M2823" s="19"/>
      <c r="N2823" s="19"/>
      <c r="O2823" s="19"/>
      <c r="P2823" s="19"/>
      <c r="Q2823" s="19"/>
      <c r="R2823" s="20"/>
      <c r="S2823" s="20"/>
      <c r="T2823" s="22"/>
      <c r="U2823" s="22"/>
      <c r="V2823" s="20"/>
      <c r="W2823" s="20"/>
      <c r="X2823" s="20"/>
      <c r="Y2823" s="19"/>
      <c r="Z2823" s="19"/>
      <c r="AA2823" s="19"/>
      <c r="AB2823" s="23"/>
      <c r="AC2823" s="23"/>
    </row>
    <row r="2824" spans="1:29" ht="15.75" customHeight="1" x14ac:dyDescent="0.2">
      <c r="A2824" s="34"/>
      <c r="B2824" s="34"/>
      <c r="C2824" s="34"/>
      <c r="D2824" s="34"/>
      <c r="E2824" s="19"/>
      <c r="F2824" s="19"/>
      <c r="G2824" s="19"/>
      <c r="H2824" s="19"/>
      <c r="I2824" s="19"/>
      <c r="J2824" s="19"/>
      <c r="K2824" s="19"/>
      <c r="L2824" s="19"/>
      <c r="M2824" s="19"/>
      <c r="N2824" s="19"/>
      <c r="O2824" s="19"/>
      <c r="P2824" s="19"/>
      <c r="Q2824" s="19"/>
      <c r="R2824" s="20"/>
      <c r="S2824" s="20"/>
      <c r="T2824" s="22"/>
      <c r="U2824" s="22"/>
      <c r="V2824" s="20"/>
      <c r="W2824" s="20"/>
      <c r="X2824" s="20"/>
      <c r="Y2824" s="19"/>
      <c r="Z2824" s="19"/>
      <c r="AA2824" s="19"/>
      <c r="AB2824" s="23"/>
      <c r="AC2824" s="23"/>
    </row>
    <row r="2825" spans="1:29" ht="15.75" customHeight="1" x14ac:dyDescent="0.2">
      <c r="A2825" s="34"/>
      <c r="B2825" s="34"/>
      <c r="C2825" s="34"/>
      <c r="D2825" s="34"/>
      <c r="E2825" s="19"/>
      <c r="F2825" s="19"/>
      <c r="G2825" s="19"/>
      <c r="H2825" s="19"/>
      <c r="I2825" s="19"/>
      <c r="J2825" s="19"/>
      <c r="K2825" s="19"/>
      <c r="L2825" s="19"/>
      <c r="M2825" s="19"/>
      <c r="N2825" s="19"/>
      <c r="O2825" s="19"/>
      <c r="P2825" s="19"/>
      <c r="Q2825" s="19"/>
      <c r="R2825" s="20"/>
      <c r="S2825" s="20"/>
      <c r="T2825" s="22"/>
      <c r="U2825" s="22"/>
      <c r="V2825" s="20"/>
      <c r="W2825" s="20"/>
      <c r="X2825" s="20"/>
      <c r="Y2825" s="19"/>
      <c r="Z2825" s="19"/>
      <c r="AA2825" s="19"/>
      <c r="AB2825" s="23"/>
      <c r="AC2825" s="23"/>
    </row>
    <row r="2826" spans="1:29" ht="15.75" customHeight="1" x14ac:dyDescent="0.2">
      <c r="A2826" s="34"/>
      <c r="B2826" s="34"/>
      <c r="C2826" s="34"/>
      <c r="D2826" s="34"/>
      <c r="E2826" s="19"/>
      <c r="F2826" s="19"/>
      <c r="G2826" s="19"/>
      <c r="H2826" s="19"/>
      <c r="I2826" s="19"/>
      <c r="J2826" s="19"/>
      <c r="K2826" s="19"/>
      <c r="L2826" s="19"/>
      <c r="M2826" s="19"/>
      <c r="N2826" s="19"/>
      <c r="O2826" s="19"/>
      <c r="P2826" s="19"/>
      <c r="Q2826" s="19"/>
      <c r="R2826" s="20"/>
      <c r="S2826" s="20"/>
      <c r="T2826" s="22"/>
      <c r="U2826" s="22"/>
      <c r="V2826" s="20"/>
      <c r="W2826" s="20"/>
      <c r="X2826" s="20"/>
      <c r="Y2826" s="19"/>
      <c r="Z2826" s="19"/>
      <c r="AA2826" s="19"/>
      <c r="AB2826" s="23"/>
      <c r="AC2826" s="23"/>
    </row>
    <row r="2827" spans="1:29" ht="15.75" customHeight="1" x14ac:dyDescent="0.2">
      <c r="A2827" s="34"/>
      <c r="B2827" s="34"/>
      <c r="C2827" s="34"/>
      <c r="D2827" s="34"/>
      <c r="E2827" s="19"/>
      <c r="F2827" s="19"/>
      <c r="G2827" s="19"/>
      <c r="H2827" s="19"/>
      <c r="I2827" s="19"/>
      <c r="J2827" s="19"/>
      <c r="K2827" s="19"/>
      <c r="L2827" s="19"/>
      <c r="M2827" s="19"/>
      <c r="N2827" s="19"/>
      <c r="O2827" s="19"/>
      <c r="P2827" s="19"/>
      <c r="Q2827" s="19"/>
      <c r="R2827" s="20"/>
      <c r="S2827" s="20"/>
      <c r="T2827" s="22"/>
      <c r="U2827" s="22"/>
      <c r="V2827" s="20"/>
      <c r="W2827" s="20"/>
      <c r="X2827" s="20"/>
      <c r="Y2827" s="19"/>
      <c r="Z2827" s="19"/>
      <c r="AA2827" s="19"/>
      <c r="AB2827" s="23"/>
      <c r="AC2827" s="23"/>
    </row>
    <row r="2828" spans="1:29" ht="15.75" customHeight="1" x14ac:dyDescent="0.2">
      <c r="A2828" s="34"/>
      <c r="B2828" s="34"/>
      <c r="C2828" s="34"/>
      <c r="D2828" s="34"/>
      <c r="E2828" s="19"/>
      <c r="F2828" s="19"/>
      <c r="G2828" s="19"/>
      <c r="H2828" s="19"/>
      <c r="I2828" s="19"/>
      <c r="J2828" s="19"/>
      <c r="K2828" s="19"/>
      <c r="L2828" s="19"/>
      <c r="M2828" s="19"/>
      <c r="N2828" s="19"/>
      <c r="O2828" s="19"/>
      <c r="P2828" s="19"/>
      <c r="Q2828" s="19"/>
      <c r="R2828" s="20"/>
      <c r="S2828" s="20"/>
      <c r="T2828" s="22"/>
      <c r="U2828" s="22"/>
      <c r="V2828" s="20"/>
      <c r="W2828" s="20"/>
      <c r="X2828" s="20"/>
      <c r="Y2828" s="19"/>
      <c r="Z2828" s="19"/>
      <c r="AA2828" s="19"/>
      <c r="AB2828" s="23"/>
      <c r="AC2828" s="23"/>
    </row>
    <row r="2829" spans="1:29" ht="15.75" customHeight="1" x14ac:dyDescent="0.2">
      <c r="A2829" s="34"/>
      <c r="B2829" s="34"/>
      <c r="C2829" s="34"/>
      <c r="D2829" s="34"/>
      <c r="E2829" s="19"/>
      <c r="F2829" s="19"/>
      <c r="G2829" s="19"/>
      <c r="H2829" s="19"/>
      <c r="I2829" s="19"/>
      <c r="J2829" s="19"/>
      <c r="K2829" s="19"/>
      <c r="L2829" s="19"/>
      <c r="M2829" s="19"/>
      <c r="N2829" s="19"/>
      <c r="O2829" s="19"/>
      <c r="P2829" s="19"/>
      <c r="Q2829" s="19"/>
      <c r="R2829" s="20"/>
      <c r="S2829" s="20"/>
      <c r="T2829" s="22"/>
      <c r="U2829" s="22"/>
      <c r="V2829" s="20"/>
      <c r="W2829" s="20"/>
      <c r="X2829" s="20"/>
      <c r="Y2829" s="19"/>
      <c r="Z2829" s="19"/>
      <c r="AA2829" s="19"/>
      <c r="AB2829" s="23"/>
      <c r="AC2829" s="23"/>
    </row>
    <row r="2830" spans="1:29" ht="15.75" customHeight="1" x14ac:dyDescent="0.2">
      <c r="A2830" s="34"/>
      <c r="B2830" s="34"/>
      <c r="C2830" s="34"/>
      <c r="D2830" s="34"/>
      <c r="E2830" s="19"/>
      <c r="F2830" s="19"/>
      <c r="G2830" s="19"/>
      <c r="H2830" s="19"/>
      <c r="I2830" s="19"/>
      <c r="J2830" s="19"/>
      <c r="K2830" s="19"/>
      <c r="L2830" s="19"/>
      <c r="M2830" s="19"/>
      <c r="N2830" s="19"/>
      <c r="O2830" s="19"/>
      <c r="P2830" s="19"/>
      <c r="Q2830" s="19"/>
      <c r="R2830" s="20"/>
      <c r="S2830" s="20"/>
      <c r="T2830" s="22"/>
      <c r="U2830" s="22"/>
      <c r="V2830" s="20"/>
      <c r="W2830" s="20"/>
      <c r="X2830" s="20"/>
      <c r="Y2830" s="19"/>
      <c r="Z2830" s="19"/>
      <c r="AA2830" s="19"/>
      <c r="AB2830" s="23"/>
      <c r="AC2830" s="23"/>
    </row>
    <row r="2831" spans="1:29" ht="15.75" customHeight="1" x14ac:dyDescent="0.2">
      <c r="A2831" s="34"/>
      <c r="B2831" s="34"/>
      <c r="C2831" s="34"/>
      <c r="D2831" s="34"/>
      <c r="E2831" s="19"/>
      <c r="F2831" s="19"/>
      <c r="G2831" s="19"/>
      <c r="H2831" s="19"/>
      <c r="I2831" s="19"/>
      <c r="J2831" s="19"/>
      <c r="K2831" s="19"/>
      <c r="L2831" s="19"/>
      <c r="M2831" s="19"/>
      <c r="N2831" s="19"/>
      <c r="O2831" s="19"/>
      <c r="P2831" s="19"/>
      <c r="Q2831" s="19"/>
      <c r="R2831" s="20"/>
      <c r="S2831" s="20"/>
      <c r="T2831" s="22"/>
      <c r="U2831" s="22"/>
      <c r="V2831" s="20"/>
      <c r="W2831" s="20"/>
      <c r="X2831" s="20"/>
      <c r="Y2831" s="19"/>
      <c r="Z2831" s="19"/>
      <c r="AA2831" s="19"/>
      <c r="AB2831" s="23"/>
      <c r="AC2831" s="23"/>
    </row>
    <row r="2832" spans="1:29" ht="15.75" customHeight="1" x14ac:dyDescent="0.2">
      <c r="A2832" s="34"/>
      <c r="B2832" s="34"/>
      <c r="C2832" s="34"/>
      <c r="D2832" s="34"/>
      <c r="E2832" s="19"/>
      <c r="F2832" s="19"/>
      <c r="G2832" s="19"/>
      <c r="H2832" s="19"/>
      <c r="I2832" s="19"/>
      <c r="J2832" s="19"/>
      <c r="K2832" s="19"/>
      <c r="L2832" s="19"/>
      <c r="M2832" s="19"/>
      <c r="N2832" s="19"/>
      <c r="O2832" s="19"/>
      <c r="P2832" s="19"/>
      <c r="Q2832" s="19"/>
      <c r="R2832" s="20"/>
      <c r="S2832" s="20"/>
      <c r="T2832" s="22"/>
      <c r="U2832" s="22"/>
      <c r="V2832" s="20"/>
      <c r="W2832" s="20"/>
      <c r="X2832" s="20"/>
      <c r="Y2832" s="19"/>
      <c r="Z2832" s="19"/>
      <c r="AA2832" s="19"/>
      <c r="AB2832" s="23"/>
      <c r="AC2832" s="23"/>
    </row>
    <row r="2833" spans="1:29" ht="15.75" customHeight="1" x14ac:dyDescent="0.2">
      <c r="A2833" s="34"/>
      <c r="B2833" s="34"/>
      <c r="C2833" s="34"/>
      <c r="D2833" s="34"/>
      <c r="E2833" s="19"/>
      <c r="F2833" s="19"/>
      <c r="G2833" s="19"/>
      <c r="H2833" s="19"/>
      <c r="I2833" s="19"/>
      <c r="J2833" s="19"/>
      <c r="K2833" s="19"/>
      <c r="L2833" s="19"/>
      <c r="M2833" s="19"/>
      <c r="N2833" s="19"/>
      <c r="O2833" s="19"/>
      <c r="P2833" s="19"/>
      <c r="Q2833" s="19"/>
      <c r="R2833" s="20"/>
      <c r="S2833" s="20"/>
      <c r="T2833" s="22"/>
      <c r="U2833" s="22"/>
      <c r="V2833" s="20"/>
      <c r="W2833" s="20"/>
      <c r="X2833" s="20"/>
      <c r="Y2833" s="19"/>
      <c r="Z2833" s="19"/>
      <c r="AA2833" s="19"/>
      <c r="AB2833" s="23"/>
      <c r="AC2833" s="23"/>
    </row>
    <row r="2834" spans="1:29" ht="15.75" customHeight="1" x14ac:dyDescent="0.2">
      <c r="A2834" s="34"/>
      <c r="B2834" s="34"/>
      <c r="C2834" s="34"/>
      <c r="D2834" s="34"/>
      <c r="E2834" s="19"/>
      <c r="F2834" s="19"/>
      <c r="G2834" s="19"/>
      <c r="H2834" s="19"/>
      <c r="I2834" s="19"/>
      <c r="J2834" s="19"/>
      <c r="K2834" s="19"/>
      <c r="L2834" s="19"/>
      <c r="M2834" s="19"/>
      <c r="N2834" s="19"/>
      <c r="O2834" s="19"/>
      <c r="P2834" s="19"/>
      <c r="Q2834" s="19"/>
      <c r="R2834" s="20"/>
      <c r="S2834" s="20"/>
      <c r="T2834" s="22"/>
      <c r="U2834" s="22"/>
      <c r="V2834" s="20"/>
      <c r="W2834" s="20"/>
      <c r="X2834" s="20"/>
      <c r="Y2834" s="19"/>
      <c r="Z2834" s="19"/>
      <c r="AA2834" s="19"/>
      <c r="AB2834" s="23"/>
      <c r="AC2834" s="23"/>
    </row>
    <row r="2835" spans="1:29" ht="15.75" customHeight="1" x14ac:dyDescent="0.2">
      <c r="A2835" s="34"/>
      <c r="B2835" s="34"/>
      <c r="C2835" s="34"/>
      <c r="D2835" s="34"/>
      <c r="E2835" s="19"/>
      <c r="F2835" s="19"/>
      <c r="G2835" s="19"/>
      <c r="H2835" s="19"/>
      <c r="I2835" s="19"/>
      <c r="J2835" s="19"/>
      <c r="K2835" s="19"/>
      <c r="L2835" s="19"/>
      <c r="M2835" s="19"/>
      <c r="N2835" s="19"/>
      <c r="O2835" s="19"/>
      <c r="P2835" s="19"/>
      <c r="Q2835" s="19"/>
      <c r="R2835" s="20"/>
      <c r="S2835" s="20"/>
      <c r="T2835" s="22"/>
      <c r="U2835" s="22"/>
      <c r="V2835" s="20"/>
      <c r="W2835" s="20"/>
      <c r="X2835" s="20"/>
      <c r="Y2835" s="19"/>
      <c r="Z2835" s="19"/>
      <c r="AA2835" s="19"/>
      <c r="AB2835" s="23"/>
      <c r="AC2835" s="23"/>
    </row>
    <row r="2836" spans="1:29" ht="15.75" customHeight="1" x14ac:dyDescent="0.2">
      <c r="A2836" s="34"/>
      <c r="B2836" s="34"/>
      <c r="C2836" s="34"/>
      <c r="D2836" s="34"/>
      <c r="E2836" s="19"/>
      <c r="F2836" s="19"/>
      <c r="G2836" s="19"/>
      <c r="H2836" s="19"/>
      <c r="I2836" s="19"/>
      <c r="J2836" s="19"/>
      <c r="K2836" s="19"/>
      <c r="L2836" s="19"/>
      <c r="M2836" s="19"/>
      <c r="N2836" s="19"/>
      <c r="O2836" s="19"/>
      <c r="P2836" s="19"/>
      <c r="Q2836" s="19"/>
      <c r="R2836" s="20"/>
      <c r="S2836" s="20"/>
      <c r="T2836" s="22"/>
      <c r="U2836" s="22"/>
      <c r="V2836" s="20"/>
      <c r="W2836" s="20"/>
      <c r="X2836" s="20"/>
      <c r="Y2836" s="19"/>
      <c r="Z2836" s="19"/>
      <c r="AA2836" s="19"/>
      <c r="AB2836" s="23"/>
      <c r="AC2836" s="23"/>
    </row>
    <row r="2837" spans="1:29" ht="15.75" customHeight="1" x14ac:dyDescent="0.2">
      <c r="A2837" s="34"/>
      <c r="B2837" s="34"/>
      <c r="C2837" s="34"/>
      <c r="D2837" s="34"/>
      <c r="E2837" s="19"/>
      <c r="F2837" s="19"/>
      <c r="G2837" s="19"/>
      <c r="H2837" s="19"/>
      <c r="I2837" s="19"/>
      <c r="J2837" s="19"/>
      <c r="K2837" s="19"/>
      <c r="L2837" s="19"/>
      <c r="M2837" s="19"/>
      <c r="N2837" s="19"/>
      <c r="O2837" s="19"/>
      <c r="P2837" s="19"/>
      <c r="Q2837" s="19"/>
      <c r="R2837" s="20"/>
      <c r="S2837" s="20"/>
      <c r="T2837" s="22"/>
      <c r="U2837" s="22"/>
      <c r="V2837" s="20"/>
      <c r="W2837" s="20"/>
      <c r="X2837" s="20"/>
      <c r="Y2837" s="19"/>
      <c r="Z2837" s="19"/>
      <c r="AA2837" s="19"/>
      <c r="AB2837" s="23"/>
      <c r="AC2837" s="23"/>
    </row>
    <row r="2838" spans="1:29" ht="15.75" customHeight="1" x14ac:dyDescent="0.2">
      <c r="A2838" s="34"/>
      <c r="B2838" s="34"/>
      <c r="C2838" s="34"/>
      <c r="D2838" s="34"/>
      <c r="E2838" s="19"/>
      <c r="F2838" s="19"/>
      <c r="G2838" s="19"/>
      <c r="H2838" s="19"/>
      <c r="I2838" s="19"/>
      <c r="J2838" s="19"/>
      <c r="K2838" s="19"/>
      <c r="L2838" s="19"/>
      <c r="M2838" s="19"/>
      <c r="N2838" s="19"/>
      <c r="O2838" s="19"/>
      <c r="P2838" s="19"/>
      <c r="Q2838" s="19"/>
      <c r="R2838" s="20"/>
      <c r="S2838" s="20"/>
      <c r="T2838" s="22"/>
      <c r="U2838" s="22"/>
      <c r="V2838" s="20"/>
      <c r="W2838" s="20"/>
      <c r="X2838" s="20"/>
      <c r="Y2838" s="19"/>
      <c r="Z2838" s="19"/>
      <c r="AA2838" s="19"/>
      <c r="AB2838" s="23"/>
      <c r="AC2838" s="23"/>
    </row>
    <row r="2839" spans="1:29" ht="15.75" customHeight="1" x14ac:dyDescent="0.2">
      <c r="A2839" s="34"/>
      <c r="B2839" s="34"/>
      <c r="C2839" s="34"/>
      <c r="D2839" s="34"/>
      <c r="E2839" s="19"/>
      <c r="F2839" s="19"/>
      <c r="G2839" s="19"/>
      <c r="H2839" s="19"/>
      <c r="I2839" s="19"/>
      <c r="J2839" s="19"/>
      <c r="K2839" s="19"/>
      <c r="L2839" s="19"/>
      <c r="M2839" s="19"/>
      <c r="N2839" s="19"/>
      <c r="O2839" s="19"/>
      <c r="P2839" s="19"/>
      <c r="Q2839" s="19"/>
      <c r="R2839" s="20"/>
      <c r="S2839" s="20"/>
      <c r="T2839" s="22"/>
      <c r="U2839" s="22"/>
      <c r="V2839" s="20"/>
      <c r="W2839" s="20"/>
      <c r="X2839" s="20"/>
      <c r="Y2839" s="19"/>
      <c r="Z2839" s="19"/>
      <c r="AA2839" s="19"/>
      <c r="AB2839" s="23"/>
      <c r="AC2839" s="23"/>
    </row>
    <row r="2840" spans="1:29" ht="15.75" customHeight="1" x14ac:dyDescent="0.2">
      <c r="A2840" s="34"/>
      <c r="B2840" s="34"/>
      <c r="C2840" s="34"/>
      <c r="D2840" s="34"/>
      <c r="E2840" s="19"/>
      <c r="F2840" s="19"/>
      <c r="G2840" s="19"/>
      <c r="H2840" s="19"/>
      <c r="I2840" s="19"/>
      <c r="J2840" s="19"/>
      <c r="K2840" s="19"/>
      <c r="L2840" s="19"/>
      <c r="M2840" s="19"/>
      <c r="N2840" s="19"/>
      <c r="O2840" s="19"/>
      <c r="P2840" s="19"/>
      <c r="Q2840" s="19"/>
      <c r="R2840" s="20"/>
      <c r="S2840" s="20"/>
      <c r="T2840" s="22"/>
      <c r="U2840" s="22"/>
      <c r="V2840" s="20"/>
      <c r="W2840" s="20"/>
      <c r="X2840" s="20"/>
      <c r="Y2840" s="19"/>
      <c r="Z2840" s="19"/>
      <c r="AA2840" s="19"/>
      <c r="AB2840" s="23"/>
      <c r="AC2840" s="23"/>
    </row>
    <row r="2841" spans="1:29" ht="15.75" customHeight="1" x14ac:dyDescent="0.2">
      <c r="A2841" s="34"/>
      <c r="B2841" s="34"/>
      <c r="C2841" s="34"/>
      <c r="D2841" s="34"/>
      <c r="E2841" s="19"/>
      <c r="F2841" s="19"/>
      <c r="G2841" s="19"/>
      <c r="H2841" s="19"/>
      <c r="I2841" s="19"/>
      <c r="J2841" s="19"/>
      <c r="K2841" s="19"/>
      <c r="L2841" s="19"/>
      <c r="M2841" s="19"/>
      <c r="N2841" s="19"/>
      <c r="O2841" s="19"/>
      <c r="P2841" s="19"/>
      <c r="Q2841" s="19"/>
      <c r="R2841" s="20"/>
      <c r="S2841" s="20"/>
      <c r="T2841" s="22"/>
      <c r="U2841" s="22"/>
      <c r="V2841" s="20"/>
      <c r="W2841" s="20"/>
      <c r="X2841" s="20"/>
      <c r="Y2841" s="19"/>
      <c r="Z2841" s="19"/>
      <c r="AA2841" s="19"/>
      <c r="AB2841" s="23"/>
      <c r="AC2841" s="23"/>
    </row>
    <row r="2842" spans="1:29" ht="15.75" customHeight="1" x14ac:dyDescent="0.2">
      <c r="A2842" s="34"/>
      <c r="B2842" s="34"/>
      <c r="C2842" s="34"/>
      <c r="D2842" s="34"/>
      <c r="E2842" s="19"/>
      <c r="F2842" s="19"/>
      <c r="G2842" s="19"/>
      <c r="H2842" s="19"/>
      <c r="I2842" s="19"/>
      <c r="J2842" s="19"/>
      <c r="K2842" s="19"/>
      <c r="L2842" s="19"/>
      <c r="M2842" s="19"/>
      <c r="N2842" s="19"/>
      <c r="O2842" s="19"/>
      <c r="P2842" s="19"/>
      <c r="Q2842" s="19"/>
      <c r="R2842" s="20"/>
      <c r="S2842" s="20"/>
      <c r="T2842" s="22"/>
      <c r="U2842" s="22"/>
      <c r="V2842" s="20"/>
      <c r="W2842" s="20"/>
      <c r="X2842" s="20"/>
      <c r="Y2842" s="19"/>
      <c r="Z2842" s="19"/>
      <c r="AA2842" s="19"/>
      <c r="AB2842" s="23"/>
      <c r="AC2842" s="23"/>
    </row>
    <row r="2843" spans="1:29" ht="15.75" customHeight="1" x14ac:dyDescent="0.2">
      <c r="A2843" s="34"/>
      <c r="B2843" s="34"/>
      <c r="C2843" s="34"/>
      <c r="D2843" s="34"/>
      <c r="E2843" s="19"/>
      <c r="F2843" s="19"/>
      <c r="G2843" s="19"/>
      <c r="H2843" s="19"/>
      <c r="I2843" s="19"/>
      <c r="J2843" s="19"/>
      <c r="K2843" s="19"/>
      <c r="L2843" s="19"/>
      <c r="M2843" s="19"/>
      <c r="N2843" s="19"/>
      <c r="O2843" s="19"/>
      <c r="P2843" s="19"/>
      <c r="Q2843" s="19"/>
      <c r="R2843" s="20"/>
      <c r="S2843" s="20"/>
      <c r="T2843" s="22"/>
      <c r="U2843" s="22"/>
      <c r="V2843" s="20"/>
      <c r="W2843" s="20"/>
      <c r="X2843" s="20"/>
      <c r="Y2843" s="19"/>
      <c r="Z2843" s="19"/>
      <c r="AA2843" s="19"/>
      <c r="AB2843" s="23"/>
      <c r="AC2843" s="23"/>
    </row>
    <row r="2844" spans="1:29" ht="15.75" customHeight="1" x14ac:dyDescent="0.2">
      <c r="A2844" s="34"/>
      <c r="B2844" s="34"/>
      <c r="C2844" s="34"/>
      <c r="D2844" s="34"/>
      <c r="E2844" s="19"/>
      <c r="F2844" s="19"/>
      <c r="G2844" s="19"/>
      <c r="H2844" s="19"/>
      <c r="I2844" s="19"/>
      <c r="J2844" s="19"/>
      <c r="K2844" s="19"/>
      <c r="L2844" s="19"/>
      <c r="M2844" s="19"/>
      <c r="N2844" s="19"/>
      <c r="O2844" s="19"/>
      <c r="P2844" s="19"/>
      <c r="Q2844" s="19"/>
      <c r="R2844" s="20"/>
      <c r="S2844" s="20"/>
      <c r="T2844" s="22"/>
      <c r="U2844" s="22"/>
      <c r="V2844" s="20"/>
      <c r="W2844" s="20"/>
      <c r="X2844" s="20"/>
      <c r="Y2844" s="19"/>
      <c r="Z2844" s="19"/>
      <c r="AA2844" s="19"/>
      <c r="AB2844" s="23"/>
      <c r="AC2844" s="23"/>
    </row>
    <row r="2845" spans="1:29" ht="15.75" customHeight="1" x14ac:dyDescent="0.2">
      <c r="A2845" s="34"/>
      <c r="B2845" s="34"/>
      <c r="C2845" s="34"/>
      <c r="D2845" s="34"/>
      <c r="E2845" s="19"/>
      <c r="F2845" s="19"/>
      <c r="G2845" s="19"/>
      <c r="H2845" s="19"/>
      <c r="I2845" s="19"/>
      <c r="J2845" s="19"/>
      <c r="K2845" s="19"/>
      <c r="L2845" s="19"/>
      <c r="M2845" s="19"/>
      <c r="N2845" s="19"/>
      <c r="O2845" s="19"/>
      <c r="P2845" s="19"/>
      <c r="Q2845" s="19"/>
      <c r="R2845" s="20"/>
      <c r="S2845" s="20"/>
      <c r="T2845" s="22"/>
      <c r="U2845" s="22"/>
      <c r="V2845" s="20"/>
      <c r="W2845" s="20"/>
      <c r="X2845" s="20"/>
      <c r="Y2845" s="19"/>
      <c r="Z2845" s="19"/>
      <c r="AA2845" s="19"/>
      <c r="AB2845" s="23"/>
      <c r="AC2845" s="23"/>
    </row>
    <row r="2846" spans="1:29" ht="15.75" customHeight="1" x14ac:dyDescent="0.2">
      <c r="A2846" s="34"/>
      <c r="B2846" s="34"/>
      <c r="C2846" s="34"/>
      <c r="D2846" s="34"/>
      <c r="E2846" s="19"/>
      <c r="F2846" s="19"/>
      <c r="G2846" s="19"/>
      <c r="H2846" s="19"/>
      <c r="I2846" s="19"/>
      <c r="J2846" s="19"/>
      <c r="K2846" s="19"/>
      <c r="L2846" s="19"/>
      <c r="M2846" s="19"/>
      <c r="N2846" s="19"/>
      <c r="O2846" s="19"/>
      <c r="P2846" s="19"/>
      <c r="Q2846" s="19"/>
      <c r="R2846" s="20"/>
      <c r="S2846" s="20"/>
      <c r="T2846" s="22"/>
      <c r="U2846" s="22"/>
      <c r="V2846" s="20"/>
      <c r="W2846" s="20"/>
      <c r="X2846" s="20"/>
      <c r="Y2846" s="19"/>
      <c r="Z2846" s="19"/>
      <c r="AA2846" s="19"/>
      <c r="AB2846" s="23"/>
      <c r="AC2846" s="23"/>
    </row>
    <row r="2847" spans="1:29" ht="15.75" customHeight="1" x14ac:dyDescent="0.2">
      <c r="A2847" s="34"/>
      <c r="B2847" s="34"/>
      <c r="C2847" s="34"/>
      <c r="D2847" s="34"/>
      <c r="E2847" s="19"/>
      <c r="F2847" s="19"/>
      <c r="G2847" s="19"/>
      <c r="H2847" s="19"/>
      <c r="I2847" s="19"/>
      <c r="J2847" s="19"/>
      <c r="K2847" s="19"/>
      <c r="L2847" s="19"/>
      <c r="M2847" s="19"/>
      <c r="N2847" s="19"/>
      <c r="O2847" s="19"/>
      <c r="P2847" s="19"/>
      <c r="Q2847" s="19"/>
      <c r="R2847" s="20"/>
      <c r="S2847" s="20"/>
      <c r="T2847" s="22"/>
      <c r="U2847" s="22"/>
      <c r="V2847" s="20"/>
      <c r="W2847" s="20"/>
      <c r="X2847" s="20"/>
      <c r="Y2847" s="19"/>
      <c r="Z2847" s="19"/>
      <c r="AA2847" s="19"/>
      <c r="AB2847" s="23"/>
      <c r="AC2847" s="23"/>
    </row>
    <row r="2848" spans="1:29" ht="15.75" customHeight="1" x14ac:dyDescent="0.2">
      <c r="A2848" s="34"/>
      <c r="B2848" s="34"/>
      <c r="C2848" s="34"/>
      <c r="D2848" s="34"/>
      <c r="E2848" s="19"/>
      <c r="F2848" s="19"/>
      <c r="G2848" s="19"/>
      <c r="H2848" s="19"/>
      <c r="I2848" s="19"/>
      <c r="J2848" s="19"/>
      <c r="K2848" s="19"/>
      <c r="L2848" s="19"/>
      <c r="M2848" s="19"/>
      <c r="N2848" s="19"/>
      <c r="O2848" s="19"/>
      <c r="P2848" s="19"/>
      <c r="Q2848" s="19"/>
      <c r="R2848" s="20"/>
      <c r="S2848" s="20"/>
      <c r="T2848" s="22"/>
      <c r="U2848" s="22"/>
      <c r="V2848" s="20"/>
      <c r="W2848" s="20"/>
      <c r="X2848" s="20"/>
      <c r="Y2848" s="19"/>
      <c r="Z2848" s="19"/>
      <c r="AA2848" s="19"/>
      <c r="AB2848" s="23"/>
      <c r="AC2848" s="23"/>
    </row>
    <row r="2849" spans="1:29" ht="15.75" customHeight="1" x14ac:dyDescent="0.2">
      <c r="A2849" s="34"/>
      <c r="B2849" s="34"/>
      <c r="C2849" s="34"/>
      <c r="D2849" s="34"/>
      <c r="E2849" s="19"/>
      <c r="F2849" s="19"/>
      <c r="G2849" s="19"/>
      <c r="H2849" s="19"/>
      <c r="I2849" s="19"/>
      <c r="J2849" s="19"/>
      <c r="K2849" s="19"/>
      <c r="L2849" s="19"/>
      <c r="M2849" s="19"/>
      <c r="N2849" s="19"/>
      <c r="O2849" s="19"/>
      <c r="P2849" s="19"/>
      <c r="Q2849" s="19"/>
      <c r="R2849" s="20"/>
      <c r="S2849" s="20"/>
      <c r="T2849" s="22"/>
      <c r="U2849" s="22"/>
      <c r="V2849" s="20"/>
      <c r="W2849" s="20"/>
      <c r="X2849" s="20"/>
      <c r="Y2849" s="19"/>
      <c r="Z2849" s="19"/>
      <c r="AA2849" s="19"/>
      <c r="AB2849" s="23"/>
      <c r="AC2849" s="23"/>
    </row>
    <row r="2850" spans="1:29" ht="15.75" customHeight="1" x14ac:dyDescent="0.2">
      <c r="A2850" s="34"/>
      <c r="B2850" s="34"/>
      <c r="C2850" s="34"/>
      <c r="D2850" s="34"/>
      <c r="E2850" s="19"/>
      <c r="F2850" s="19"/>
      <c r="G2850" s="19"/>
      <c r="H2850" s="19"/>
      <c r="I2850" s="19"/>
      <c r="J2850" s="19"/>
      <c r="K2850" s="19"/>
      <c r="L2850" s="19"/>
      <c r="M2850" s="19"/>
      <c r="N2850" s="19"/>
      <c r="O2850" s="19"/>
      <c r="P2850" s="19"/>
      <c r="Q2850" s="19"/>
      <c r="R2850" s="20"/>
      <c r="S2850" s="20"/>
      <c r="T2850" s="22"/>
      <c r="U2850" s="22"/>
      <c r="V2850" s="20"/>
      <c r="W2850" s="20"/>
      <c r="X2850" s="20"/>
      <c r="Y2850" s="19"/>
      <c r="Z2850" s="19"/>
      <c r="AA2850" s="19"/>
      <c r="AB2850" s="23"/>
      <c r="AC2850" s="23"/>
    </row>
    <row r="2851" spans="1:29" ht="15.75" customHeight="1" x14ac:dyDescent="0.2">
      <c r="A2851" s="34"/>
      <c r="B2851" s="34"/>
      <c r="C2851" s="34"/>
      <c r="D2851" s="34"/>
      <c r="E2851" s="19"/>
      <c r="F2851" s="19"/>
      <c r="G2851" s="19"/>
      <c r="H2851" s="19"/>
      <c r="I2851" s="19"/>
      <c r="J2851" s="19"/>
      <c r="K2851" s="19"/>
      <c r="L2851" s="19"/>
      <c r="M2851" s="19"/>
      <c r="N2851" s="19"/>
      <c r="O2851" s="19"/>
      <c r="P2851" s="19"/>
      <c r="Q2851" s="19"/>
      <c r="R2851" s="20"/>
      <c r="S2851" s="20"/>
      <c r="T2851" s="22"/>
      <c r="U2851" s="22"/>
      <c r="V2851" s="20"/>
      <c r="W2851" s="20"/>
      <c r="X2851" s="20"/>
      <c r="Y2851" s="19"/>
      <c r="Z2851" s="19"/>
      <c r="AA2851" s="19"/>
      <c r="AB2851" s="23"/>
      <c r="AC2851" s="23"/>
    </row>
    <row r="2852" spans="1:29" ht="15.75" customHeight="1" x14ac:dyDescent="0.2">
      <c r="A2852" s="34"/>
      <c r="B2852" s="34"/>
      <c r="C2852" s="34"/>
      <c r="D2852" s="34"/>
      <c r="E2852" s="19"/>
      <c r="F2852" s="19"/>
      <c r="G2852" s="19"/>
      <c r="H2852" s="19"/>
      <c r="I2852" s="19"/>
      <c r="J2852" s="19"/>
      <c r="K2852" s="19"/>
      <c r="L2852" s="19"/>
      <c r="M2852" s="19"/>
      <c r="N2852" s="19"/>
      <c r="O2852" s="19"/>
      <c r="P2852" s="19"/>
      <c r="Q2852" s="19"/>
      <c r="R2852" s="20"/>
      <c r="S2852" s="20"/>
      <c r="T2852" s="22"/>
      <c r="U2852" s="22"/>
      <c r="V2852" s="20"/>
      <c r="W2852" s="20"/>
      <c r="X2852" s="20"/>
      <c r="Y2852" s="19"/>
      <c r="Z2852" s="19"/>
      <c r="AA2852" s="19"/>
      <c r="AB2852" s="23"/>
      <c r="AC2852" s="23"/>
    </row>
    <row r="2853" spans="1:29" ht="15.75" customHeight="1" x14ac:dyDescent="0.2">
      <c r="A2853" s="34"/>
      <c r="B2853" s="34"/>
      <c r="C2853" s="34"/>
      <c r="D2853" s="34"/>
      <c r="E2853" s="19"/>
      <c r="F2853" s="19"/>
      <c r="G2853" s="19"/>
      <c r="H2853" s="19"/>
      <c r="I2853" s="19"/>
      <c r="J2853" s="19"/>
      <c r="K2853" s="19"/>
      <c r="L2853" s="19"/>
      <c r="M2853" s="19"/>
      <c r="N2853" s="19"/>
      <c r="O2853" s="19"/>
      <c r="P2853" s="19"/>
      <c r="Q2853" s="19"/>
      <c r="R2853" s="20"/>
      <c r="S2853" s="20"/>
      <c r="T2853" s="22"/>
      <c r="U2853" s="22"/>
      <c r="V2853" s="20"/>
      <c r="W2853" s="20"/>
      <c r="X2853" s="20"/>
      <c r="Y2853" s="19"/>
      <c r="Z2853" s="19"/>
      <c r="AA2853" s="19"/>
      <c r="AB2853" s="23"/>
      <c r="AC2853" s="23"/>
    </row>
    <row r="2854" spans="1:29" ht="15.75" customHeight="1" x14ac:dyDescent="0.2">
      <c r="A2854" s="34"/>
      <c r="B2854" s="34"/>
      <c r="C2854" s="34"/>
      <c r="D2854" s="34"/>
      <c r="E2854" s="19"/>
      <c r="F2854" s="19"/>
      <c r="G2854" s="19"/>
      <c r="H2854" s="19"/>
      <c r="I2854" s="19"/>
      <c r="J2854" s="19"/>
      <c r="K2854" s="19"/>
      <c r="L2854" s="19"/>
      <c r="M2854" s="19"/>
      <c r="N2854" s="19"/>
      <c r="O2854" s="19"/>
      <c r="P2854" s="19"/>
      <c r="Q2854" s="19"/>
      <c r="R2854" s="20"/>
      <c r="S2854" s="20"/>
      <c r="T2854" s="22"/>
      <c r="U2854" s="22"/>
      <c r="V2854" s="20"/>
      <c r="W2854" s="20"/>
      <c r="X2854" s="20"/>
      <c r="Y2854" s="19"/>
      <c r="Z2854" s="19"/>
      <c r="AA2854" s="19"/>
      <c r="AB2854" s="23"/>
      <c r="AC2854" s="23"/>
    </row>
    <row r="2855" spans="1:29" ht="15.75" customHeight="1" x14ac:dyDescent="0.2">
      <c r="A2855" s="34"/>
      <c r="B2855" s="34"/>
      <c r="C2855" s="34"/>
      <c r="D2855" s="34"/>
      <c r="E2855" s="19"/>
      <c r="F2855" s="19"/>
      <c r="G2855" s="19"/>
      <c r="H2855" s="19"/>
      <c r="I2855" s="19"/>
      <c r="J2855" s="19"/>
      <c r="K2855" s="19"/>
      <c r="L2855" s="19"/>
      <c r="M2855" s="19"/>
      <c r="N2855" s="19"/>
      <c r="O2855" s="19"/>
      <c r="P2855" s="19"/>
      <c r="Q2855" s="19"/>
      <c r="R2855" s="20"/>
      <c r="S2855" s="20"/>
      <c r="T2855" s="22"/>
      <c r="U2855" s="22"/>
      <c r="V2855" s="20"/>
      <c r="W2855" s="20"/>
      <c r="X2855" s="20"/>
      <c r="Y2855" s="19"/>
      <c r="Z2855" s="19"/>
      <c r="AA2855" s="19"/>
      <c r="AB2855" s="23"/>
      <c r="AC2855" s="23"/>
    </row>
    <row r="2856" spans="1:29" ht="15.75" customHeight="1" x14ac:dyDescent="0.2">
      <c r="A2856" s="34"/>
      <c r="B2856" s="34"/>
      <c r="C2856" s="34"/>
      <c r="D2856" s="34"/>
      <c r="E2856" s="19"/>
      <c r="F2856" s="19"/>
      <c r="G2856" s="19"/>
      <c r="H2856" s="19"/>
      <c r="I2856" s="19"/>
      <c r="J2856" s="19"/>
      <c r="K2856" s="19"/>
      <c r="L2856" s="19"/>
      <c r="M2856" s="19"/>
      <c r="N2856" s="19"/>
      <c r="O2856" s="19"/>
      <c r="P2856" s="19"/>
      <c r="Q2856" s="19"/>
      <c r="R2856" s="20"/>
      <c r="S2856" s="20"/>
      <c r="T2856" s="22"/>
      <c r="U2856" s="22"/>
      <c r="V2856" s="20"/>
      <c r="W2856" s="20"/>
      <c r="X2856" s="20"/>
      <c r="Y2856" s="19"/>
      <c r="Z2856" s="19"/>
      <c r="AA2856" s="19"/>
      <c r="AB2856" s="23"/>
      <c r="AC2856" s="23"/>
    </row>
    <row r="2857" spans="1:29" ht="15.75" customHeight="1" x14ac:dyDescent="0.2">
      <c r="A2857" s="34"/>
      <c r="B2857" s="34"/>
      <c r="C2857" s="34"/>
      <c r="D2857" s="34"/>
      <c r="E2857" s="19"/>
      <c r="F2857" s="19"/>
      <c r="G2857" s="19"/>
      <c r="H2857" s="19"/>
      <c r="I2857" s="19"/>
      <c r="J2857" s="19"/>
      <c r="K2857" s="19"/>
      <c r="L2857" s="19"/>
      <c r="M2857" s="19"/>
      <c r="N2857" s="19"/>
      <c r="O2857" s="19"/>
      <c r="P2857" s="19"/>
      <c r="Q2857" s="19"/>
      <c r="R2857" s="20"/>
      <c r="S2857" s="20"/>
      <c r="T2857" s="22"/>
      <c r="U2857" s="22"/>
      <c r="V2857" s="20"/>
      <c r="W2857" s="20"/>
      <c r="X2857" s="20"/>
      <c r="Y2857" s="19"/>
      <c r="Z2857" s="19"/>
      <c r="AA2857" s="19"/>
      <c r="AB2857" s="23"/>
      <c r="AC2857" s="23"/>
    </row>
    <row r="2858" spans="1:29" ht="15.75" customHeight="1" x14ac:dyDescent="0.2">
      <c r="A2858" s="34"/>
      <c r="B2858" s="34"/>
      <c r="C2858" s="34"/>
      <c r="D2858" s="34"/>
      <c r="E2858" s="19"/>
      <c r="F2858" s="19"/>
      <c r="G2858" s="19"/>
      <c r="H2858" s="19"/>
      <c r="I2858" s="19"/>
      <c r="J2858" s="19"/>
      <c r="K2858" s="19"/>
      <c r="L2858" s="19"/>
      <c r="M2858" s="19"/>
      <c r="N2858" s="19"/>
      <c r="O2858" s="19"/>
      <c r="P2858" s="19"/>
      <c r="Q2858" s="19"/>
      <c r="R2858" s="20"/>
      <c r="S2858" s="20"/>
      <c r="T2858" s="22"/>
      <c r="U2858" s="22"/>
      <c r="V2858" s="20"/>
      <c r="W2858" s="20"/>
      <c r="X2858" s="20"/>
      <c r="Y2858" s="19"/>
      <c r="Z2858" s="19"/>
      <c r="AA2858" s="19"/>
      <c r="AB2858" s="23"/>
      <c r="AC2858" s="23"/>
    </row>
    <row r="2859" spans="1:29" ht="15.75" customHeight="1" x14ac:dyDescent="0.2">
      <c r="A2859" s="34"/>
      <c r="B2859" s="34"/>
      <c r="C2859" s="34"/>
      <c r="D2859" s="34"/>
      <c r="E2859" s="19"/>
      <c r="F2859" s="19"/>
      <c r="G2859" s="19"/>
      <c r="H2859" s="19"/>
      <c r="I2859" s="19"/>
      <c r="J2859" s="19"/>
      <c r="K2859" s="19"/>
      <c r="L2859" s="19"/>
      <c r="M2859" s="19"/>
      <c r="N2859" s="19"/>
      <c r="O2859" s="19"/>
      <c r="P2859" s="19"/>
      <c r="Q2859" s="19"/>
      <c r="R2859" s="20"/>
      <c r="S2859" s="20"/>
      <c r="T2859" s="22"/>
      <c r="U2859" s="22"/>
      <c r="V2859" s="20"/>
      <c r="W2859" s="20"/>
      <c r="X2859" s="20"/>
      <c r="Y2859" s="19"/>
      <c r="Z2859" s="19"/>
      <c r="AA2859" s="19"/>
      <c r="AB2859" s="23"/>
      <c r="AC2859" s="23"/>
    </row>
    <row r="2860" spans="1:29" ht="15.75" customHeight="1" x14ac:dyDescent="0.2">
      <c r="A2860" s="34"/>
      <c r="B2860" s="34"/>
      <c r="C2860" s="34"/>
      <c r="D2860" s="34"/>
      <c r="E2860" s="19"/>
      <c r="F2860" s="19"/>
      <c r="G2860" s="19"/>
      <c r="H2860" s="19"/>
      <c r="I2860" s="19"/>
      <c r="J2860" s="19"/>
      <c r="K2860" s="19"/>
      <c r="L2860" s="19"/>
      <c r="M2860" s="19"/>
      <c r="N2860" s="19"/>
      <c r="O2860" s="19"/>
      <c r="P2860" s="19"/>
      <c r="Q2860" s="19"/>
      <c r="R2860" s="20"/>
      <c r="S2860" s="20"/>
      <c r="T2860" s="22"/>
      <c r="U2860" s="22"/>
      <c r="V2860" s="20"/>
      <c r="W2860" s="20"/>
      <c r="X2860" s="20"/>
      <c r="Y2860" s="19"/>
      <c r="Z2860" s="19"/>
      <c r="AA2860" s="19"/>
      <c r="AB2860" s="23"/>
      <c r="AC2860" s="23"/>
    </row>
    <row r="2861" spans="1:29" ht="15.75" customHeight="1" x14ac:dyDescent="0.2">
      <c r="A2861" s="34"/>
      <c r="B2861" s="34"/>
      <c r="C2861" s="34"/>
      <c r="D2861" s="34"/>
      <c r="E2861" s="19"/>
      <c r="F2861" s="19"/>
      <c r="G2861" s="19"/>
      <c r="H2861" s="19"/>
      <c r="I2861" s="19"/>
      <c r="J2861" s="19"/>
      <c r="K2861" s="19"/>
      <c r="L2861" s="19"/>
      <c r="M2861" s="19"/>
      <c r="N2861" s="19"/>
      <c r="O2861" s="19"/>
      <c r="P2861" s="19"/>
      <c r="Q2861" s="19"/>
      <c r="R2861" s="20"/>
      <c r="S2861" s="20"/>
      <c r="T2861" s="22"/>
      <c r="U2861" s="22"/>
      <c r="V2861" s="20"/>
      <c r="W2861" s="20"/>
      <c r="X2861" s="20"/>
      <c r="Y2861" s="19"/>
      <c r="Z2861" s="19"/>
      <c r="AA2861" s="19"/>
      <c r="AB2861" s="23"/>
      <c r="AC2861" s="23"/>
    </row>
    <row r="2862" spans="1:29" ht="15.75" customHeight="1" x14ac:dyDescent="0.2">
      <c r="A2862" s="34"/>
      <c r="B2862" s="34"/>
      <c r="C2862" s="34"/>
      <c r="D2862" s="34"/>
      <c r="E2862" s="19"/>
      <c r="F2862" s="19"/>
      <c r="G2862" s="19"/>
      <c r="H2862" s="19"/>
      <c r="I2862" s="19"/>
      <c r="J2862" s="19"/>
      <c r="K2862" s="19"/>
      <c r="L2862" s="19"/>
      <c r="M2862" s="19"/>
      <c r="N2862" s="19"/>
      <c r="O2862" s="19"/>
      <c r="P2862" s="19"/>
      <c r="Q2862" s="19"/>
      <c r="R2862" s="20"/>
      <c r="S2862" s="20"/>
      <c r="T2862" s="22"/>
      <c r="U2862" s="22"/>
      <c r="V2862" s="20"/>
      <c r="W2862" s="20"/>
      <c r="X2862" s="20"/>
      <c r="Y2862" s="19"/>
      <c r="Z2862" s="19"/>
      <c r="AA2862" s="19"/>
      <c r="AB2862" s="23"/>
      <c r="AC2862" s="23"/>
    </row>
    <row r="2863" spans="1:29" ht="15.75" customHeight="1" x14ac:dyDescent="0.2">
      <c r="A2863" s="34"/>
      <c r="B2863" s="34"/>
      <c r="C2863" s="34"/>
      <c r="D2863" s="34"/>
      <c r="E2863" s="19"/>
      <c r="F2863" s="19"/>
      <c r="G2863" s="19"/>
      <c r="H2863" s="19"/>
      <c r="I2863" s="19"/>
      <c r="J2863" s="19"/>
      <c r="K2863" s="19"/>
      <c r="L2863" s="19"/>
      <c r="M2863" s="19"/>
      <c r="N2863" s="19"/>
      <c r="O2863" s="19"/>
      <c r="P2863" s="19"/>
      <c r="Q2863" s="19"/>
      <c r="R2863" s="20"/>
      <c r="S2863" s="20"/>
      <c r="T2863" s="22"/>
      <c r="U2863" s="22"/>
      <c r="V2863" s="20"/>
      <c r="W2863" s="20"/>
      <c r="X2863" s="20"/>
      <c r="Y2863" s="19"/>
      <c r="Z2863" s="19"/>
      <c r="AA2863" s="19"/>
      <c r="AB2863" s="23"/>
      <c r="AC2863" s="23"/>
    </row>
    <row r="2864" spans="1:29" ht="15.75" customHeight="1" x14ac:dyDescent="0.2">
      <c r="A2864" s="34"/>
      <c r="B2864" s="34"/>
      <c r="C2864" s="34"/>
      <c r="D2864" s="34"/>
      <c r="E2864" s="19"/>
      <c r="F2864" s="19"/>
      <c r="G2864" s="19"/>
      <c r="H2864" s="19"/>
      <c r="I2864" s="19"/>
      <c r="J2864" s="19"/>
      <c r="K2864" s="19"/>
      <c r="L2864" s="19"/>
      <c r="M2864" s="19"/>
      <c r="N2864" s="19"/>
      <c r="O2864" s="19"/>
      <c r="P2864" s="19"/>
      <c r="Q2864" s="19"/>
      <c r="R2864" s="20"/>
      <c r="S2864" s="20"/>
      <c r="T2864" s="22"/>
      <c r="U2864" s="22"/>
      <c r="V2864" s="20"/>
      <c r="W2864" s="20"/>
      <c r="X2864" s="20"/>
      <c r="Y2864" s="19"/>
      <c r="Z2864" s="19"/>
      <c r="AA2864" s="19"/>
      <c r="AB2864" s="23"/>
      <c r="AC2864" s="23"/>
    </row>
    <row r="2865" spans="1:29" ht="15.75" customHeight="1" x14ac:dyDescent="0.2">
      <c r="A2865" s="34"/>
      <c r="B2865" s="34"/>
      <c r="C2865" s="34"/>
      <c r="D2865" s="34"/>
      <c r="E2865" s="19"/>
      <c r="F2865" s="19"/>
      <c r="G2865" s="19"/>
      <c r="H2865" s="19"/>
      <c r="I2865" s="19"/>
      <c r="J2865" s="19"/>
      <c r="K2865" s="19"/>
      <c r="L2865" s="19"/>
      <c r="M2865" s="19"/>
      <c r="N2865" s="19"/>
      <c r="O2865" s="19"/>
      <c r="P2865" s="19"/>
      <c r="Q2865" s="19"/>
      <c r="R2865" s="20"/>
      <c r="S2865" s="20"/>
      <c r="T2865" s="22"/>
      <c r="U2865" s="22"/>
      <c r="V2865" s="20"/>
      <c r="W2865" s="20"/>
      <c r="X2865" s="20"/>
      <c r="Y2865" s="19"/>
      <c r="Z2865" s="19"/>
      <c r="AA2865" s="19"/>
      <c r="AB2865" s="23"/>
      <c r="AC2865" s="23"/>
    </row>
    <row r="2866" spans="1:29" ht="15.75" customHeight="1" x14ac:dyDescent="0.2">
      <c r="A2866" s="34"/>
      <c r="B2866" s="34"/>
      <c r="C2866" s="34"/>
      <c r="D2866" s="34"/>
      <c r="E2866" s="19"/>
      <c r="F2866" s="19"/>
      <c r="G2866" s="19"/>
      <c r="H2866" s="19"/>
      <c r="I2866" s="19"/>
      <c r="J2866" s="19"/>
      <c r="K2866" s="19"/>
      <c r="L2866" s="19"/>
      <c r="M2866" s="19"/>
      <c r="N2866" s="19"/>
      <c r="O2866" s="19"/>
      <c r="P2866" s="19"/>
      <c r="Q2866" s="19"/>
      <c r="R2866" s="20"/>
      <c r="S2866" s="20"/>
      <c r="T2866" s="22"/>
      <c r="U2866" s="22"/>
      <c r="V2866" s="20"/>
      <c r="W2866" s="20"/>
      <c r="X2866" s="20"/>
      <c r="Y2866" s="19"/>
      <c r="Z2866" s="19"/>
      <c r="AA2866" s="19"/>
      <c r="AB2866" s="23"/>
      <c r="AC2866" s="23"/>
    </row>
    <row r="2867" spans="1:29" ht="15.75" customHeight="1" x14ac:dyDescent="0.2">
      <c r="A2867" s="34"/>
      <c r="B2867" s="34"/>
      <c r="C2867" s="34"/>
      <c r="D2867" s="34"/>
      <c r="E2867" s="19"/>
      <c r="F2867" s="19"/>
      <c r="G2867" s="19"/>
      <c r="H2867" s="19"/>
      <c r="I2867" s="19"/>
      <c r="J2867" s="19"/>
      <c r="K2867" s="19"/>
      <c r="L2867" s="19"/>
      <c r="M2867" s="19"/>
      <c r="N2867" s="19"/>
      <c r="O2867" s="19"/>
      <c r="P2867" s="19"/>
      <c r="Q2867" s="19"/>
      <c r="R2867" s="20"/>
      <c r="S2867" s="20"/>
      <c r="T2867" s="22"/>
      <c r="U2867" s="22"/>
      <c r="V2867" s="20"/>
      <c r="W2867" s="20"/>
      <c r="X2867" s="20"/>
      <c r="Y2867" s="19"/>
      <c r="Z2867" s="19"/>
      <c r="AA2867" s="19"/>
      <c r="AB2867" s="23"/>
      <c r="AC2867" s="23"/>
    </row>
    <row r="2868" spans="1:29" ht="15.75" customHeight="1" x14ac:dyDescent="0.2">
      <c r="A2868" s="34"/>
      <c r="B2868" s="34"/>
      <c r="C2868" s="34"/>
      <c r="D2868" s="34"/>
      <c r="E2868" s="19"/>
      <c r="F2868" s="19"/>
      <c r="G2868" s="19"/>
      <c r="H2868" s="19"/>
      <c r="I2868" s="19"/>
      <c r="J2868" s="19"/>
      <c r="K2868" s="19"/>
      <c r="L2868" s="19"/>
      <c r="M2868" s="19"/>
      <c r="N2868" s="19"/>
      <c r="O2868" s="19"/>
      <c r="P2868" s="19"/>
      <c r="Q2868" s="19"/>
      <c r="R2868" s="20"/>
      <c r="S2868" s="20"/>
      <c r="T2868" s="22"/>
      <c r="U2868" s="22"/>
      <c r="V2868" s="20"/>
      <c r="W2868" s="20"/>
      <c r="X2868" s="20"/>
      <c r="Y2868" s="19"/>
      <c r="Z2868" s="19"/>
      <c r="AA2868" s="19"/>
      <c r="AB2868" s="23"/>
      <c r="AC2868" s="23"/>
    </row>
    <row r="2869" spans="1:29" ht="15.75" customHeight="1" x14ac:dyDescent="0.2">
      <c r="A2869" s="34"/>
      <c r="B2869" s="34"/>
      <c r="C2869" s="34"/>
      <c r="D2869" s="34"/>
      <c r="E2869" s="19"/>
      <c r="F2869" s="19"/>
      <c r="G2869" s="19"/>
      <c r="H2869" s="19"/>
      <c r="I2869" s="19"/>
      <c r="J2869" s="19"/>
      <c r="K2869" s="19"/>
      <c r="L2869" s="19"/>
      <c r="M2869" s="19"/>
      <c r="N2869" s="19"/>
      <c r="O2869" s="19"/>
      <c r="P2869" s="19"/>
      <c r="Q2869" s="19"/>
      <c r="R2869" s="20"/>
      <c r="S2869" s="20"/>
      <c r="T2869" s="22"/>
      <c r="U2869" s="22"/>
      <c r="V2869" s="20"/>
      <c r="W2869" s="20"/>
      <c r="X2869" s="20"/>
      <c r="Y2869" s="19"/>
      <c r="Z2869" s="19"/>
      <c r="AA2869" s="19"/>
      <c r="AB2869" s="23"/>
      <c r="AC2869" s="23"/>
    </row>
    <row r="2870" spans="1:29" ht="15.75" customHeight="1" x14ac:dyDescent="0.2">
      <c r="A2870" s="34"/>
      <c r="B2870" s="34"/>
      <c r="C2870" s="34"/>
      <c r="D2870" s="34"/>
      <c r="E2870" s="19"/>
      <c r="F2870" s="19"/>
      <c r="G2870" s="19"/>
      <c r="H2870" s="19"/>
      <c r="I2870" s="19"/>
      <c r="J2870" s="19"/>
      <c r="K2870" s="19"/>
      <c r="L2870" s="19"/>
      <c r="M2870" s="19"/>
      <c r="N2870" s="19"/>
      <c r="O2870" s="19"/>
      <c r="P2870" s="19"/>
      <c r="Q2870" s="19"/>
      <c r="R2870" s="20"/>
      <c r="S2870" s="20"/>
      <c r="T2870" s="22"/>
      <c r="U2870" s="22"/>
      <c r="V2870" s="20"/>
      <c r="W2870" s="20"/>
      <c r="X2870" s="20"/>
      <c r="Y2870" s="19"/>
      <c r="Z2870" s="19"/>
      <c r="AA2870" s="19"/>
      <c r="AB2870" s="23"/>
      <c r="AC2870" s="23"/>
    </row>
    <row r="2871" spans="1:29" ht="15.75" customHeight="1" x14ac:dyDescent="0.2">
      <c r="A2871" s="34"/>
      <c r="B2871" s="34"/>
      <c r="C2871" s="34"/>
      <c r="D2871" s="34"/>
      <c r="E2871" s="19"/>
      <c r="F2871" s="19"/>
      <c r="G2871" s="19"/>
      <c r="H2871" s="19"/>
      <c r="I2871" s="19"/>
      <c r="J2871" s="19"/>
      <c r="K2871" s="19"/>
      <c r="L2871" s="19"/>
      <c r="M2871" s="19"/>
      <c r="N2871" s="19"/>
      <c r="O2871" s="19"/>
      <c r="P2871" s="19"/>
      <c r="Q2871" s="19"/>
      <c r="R2871" s="20"/>
      <c r="S2871" s="20"/>
      <c r="T2871" s="22"/>
      <c r="U2871" s="22"/>
      <c r="V2871" s="20"/>
      <c r="W2871" s="20"/>
      <c r="X2871" s="20"/>
      <c r="Y2871" s="19"/>
      <c r="Z2871" s="19"/>
      <c r="AA2871" s="19"/>
      <c r="AB2871" s="23"/>
      <c r="AC2871" s="23"/>
    </row>
    <row r="2872" spans="1:29" ht="15.75" customHeight="1" x14ac:dyDescent="0.2">
      <c r="A2872" s="34"/>
      <c r="B2872" s="34"/>
      <c r="C2872" s="34"/>
      <c r="D2872" s="34"/>
      <c r="E2872" s="19"/>
      <c r="F2872" s="19"/>
      <c r="G2872" s="19"/>
      <c r="H2872" s="19"/>
      <c r="I2872" s="19"/>
      <c r="J2872" s="19"/>
      <c r="K2872" s="19"/>
      <c r="L2872" s="19"/>
      <c r="M2872" s="19"/>
      <c r="N2872" s="19"/>
      <c r="O2872" s="19"/>
      <c r="P2872" s="19"/>
      <c r="Q2872" s="19"/>
      <c r="R2872" s="20"/>
      <c r="S2872" s="20"/>
      <c r="T2872" s="22"/>
      <c r="U2872" s="22"/>
      <c r="V2872" s="20"/>
      <c r="W2872" s="20"/>
      <c r="X2872" s="20"/>
      <c r="Y2872" s="19"/>
      <c r="Z2872" s="19"/>
      <c r="AA2872" s="19"/>
      <c r="AB2872" s="23"/>
      <c r="AC2872" s="23"/>
    </row>
    <row r="2873" spans="1:29" ht="15.75" customHeight="1" x14ac:dyDescent="0.2">
      <c r="A2873" s="34"/>
      <c r="B2873" s="34"/>
      <c r="C2873" s="34"/>
      <c r="D2873" s="34"/>
      <c r="E2873" s="19"/>
      <c r="F2873" s="19"/>
      <c r="G2873" s="19"/>
      <c r="H2873" s="19"/>
      <c r="I2873" s="19"/>
      <c r="J2873" s="19"/>
      <c r="K2873" s="19"/>
      <c r="L2873" s="19"/>
      <c r="M2873" s="19"/>
      <c r="N2873" s="19"/>
      <c r="O2873" s="19"/>
      <c r="P2873" s="19"/>
      <c r="Q2873" s="19"/>
      <c r="R2873" s="20"/>
      <c r="S2873" s="20"/>
      <c r="T2873" s="22"/>
      <c r="U2873" s="22"/>
      <c r="V2873" s="20"/>
      <c r="W2873" s="20"/>
      <c r="X2873" s="20"/>
      <c r="Y2873" s="19"/>
      <c r="Z2873" s="19"/>
      <c r="AA2873" s="19"/>
      <c r="AB2873" s="23"/>
      <c r="AC2873" s="23"/>
    </row>
    <row r="2874" spans="1:29" ht="15.75" customHeight="1" x14ac:dyDescent="0.2">
      <c r="A2874" s="34"/>
      <c r="B2874" s="34"/>
      <c r="C2874" s="34"/>
      <c r="D2874" s="34"/>
      <c r="E2874" s="19"/>
      <c r="F2874" s="19"/>
      <c r="G2874" s="19"/>
      <c r="H2874" s="19"/>
      <c r="I2874" s="19"/>
      <c r="J2874" s="19"/>
      <c r="K2874" s="19"/>
      <c r="L2874" s="19"/>
      <c r="M2874" s="19"/>
      <c r="N2874" s="19"/>
      <c r="O2874" s="19"/>
      <c r="P2874" s="19"/>
      <c r="Q2874" s="19"/>
      <c r="R2874" s="20"/>
      <c r="S2874" s="20"/>
      <c r="T2874" s="22"/>
      <c r="U2874" s="22"/>
      <c r="V2874" s="20"/>
      <c r="W2874" s="20"/>
      <c r="X2874" s="20"/>
      <c r="Y2874" s="19"/>
      <c r="Z2874" s="19"/>
      <c r="AA2874" s="19"/>
      <c r="AB2874" s="23"/>
      <c r="AC2874" s="23"/>
    </row>
    <row r="2875" spans="1:29" ht="15.75" customHeight="1" x14ac:dyDescent="0.2">
      <c r="A2875" s="34"/>
      <c r="B2875" s="34"/>
      <c r="C2875" s="34"/>
      <c r="D2875" s="34"/>
      <c r="E2875" s="19"/>
      <c r="F2875" s="19"/>
      <c r="G2875" s="19"/>
      <c r="H2875" s="19"/>
      <c r="I2875" s="19"/>
      <c r="J2875" s="19"/>
      <c r="K2875" s="19"/>
      <c r="L2875" s="19"/>
      <c r="M2875" s="19"/>
      <c r="N2875" s="19"/>
      <c r="O2875" s="19"/>
      <c r="P2875" s="19"/>
      <c r="Q2875" s="19"/>
      <c r="R2875" s="20"/>
      <c r="S2875" s="20"/>
      <c r="T2875" s="22"/>
      <c r="U2875" s="22"/>
      <c r="V2875" s="20"/>
      <c r="W2875" s="20"/>
      <c r="X2875" s="20"/>
      <c r="Y2875" s="19"/>
      <c r="Z2875" s="19"/>
      <c r="AA2875" s="19"/>
      <c r="AB2875" s="23"/>
      <c r="AC2875" s="23"/>
    </row>
    <row r="2876" spans="1:29" ht="15.75" customHeight="1" x14ac:dyDescent="0.2">
      <c r="A2876" s="34"/>
      <c r="B2876" s="34"/>
      <c r="C2876" s="34"/>
      <c r="D2876" s="34"/>
      <c r="E2876" s="19"/>
      <c r="F2876" s="19"/>
      <c r="G2876" s="19"/>
      <c r="H2876" s="19"/>
      <c r="I2876" s="19"/>
      <c r="J2876" s="19"/>
      <c r="K2876" s="19"/>
      <c r="L2876" s="19"/>
      <c r="M2876" s="19"/>
      <c r="N2876" s="19"/>
      <c r="O2876" s="19"/>
      <c r="P2876" s="19"/>
      <c r="Q2876" s="19"/>
      <c r="R2876" s="20"/>
      <c r="S2876" s="20"/>
      <c r="T2876" s="22"/>
      <c r="U2876" s="22"/>
      <c r="V2876" s="20"/>
      <c r="W2876" s="20"/>
      <c r="X2876" s="20"/>
      <c r="Y2876" s="19"/>
      <c r="Z2876" s="19"/>
      <c r="AA2876" s="19"/>
      <c r="AB2876" s="23"/>
      <c r="AC2876" s="23"/>
    </row>
  </sheetData>
  <autoFilter ref="A2:Z2677" xr:uid="{00000000-0009-0000-0000-000008000000}"/>
  <mergeCells count="4">
    <mergeCell ref="E1:F1"/>
    <mergeCell ref="G1:J1"/>
    <mergeCell ref="K1:P1"/>
    <mergeCell ref="R1:X1"/>
  </mergeCells>
  <pageMargins left="0.7" right="0.7" top="0.75" bottom="0.75" header="0" footer="0"/>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Quick Start Guide</vt:lpstr>
      <vt:lpstr>Selectivity Chart </vt:lpstr>
      <vt:lpstr>Category 1 (Most Competitive)</vt:lpstr>
      <vt:lpstr>Category 2 (Highly Competitive)</vt:lpstr>
      <vt:lpstr>Category 3 (Very Competitive)</vt:lpstr>
      <vt:lpstr>Category 4 (Competitive)</vt:lpstr>
      <vt:lpstr>Category 5 (Less or Non-Comp)</vt:lpstr>
      <vt:lpstr>Category 6 (Community Colleges)</vt:lpstr>
      <vt:lpstr>All Colleges</vt:lpstr>
      <vt:lpstr>Career and Training Pathway</vt:lpstr>
      <vt:lpstr>Students with Disabilities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Dooley Erin</dc:creator>
  <cp:lastModifiedBy>Kelly Meredith</cp:lastModifiedBy>
  <dcterms:created xsi:type="dcterms:W3CDTF">2017-09-15T17:50:55Z</dcterms:created>
  <dcterms:modified xsi:type="dcterms:W3CDTF">2020-10-08T12:57:12Z</dcterms:modified>
</cp:coreProperties>
</file>